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rnard\Dropbox (Dropbox BioBuild)\NG2B\0 PRE BUDGET\"/>
    </mc:Choice>
  </mc:AlternateContent>
  <xr:revisionPtr revIDLastSave="0" documentId="13_ncr:1_{3EF949FB-FEA5-485D-9B6F-B844D92C70E6}" xr6:coauthVersionLast="45" xr6:coauthVersionMax="45" xr10:uidLastSave="{00000000-0000-0000-0000-000000000000}"/>
  <bookViews>
    <workbookView xWindow="450" yWindow="450" windowWidth="28500" windowHeight="14400" activeTab="7" xr2:uid="{00000000-000D-0000-FFFF-FFFF00000000}"/>
  </bookViews>
  <sheets>
    <sheet name="Architecture Projet" sheetId="26" r:id="rId1"/>
    <sheet name="Lot 1" sheetId="6" r:id="rId2"/>
    <sheet name="Lot 2" sheetId="1" r:id="rId3"/>
    <sheet name="Lot 3" sheetId="5" r:id="rId4"/>
    <sheet name="Lot 4" sheetId="7" r:id="rId5"/>
    <sheet name="Lot 5" sheetId="8" r:id="rId6"/>
    <sheet name="Lot 6" sheetId="9" r:id="rId7"/>
    <sheet name="Synth Partenaire" sheetId="16" r:id="rId8"/>
    <sheet name="Synth Lot" sheetId="15" r:id="rId9"/>
    <sheet name="CONSOLIDATION" sheetId="35" r:id="rId10"/>
    <sheet name="Liste" sheetId="2" r:id="rId11"/>
  </sheets>
  <externalReferences>
    <externalReference r:id="rId12"/>
    <externalReference r:id="rId13"/>
    <externalReference r:id="rId14"/>
    <externalReference r:id="rId15"/>
    <externalReference r:id="rId16"/>
  </externalReferences>
  <definedNames>
    <definedName name="CHOISIR_DANS_LA_LISTE" localSheetId="0">#REF!</definedName>
    <definedName name="CHOISIR_DANS_LA_LISTE">Tableau24[CHOISIR_DANS_LA_LISTE]</definedName>
    <definedName name="DonnéesExternes_1" localSheetId="9" hidden="1">CONSOLIDATION!$A$1:$T$394</definedName>
    <definedName name="Lot" localSheetId="0">'Architecture Projet'!#REF!</definedName>
    <definedName name="Lot">Liste!$B$3:$B$8</definedName>
    <definedName name="Lot_1" localSheetId="0">#REF!</definedName>
    <definedName name="Lot_1" localSheetId="1">Tableau6[Lot_1]</definedName>
    <definedName name="Lot_1" localSheetId="3">Tableau6[Lot_1]</definedName>
    <definedName name="Lot_1" localSheetId="4">Tableau6[Lot_1]</definedName>
    <definedName name="Lot_1" localSheetId="5">Tableau6[Lot_1]</definedName>
    <definedName name="Lot_1" localSheetId="6">Tableau6[Lot_1]</definedName>
    <definedName name="Lot_1" localSheetId="7">Tableau6[Lot_1]</definedName>
    <definedName name="Lot_1">Tableau6[Lot_1]</definedName>
    <definedName name="Lot_2" localSheetId="0">#REF!</definedName>
    <definedName name="Lot_2" localSheetId="1">Tableau7[Lot_2]</definedName>
    <definedName name="Lot_2" localSheetId="3">Tableau7[Lot_2]</definedName>
    <definedName name="Lot_2" localSheetId="4">Tableau7[Lot_2]</definedName>
    <definedName name="Lot_2" localSheetId="5">Tableau7[Lot_2]</definedName>
    <definedName name="Lot_2" localSheetId="6">Tableau7[Lot_2]</definedName>
    <definedName name="Lot_2" localSheetId="7">Tableau7[Lot_2]</definedName>
    <definedName name="Lot_2">Tableau7[Lot_2]</definedName>
    <definedName name="Lot_3" localSheetId="0">#REF!</definedName>
    <definedName name="Lot_3" localSheetId="1">Tableau8[Lot_3]</definedName>
    <definedName name="Lot_3" localSheetId="3">Tableau8[Lot_3]</definedName>
    <definedName name="Lot_3" localSheetId="4">Tableau8[Lot_3]</definedName>
    <definedName name="Lot_3" localSheetId="5">Tableau8[Lot_3]</definedName>
    <definedName name="Lot_3" localSheetId="6">Tableau8[Lot_3]</definedName>
    <definedName name="Lot_3" localSheetId="7">Tableau8[Lot_3]</definedName>
    <definedName name="Lot_3">Tableau8[Lot_3]</definedName>
    <definedName name="Lot_4" localSheetId="0">#REF!</definedName>
    <definedName name="Lot_4" localSheetId="1">Tableau9[Lot_4]</definedName>
    <definedName name="Lot_4" localSheetId="3">Tableau9[Lot_4]</definedName>
    <definedName name="Lot_4" localSheetId="4">Tableau9[Lot_4]</definedName>
    <definedName name="Lot_4" localSheetId="5">Tableau9[Lot_4]</definedName>
    <definedName name="Lot_4" localSheetId="6">Tableau9[Lot_4]</definedName>
    <definedName name="Lot_4" localSheetId="7">Tableau9[Lot_4]</definedName>
    <definedName name="Lot_4">Tableau9[Lot_4]</definedName>
    <definedName name="Lot_5" localSheetId="0">#REF!</definedName>
    <definedName name="Lot_5" localSheetId="1">Tableau10[Lot_5]</definedName>
    <definedName name="Lot_5" localSheetId="3">Tableau10[Lot_5]</definedName>
    <definedName name="Lot_5" localSheetId="4">Tableau10[Lot_5]</definedName>
    <definedName name="Lot_5" localSheetId="5">Tableau10[Lot_5]</definedName>
    <definedName name="Lot_5" localSheetId="6">Tableau10[Lot_5]</definedName>
    <definedName name="Lot_5" localSheetId="7">Tableau10[Lot_5]</definedName>
    <definedName name="Lot_5">Tableau10[Lot_5]</definedName>
    <definedName name="Lot_6" localSheetId="0">#REF!</definedName>
    <definedName name="Lot_6" localSheetId="1">Tableau11[Lot_6]</definedName>
    <definedName name="Lot_6" localSheetId="3">Tableau11[Lot_6]</definedName>
    <definedName name="Lot_6" localSheetId="4">Tableau11[Lot_6]</definedName>
    <definedName name="Lot_6" localSheetId="5">Tableau11[Lot_6]</definedName>
    <definedName name="Lot_6" localSheetId="6">Tableau11[Lot_6]</definedName>
    <definedName name="Lot_6" localSheetId="7">Tableau11[Lot_6]</definedName>
    <definedName name="Lot_6">Tableau11[Lot_6]</definedName>
    <definedName name="NoLot" localSheetId="0">'Architecture Projet'!#REF!</definedName>
    <definedName name="NoLot">Liste!$J$2:$O$2</definedName>
    <definedName name="Partenaires" localSheetId="0">#REF!</definedName>
    <definedName name="Partenaires" localSheetId="1">Partenaires2[Partenaire]</definedName>
    <definedName name="Partenaires" localSheetId="3">Partenaires2[Partenaire]</definedName>
    <definedName name="Partenaires" localSheetId="4">Partenaires2[Partenaire]</definedName>
    <definedName name="Partenaires" localSheetId="5">Partenaires2[Partenaire]</definedName>
    <definedName name="Partenaires" localSheetId="6">Partenaires2[Partenaire]</definedName>
    <definedName name="Partenaires" localSheetId="7">Partenaires2[Partenaire]</definedName>
    <definedName name="Partenaires">Partenaires2[Partenaire]</definedName>
    <definedName name="Segment_N°_Lot">#N/A</definedName>
    <definedName name="Segment_N°_Lot1">#N/A</definedName>
    <definedName name="Segment_N°_Lot2">#N/A</definedName>
    <definedName name="Segment_Partenaires">#N/A</definedName>
    <definedName name="Segment_Partenaires1">#N/A</definedName>
    <definedName name="Segment_Partenaires2">#N/A</definedName>
    <definedName name="T1_Bibliographie_et_synthèse" localSheetId="0">'Architecture Projet'!$C$19:$C$21</definedName>
    <definedName name="T1_Bibliographie_et_synthèse">ST_21[T1_Bibliographie_et_synthèse]</definedName>
    <definedName name="T1_Caractérisation_matières_premières">Tableau29[T1_Caractérisation_matières_premières]</definedName>
    <definedName name="T1_Commission_prénormalisation" localSheetId="0">'Architecture Projet'!$C$75:$C$79</definedName>
    <definedName name="T1_Commission_prénormalisation">Tableau32[T1_Commission_prénormalisation]</definedName>
    <definedName name="T1_Définition_des_gammes_de_variations_acceptables" localSheetId="0">'Architecture Projet'!$C$60:$C$67</definedName>
    <definedName name="T1_Définition_des_gammes_de_variations_acceptables">Tableau29[T1_Caractérisation_matières_premières]</definedName>
    <definedName name="T1_Site_Internet" localSheetId="0">'Architecture Projet'!$C$91:$C$93</definedName>
    <definedName name="T1_Site_Internet">Tableau35[T1_Site_Internet]</definedName>
    <definedName name="T1_Suivi_administratif_et_financier" localSheetId="0">'Architecture Projet'!$C$5:$C$6</definedName>
    <definedName name="T1_Suivi_administratif_et_financier">ST_11[T1_Suivi_administratif_et_financier]</definedName>
    <definedName name="T1_Validation_des_caractéristiques_pertinentes" localSheetId="0">'Architecture Projet'!$C$44:$C$46</definedName>
    <definedName name="T1_Validation_des_caractéristiques_pertinentes">Tableau26[T1_Validation_des_caractéristiques_pertinentes]</definedName>
    <definedName name="T2_Caractérisation_matières_premières_Etablissement_des_cartes_identité" localSheetId="0">'Architecture Projet'!#REF!</definedName>
    <definedName name="T2_Caractérisation_matières_premières_Etablissement_des_cartes_identité">Tableau30[T2_Définition_des_gammes_de_variations_acceptables]</definedName>
    <definedName name="T2_Comité_de_pilotage_et_de_suivi" localSheetId="0">'Architecture Projet'!$C$9:$C$11</definedName>
    <definedName name="T2_Comité_de_pilotage_et_de_suivi">ST_12[T2_Comité_de_pilotage_et_de_suivi]</definedName>
    <definedName name="T2_Consultation_des_acteurs" localSheetId="0">'Architecture Projet'!$C$24:$C$27</definedName>
    <definedName name="T2_Consultation_des_acteurs">ST_22[T2_Consultation_des_acteurs]</definedName>
    <definedName name="T2_Définition_des_gammes_de_variations_acceptables">Tableau30[T2_Définition_des_gammes_de_variations_acceptables]</definedName>
    <definedName name="T2_Publications" localSheetId="0">'Architecture Projet'!$C$96:$C$98</definedName>
    <definedName name="T2_Publications">Tableau36[T2_Publications]</definedName>
    <definedName name="T2_Rédaction_des_protocoles_de_caractérisation" localSheetId="0">'Architecture Projet'!$C$49:$C$52</definedName>
    <definedName name="T2_Rédaction_des_protocoles_de_caractérisation">Tableau27[T2_Rédaction_des_protocoles_de_caractérisation]</definedName>
    <definedName name="T2_Vocabulaire_définition_termes_utilisés" localSheetId="0">'Architecture Projet'!#REF!</definedName>
    <definedName name="T2_Vocabulaire_définition_termes_utilisés">Tableau33[T2_Vocabulaire_définition_termes_utilisés]</definedName>
    <definedName name="T3_Comité_scientifique_et_technique" localSheetId="0">'Architecture Projet'!$C$14:$C$15</definedName>
    <definedName name="T3_Comité_scientifique_et_technique">ST_13[T3_Comité_scientifique_et_technique]</definedName>
    <definedName name="T3_Conférences_Séminaires" localSheetId="0">'Architecture Projet'!$C$101:$C$103</definedName>
    <definedName name="T3_Conférences_Séminaires">Tableau37[T3_Conférences_Séminaires]</definedName>
    <definedName name="T3_Consultation_des_organes_de_normalisation" localSheetId="0">'Architecture Projet'!$B$30:$B$32</definedName>
    <definedName name="T3_Consultation_des_organes_de_normalisation">ST_23[T3_Consultation_des_organes_de_normalisation]</definedName>
    <definedName name="T3_Evaluation_impacts_environnementaux" localSheetId="0">'Architecture Projet'!$C$70:$C$71</definedName>
    <definedName name="T3_Evaluation_impacts_environnementaux">Tableau31[T4_Evaluation_impacts_environnementaux ]</definedName>
    <definedName name="T3_Identification_des_indicateurs_environnementaux" localSheetId="0">'Architecture Projet'!$C$55:$C$56</definedName>
    <definedName name="T3_Identification_des_indicateurs_environnementaux">Tableau28[T3_Identification_des_indicateurs_environnementaux ]</definedName>
    <definedName name="T3_Rédaction_des_Cartes_Identité_des_granulats">Tableau30[T3_Rédaction_des_Cartes_Identité_des_granulats]</definedName>
    <definedName name="T3_Rédaction_proposition_prénorme" localSheetId="0">'Architecture Projet'!$D$75:$D$77</definedName>
    <definedName name="T3_Rédaction_proposition_prénorme">Tableau34[T3_Rédaction_proposition_prénorme]</definedName>
    <definedName name="T4_Analyse_de_la_nomenclature_des_normes_positionnement_de_la_future_norme" localSheetId="0">'Architecture Projet'!$C$24:$C$27</definedName>
    <definedName name="T4_Analyse_de_la_nomenclature_des_normes_positionnement_de_la_future_norme">ST_24[T4_Analyse_de_la_nomenclature_des_normes_positionnement_de_la_future_norme]</definedName>
    <definedName name="T4_Evaluation_impacts_environnementaux">Tableau31[T4_Evaluation_impacts_environnementaux ]</definedName>
    <definedName name="T5_Atelier_de_concertation" localSheetId="0">'Architecture Projet'!#REF!</definedName>
    <definedName name="T5_Atelier_de_concertation">Liste!$Y$3:$Y$7</definedName>
  </definedNames>
  <calcPr calcId="191029"/>
  <pivotCaches>
    <pivotCache cacheId="441" r:id="rId17"/>
  </pivotCaches>
  <extLst>
    <ext xmlns:x14="http://schemas.microsoft.com/office/spreadsheetml/2009/9/main" uri="{BBE1A952-AA13-448e-AADC-164F8A28A991}">
      <x14:slicerCaches>
        <x14:slicerCache r:id="rId18"/>
        <x14:slicerCache r:id="rId19"/>
        <x14:slicerCache r:id="rId20"/>
        <x14:slicerCache r:id="rId21"/>
        <x14:slicerCache r:id="rId22"/>
        <x14:slicerCache r:id="rId2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50" i="9" l="1"/>
  <c r="F4" i="6" l="1"/>
  <c r="F15" i="6"/>
  <c r="F16" i="6"/>
  <c r="B40" i="6"/>
  <c r="G40" i="6"/>
  <c r="H40" i="6"/>
  <c r="M40" i="6"/>
  <c r="R40" i="6" s="1"/>
  <c r="Q40" i="6"/>
  <c r="S40" i="6" l="1"/>
  <c r="T40" i="6" s="1"/>
  <c r="A75" i="1"/>
  <c r="B75" i="1" s="1"/>
  <c r="A76" i="1"/>
  <c r="B76" i="1" s="1"/>
  <c r="A77" i="1"/>
  <c r="B77" i="1" s="1"/>
  <c r="A78" i="1"/>
  <c r="A79" i="1"/>
  <c r="A80" i="1"/>
  <c r="B80" i="1" s="1"/>
  <c r="B78" i="1"/>
  <c r="B79" i="1"/>
  <c r="G75" i="1"/>
  <c r="G76" i="1"/>
  <c r="G77" i="1"/>
  <c r="G78" i="1"/>
  <c r="G79" i="1"/>
  <c r="G80" i="1"/>
  <c r="H75" i="1"/>
  <c r="H76" i="1"/>
  <c r="H77" i="1"/>
  <c r="H78" i="1"/>
  <c r="H79" i="1"/>
  <c r="H80" i="1"/>
  <c r="M75" i="1"/>
  <c r="M76" i="1"/>
  <c r="S76" i="1" s="1"/>
  <c r="M77" i="1"/>
  <c r="S77" i="1" s="1"/>
  <c r="T77" i="1" s="1"/>
  <c r="M78" i="1"/>
  <c r="M79" i="1"/>
  <c r="M80" i="1"/>
  <c r="Q75" i="1"/>
  <c r="Q76" i="1"/>
  <c r="Q77" i="1"/>
  <c r="Q78" i="1"/>
  <c r="Q79" i="1"/>
  <c r="Q80" i="1"/>
  <c r="R80" i="1" s="1"/>
  <c r="B74" i="1"/>
  <c r="G74" i="1"/>
  <c r="H74" i="1"/>
  <c r="M74" i="1"/>
  <c r="Q74" i="1"/>
  <c r="T76" i="1" l="1"/>
  <c r="R75" i="1"/>
  <c r="R79" i="1"/>
  <c r="S79" i="1"/>
  <c r="T79" i="1" s="1"/>
  <c r="S80" i="1"/>
  <c r="T80" i="1" s="1"/>
  <c r="S78" i="1"/>
  <c r="T78" i="1" s="1"/>
  <c r="R78" i="1"/>
  <c r="S75" i="1"/>
  <c r="T75" i="1" s="1"/>
  <c r="R77" i="1"/>
  <c r="S74" i="1"/>
  <c r="T74" i="1" s="1"/>
  <c r="R76" i="1"/>
  <c r="R74" i="1"/>
  <c r="G41" i="1" l="1"/>
  <c r="H41" i="1"/>
  <c r="A41" i="1"/>
  <c r="B41" i="1" s="1"/>
  <c r="M41" i="1"/>
  <c r="Q41" i="1"/>
  <c r="G39" i="1"/>
  <c r="H39" i="1"/>
  <c r="A39" i="1"/>
  <c r="B39" i="1" s="1"/>
  <c r="M39" i="1"/>
  <c r="Q39" i="1"/>
  <c r="A62" i="9"/>
  <c r="B62" i="9" s="1"/>
  <c r="A63" i="9"/>
  <c r="A64" i="9"/>
  <c r="B63" i="9"/>
  <c r="B64" i="9"/>
  <c r="G62" i="9"/>
  <c r="G63" i="9"/>
  <c r="G64" i="9"/>
  <c r="H62" i="9"/>
  <c r="H63" i="9"/>
  <c r="H64" i="9"/>
  <c r="M62" i="9"/>
  <c r="M63" i="9"/>
  <c r="M64" i="9"/>
  <c r="Q62" i="9"/>
  <c r="Q63" i="9"/>
  <c r="Q64" i="9"/>
  <c r="A65" i="8"/>
  <c r="B65" i="8" s="1"/>
  <c r="G65" i="8"/>
  <c r="H65" i="8"/>
  <c r="M65" i="8"/>
  <c r="Q65" i="8"/>
  <c r="N4" i="7"/>
  <c r="O4" i="7"/>
  <c r="P4" i="7"/>
  <c r="N5" i="7"/>
  <c r="O5" i="7"/>
  <c r="P5" i="7"/>
  <c r="N6" i="7"/>
  <c r="O6" i="7"/>
  <c r="P6" i="7"/>
  <c r="N7" i="7"/>
  <c r="O7" i="7"/>
  <c r="P7" i="7"/>
  <c r="A63" i="7"/>
  <c r="A64" i="7"/>
  <c r="B64" i="7" s="1"/>
  <c r="A65" i="7"/>
  <c r="A66" i="7"/>
  <c r="A67" i="7"/>
  <c r="A68" i="7"/>
  <c r="B68" i="7" s="1"/>
  <c r="A69" i="7"/>
  <c r="B63" i="7"/>
  <c r="B65" i="7"/>
  <c r="B66" i="7"/>
  <c r="B67" i="7"/>
  <c r="B69" i="7"/>
  <c r="G63" i="7"/>
  <c r="G64" i="7"/>
  <c r="G65" i="7"/>
  <c r="G66" i="7"/>
  <c r="G67" i="7"/>
  <c r="G68" i="7"/>
  <c r="G69" i="7"/>
  <c r="H63" i="7"/>
  <c r="H64" i="7"/>
  <c r="H65" i="7"/>
  <c r="H66" i="7"/>
  <c r="H67" i="7"/>
  <c r="H68" i="7"/>
  <c r="H69" i="7"/>
  <c r="M63" i="7"/>
  <c r="M64" i="7"/>
  <c r="R64" i="7" s="1"/>
  <c r="S64" i="7" s="1"/>
  <c r="T64" i="7" s="1"/>
  <c r="M65" i="7"/>
  <c r="M66" i="7"/>
  <c r="M67" i="7"/>
  <c r="M68" i="7"/>
  <c r="M69" i="7"/>
  <c r="Q63" i="7"/>
  <c r="R63" i="7" s="1"/>
  <c r="S63" i="7" s="1"/>
  <c r="Q64" i="7"/>
  <c r="Q65" i="7"/>
  <c r="Q66" i="7"/>
  <c r="Q67" i="7"/>
  <c r="Q68" i="7"/>
  <c r="Q69" i="7"/>
  <c r="A78" i="5"/>
  <c r="A79" i="5"/>
  <c r="B79" i="5" s="1"/>
  <c r="A80" i="5"/>
  <c r="B80" i="5" s="1"/>
  <c r="A81" i="5"/>
  <c r="A82" i="5"/>
  <c r="B82" i="5" s="1"/>
  <c r="A83" i="5"/>
  <c r="A84" i="5"/>
  <c r="A85" i="5"/>
  <c r="B85" i="5" s="1"/>
  <c r="A86" i="5"/>
  <c r="A87" i="5"/>
  <c r="B87" i="5" s="1"/>
  <c r="B78" i="5"/>
  <c r="B81" i="5"/>
  <c r="B83" i="5"/>
  <c r="B84" i="5"/>
  <c r="B86" i="5"/>
  <c r="G78" i="5"/>
  <c r="G79" i="5"/>
  <c r="G80" i="5"/>
  <c r="G81" i="5"/>
  <c r="G82" i="5"/>
  <c r="G83" i="5"/>
  <c r="G84" i="5"/>
  <c r="G85" i="5"/>
  <c r="G86" i="5"/>
  <c r="G87" i="5"/>
  <c r="H78" i="5"/>
  <c r="H79" i="5"/>
  <c r="H80" i="5"/>
  <c r="H81" i="5"/>
  <c r="H82" i="5"/>
  <c r="H83" i="5"/>
  <c r="H84" i="5"/>
  <c r="H85" i="5"/>
  <c r="H86" i="5"/>
  <c r="H87" i="5"/>
  <c r="M78" i="5"/>
  <c r="R78" i="5" s="1"/>
  <c r="M79" i="5"/>
  <c r="M80" i="5"/>
  <c r="M81" i="5"/>
  <c r="M82" i="5"/>
  <c r="M83" i="5"/>
  <c r="M84" i="5"/>
  <c r="R84" i="5" s="1"/>
  <c r="M85" i="5"/>
  <c r="R85" i="5" s="1"/>
  <c r="M86" i="5"/>
  <c r="R86" i="5" s="1"/>
  <c r="M87" i="5"/>
  <c r="R87" i="5" s="1"/>
  <c r="Q78" i="5"/>
  <c r="Q79" i="5"/>
  <c r="Q80" i="5"/>
  <c r="Q81" i="5"/>
  <c r="Q82" i="5"/>
  <c r="Q83" i="5"/>
  <c r="Q84" i="5"/>
  <c r="Q85" i="5"/>
  <c r="Q86" i="5"/>
  <c r="Q87" i="5"/>
  <c r="R81" i="5"/>
  <c r="R82" i="5"/>
  <c r="S82" i="5" s="1"/>
  <c r="T82" i="5" s="1"/>
  <c r="R83" i="5"/>
  <c r="S81" i="5"/>
  <c r="T81" i="5" s="1"/>
  <c r="A68" i="1"/>
  <c r="B68" i="1" s="1"/>
  <c r="A69" i="1"/>
  <c r="B69" i="1" s="1"/>
  <c r="A70" i="1"/>
  <c r="B70" i="1" s="1"/>
  <c r="A71" i="1"/>
  <c r="B71" i="1"/>
  <c r="G68" i="1"/>
  <c r="G69" i="1"/>
  <c r="G70" i="1"/>
  <c r="G71" i="1"/>
  <c r="H68" i="1"/>
  <c r="H69" i="1"/>
  <c r="H70" i="1"/>
  <c r="H71" i="1"/>
  <c r="M68" i="1"/>
  <c r="M69" i="1"/>
  <c r="M70" i="1"/>
  <c r="M71" i="1"/>
  <c r="Q68" i="1"/>
  <c r="Q69" i="1"/>
  <c r="Q70" i="1"/>
  <c r="Q71" i="1"/>
  <c r="A36" i="6"/>
  <c r="A37" i="6"/>
  <c r="B37" i="6" s="1"/>
  <c r="B36" i="6"/>
  <c r="G36" i="6"/>
  <c r="G37" i="6"/>
  <c r="H36" i="6"/>
  <c r="H37" i="6"/>
  <c r="M36" i="6"/>
  <c r="M37" i="6"/>
  <c r="Q36" i="6"/>
  <c r="Q37" i="6"/>
  <c r="R64" i="9" l="1"/>
  <c r="S64" i="9" s="1"/>
  <c r="T64" i="9" s="1"/>
  <c r="R63" i="9"/>
  <c r="S63" i="9" s="1"/>
  <c r="T63" i="9" s="1"/>
  <c r="R41" i="1"/>
  <c r="S41" i="1" s="1"/>
  <c r="T41" i="1" s="1"/>
  <c r="T63" i="7"/>
  <c r="R39" i="1"/>
  <c r="S39" i="1" s="1"/>
  <c r="T39" i="1" s="1"/>
  <c r="R62" i="9"/>
  <c r="S62" i="9"/>
  <c r="T62" i="9" s="1"/>
  <c r="R65" i="8"/>
  <c r="S65" i="8" s="1"/>
  <c r="T65" i="8" s="1"/>
  <c r="R65" i="7"/>
  <c r="S65" i="7" s="1"/>
  <c r="T65" i="7" s="1"/>
  <c r="R69" i="7"/>
  <c r="S69" i="7" s="1"/>
  <c r="T69" i="7" s="1"/>
  <c r="R68" i="7"/>
  <c r="S68" i="7" s="1"/>
  <c r="T68" i="7" s="1"/>
  <c r="R67" i="7"/>
  <c r="S67" i="7" s="1"/>
  <c r="T67" i="7" s="1"/>
  <c r="R66" i="7"/>
  <c r="S66" i="7" s="1"/>
  <c r="T66" i="7" s="1"/>
  <c r="S83" i="5"/>
  <c r="T83" i="5" s="1"/>
  <c r="S80" i="5"/>
  <c r="T80" i="5" s="1"/>
  <c r="S84" i="5"/>
  <c r="T84" i="5" s="1"/>
  <c r="S86" i="5"/>
  <c r="T86" i="5" s="1"/>
  <c r="S78" i="5"/>
  <c r="T78" i="5" s="1"/>
  <c r="R80" i="5"/>
  <c r="S87" i="5"/>
  <c r="T87" i="5" s="1"/>
  <c r="S85" i="5"/>
  <c r="T85" i="5" s="1"/>
  <c r="R79" i="5"/>
  <c r="S79" i="5" s="1"/>
  <c r="T79" i="5" s="1"/>
  <c r="R68" i="1"/>
  <c r="S68" i="1" s="1"/>
  <c r="T68" i="1" s="1"/>
  <c r="R70" i="1"/>
  <c r="S70" i="1" s="1"/>
  <c r="T70" i="1" s="1"/>
  <c r="R71" i="1"/>
  <c r="S71" i="1" s="1"/>
  <c r="T71" i="1" s="1"/>
  <c r="R69" i="1"/>
  <c r="S69" i="1" s="1"/>
  <c r="T69" i="1" s="1"/>
  <c r="R36" i="6"/>
  <c r="S37" i="6"/>
  <c r="T37" i="6" s="1"/>
  <c r="R37" i="6"/>
  <c r="S36" i="6"/>
  <c r="T36" i="6" s="1"/>
  <c r="A62" i="7" l="1"/>
  <c r="B62" i="7" s="1"/>
  <c r="G62" i="7"/>
  <c r="H62" i="7"/>
  <c r="M62" i="7"/>
  <c r="Q62" i="7"/>
  <c r="A77" i="5"/>
  <c r="B77" i="5" s="1"/>
  <c r="G77" i="5"/>
  <c r="S77" i="5" s="1"/>
  <c r="H77" i="5"/>
  <c r="M77" i="5"/>
  <c r="Q77" i="5"/>
  <c r="B76" i="5"/>
  <c r="A76" i="5"/>
  <c r="G76" i="5"/>
  <c r="H76" i="5"/>
  <c r="M76" i="5"/>
  <c r="Q76" i="5"/>
  <c r="A61" i="7"/>
  <c r="B61" i="7" s="1"/>
  <c r="G61" i="7"/>
  <c r="H61" i="7"/>
  <c r="M61" i="7"/>
  <c r="Q61" i="7"/>
  <c r="A60" i="7"/>
  <c r="B60" i="7" s="1"/>
  <c r="G60" i="7"/>
  <c r="H60" i="7"/>
  <c r="M60" i="7"/>
  <c r="Q60" i="7"/>
  <c r="A62" i="8"/>
  <c r="B62" i="8" s="1"/>
  <c r="A63" i="8"/>
  <c r="A64" i="8"/>
  <c r="B64" i="8" s="1"/>
  <c r="B63" i="8"/>
  <c r="G62" i="8"/>
  <c r="G63" i="8"/>
  <c r="G64" i="8"/>
  <c r="H62" i="8"/>
  <c r="H63" i="8"/>
  <c r="H64" i="8"/>
  <c r="M62" i="8"/>
  <c r="M63" i="8"/>
  <c r="M64" i="8"/>
  <c r="R64" i="8" s="1"/>
  <c r="Q62" i="8"/>
  <c r="Q63" i="8"/>
  <c r="Q64" i="8"/>
  <c r="A8" i="1"/>
  <c r="B8" i="1" s="1"/>
  <c r="A9" i="1"/>
  <c r="B9" i="1" s="1"/>
  <c r="G8" i="1"/>
  <c r="G9" i="1"/>
  <c r="H8" i="1"/>
  <c r="H9" i="1"/>
  <c r="M8" i="1"/>
  <c r="M9" i="1"/>
  <c r="Q8" i="1"/>
  <c r="Q9" i="1"/>
  <c r="A7" i="1"/>
  <c r="B7" i="1"/>
  <c r="G7" i="1"/>
  <c r="H7" i="1"/>
  <c r="M7" i="1"/>
  <c r="Q7" i="1"/>
  <c r="A6" i="1"/>
  <c r="B6" i="1"/>
  <c r="G6" i="1"/>
  <c r="H6" i="1"/>
  <c r="M6" i="1"/>
  <c r="Q6" i="1"/>
  <c r="S64" i="8" l="1"/>
  <c r="T64" i="8" s="1"/>
  <c r="T77" i="5"/>
  <c r="R9" i="1"/>
  <c r="S9" i="1" s="1"/>
  <c r="T9" i="1" s="1"/>
  <c r="R7" i="1"/>
  <c r="S7" i="1" s="1"/>
  <c r="T7" i="1" s="1"/>
  <c r="R62" i="7"/>
  <c r="S62" i="7"/>
  <c r="T62" i="7" s="1"/>
  <c r="R61" i="7"/>
  <c r="S61" i="7" s="1"/>
  <c r="T61" i="7" s="1"/>
  <c r="R77" i="5"/>
  <c r="R76" i="5"/>
  <c r="S76" i="5"/>
  <c r="T76" i="5" s="1"/>
  <c r="R60" i="7"/>
  <c r="S60" i="7"/>
  <c r="T60" i="7" s="1"/>
  <c r="R63" i="8"/>
  <c r="R62" i="8"/>
  <c r="R8" i="1"/>
  <c r="S8" i="1" s="1"/>
  <c r="T8" i="1" s="1"/>
  <c r="S63" i="8"/>
  <c r="T63" i="8" s="1"/>
  <c r="S62" i="8"/>
  <c r="T62" i="8" s="1"/>
  <c r="R6" i="1"/>
  <c r="S6" i="1" s="1"/>
  <c r="T6" i="1" s="1"/>
  <c r="A38" i="9" l="1"/>
  <c r="B38" i="9" s="1"/>
  <c r="G38" i="9"/>
  <c r="H38" i="9"/>
  <c r="M38" i="9"/>
  <c r="Q38" i="9"/>
  <c r="A37" i="9"/>
  <c r="B37" i="9" s="1"/>
  <c r="G37" i="9"/>
  <c r="H37" i="9"/>
  <c r="M37" i="9"/>
  <c r="Q37" i="9"/>
  <c r="A61" i="8"/>
  <c r="B61" i="8" s="1"/>
  <c r="G61" i="8"/>
  <c r="H61" i="8"/>
  <c r="M61" i="8"/>
  <c r="Q61" i="8"/>
  <c r="A40" i="1"/>
  <c r="B40" i="1" s="1"/>
  <c r="A42" i="1"/>
  <c r="B42" i="1" s="1"/>
  <c r="G40" i="1"/>
  <c r="G42" i="1"/>
  <c r="H40" i="1"/>
  <c r="H42" i="1"/>
  <c r="M40" i="1"/>
  <c r="M42" i="1"/>
  <c r="Q40" i="1"/>
  <c r="Q42" i="1"/>
  <c r="A21" i="6"/>
  <c r="B21" i="6" s="1"/>
  <c r="G21" i="6"/>
  <c r="H21" i="6"/>
  <c r="M21" i="6"/>
  <c r="Q21" i="6"/>
  <c r="R42" i="1" l="1"/>
  <c r="S42" i="1" s="1"/>
  <c r="T42" i="1" s="1"/>
  <c r="R38" i="9"/>
  <c r="S38" i="9"/>
  <c r="T38" i="9" s="1"/>
  <c r="R37" i="9"/>
  <c r="S37" i="9" s="1"/>
  <c r="T37" i="9" s="1"/>
  <c r="S61" i="8"/>
  <c r="T61" i="8" s="1"/>
  <c r="R61" i="8"/>
  <c r="R40" i="1"/>
  <c r="S40" i="1" s="1"/>
  <c r="T40" i="1" s="1"/>
  <c r="R21" i="6"/>
  <c r="S21" i="6" s="1"/>
  <c r="T21" i="6" s="1"/>
  <c r="Q34" i="9" l="1"/>
  <c r="A29" i="9"/>
  <c r="A30" i="9"/>
  <c r="A31" i="9"/>
  <c r="A32" i="9"/>
  <c r="A33" i="9"/>
  <c r="A34" i="9"/>
  <c r="A35" i="9"/>
  <c r="A36" i="9"/>
  <c r="B36" i="9" s="1"/>
  <c r="B29" i="9"/>
  <c r="B30" i="9"/>
  <c r="B31" i="9"/>
  <c r="B32" i="9"/>
  <c r="B33" i="9"/>
  <c r="B34" i="9"/>
  <c r="B35" i="9"/>
  <c r="G29" i="9"/>
  <c r="G30" i="9"/>
  <c r="G31" i="9"/>
  <c r="G32" i="9"/>
  <c r="G33" i="9"/>
  <c r="G34" i="9"/>
  <c r="G35" i="9"/>
  <c r="G36" i="9"/>
  <c r="H29" i="9"/>
  <c r="H30" i="9"/>
  <c r="H31" i="9"/>
  <c r="H32" i="9"/>
  <c r="H33" i="9"/>
  <c r="H34" i="9"/>
  <c r="H35" i="9"/>
  <c r="H36" i="9"/>
  <c r="M29" i="9"/>
  <c r="M30" i="9"/>
  <c r="M31" i="9"/>
  <c r="S31" i="9" s="1"/>
  <c r="M32" i="9"/>
  <c r="M33" i="9"/>
  <c r="M34" i="9"/>
  <c r="M35" i="9"/>
  <c r="M36" i="9"/>
  <c r="Q29" i="9"/>
  <c r="Q30" i="9"/>
  <c r="R30" i="9" s="1"/>
  <c r="S30" i="9" s="1"/>
  <c r="Q31" i="9"/>
  <c r="Q32" i="9"/>
  <c r="Q33" i="9"/>
  <c r="Q35" i="9"/>
  <c r="Q36" i="9"/>
  <c r="A53" i="8"/>
  <c r="A54" i="8"/>
  <c r="A55" i="8"/>
  <c r="A56" i="8"/>
  <c r="A57" i="8"/>
  <c r="B57" i="8" s="1"/>
  <c r="A58" i="8"/>
  <c r="B58" i="8" s="1"/>
  <c r="A59" i="8"/>
  <c r="B59" i="8" s="1"/>
  <c r="A60" i="8"/>
  <c r="B53" i="8"/>
  <c r="B54" i="8"/>
  <c r="B55" i="8"/>
  <c r="B56" i="8"/>
  <c r="B60" i="8"/>
  <c r="G53" i="8"/>
  <c r="G54" i="8"/>
  <c r="G55" i="8"/>
  <c r="G56" i="8"/>
  <c r="G57" i="8"/>
  <c r="G58" i="8"/>
  <c r="G59" i="8"/>
  <c r="G60" i="8"/>
  <c r="H53" i="8"/>
  <c r="H54" i="8"/>
  <c r="H55" i="8"/>
  <c r="H56" i="8"/>
  <c r="H57" i="8"/>
  <c r="H58" i="8"/>
  <c r="H59" i="8"/>
  <c r="H60" i="8"/>
  <c r="M53" i="8"/>
  <c r="M54" i="8"/>
  <c r="M55" i="8"/>
  <c r="M56" i="8"/>
  <c r="M57" i="8"/>
  <c r="M58" i="8"/>
  <c r="M59" i="8"/>
  <c r="M60" i="8"/>
  <c r="Q53" i="8"/>
  <c r="Q54" i="8"/>
  <c r="Q55" i="8"/>
  <c r="Q56" i="8"/>
  <c r="Q57" i="8"/>
  <c r="Q58" i="8"/>
  <c r="Q59" i="8"/>
  <c r="S59" i="8" s="1"/>
  <c r="Q60" i="8"/>
  <c r="R60" i="8" s="1"/>
  <c r="S60" i="8" s="1"/>
  <c r="T60" i="8" s="1"/>
  <c r="A45" i="7"/>
  <c r="A46" i="7"/>
  <c r="B46" i="7" s="1"/>
  <c r="A47" i="7"/>
  <c r="B47" i="7" s="1"/>
  <c r="A48" i="7"/>
  <c r="A49" i="7"/>
  <c r="B49" i="7" s="1"/>
  <c r="A50" i="7"/>
  <c r="B50" i="7" s="1"/>
  <c r="A51" i="7"/>
  <c r="A52" i="7"/>
  <c r="B52" i="7" s="1"/>
  <c r="A53" i="7"/>
  <c r="A54" i="7"/>
  <c r="B54" i="7" s="1"/>
  <c r="A55" i="7"/>
  <c r="B55" i="7" s="1"/>
  <c r="A56" i="7"/>
  <c r="A57" i="7"/>
  <c r="B57" i="7" s="1"/>
  <c r="A58" i="7"/>
  <c r="B58" i="7" s="1"/>
  <c r="A59" i="7"/>
  <c r="B59" i="7" s="1"/>
  <c r="B45" i="7"/>
  <c r="B48" i="7"/>
  <c r="B51" i="7"/>
  <c r="B53" i="7"/>
  <c r="B56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M45" i="7"/>
  <c r="M46" i="7"/>
  <c r="M47" i="7"/>
  <c r="M48" i="7"/>
  <c r="M49" i="7"/>
  <c r="M50" i="7"/>
  <c r="R50" i="7" s="1"/>
  <c r="M51" i="7"/>
  <c r="M52" i="7"/>
  <c r="M53" i="7"/>
  <c r="M54" i="7"/>
  <c r="M55" i="7"/>
  <c r="M56" i="7"/>
  <c r="M57" i="7"/>
  <c r="M58" i="7"/>
  <c r="R58" i="7" s="1"/>
  <c r="M59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A60" i="5"/>
  <c r="A61" i="5"/>
  <c r="A62" i="5"/>
  <c r="A63" i="5"/>
  <c r="A64" i="5"/>
  <c r="A65" i="5"/>
  <c r="A66" i="5"/>
  <c r="B66" i="5" s="1"/>
  <c r="A67" i="5"/>
  <c r="B67" i="5" s="1"/>
  <c r="A68" i="5"/>
  <c r="A69" i="5"/>
  <c r="B69" i="5" s="1"/>
  <c r="A70" i="5"/>
  <c r="A71" i="5"/>
  <c r="A72" i="5"/>
  <c r="A73" i="5"/>
  <c r="B73" i="5" s="1"/>
  <c r="A74" i="5"/>
  <c r="B74" i="5" s="1"/>
  <c r="A75" i="5"/>
  <c r="B75" i="5" s="1"/>
  <c r="B60" i="5"/>
  <c r="B61" i="5"/>
  <c r="B62" i="5"/>
  <c r="B63" i="5"/>
  <c r="B64" i="5"/>
  <c r="B65" i="5"/>
  <c r="B68" i="5"/>
  <c r="B70" i="5"/>
  <c r="B71" i="5"/>
  <c r="B72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Q60" i="5"/>
  <c r="Q61" i="5"/>
  <c r="S61" i="5" s="1"/>
  <c r="Q62" i="5"/>
  <c r="Q63" i="5"/>
  <c r="S63" i="5" s="1"/>
  <c r="Q64" i="5"/>
  <c r="Q65" i="5"/>
  <c r="R65" i="5" s="1"/>
  <c r="Q66" i="5"/>
  <c r="Q67" i="5"/>
  <c r="R67" i="5" s="1"/>
  <c r="Q68" i="5"/>
  <c r="Q69" i="5"/>
  <c r="Q70" i="5"/>
  <c r="Q71" i="5"/>
  <c r="S71" i="5" s="1"/>
  <c r="Q72" i="5"/>
  <c r="Q73" i="5"/>
  <c r="S73" i="5" s="1"/>
  <c r="Q74" i="5"/>
  <c r="Q75" i="5"/>
  <c r="R60" i="5"/>
  <c r="A17" i="6"/>
  <c r="B17" i="6" s="1"/>
  <c r="A18" i="6"/>
  <c r="B18" i="6" s="1"/>
  <c r="A19" i="6"/>
  <c r="B19" i="6" s="1"/>
  <c r="A20" i="6"/>
  <c r="B20" i="6" s="1"/>
  <c r="G17" i="6"/>
  <c r="G18" i="6"/>
  <c r="G19" i="6"/>
  <c r="G20" i="6"/>
  <c r="H17" i="6"/>
  <c r="H18" i="6"/>
  <c r="H19" i="6"/>
  <c r="H20" i="6"/>
  <c r="M17" i="6"/>
  <c r="M18" i="6"/>
  <c r="M19" i="6"/>
  <c r="M20" i="6"/>
  <c r="Q17" i="6"/>
  <c r="Q18" i="6"/>
  <c r="Q19" i="6"/>
  <c r="Q20" i="6"/>
  <c r="T59" i="8" l="1"/>
  <c r="S56" i="8"/>
  <c r="T56" i="8" s="1"/>
  <c r="R52" i="7"/>
  <c r="R53" i="7"/>
  <c r="R45" i="7"/>
  <c r="R72" i="5"/>
  <c r="R68" i="5"/>
  <c r="R74" i="5"/>
  <c r="R66" i="5"/>
  <c r="R64" i="5"/>
  <c r="R19" i="6"/>
  <c r="S20" i="6"/>
  <c r="T20" i="6" s="1"/>
  <c r="S45" i="7"/>
  <c r="T45" i="7" s="1"/>
  <c r="S53" i="7"/>
  <c r="T53" i="7" s="1"/>
  <c r="S57" i="7"/>
  <c r="T57" i="7" s="1"/>
  <c r="R63" i="5"/>
  <c r="S70" i="5"/>
  <c r="T70" i="5" s="1"/>
  <c r="R62" i="5"/>
  <c r="R69" i="5"/>
  <c r="S69" i="5" s="1"/>
  <c r="T69" i="5" s="1"/>
  <c r="T71" i="5"/>
  <c r="T31" i="9"/>
  <c r="T61" i="5"/>
  <c r="T63" i="5"/>
  <c r="T73" i="5"/>
  <c r="S54" i="7"/>
  <c r="T54" i="7" s="1"/>
  <c r="S46" i="7"/>
  <c r="T46" i="7" s="1"/>
  <c r="R59" i="7"/>
  <c r="S59" i="7" s="1"/>
  <c r="T59" i="7" s="1"/>
  <c r="S51" i="7"/>
  <c r="T51" i="7" s="1"/>
  <c r="R57" i="7"/>
  <c r="R49" i="7"/>
  <c r="S49" i="7" s="1"/>
  <c r="T49" i="7" s="1"/>
  <c r="R56" i="7"/>
  <c r="S48" i="7"/>
  <c r="T48" i="7" s="1"/>
  <c r="T30" i="9"/>
  <c r="R56" i="8"/>
  <c r="R61" i="5"/>
  <c r="R73" i="5"/>
  <c r="R71" i="5"/>
  <c r="R70" i="5"/>
  <c r="S17" i="6"/>
  <c r="T17" i="6" s="1"/>
  <c r="S18" i="6"/>
  <c r="T18" i="6" s="1"/>
  <c r="R36" i="9"/>
  <c r="S36" i="9" s="1"/>
  <c r="T36" i="9" s="1"/>
  <c r="R33" i="9"/>
  <c r="S33" i="9" s="1"/>
  <c r="T33" i="9" s="1"/>
  <c r="S29" i="9"/>
  <c r="T29" i="9" s="1"/>
  <c r="S34" i="9"/>
  <c r="T34" i="9" s="1"/>
  <c r="R34" i="9"/>
  <c r="R35" i="9"/>
  <c r="S35" i="9" s="1"/>
  <c r="T35" i="9" s="1"/>
  <c r="S32" i="9"/>
  <c r="T32" i="9" s="1"/>
  <c r="R31" i="9"/>
  <c r="R29" i="9"/>
  <c r="R32" i="9"/>
  <c r="S55" i="8"/>
  <c r="T55" i="8" s="1"/>
  <c r="R59" i="8"/>
  <c r="S54" i="8"/>
  <c r="T54" i="8" s="1"/>
  <c r="R53" i="8"/>
  <c r="R57" i="8"/>
  <c r="R55" i="8"/>
  <c r="R54" i="8"/>
  <c r="S58" i="8"/>
  <c r="T58" i="8" s="1"/>
  <c r="S53" i="8"/>
  <c r="T53" i="8" s="1"/>
  <c r="S57" i="8"/>
  <c r="T57" i="8" s="1"/>
  <c r="R58" i="8"/>
  <c r="S50" i="7"/>
  <c r="T50" i="7" s="1"/>
  <c r="R51" i="7"/>
  <c r="S58" i="7"/>
  <c r="T58" i="7" s="1"/>
  <c r="S52" i="7"/>
  <c r="T52" i="7" s="1"/>
  <c r="R48" i="7"/>
  <c r="S56" i="7"/>
  <c r="T56" i="7" s="1"/>
  <c r="R55" i="7"/>
  <c r="S55" i="7" s="1"/>
  <c r="T55" i="7" s="1"/>
  <c r="R47" i="7"/>
  <c r="S47" i="7" s="1"/>
  <c r="T47" i="7" s="1"/>
  <c r="R54" i="7"/>
  <c r="R46" i="7"/>
  <c r="S62" i="5"/>
  <c r="T62" i="5" s="1"/>
  <c r="S68" i="5"/>
  <c r="T68" i="5" s="1"/>
  <c r="S60" i="5"/>
  <c r="T60" i="5" s="1"/>
  <c r="R75" i="5"/>
  <c r="S75" i="5" s="1"/>
  <c r="T75" i="5" s="1"/>
  <c r="S67" i="5"/>
  <c r="T67" i="5" s="1"/>
  <c r="S74" i="5"/>
  <c r="T74" i="5" s="1"/>
  <c r="S66" i="5"/>
  <c r="T66" i="5" s="1"/>
  <c r="S65" i="5"/>
  <c r="T65" i="5" s="1"/>
  <c r="S72" i="5"/>
  <c r="T72" i="5" s="1"/>
  <c r="S64" i="5"/>
  <c r="T64" i="5" s="1"/>
  <c r="R18" i="6"/>
  <c r="R17" i="6"/>
  <c r="R20" i="6"/>
  <c r="S19" i="6"/>
  <c r="T19" i="6" s="1"/>
  <c r="A52" i="8"/>
  <c r="B52" i="8" s="1"/>
  <c r="G52" i="8"/>
  <c r="H52" i="8"/>
  <c r="M52" i="8"/>
  <c r="Q52" i="8"/>
  <c r="A48" i="8"/>
  <c r="B48" i="8" s="1"/>
  <c r="A49" i="8"/>
  <c r="B49" i="8" s="1"/>
  <c r="A50" i="8"/>
  <c r="B50" i="8" s="1"/>
  <c r="A51" i="8"/>
  <c r="B51" i="8" s="1"/>
  <c r="G48" i="8"/>
  <c r="G49" i="8"/>
  <c r="G50" i="8"/>
  <c r="G51" i="8"/>
  <c r="H48" i="8"/>
  <c r="H49" i="8"/>
  <c r="H50" i="8"/>
  <c r="H51" i="8"/>
  <c r="M48" i="8"/>
  <c r="M49" i="8"/>
  <c r="M50" i="8"/>
  <c r="M51" i="8"/>
  <c r="Q48" i="8"/>
  <c r="Q49" i="8"/>
  <c r="Q50" i="8"/>
  <c r="Q51" i="8"/>
  <c r="A72" i="1"/>
  <c r="B72" i="1" s="1"/>
  <c r="A73" i="1"/>
  <c r="B73" i="1" s="1"/>
  <c r="G72" i="1"/>
  <c r="G73" i="1"/>
  <c r="H72" i="1"/>
  <c r="H73" i="1"/>
  <c r="M72" i="1"/>
  <c r="M73" i="1"/>
  <c r="Q72" i="1"/>
  <c r="Q73" i="1"/>
  <c r="A38" i="6"/>
  <c r="B38" i="6" s="1"/>
  <c r="A39" i="6"/>
  <c r="B39" i="6" s="1"/>
  <c r="G38" i="6"/>
  <c r="G39" i="6"/>
  <c r="H38" i="6"/>
  <c r="H39" i="6"/>
  <c r="M38" i="6"/>
  <c r="M39" i="6"/>
  <c r="Q38" i="6"/>
  <c r="Q39" i="6"/>
  <c r="R39" i="6" l="1"/>
  <c r="S39" i="6" s="1"/>
  <c r="T39" i="6" s="1"/>
  <c r="R49" i="8"/>
  <c r="S49" i="8" s="1"/>
  <c r="T49" i="8" s="1"/>
  <c r="R48" i="8"/>
  <c r="S48" i="8" s="1"/>
  <c r="T48" i="8" s="1"/>
  <c r="R52" i="8"/>
  <c r="S52" i="8" s="1"/>
  <c r="T52" i="8" s="1"/>
  <c r="R51" i="8"/>
  <c r="S51" i="8" s="1"/>
  <c r="T51" i="8" s="1"/>
  <c r="R50" i="8"/>
  <c r="S50" i="8" s="1"/>
  <c r="T50" i="8" s="1"/>
  <c r="R73" i="1"/>
  <c r="S73" i="1" s="1"/>
  <c r="T73" i="1" s="1"/>
  <c r="R72" i="1"/>
  <c r="S72" i="1" s="1"/>
  <c r="T72" i="1" s="1"/>
  <c r="R38" i="6"/>
  <c r="S38" i="6" s="1"/>
  <c r="T38" i="6" s="1"/>
  <c r="A45" i="8" l="1"/>
  <c r="B45" i="8" s="1"/>
  <c r="A46" i="8"/>
  <c r="B46" i="8" s="1"/>
  <c r="A47" i="8"/>
  <c r="B47" i="8" s="1"/>
  <c r="G45" i="8"/>
  <c r="G46" i="8"/>
  <c r="G47" i="8"/>
  <c r="H45" i="8"/>
  <c r="H46" i="8"/>
  <c r="H47" i="8"/>
  <c r="M45" i="8"/>
  <c r="M46" i="8"/>
  <c r="M47" i="8"/>
  <c r="Q45" i="8"/>
  <c r="Q46" i="8"/>
  <c r="Q47" i="8"/>
  <c r="A43" i="8"/>
  <c r="B43" i="8" s="1"/>
  <c r="A44" i="8"/>
  <c r="B44" i="8" s="1"/>
  <c r="G43" i="8"/>
  <c r="G44" i="8"/>
  <c r="H43" i="8"/>
  <c r="H44" i="8"/>
  <c r="M43" i="8"/>
  <c r="M44" i="8"/>
  <c r="Q43" i="8"/>
  <c r="Q44" i="8"/>
  <c r="B42" i="8"/>
  <c r="G42" i="8"/>
  <c r="H42" i="8"/>
  <c r="M42" i="8"/>
  <c r="Q42" i="8"/>
  <c r="A42" i="7"/>
  <c r="B42" i="7" s="1"/>
  <c r="A43" i="7"/>
  <c r="B43" i="7" s="1"/>
  <c r="A44" i="7"/>
  <c r="B44" i="7" s="1"/>
  <c r="G42" i="7"/>
  <c r="G43" i="7"/>
  <c r="G44" i="7"/>
  <c r="H42" i="7"/>
  <c r="H43" i="7"/>
  <c r="H44" i="7"/>
  <c r="M42" i="7"/>
  <c r="M43" i="7"/>
  <c r="M44" i="7"/>
  <c r="Q42" i="7"/>
  <c r="Q43" i="7"/>
  <c r="Q44" i="7"/>
  <c r="A39" i="7"/>
  <c r="B39" i="7" s="1"/>
  <c r="A40" i="7"/>
  <c r="B40" i="7" s="1"/>
  <c r="A41" i="7"/>
  <c r="B41" i="7" s="1"/>
  <c r="G39" i="7"/>
  <c r="G40" i="7"/>
  <c r="G41" i="7"/>
  <c r="H39" i="7"/>
  <c r="H40" i="7"/>
  <c r="H41" i="7"/>
  <c r="M39" i="7"/>
  <c r="M40" i="7"/>
  <c r="M41" i="7"/>
  <c r="Q39" i="7"/>
  <c r="Q40" i="7"/>
  <c r="Q41" i="7"/>
  <c r="A36" i="7"/>
  <c r="A37" i="7"/>
  <c r="B37" i="7" s="1"/>
  <c r="A38" i="7"/>
  <c r="B38" i="7" s="1"/>
  <c r="B36" i="7"/>
  <c r="G36" i="7"/>
  <c r="G37" i="7"/>
  <c r="G38" i="7"/>
  <c r="H36" i="7"/>
  <c r="H37" i="7"/>
  <c r="H38" i="7"/>
  <c r="M36" i="7"/>
  <c r="M37" i="7"/>
  <c r="M38" i="7"/>
  <c r="Q36" i="7"/>
  <c r="Q37" i="7"/>
  <c r="Q38" i="7"/>
  <c r="A33" i="7"/>
  <c r="B33" i="7" s="1"/>
  <c r="A34" i="7"/>
  <c r="B34" i="7" s="1"/>
  <c r="A35" i="7"/>
  <c r="B35" i="7" s="1"/>
  <c r="G33" i="7"/>
  <c r="G34" i="7"/>
  <c r="G35" i="7"/>
  <c r="H33" i="7"/>
  <c r="H34" i="7"/>
  <c r="H35" i="7"/>
  <c r="M33" i="7"/>
  <c r="M34" i="7"/>
  <c r="M35" i="7"/>
  <c r="Q33" i="7"/>
  <c r="Q34" i="7"/>
  <c r="Q35" i="7"/>
  <c r="A30" i="7"/>
  <c r="B30" i="7" s="1"/>
  <c r="A31" i="7"/>
  <c r="B31" i="7" s="1"/>
  <c r="A32" i="7"/>
  <c r="B32" i="7" s="1"/>
  <c r="G30" i="7"/>
  <c r="G31" i="7"/>
  <c r="G32" i="7"/>
  <c r="H30" i="7"/>
  <c r="H31" i="7"/>
  <c r="H32" i="7"/>
  <c r="M30" i="7"/>
  <c r="M31" i="7"/>
  <c r="M32" i="7"/>
  <c r="Q30" i="7"/>
  <c r="Q31" i="7"/>
  <c r="Q32" i="7"/>
  <c r="A28" i="7"/>
  <c r="B28" i="7" s="1"/>
  <c r="A29" i="7"/>
  <c r="B29" i="7" s="1"/>
  <c r="G28" i="7"/>
  <c r="G29" i="7"/>
  <c r="H28" i="7"/>
  <c r="H29" i="7"/>
  <c r="M28" i="7"/>
  <c r="M29" i="7"/>
  <c r="Q28" i="7"/>
  <c r="Q29" i="7"/>
  <c r="B27" i="7"/>
  <c r="G27" i="7"/>
  <c r="H27" i="7"/>
  <c r="M27" i="7"/>
  <c r="Q27" i="7"/>
  <c r="A57" i="5"/>
  <c r="B57" i="5" s="1"/>
  <c r="A58" i="5"/>
  <c r="B58" i="5" s="1"/>
  <c r="A59" i="5"/>
  <c r="B59" i="5"/>
  <c r="G57" i="5"/>
  <c r="G58" i="5"/>
  <c r="G59" i="5"/>
  <c r="H57" i="5"/>
  <c r="H58" i="5"/>
  <c r="H59" i="5"/>
  <c r="M57" i="5"/>
  <c r="M58" i="5"/>
  <c r="M59" i="5"/>
  <c r="Q57" i="5"/>
  <c r="Q58" i="5"/>
  <c r="Q59" i="5"/>
  <c r="A54" i="5"/>
  <c r="B54" i="5" s="1"/>
  <c r="A55" i="5"/>
  <c r="B55" i="5" s="1"/>
  <c r="A56" i="5"/>
  <c r="B56" i="5"/>
  <c r="G54" i="5"/>
  <c r="G55" i="5"/>
  <c r="G56" i="5"/>
  <c r="H54" i="5"/>
  <c r="H55" i="5"/>
  <c r="H56" i="5"/>
  <c r="M54" i="5"/>
  <c r="M55" i="5"/>
  <c r="M56" i="5"/>
  <c r="Q54" i="5"/>
  <c r="Q55" i="5"/>
  <c r="Q56" i="5"/>
  <c r="A51" i="5"/>
  <c r="A52" i="5"/>
  <c r="B52" i="5" s="1"/>
  <c r="A53" i="5"/>
  <c r="B53" i="5" s="1"/>
  <c r="B51" i="5"/>
  <c r="G51" i="5"/>
  <c r="G52" i="5"/>
  <c r="G53" i="5"/>
  <c r="H51" i="5"/>
  <c r="H52" i="5"/>
  <c r="H53" i="5"/>
  <c r="M51" i="5"/>
  <c r="M52" i="5"/>
  <c r="M53" i="5"/>
  <c r="Q51" i="5"/>
  <c r="Q52" i="5"/>
  <c r="Q53" i="5"/>
  <c r="A48" i="5"/>
  <c r="B48" i="5" s="1"/>
  <c r="A49" i="5"/>
  <c r="B49" i="5" s="1"/>
  <c r="A50" i="5"/>
  <c r="B50" i="5" s="1"/>
  <c r="G48" i="5"/>
  <c r="G49" i="5"/>
  <c r="G50" i="5"/>
  <c r="H48" i="5"/>
  <c r="H49" i="5"/>
  <c r="H50" i="5"/>
  <c r="M48" i="5"/>
  <c r="M49" i="5"/>
  <c r="M50" i="5"/>
  <c r="Q48" i="5"/>
  <c r="Q49" i="5"/>
  <c r="Q50" i="5"/>
  <c r="A45" i="5"/>
  <c r="B45" i="5" s="1"/>
  <c r="A46" i="5"/>
  <c r="B46" i="5" s="1"/>
  <c r="A47" i="5"/>
  <c r="B47" i="5" s="1"/>
  <c r="G45" i="5"/>
  <c r="G46" i="5"/>
  <c r="G47" i="5"/>
  <c r="H45" i="5"/>
  <c r="H46" i="5"/>
  <c r="H47" i="5"/>
  <c r="M45" i="5"/>
  <c r="M46" i="5"/>
  <c r="M47" i="5"/>
  <c r="Q45" i="5"/>
  <c r="Q46" i="5"/>
  <c r="Q47" i="5"/>
  <c r="A42" i="5"/>
  <c r="B42" i="5" s="1"/>
  <c r="A43" i="5"/>
  <c r="B43" i="5" s="1"/>
  <c r="A44" i="5"/>
  <c r="B44" i="5" s="1"/>
  <c r="G42" i="5"/>
  <c r="G43" i="5"/>
  <c r="G44" i="5"/>
  <c r="H42" i="5"/>
  <c r="H43" i="5"/>
  <c r="H44" i="5"/>
  <c r="M42" i="5"/>
  <c r="M43" i="5"/>
  <c r="M44" i="5"/>
  <c r="Q42" i="5"/>
  <c r="Q43" i="5"/>
  <c r="Q44" i="5"/>
  <c r="A40" i="5"/>
  <c r="B40" i="5" s="1"/>
  <c r="A41" i="5"/>
  <c r="B41" i="5" s="1"/>
  <c r="G40" i="5"/>
  <c r="G41" i="5"/>
  <c r="H40" i="5"/>
  <c r="H41" i="5"/>
  <c r="M40" i="5"/>
  <c r="M41" i="5"/>
  <c r="Q40" i="5"/>
  <c r="Q41" i="5"/>
  <c r="B39" i="5"/>
  <c r="G39" i="5"/>
  <c r="H39" i="5"/>
  <c r="M39" i="5"/>
  <c r="Q39" i="5"/>
  <c r="A61" i="1"/>
  <c r="B61" i="1" s="1"/>
  <c r="A62" i="1"/>
  <c r="B62" i="1" s="1"/>
  <c r="A63" i="1"/>
  <c r="B63" i="1" s="1"/>
  <c r="G61" i="1"/>
  <c r="G62" i="1"/>
  <c r="G63" i="1"/>
  <c r="H61" i="1"/>
  <c r="H62" i="1"/>
  <c r="H63" i="1"/>
  <c r="M61" i="1"/>
  <c r="M62" i="1"/>
  <c r="M63" i="1"/>
  <c r="Q61" i="1"/>
  <c r="Q62" i="1"/>
  <c r="Q63" i="1"/>
  <c r="A58" i="1"/>
  <c r="B58" i="1" s="1"/>
  <c r="A59" i="1"/>
  <c r="B59" i="1" s="1"/>
  <c r="A60" i="1"/>
  <c r="B60" i="1" s="1"/>
  <c r="G58" i="1"/>
  <c r="G59" i="1"/>
  <c r="G60" i="1"/>
  <c r="H58" i="1"/>
  <c r="H59" i="1"/>
  <c r="H60" i="1"/>
  <c r="M58" i="1"/>
  <c r="M59" i="1"/>
  <c r="M60" i="1"/>
  <c r="Q58" i="1"/>
  <c r="Q59" i="1"/>
  <c r="Q60" i="1"/>
  <c r="A55" i="1"/>
  <c r="B55" i="1" s="1"/>
  <c r="A56" i="1"/>
  <c r="B56" i="1" s="1"/>
  <c r="A57" i="1"/>
  <c r="B57" i="1" s="1"/>
  <c r="G55" i="1"/>
  <c r="G56" i="1"/>
  <c r="G57" i="1"/>
  <c r="H55" i="1"/>
  <c r="H56" i="1"/>
  <c r="H57" i="1"/>
  <c r="M55" i="1"/>
  <c r="M56" i="1"/>
  <c r="M57" i="1"/>
  <c r="Q55" i="1"/>
  <c r="Q56" i="1"/>
  <c r="Q57" i="1"/>
  <c r="A53" i="1"/>
  <c r="B53" i="1" s="1"/>
  <c r="A54" i="1"/>
  <c r="B54" i="1" s="1"/>
  <c r="G53" i="1"/>
  <c r="G54" i="1"/>
  <c r="H53" i="1"/>
  <c r="H54" i="1"/>
  <c r="M53" i="1"/>
  <c r="M54" i="1"/>
  <c r="Q53" i="1"/>
  <c r="Q54" i="1"/>
  <c r="B52" i="1"/>
  <c r="G52" i="1"/>
  <c r="H52" i="1"/>
  <c r="M52" i="1"/>
  <c r="Q52" i="1"/>
  <c r="Q33" i="6"/>
  <c r="Q32" i="6"/>
  <c r="Q28" i="6"/>
  <c r="A31" i="6"/>
  <c r="B31" i="6" s="1"/>
  <c r="A29" i="6"/>
  <c r="B29" i="6" s="1"/>
  <c r="A32" i="6"/>
  <c r="B32" i="6" s="1"/>
  <c r="A30" i="6"/>
  <c r="B30" i="6" s="1"/>
  <c r="A33" i="6"/>
  <c r="B33" i="6" s="1"/>
  <c r="G31" i="6"/>
  <c r="G29" i="6"/>
  <c r="G32" i="6"/>
  <c r="G30" i="6"/>
  <c r="G33" i="6"/>
  <c r="H31" i="6"/>
  <c r="H29" i="6"/>
  <c r="H32" i="6"/>
  <c r="H30" i="6"/>
  <c r="H33" i="6"/>
  <c r="M31" i="6"/>
  <c r="M29" i="6"/>
  <c r="M32" i="6"/>
  <c r="M30" i="6"/>
  <c r="M33" i="6"/>
  <c r="Q31" i="6"/>
  <c r="Q29" i="6"/>
  <c r="Q30" i="6"/>
  <c r="G28" i="6"/>
  <c r="B28" i="6"/>
  <c r="M28" i="6"/>
  <c r="A37" i="8"/>
  <c r="B37" i="8" s="1"/>
  <c r="A38" i="8"/>
  <c r="B38" i="8" s="1"/>
  <c r="A39" i="8"/>
  <c r="B39" i="8" s="1"/>
  <c r="A40" i="8"/>
  <c r="A41" i="8"/>
  <c r="B41" i="8" s="1"/>
  <c r="B40" i="8"/>
  <c r="G37" i="8"/>
  <c r="G38" i="8"/>
  <c r="G39" i="8"/>
  <c r="G40" i="8"/>
  <c r="G41" i="8"/>
  <c r="H37" i="8"/>
  <c r="H38" i="8"/>
  <c r="H39" i="8"/>
  <c r="H40" i="8"/>
  <c r="H41" i="8"/>
  <c r="M37" i="8"/>
  <c r="M38" i="8"/>
  <c r="M39" i="8"/>
  <c r="M40" i="8"/>
  <c r="M41" i="8"/>
  <c r="Q37" i="8"/>
  <c r="Q38" i="8"/>
  <c r="Q39" i="8"/>
  <c r="Q40" i="8"/>
  <c r="Q41" i="8"/>
  <c r="A65" i="1"/>
  <c r="B65" i="1" s="1"/>
  <c r="A66" i="1"/>
  <c r="B66" i="1" s="1"/>
  <c r="A67" i="1"/>
  <c r="B67" i="1" s="1"/>
  <c r="G65" i="1"/>
  <c r="G66" i="1"/>
  <c r="G67" i="1"/>
  <c r="H65" i="1"/>
  <c r="H66" i="1"/>
  <c r="H67" i="1"/>
  <c r="M65" i="1"/>
  <c r="M66" i="1"/>
  <c r="M67" i="1"/>
  <c r="Q65" i="1"/>
  <c r="Q66" i="1"/>
  <c r="Q67" i="1"/>
  <c r="B64" i="1"/>
  <c r="G64" i="1"/>
  <c r="H64" i="1"/>
  <c r="M64" i="1"/>
  <c r="Q64" i="1"/>
  <c r="A35" i="6"/>
  <c r="B35" i="6" s="1"/>
  <c r="G35" i="6"/>
  <c r="H35" i="6"/>
  <c r="M35" i="6"/>
  <c r="Q35" i="6"/>
  <c r="B34" i="6"/>
  <c r="G34" i="6"/>
  <c r="H34" i="6"/>
  <c r="M34" i="6"/>
  <c r="Q34" i="6"/>
  <c r="R47" i="8" l="1"/>
  <c r="S31" i="6"/>
  <c r="T31" i="6" s="1"/>
  <c r="R52" i="1"/>
  <c r="R31" i="6"/>
  <c r="R32" i="6"/>
  <c r="S43" i="8"/>
  <c r="T43" i="8" s="1"/>
  <c r="R33" i="6"/>
  <c r="S33" i="6" s="1"/>
  <c r="T33" i="6" s="1"/>
  <c r="R45" i="8"/>
  <c r="S44" i="8"/>
  <c r="T44" i="8" s="1"/>
  <c r="R42" i="8"/>
  <c r="R43" i="8"/>
  <c r="R46" i="8"/>
  <c r="S45" i="8"/>
  <c r="T45" i="8" s="1"/>
  <c r="R44" i="8"/>
  <c r="S47" i="8"/>
  <c r="T47" i="8" s="1"/>
  <c r="S46" i="8"/>
  <c r="T46" i="8" s="1"/>
  <c r="S42" i="8"/>
  <c r="T42" i="8" s="1"/>
  <c r="R39" i="8"/>
  <c r="S39" i="8" s="1"/>
  <c r="T39" i="8" s="1"/>
  <c r="R38" i="8"/>
  <c r="S38" i="8" s="1"/>
  <c r="T38" i="8" s="1"/>
  <c r="R41" i="8"/>
  <c r="S41" i="8" s="1"/>
  <c r="T41" i="8" s="1"/>
  <c r="R40" i="8"/>
  <c r="S40" i="8" s="1"/>
  <c r="T40" i="8" s="1"/>
  <c r="R39" i="7"/>
  <c r="R38" i="7"/>
  <c r="S38" i="7" s="1"/>
  <c r="T38" i="7" s="1"/>
  <c r="R37" i="7"/>
  <c r="S37" i="7"/>
  <c r="T37" i="7" s="1"/>
  <c r="R43" i="7"/>
  <c r="S43" i="7"/>
  <c r="T43" i="7" s="1"/>
  <c r="S40" i="7"/>
  <c r="T40" i="7" s="1"/>
  <c r="R44" i="7"/>
  <c r="S44" i="7" s="1"/>
  <c r="T44" i="7" s="1"/>
  <c r="R40" i="7"/>
  <c r="R42" i="7"/>
  <c r="R41" i="7"/>
  <c r="S41" i="7" s="1"/>
  <c r="T41" i="7" s="1"/>
  <c r="R30" i="7"/>
  <c r="R31" i="7"/>
  <c r="R33" i="7"/>
  <c r="S42" i="7"/>
  <c r="T42" i="7" s="1"/>
  <c r="S36" i="7"/>
  <c r="T36" i="7" s="1"/>
  <c r="S39" i="7"/>
  <c r="T39" i="7" s="1"/>
  <c r="R36" i="7"/>
  <c r="S31" i="7"/>
  <c r="T31" i="7" s="1"/>
  <c r="R34" i="7"/>
  <c r="S28" i="7"/>
  <c r="T28" i="7" s="1"/>
  <c r="R29" i="7"/>
  <c r="S29" i="7" s="1"/>
  <c r="T29" i="7" s="1"/>
  <c r="R32" i="7"/>
  <c r="S32" i="7" s="1"/>
  <c r="T32" i="7" s="1"/>
  <c r="R35" i="7"/>
  <c r="S35" i="7" s="1"/>
  <c r="T35" i="7" s="1"/>
  <c r="S30" i="7"/>
  <c r="T30" i="7" s="1"/>
  <c r="S34" i="7"/>
  <c r="T34" i="7" s="1"/>
  <c r="S33" i="7"/>
  <c r="T33" i="7" s="1"/>
  <c r="R28" i="7"/>
  <c r="R27" i="7"/>
  <c r="S27" i="7"/>
  <c r="T27" i="7" s="1"/>
  <c r="R41" i="5"/>
  <c r="S41" i="5" s="1"/>
  <c r="T41" i="5" s="1"/>
  <c r="S54" i="5"/>
  <c r="T54" i="5" s="1"/>
  <c r="R53" i="5"/>
  <c r="R56" i="5"/>
  <c r="S56" i="5" s="1"/>
  <c r="T56" i="5" s="1"/>
  <c r="S51" i="5"/>
  <c r="T51" i="5" s="1"/>
  <c r="R59" i="5"/>
  <c r="S59" i="5" s="1"/>
  <c r="T59" i="5" s="1"/>
  <c r="R58" i="5"/>
  <c r="R54" i="5"/>
  <c r="R55" i="5"/>
  <c r="R46" i="5"/>
  <c r="S53" i="5"/>
  <c r="T53" i="5" s="1"/>
  <c r="R40" i="5"/>
  <c r="S57" i="5"/>
  <c r="T57" i="5" s="1"/>
  <c r="R44" i="5"/>
  <c r="S44" i="5" s="1"/>
  <c r="T44" i="5" s="1"/>
  <c r="R43" i="5"/>
  <c r="S42" i="5"/>
  <c r="T42" i="5" s="1"/>
  <c r="S58" i="5"/>
  <c r="T58" i="5" s="1"/>
  <c r="S46" i="5"/>
  <c r="T46" i="5" s="1"/>
  <c r="R51" i="5"/>
  <c r="R50" i="5"/>
  <c r="S50" i="5" s="1"/>
  <c r="T50" i="5" s="1"/>
  <c r="R57" i="5"/>
  <c r="S55" i="5"/>
  <c r="T55" i="5" s="1"/>
  <c r="R48" i="5"/>
  <c r="R52" i="5"/>
  <c r="S52" i="5"/>
  <c r="T52" i="5" s="1"/>
  <c r="R47" i="5"/>
  <c r="S47" i="5" s="1"/>
  <c r="T47" i="5" s="1"/>
  <c r="S49" i="5"/>
  <c r="T49" i="5" s="1"/>
  <c r="S48" i="5"/>
  <c r="T48" i="5" s="1"/>
  <c r="R45" i="5"/>
  <c r="R49" i="5"/>
  <c r="R42" i="5"/>
  <c r="S45" i="5"/>
  <c r="T45" i="5" s="1"/>
  <c r="S43" i="5"/>
  <c r="T43" i="5" s="1"/>
  <c r="S40" i="5"/>
  <c r="T40" i="5" s="1"/>
  <c r="S39" i="5"/>
  <c r="T39" i="5" s="1"/>
  <c r="R39" i="5"/>
  <c r="R60" i="1"/>
  <c r="S60" i="1" s="1"/>
  <c r="T60" i="1" s="1"/>
  <c r="R56" i="1"/>
  <c r="R59" i="1"/>
  <c r="R54" i="1"/>
  <c r="S54" i="1" s="1"/>
  <c r="T54" i="1" s="1"/>
  <c r="R63" i="1"/>
  <c r="S63" i="1" s="1"/>
  <c r="T63" i="1" s="1"/>
  <c r="R58" i="1"/>
  <c r="S59" i="1"/>
  <c r="T59" i="1" s="1"/>
  <c r="S61" i="1"/>
  <c r="T61" i="1" s="1"/>
  <c r="R62" i="1"/>
  <c r="R55" i="1"/>
  <c r="S56" i="1"/>
  <c r="T56" i="1" s="1"/>
  <c r="R61" i="1"/>
  <c r="S62" i="1"/>
  <c r="T62" i="1" s="1"/>
  <c r="R57" i="1"/>
  <c r="S58" i="1"/>
  <c r="T58" i="1" s="1"/>
  <c r="S55" i="1"/>
  <c r="T55" i="1" s="1"/>
  <c r="R53" i="1"/>
  <c r="S57" i="1"/>
  <c r="T57" i="1" s="1"/>
  <c r="S53" i="1"/>
  <c r="T53" i="1" s="1"/>
  <c r="S52" i="1"/>
  <c r="T52" i="1" s="1"/>
  <c r="R30" i="6"/>
  <c r="S30" i="6" s="1"/>
  <c r="T30" i="6" s="1"/>
  <c r="S32" i="6"/>
  <c r="T32" i="6" s="1"/>
  <c r="S29" i="6"/>
  <c r="T29" i="6" s="1"/>
  <c r="S28" i="6"/>
  <c r="R29" i="6"/>
  <c r="R28" i="6"/>
  <c r="H28" i="6"/>
  <c r="R65" i="1"/>
  <c r="S65" i="1" s="1"/>
  <c r="T65" i="1" s="1"/>
  <c r="R37" i="8"/>
  <c r="S37" i="8" s="1"/>
  <c r="T37" i="8" s="1"/>
  <c r="R64" i="1"/>
  <c r="S64" i="1" s="1"/>
  <c r="T64" i="1" s="1"/>
  <c r="R67" i="1"/>
  <c r="S67" i="1" s="1"/>
  <c r="T67" i="1" s="1"/>
  <c r="R66" i="1"/>
  <c r="S66" i="1" s="1"/>
  <c r="T66" i="1" s="1"/>
  <c r="R34" i="6"/>
  <c r="S34" i="6" s="1"/>
  <c r="T34" i="6" s="1"/>
  <c r="R35" i="6"/>
  <c r="S35" i="6" s="1"/>
  <c r="T35" i="6" s="1"/>
  <c r="T28" i="6" l="1"/>
  <c r="A5" i="8"/>
  <c r="B5" i="8" s="1"/>
  <c r="G5" i="8"/>
  <c r="H5" i="8"/>
  <c r="M5" i="8"/>
  <c r="Q5" i="8"/>
  <c r="C8" i="7"/>
  <c r="A8" i="7"/>
  <c r="B8" i="7" s="1"/>
  <c r="G8" i="7"/>
  <c r="H8" i="7"/>
  <c r="M8" i="7"/>
  <c r="Q8" i="7"/>
  <c r="A15" i="5"/>
  <c r="B15" i="5"/>
  <c r="C15" i="5"/>
  <c r="D15" i="5"/>
  <c r="G15" i="5"/>
  <c r="H15" i="5"/>
  <c r="M15" i="5"/>
  <c r="Q15" i="5"/>
  <c r="H11" i="6"/>
  <c r="G11" i="6"/>
  <c r="A11" i="6"/>
  <c r="B11" i="6" s="1"/>
  <c r="M11" i="6"/>
  <c r="Q11" i="6"/>
  <c r="C19" i="9"/>
  <c r="D19" i="9"/>
  <c r="E19" i="9"/>
  <c r="F19" i="9"/>
  <c r="G19" i="9" s="1"/>
  <c r="I19" i="9"/>
  <c r="J19" i="9"/>
  <c r="K19" i="9"/>
  <c r="L19" i="9"/>
  <c r="N19" i="9"/>
  <c r="O19" i="9"/>
  <c r="P19" i="9"/>
  <c r="C20" i="9"/>
  <c r="D20" i="9"/>
  <c r="E20" i="9"/>
  <c r="F20" i="9"/>
  <c r="G20" i="9" s="1"/>
  <c r="I20" i="9"/>
  <c r="J20" i="9"/>
  <c r="K20" i="9"/>
  <c r="L20" i="9"/>
  <c r="N20" i="9"/>
  <c r="O20" i="9"/>
  <c r="P20" i="9"/>
  <c r="C21" i="9"/>
  <c r="D21" i="9"/>
  <c r="E21" i="9"/>
  <c r="F21" i="9"/>
  <c r="G21" i="9" s="1"/>
  <c r="I21" i="9"/>
  <c r="J21" i="9"/>
  <c r="K21" i="9"/>
  <c r="L21" i="9"/>
  <c r="N21" i="9"/>
  <c r="O21" i="9"/>
  <c r="P21" i="9"/>
  <c r="C22" i="9"/>
  <c r="D22" i="9"/>
  <c r="E22" i="9"/>
  <c r="F22" i="9"/>
  <c r="G22" i="9" s="1"/>
  <c r="I22" i="9"/>
  <c r="J22" i="9"/>
  <c r="K22" i="9"/>
  <c r="L22" i="9"/>
  <c r="N22" i="9"/>
  <c r="O22" i="9"/>
  <c r="P22" i="9"/>
  <c r="C23" i="9"/>
  <c r="D23" i="9"/>
  <c r="E23" i="9"/>
  <c r="F23" i="9"/>
  <c r="G23" i="9" s="1"/>
  <c r="J23" i="9"/>
  <c r="K23" i="9"/>
  <c r="N23" i="9"/>
  <c r="O23" i="9"/>
  <c r="P23" i="9"/>
  <c r="C24" i="9"/>
  <c r="D24" i="9"/>
  <c r="E24" i="9"/>
  <c r="F24" i="9"/>
  <c r="H24" i="9" s="1"/>
  <c r="I24" i="9"/>
  <c r="J24" i="9"/>
  <c r="K24" i="9"/>
  <c r="L24" i="9"/>
  <c r="N24" i="9"/>
  <c r="O24" i="9"/>
  <c r="P24" i="9"/>
  <c r="C25" i="9"/>
  <c r="D25" i="9"/>
  <c r="E25" i="9"/>
  <c r="F25" i="9"/>
  <c r="G25" i="9" s="1"/>
  <c r="I25" i="9"/>
  <c r="J25" i="9"/>
  <c r="K25" i="9"/>
  <c r="L25" i="9"/>
  <c r="N25" i="9"/>
  <c r="O25" i="9"/>
  <c r="P25" i="9"/>
  <c r="C26" i="9"/>
  <c r="D26" i="9"/>
  <c r="E26" i="9"/>
  <c r="F26" i="9"/>
  <c r="G26" i="9" s="1"/>
  <c r="J26" i="9"/>
  <c r="K26" i="9"/>
  <c r="N26" i="9"/>
  <c r="O26" i="9"/>
  <c r="P26" i="9"/>
  <c r="C27" i="9"/>
  <c r="D27" i="9"/>
  <c r="E27" i="9"/>
  <c r="F27" i="9"/>
  <c r="H27" i="9" s="1"/>
  <c r="I27" i="9"/>
  <c r="J27" i="9"/>
  <c r="K27" i="9"/>
  <c r="L27" i="9"/>
  <c r="N27" i="9"/>
  <c r="O27" i="9"/>
  <c r="P27" i="9"/>
  <c r="C28" i="9"/>
  <c r="D28" i="9"/>
  <c r="E28" i="9"/>
  <c r="F28" i="9"/>
  <c r="H28" i="9" s="1"/>
  <c r="I28" i="9"/>
  <c r="J28" i="9"/>
  <c r="K28" i="9"/>
  <c r="L28" i="9"/>
  <c r="N28" i="9"/>
  <c r="O28" i="9"/>
  <c r="P28" i="9"/>
  <c r="A19" i="9"/>
  <c r="B19" i="9" s="1"/>
  <c r="A20" i="9"/>
  <c r="B20" i="9" s="1"/>
  <c r="A21" i="9"/>
  <c r="A22" i="9"/>
  <c r="A23" i="9"/>
  <c r="B23" i="9" s="1"/>
  <c r="A24" i="9"/>
  <c r="B24" i="9" s="1"/>
  <c r="A25" i="9"/>
  <c r="A26" i="9"/>
  <c r="B26" i="9" s="1"/>
  <c r="A27" i="9"/>
  <c r="B27" i="9" s="1"/>
  <c r="A28" i="9"/>
  <c r="B28" i="9" s="1"/>
  <c r="B21" i="9"/>
  <c r="B22" i="9"/>
  <c r="B25" i="9"/>
  <c r="C15" i="8"/>
  <c r="D15" i="8"/>
  <c r="E15" i="8"/>
  <c r="F15" i="8"/>
  <c r="H15" i="8" s="1"/>
  <c r="I15" i="8"/>
  <c r="J15" i="8"/>
  <c r="K15" i="8"/>
  <c r="L15" i="8"/>
  <c r="N15" i="8"/>
  <c r="O15" i="8"/>
  <c r="P15" i="8"/>
  <c r="C25" i="8"/>
  <c r="D25" i="8"/>
  <c r="E25" i="8"/>
  <c r="F25" i="8"/>
  <c r="H25" i="8" s="1"/>
  <c r="I25" i="8"/>
  <c r="J25" i="8"/>
  <c r="K25" i="8"/>
  <c r="L25" i="8"/>
  <c r="N25" i="8"/>
  <c r="O25" i="8"/>
  <c r="P25" i="8"/>
  <c r="C26" i="8"/>
  <c r="D26" i="8"/>
  <c r="E26" i="8"/>
  <c r="F26" i="8"/>
  <c r="G26" i="8" s="1"/>
  <c r="I26" i="8"/>
  <c r="J26" i="8"/>
  <c r="K26" i="8"/>
  <c r="L26" i="8"/>
  <c r="N26" i="8"/>
  <c r="O26" i="8"/>
  <c r="P26" i="8"/>
  <c r="C29" i="8"/>
  <c r="D29" i="8"/>
  <c r="E29" i="8"/>
  <c r="F29" i="8"/>
  <c r="G29" i="8" s="1"/>
  <c r="I29" i="8"/>
  <c r="J29" i="8"/>
  <c r="K29" i="8"/>
  <c r="L29" i="8"/>
  <c r="N29" i="8"/>
  <c r="O29" i="8"/>
  <c r="P29" i="8"/>
  <c r="C30" i="8"/>
  <c r="D30" i="8"/>
  <c r="E30" i="8"/>
  <c r="F30" i="8"/>
  <c r="G30" i="8" s="1"/>
  <c r="I30" i="8"/>
  <c r="J30" i="8"/>
  <c r="K30" i="8"/>
  <c r="L30" i="8"/>
  <c r="N30" i="8"/>
  <c r="O30" i="8"/>
  <c r="P30" i="8"/>
  <c r="A15" i="8"/>
  <c r="B15" i="8" s="1"/>
  <c r="A25" i="8"/>
  <c r="B25" i="8" s="1"/>
  <c r="A26" i="8"/>
  <c r="A29" i="8"/>
  <c r="B29" i="8" s="1"/>
  <c r="A30" i="8"/>
  <c r="B30" i="8" s="1"/>
  <c r="B26" i="8"/>
  <c r="C4" i="7"/>
  <c r="D4" i="7"/>
  <c r="E4" i="7"/>
  <c r="F4" i="7"/>
  <c r="H4" i="7" s="1"/>
  <c r="I4" i="7"/>
  <c r="J4" i="7"/>
  <c r="K4" i="7"/>
  <c r="L4" i="7"/>
  <c r="C5" i="7"/>
  <c r="D5" i="7"/>
  <c r="E5" i="7"/>
  <c r="F5" i="7"/>
  <c r="H5" i="7" s="1"/>
  <c r="I5" i="7"/>
  <c r="J5" i="7"/>
  <c r="K5" i="7"/>
  <c r="L5" i="7"/>
  <c r="C6" i="7"/>
  <c r="D6" i="7"/>
  <c r="E6" i="7"/>
  <c r="F6" i="7"/>
  <c r="G6" i="7" s="1"/>
  <c r="I6" i="7"/>
  <c r="J6" i="7"/>
  <c r="L6" i="7"/>
  <c r="C7" i="7"/>
  <c r="D7" i="7"/>
  <c r="E7" i="7"/>
  <c r="F7" i="7"/>
  <c r="G7" i="7" s="1"/>
  <c r="I7" i="7"/>
  <c r="J7" i="7"/>
  <c r="L7" i="7"/>
  <c r="C10" i="7"/>
  <c r="D10" i="7"/>
  <c r="E10" i="7"/>
  <c r="F10" i="7"/>
  <c r="H10" i="7" s="1"/>
  <c r="I10" i="7"/>
  <c r="J10" i="7"/>
  <c r="K10" i="7"/>
  <c r="L10" i="7"/>
  <c r="N10" i="7"/>
  <c r="O10" i="7"/>
  <c r="P10" i="7"/>
  <c r="C11" i="7"/>
  <c r="D11" i="7"/>
  <c r="E11" i="7"/>
  <c r="F11" i="7"/>
  <c r="H11" i="7" s="1"/>
  <c r="I11" i="7"/>
  <c r="J11" i="7"/>
  <c r="K11" i="7"/>
  <c r="L11" i="7"/>
  <c r="N11" i="7"/>
  <c r="O11" i="7"/>
  <c r="P11" i="7"/>
  <c r="C12" i="7"/>
  <c r="D12" i="7"/>
  <c r="E12" i="7"/>
  <c r="F12" i="7"/>
  <c r="G12" i="7" s="1"/>
  <c r="I12" i="7"/>
  <c r="J12" i="7"/>
  <c r="K12" i="7"/>
  <c r="L12" i="7"/>
  <c r="N12" i="7"/>
  <c r="O12" i="7"/>
  <c r="P12" i="7"/>
  <c r="C14" i="7"/>
  <c r="D14" i="7"/>
  <c r="E14" i="7"/>
  <c r="F14" i="7"/>
  <c r="G14" i="7" s="1"/>
  <c r="I14" i="7"/>
  <c r="J14" i="7"/>
  <c r="K14" i="7"/>
  <c r="L14" i="7"/>
  <c r="N14" i="7"/>
  <c r="O14" i="7"/>
  <c r="P14" i="7"/>
  <c r="C15" i="7"/>
  <c r="D15" i="7"/>
  <c r="E15" i="7"/>
  <c r="F15" i="7"/>
  <c r="H15" i="7" s="1"/>
  <c r="I15" i="7"/>
  <c r="J15" i="7"/>
  <c r="K15" i="7"/>
  <c r="L15" i="7"/>
  <c r="N15" i="7"/>
  <c r="O15" i="7"/>
  <c r="P15" i="7"/>
  <c r="C16" i="7"/>
  <c r="D16" i="7"/>
  <c r="E16" i="7"/>
  <c r="F16" i="7"/>
  <c r="H16" i="7" s="1"/>
  <c r="I16" i="7"/>
  <c r="J16" i="7"/>
  <c r="K16" i="7"/>
  <c r="L16" i="7"/>
  <c r="N16" i="7"/>
  <c r="O16" i="7"/>
  <c r="P16" i="7"/>
  <c r="C17" i="7"/>
  <c r="D17" i="7"/>
  <c r="E17" i="7"/>
  <c r="F17" i="7"/>
  <c r="G17" i="7" s="1"/>
  <c r="I17" i="7"/>
  <c r="J17" i="7"/>
  <c r="K17" i="7"/>
  <c r="L17" i="7"/>
  <c r="N17" i="7"/>
  <c r="O17" i="7"/>
  <c r="P17" i="7"/>
  <c r="C18" i="7"/>
  <c r="D18" i="7"/>
  <c r="E18" i="7"/>
  <c r="F18" i="7"/>
  <c r="G18" i="7" s="1"/>
  <c r="I18" i="7"/>
  <c r="J18" i="7"/>
  <c r="K18" i="7"/>
  <c r="L18" i="7"/>
  <c r="N18" i="7"/>
  <c r="O18" i="7"/>
  <c r="P18" i="7"/>
  <c r="C19" i="7"/>
  <c r="D19" i="7"/>
  <c r="E19" i="7"/>
  <c r="F19" i="7"/>
  <c r="H19" i="7" s="1"/>
  <c r="I19" i="7"/>
  <c r="J19" i="7"/>
  <c r="K19" i="7"/>
  <c r="L19" i="7"/>
  <c r="N19" i="7"/>
  <c r="O19" i="7"/>
  <c r="P19" i="7"/>
  <c r="C20" i="7"/>
  <c r="D20" i="7"/>
  <c r="E20" i="7"/>
  <c r="F20" i="7"/>
  <c r="H20" i="7" s="1"/>
  <c r="I20" i="7"/>
  <c r="J20" i="7"/>
  <c r="L20" i="7"/>
  <c r="N20" i="7"/>
  <c r="O20" i="7"/>
  <c r="P20" i="7"/>
  <c r="C21" i="7"/>
  <c r="D21" i="7"/>
  <c r="E21" i="7"/>
  <c r="F21" i="7"/>
  <c r="G21" i="7" s="1"/>
  <c r="I21" i="7"/>
  <c r="J21" i="7"/>
  <c r="K21" i="7"/>
  <c r="L21" i="7"/>
  <c r="N21" i="7"/>
  <c r="O21" i="7"/>
  <c r="P21" i="7"/>
  <c r="C22" i="7"/>
  <c r="D22" i="7"/>
  <c r="E22" i="7"/>
  <c r="F22" i="7"/>
  <c r="G22" i="7" s="1"/>
  <c r="I22" i="7"/>
  <c r="J22" i="7"/>
  <c r="K22" i="7"/>
  <c r="L22" i="7"/>
  <c r="N22" i="7"/>
  <c r="O22" i="7"/>
  <c r="P22" i="7"/>
  <c r="C23" i="7"/>
  <c r="D23" i="7"/>
  <c r="E23" i="7"/>
  <c r="H23" i="7"/>
  <c r="I23" i="7"/>
  <c r="J23" i="7"/>
  <c r="L23" i="7"/>
  <c r="N23" i="7"/>
  <c r="O23" i="7"/>
  <c r="P23" i="7"/>
  <c r="C24" i="7"/>
  <c r="D24" i="7"/>
  <c r="E24" i="7"/>
  <c r="H24" i="7"/>
  <c r="I24" i="7"/>
  <c r="J24" i="7"/>
  <c r="K24" i="7"/>
  <c r="L24" i="7"/>
  <c r="N24" i="7"/>
  <c r="O24" i="7"/>
  <c r="P24" i="7"/>
  <c r="C25" i="7"/>
  <c r="D25" i="7"/>
  <c r="E25" i="7"/>
  <c r="G25" i="7"/>
  <c r="I25" i="7"/>
  <c r="J25" i="7"/>
  <c r="K25" i="7"/>
  <c r="L25" i="7"/>
  <c r="N25" i="7"/>
  <c r="O25" i="7"/>
  <c r="P25" i="7"/>
  <c r="A4" i="7"/>
  <c r="B4" i="7" s="1"/>
  <c r="A5" i="7"/>
  <c r="A6" i="7"/>
  <c r="B6" i="7" s="1"/>
  <c r="A7" i="7"/>
  <c r="B7" i="7" s="1"/>
  <c r="A10" i="7"/>
  <c r="A11" i="7"/>
  <c r="A12" i="7"/>
  <c r="B12" i="7" s="1"/>
  <c r="A14" i="7"/>
  <c r="B14" i="7" s="1"/>
  <c r="A15" i="7"/>
  <c r="B15" i="7" s="1"/>
  <c r="A16" i="7"/>
  <c r="B16" i="7" s="1"/>
  <c r="A17" i="7"/>
  <c r="B17" i="7" s="1"/>
  <c r="A18" i="7"/>
  <c r="B18" i="7" s="1"/>
  <c r="A19" i="7"/>
  <c r="B19" i="7" s="1"/>
  <c r="A20" i="7"/>
  <c r="B20" i="7" s="1"/>
  <c r="A21" i="7"/>
  <c r="B21" i="7" s="1"/>
  <c r="A22" i="7"/>
  <c r="B22" i="7" s="1"/>
  <c r="A23" i="7"/>
  <c r="B23" i="7" s="1"/>
  <c r="A24" i="7"/>
  <c r="B24" i="7" s="1"/>
  <c r="A25" i="7"/>
  <c r="B25" i="7" s="1"/>
  <c r="B5" i="7"/>
  <c r="B10" i="7"/>
  <c r="B11" i="7"/>
  <c r="C5" i="5"/>
  <c r="E5" i="5"/>
  <c r="F5" i="5"/>
  <c r="G5" i="5" s="1"/>
  <c r="I5" i="5"/>
  <c r="J5" i="5"/>
  <c r="K5" i="5"/>
  <c r="L5" i="5"/>
  <c r="N5" i="5"/>
  <c r="O5" i="5"/>
  <c r="P5" i="5"/>
  <c r="C6" i="5"/>
  <c r="E6" i="5"/>
  <c r="F6" i="5"/>
  <c r="H6" i="5" s="1"/>
  <c r="I6" i="5"/>
  <c r="J6" i="5"/>
  <c r="K6" i="5"/>
  <c r="L6" i="5"/>
  <c r="N6" i="5"/>
  <c r="O6" i="5"/>
  <c r="P6" i="5"/>
  <c r="C11" i="5"/>
  <c r="E11" i="5"/>
  <c r="F11" i="5"/>
  <c r="H11" i="5" s="1"/>
  <c r="I11" i="5"/>
  <c r="J11" i="5"/>
  <c r="K11" i="5"/>
  <c r="L11" i="5"/>
  <c r="N11" i="5"/>
  <c r="O11" i="5"/>
  <c r="P11" i="5"/>
  <c r="C12" i="5"/>
  <c r="E12" i="5"/>
  <c r="F12" i="5"/>
  <c r="G12" i="5" s="1"/>
  <c r="I12" i="5"/>
  <c r="J12" i="5"/>
  <c r="K12" i="5"/>
  <c r="L12" i="5"/>
  <c r="N12" i="5"/>
  <c r="O12" i="5"/>
  <c r="P12" i="5"/>
  <c r="C16" i="5"/>
  <c r="E16" i="5"/>
  <c r="F16" i="5"/>
  <c r="G16" i="5" s="1"/>
  <c r="I16" i="5"/>
  <c r="J16" i="5"/>
  <c r="L16" i="5"/>
  <c r="N16" i="5"/>
  <c r="O16" i="5"/>
  <c r="P16" i="5"/>
  <c r="C17" i="5"/>
  <c r="E17" i="5"/>
  <c r="F17" i="5"/>
  <c r="G17" i="5" s="1"/>
  <c r="I17" i="5"/>
  <c r="J17" i="5"/>
  <c r="L17" i="5"/>
  <c r="N17" i="5"/>
  <c r="O17" i="5"/>
  <c r="P17" i="5"/>
  <c r="C21" i="5"/>
  <c r="D21" i="5"/>
  <c r="E21" i="5"/>
  <c r="F21" i="5"/>
  <c r="H21" i="5" s="1"/>
  <c r="I21" i="5"/>
  <c r="J21" i="5"/>
  <c r="K21" i="5"/>
  <c r="L21" i="5"/>
  <c r="N21" i="5"/>
  <c r="O21" i="5"/>
  <c r="P21" i="5"/>
  <c r="C22" i="5"/>
  <c r="D22" i="5"/>
  <c r="E22" i="5"/>
  <c r="F22" i="5"/>
  <c r="G22" i="5" s="1"/>
  <c r="I22" i="5"/>
  <c r="J22" i="5"/>
  <c r="K22" i="5"/>
  <c r="L22" i="5"/>
  <c r="N22" i="5"/>
  <c r="O22" i="5"/>
  <c r="P22" i="5"/>
  <c r="C23" i="5"/>
  <c r="D23" i="5"/>
  <c r="E23" i="5"/>
  <c r="F23" i="5"/>
  <c r="G23" i="5" s="1"/>
  <c r="I23" i="5"/>
  <c r="J23" i="5"/>
  <c r="K23" i="5"/>
  <c r="L23" i="5"/>
  <c r="N23" i="5"/>
  <c r="O23" i="5"/>
  <c r="P23" i="5"/>
  <c r="C24" i="5"/>
  <c r="D24" i="5"/>
  <c r="E24" i="5"/>
  <c r="F24" i="5"/>
  <c r="H24" i="5" s="1"/>
  <c r="I24" i="5"/>
  <c r="J24" i="5"/>
  <c r="K24" i="5"/>
  <c r="L24" i="5"/>
  <c r="N24" i="5"/>
  <c r="O24" i="5"/>
  <c r="P24" i="5"/>
  <c r="C25" i="5"/>
  <c r="D25" i="5"/>
  <c r="E25" i="5"/>
  <c r="F25" i="5"/>
  <c r="H25" i="5" s="1"/>
  <c r="I25" i="5"/>
  <c r="J25" i="5"/>
  <c r="K25" i="5"/>
  <c r="L25" i="5"/>
  <c r="N25" i="5"/>
  <c r="O25" i="5"/>
  <c r="P25" i="5"/>
  <c r="C26" i="5"/>
  <c r="D26" i="5"/>
  <c r="E26" i="5"/>
  <c r="F26" i="5"/>
  <c r="G26" i="5" s="1"/>
  <c r="I26" i="5"/>
  <c r="J26" i="5"/>
  <c r="K26" i="5"/>
  <c r="L26" i="5"/>
  <c r="N26" i="5"/>
  <c r="O26" i="5"/>
  <c r="P26" i="5"/>
  <c r="C27" i="5"/>
  <c r="D27" i="5"/>
  <c r="E27" i="5"/>
  <c r="F27" i="5"/>
  <c r="G27" i="5" s="1"/>
  <c r="I27" i="5"/>
  <c r="J27" i="5"/>
  <c r="K27" i="5"/>
  <c r="L27" i="5"/>
  <c r="N27" i="5"/>
  <c r="O27" i="5"/>
  <c r="P27" i="5"/>
  <c r="C28" i="5"/>
  <c r="D28" i="5"/>
  <c r="E28" i="5"/>
  <c r="F28" i="5"/>
  <c r="G28" i="5" s="1"/>
  <c r="I28" i="5"/>
  <c r="J28" i="5"/>
  <c r="L28" i="5"/>
  <c r="N28" i="5"/>
  <c r="O28" i="5"/>
  <c r="P28" i="5"/>
  <c r="C29" i="5"/>
  <c r="D29" i="5"/>
  <c r="E29" i="5"/>
  <c r="F29" i="5"/>
  <c r="H29" i="5" s="1"/>
  <c r="I29" i="5"/>
  <c r="J29" i="5"/>
  <c r="K29" i="5"/>
  <c r="L29" i="5"/>
  <c r="N29" i="5"/>
  <c r="O29" i="5"/>
  <c r="P29" i="5"/>
  <c r="C30" i="5"/>
  <c r="D30" i="5"/>
  <c r="E30" i="5"/>
  <c r="F30" i="5"/>
  <c r="G30" i="5" s="1"/>
  <c r="I30" i="5"/>
  <c r="J30" i="5"/>
  <c r="L30" i="5"/>
  <c r="N30" i="5"/>
  <c r="O30" i="5"/>
  <c r="P30" i="5"/>
  <c r="C32" i="5"/>
  <c r="D32" i="5"/>
  <c r="E32" i="5"/>
  <c r="F32" i="5"/>
  <c r="G32" i="5" s="1"/>
  <c r="I32" i="5"/>
  <c r="J32" i="5"/>
  <c r="L32" i="5"/>
  <c r="N32" i="5"/>
  <c r="O32" i="5"/>
  <c r="P32" i="5"/>
  <c r="C33" i="5"/>
  <c r="D33" i="5"/>
  <c r="E33" i="5"/>
  <c r="F33" i="5"/>
  <c r="H33" i="5" s="1"/>
  <c r="I33" i="5"/>
  <c r="J33" i="5"/>
  <c r="K33" i="5"/>
  <c r="L33" i="5"/>
  <c r="N33" i="5"/>
  <c r="O33" i="5"/>
  <c r="P33" i="5"/>
  <c r="C34" i="5"/>
  <c r="D34" i="5"/>
  <c r="E34" i="5"/>
  <c r="F34" i="5"/>
  <c r="H34" i="5" s="1"/>
  <c r="I34" i="5"/>
  <c r="J34" i="5"/>
  <c r="K34" i="5"/>
  <c r="L34" i="5"/>
  <c r="N34" i="5"/>
  <c r="O34" i="5"/>
  <c r="P34" i="5"/>
  <c r="C36" i="5"/>
  <c r="D36" i="5"/>
  <c r="E36" i="5"/>
  <c r="F36" i="5"/>
  <c r="G36" i="5" s="1"/>
  <c r="I36" i="5"/>
  <c r="J36" i="5"/>
  <c r="L36" i="5"/>
  <c r="N36" i="5"/>
  <c r="O36" i="5"/>
  <c r="P36" i="5"/>
  <c r="C37" i="5"/>
  <c r="D37" i="5"/>
  <c r="E37" i="5"/>
  <c r="F37" i="5"/>
  <c r="G37" i="5" s="1"/>
  <c r="I37" i="5"/>
  <c r="J37" i="5"/>
  <c r="K37" i="5"/>
  <c r="L37" i="5"/>
  <c r="N37" i="5"/>
  <c r="O37" i="5"/>
  <c r="P37" i="5"/>
  <c r="A5" i="5"/>
  <c r="B5" i="5" s="1"/>
  <c r="A6" i="5"/>
  <c r="B6" i="5" s="1"/>
  <c r="A11" i="5"/>
  <c r="B11" i="5" s="1"/>
  <c r="A12" i="5"/>
  <c r="B12" i="5" s="1"/>
  <c r="A16" i="5"/>
  <c r="A17" i="5"/>
  <c r="A21" i="5"/>
  <c r="A22" i="5"/>
  <c r="A23" i="5"/>
  <c r="B23" i="5" s="1"/>
  <c r="A24" i="5"/>
  <c r="B24" i="5" s="1"/>
  <c r="A25" i="5"/>
  <c r="B25" i="5" s="1"/>
  <c r="A26" i="5"/>
  <c r="A27" i="5"/>
  <c r="A28" i="5"/>
  <c r="A29" i="5"/>
  <c r="B29" i="5" s="1"/>
  <c r="A30" i="5"/>
  <c r="A32" i="5"/>
  <c r="B32" i="5" s="1"/>
  <c r="A33" i="5"/>
  <c r="B33" i="5" s="1"/>
  <c r="A34" i="5"/>
  <c r="B34" i="5" s="1"/>
  <c r="A36" i="5"/>
  <c r="A37" i="5"/>
  <c r="B16" i="5"/>
  <c r="B17" i="5"/>
  <c r="B21" i="5"/>
  <c r="B22" i="5"/>
  <c r="B26" i="5"/>
  <c r="B27" i="5"/>
  <c r="B28" i="5"/>
  <c r="B30" i="5"/>
  <c r="B36" i="5"/>
  <c r="B37" i="5"/>
  <c r="C28" i="1"/>
  <c r="D28" i="1"/>
  <c r="E28" i="1"/>
  <c r="F28" i="1"/>
  <c r="G28" i="1" s="1"/>
  <c r="I28" i="1"/>
  <c r="J28" i="1"/>
  <c r="L28" i="1"/>
  <c r="N28" i="1"/>
  <c r="O28" i="1"/>
  <c r="P28" i="1"/>
  <c r="C29" i="1"/>
  <c r="D29" i="1"/>
  <c r="E29" i="1"/>
  <c r="F29" i="1"/>
  <c r="G29" i="1" s="1"/>
  <c r="I29" i="1"/>
  <c r="J29" i="1"/>
  <c r="L29" i="1"/>
  <c r="N29" i="1"/>
  <c r="O29" i="1"/>
  <c r="P29" i="1"/>
  <c r="C30" i="1"/>
  <c r="D30" i="1"/>
  <c r="E30" i="1"/>
  <c r="F30" i="1"/>
  <c r="G30" i="1" s="1"/>
  <c r="I30" i="1"/>
  <c r="J30" i="1"/>
  <c r="L30" i="1"/>
  <c r="N30" i="1"/>
  <c r="O30" i="1"/>
  <c r="P30" i="1"/>
  <c r="C31" i="1"/>
  <c r="D31" i="1"/>
  <c r="E31" i="1"/>
  <c r="F31" i="1"/>
  <c r="G31" i="1" s="1"/>
  <c r="I31" i="1"/>
  <c r="J31" i="1"/>
  <c r="K31" i="1"/>
  <c r="L31" i="1"/>
  <c r="N31" i="1"/>
  <c r="O31" i="1"/>
  <c r="P31" i="1"/>
  <c r="C32" i="1"/>
  <c r="D32" i="1"/>
  <c r="E32" i="1"/>
  <c r="F32" i="1"/>
  <c r="G32" i="1" s="1"/>
  <c r="I32" i="1"/>
  <c r="J32" i="1"/>
  <c r="K32" i="1"/>
  <c r="L32" i="1"/>
  <c r="N32" i="1"/>
  <c r="O32" i="1"/>
  <c r="P32" i="1"/>
  <c r="C33" i="1"/>
  <c r="D33" i="1"/>
  <c r="E33" i="1"/>
  <c r="F33" i="1"/>
  <c r="G33" i="1" s="1"/>
  <c r="I33" i="1"/>
  <c r="J33" i="1"/>
  <c r="K33" i="1"/>
  <c r="L33" i="1"/>
  <c r="N33" i="1"/>
  <c r="O33" i="1"/>
  <c r="P33" i="1"/>
  <c r="C34" i="1"/>
  <c r="D34" i="1"/>
  <c r="E34" i="1"/>
  <c r="F34" i="1"/>
  <c r="H34" i="1" s="1"/>
  <c r="I34" i="1"/>
  <c r="J34" i="1"/>
  <c r="K34" i="1"/>
  <c r="L34" i="1"/>
  <c r="N34" i="1"/>
  <c r="O34" i="1"/>
  <c r="P34" i="1"/>
  <c r="C35" i="1"/>
  <c r="D35" i="1"/>
  <c r="E35" i="1"/>
  <c r="F35" i="1"/>
  <c r="G35" i="1" s="1"/>
  <c r="I35" i="1"/>
  <c r="J35" i="1"/>
  <c r="K35" i="1"/>
  <c r="L35" i="1"/>
  <c r="N35" i="1"/>
  <c r="O35" i="1"/>
  <c r="P35" i="1"/>
  <c r="C36" i="1"/>
  <c r="D36" i="1"/>
  <c r="E36" i="1"/>
  <c r="F36" i="1"/>
  <c r="H36" i="1" s="1"/>
  <c r="I36" i="1"/>
  <c r="J36" i="1"/>
  <c r="K36" i="1"/>
  <c r="L36" i="1"/>
  <c r="N36" i="1"/>
  <c r="O36" i="1"/>
  <c r="P36" i="1"/>
  <c r="C37" i="1"/>
  <c r="D37" i="1"/>
  <c r="E37" i="1"/>
  <c r="F37" i="1"/>
  <c r="G37" i="1" s="1"/>
  <c r="I37" i="1"/>
  <c r="J37" i="1"/>
  <c r="K37" i="1"/>
  <c r="L37" i="1"/>
  <c r="N37" i="1"/>
  <c r="O37" i="1"/>
  <c r="P37" i="1"/>
  <c r="C38" i="1"/>
  <c r="D38" i="1"/>
  <c r="E38" i="1"/>
  <c r="F38" i="1"/>
  <c r="G38" i="1" s="1"/>
  <c r="I38" i="1"/>
  <c r="J38" i="1"/>
  <c r="K38" i="1"/>
  <c r="L38" i="1"/>
  <c r="N38" i="1"/>
  <c r="O38" i="1"/>
  <c r="P38" i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C15" i="6"/>
  <c r="D15" i="6"/>
  <c r="E15" i="6"/>
  <c r="G15" i="6"/>
  <c r="I15" i="6"/>
  <c r="J15" i="6"/>
  <c r="L15" i="6"/>
  <c r="N15" i="6"/>
  <c r="O15" i="6"/>
  <c r="P15" i="6"/>
  <c r="C16" i="6"/>
  <c r="D16" i="6"/>
  <c r="E16" i="6"/>
  <c r="G16" i="6"/>
  <c r="I16" i="6"/>
  <c r="J16" i="6"/>
  <c r="K16" i="6"/>
  <c r="L16" i="6"/>
  <c r="N16" i="6"/>
  <c r="O16" i="6"/>
  <c r="P16" i="6"/>
  <c r="A15" i="6"/>
  <c r="B15" i="6" s="1"/>
  <c r="A16" i="6"/>
  <c r="B16" i="6" s="1"/>
  <c r="M20" i="9" l="1"/>
  <c r="Q22" i="9"/>
  <c r="Q20" i="7"/>
  <c r="Q17" i="7"/>
  <c r="M22" i="9"/>
  <c r="Q6" i="7"/>
  <c r="M21" i="9"/>
  <c r="Q20" i="9"/>
  <c r="R20" i="9" s="1"/>
  <c r="S20" i="9" s="1"/>
  <c r="Q14" i="7"/>
  <c r="Q30" i="5"/>
  <c r="Q11" i="5"/>
  <c r="Q33" i="1"/>
  <c r="Q36" i="1"/>
  <c r="M31" i="1"/>
  <c r="Q35" i="1"/>
  <c r="M29" i="1"/>
  <c r="Q28" i="1"/>
  <c r="Q22" i="7"/>
  <c r="Q26" i="9"/>
  <c r="Q34" i="1"/>
  <c r="Q30" i="1"/>
  <c r="Q28" i="9"/>
  <c r="M28" i="9"/>
  <c r="Q5" i="5"/>
  <c r="Q37" i="1"/>
  <c r="Q29" i="1"/>
  <c r="Q21" i="7"/>
  <c r="Q12" i="7"/>
  <c r="Q28" i="5"/>
  <c r="Q17" i="5"/>
  <c r="Q6" i="5"/>
  <c r="M26" i="9"/>
  <c r="Q25" i="9"/>
  <c r="M23" i="9"/>
  <c r="Q25" i="7"/>
  <c r="M18" i="7"/>
  <c r="M7" i="7"/>
  <c r="R8" i="7"/>
  <c r="S8" i="7" s="1"/>
  <c r="T8" i="7" s="1"/>
  <c r="Q24" i="7"/>
  <c r="Q16" i="7"/>
  <c r="Q5" i="7"/>
  <c r="R15" i="5"/>
  <c r="S15" i="5" s="1"/>
  <c r="T15" i="5" s="1"/>
  <c r="M35" i="1"/>
  <c r="M28" i="1"/>
  <c r="Q31" i="1"/>
  <c r="Q38" i="1"/>
  <c r="Q32" i="1"/>
  <c r="M22" i="7"/>
  <c r="M14" i="7"/>
  <c r="M19" i="7"/>
  <c r="Q18" i="7"/>
  <c r="M10" i="7"/>
  <c r="M36" i="1"/>
  <c r="H29" i="1"/>
  <c r="M30" i="5"/>
  <c r="Q29" i="5"/>
  <c r="M22" i="5"/>
  <c r="Q21" i="5"/>
  <c r="M17" i="7"/>
  <c r="R17" i="7" s="1"/>
  <c r="S17" i="7" s="1"/>
  <c r="M25" i="9"/>
  <c r="Q24" i="9"/>
  <c r="Q15" i="6"/>
  <c r="M27" i="9"/>
  <c r="G28" i="9"/>
  <c r="Q7" i="7"/>
  <c r="M19" i="9"/>
  <c r="G24" i="9"/>
  <c r="M30" i="1"/>
  <c r="Q11" i="7"/>
  <c r="M24" i="9"/>
  <c r="H23" i="9"/>
  <c r="H16" i="6"/>
  <c r="M36" i="5"/>
  <c r="M26" i="5"/>
  <c r="Q26" i="8"/>
  <c r="H19" i="9"/>
  <c r="M15" i="6"/>
  <c r="Q37" i="5"/>
  <c r="Q33" i="5"/>
  <c r="Q24" i="5"/>
  <c r="M23" i="7"/>
  <c r="M15" i="7"/>
  <c r="M4" i="7"/>
  <c r="Q27" i="9"/>
  <c r="Q19" i="9"/>
  <c r="M26" i="8"/>
  <c r="Q25" i="8"/>
  <c r="R5" i="8"/>
  <c r="S5" i="8" s="1"/>
  <c r="T5" i="8" s="1"/>
  <c r="Q30" i="8"/>
  <c r="H30" i="8"/>
  <c r="M30" i="8"/>
  <c r="G15" i="8"/>
  <c r="M25" i="8"/>
  <c r="M24" i="7"/>
  <c r="M16" i="7"/>
  <c r="M5" i="7"/>
  <c r="G10" i="7"/>
  <c r="M20" i="7"/>
  <c r="R20" i="7" s="1"/>
  <c r="M11" i="7"/>
  <c r="M25" i="7"/>
  <c r="M6" i="7"/>
  <c r="R6" i="7" s="1"/>
  <c r="S6" i="7" s="1"/>
  <c r="Q32" i="5"/>
  <c r="Q23" i="5"/>
  <c r="M29" i="5"/>
  <c r="M21" i="5"/>
  <c r="Q22" i="5"/>
  <c r="M12" i="5"/>
  <c r="Q27" i="5"/>
  <c r="Q16" i="5"/>
  <c r="G27" i="9"/>
  <c r="H26" i="9"/>
  <c r="H22" i="9"/>
  <c r="H25" i="9"/>
  <c r="H21" i="9"/>
  <c r="Q21" i="9"/>
  <c r="Q23" i="9"/>
  <c r="H20" i="9"/>
  <c r="M29" i="8"/>
  <c r="Q29" i="8"/>
  <c r="M15" i="8"/>
  <c r="G25" i="8"/>
  <c r="H29" i="8"/>
  <c r="H26" i="8"/>
  <c r="Q15" i="8"/>
  <c r="M21" i="7"/>
  <c r="M12" i="7"/>
  <c r="G23" i="7"/>
  <c r="Q19" i="7"/>
  <c r="G19" i="7"/>
  <c r="G15" i="7"/>
  <c r="G4" i="7"/>
  <c r="Q23" i="7"/>
  <c r="Q15" i="7"/>
  <c r="Q4" i="7"/>
  <c r="G24" i="5"/>
  <c r="M5" i="5"/>
  <c r="G21" i="5"/>
  <c r="M28" i="5"/>
  <c r="M17" i="5"/>
  <c r="G29" i="5"/>
  <c r="M34" i="5"/>
  <c r="M25" i="5"/>
  <c r="M11" i="5"/>
  <c r="R11" i="5" s="1"/>
  <c r="G25" i="5"/>
  <c r="M27" i="5"/>
  <c r="M16" i="5"/>
  <c r="M33" i="5"/>
  <c r="M24" i="5"/>
  <c r="M6" i="5"/>
  <c r="G11" i="5"/>
  <c r="M37" i="5"/>
  <c r="Q34" i="5"/>
  <c r="Q25" i="5"/>
  <c r="G6" i="5"/>
  <c r="G34" i="5"/>
  <c r="M32" i="5"/>
  <c r="M23" i="5"/>
  <c r="G33" i="5"/>
  <c r="R11" i="6"/>
  <c r="S11" i="6" s="1"/>
  <c r="T11" i="6" s="1"/>
  <c r="H37" i="5"/>
  <c r="H32" i="5"/>
  <c r="H27" i="5"/>
  <c r="H23" i="5"/>
  <c r="H16" i="5"/>
  <c r="H5" i="5"/>
  <c r="H36" i="5"/>
  <c r="H30" i="5"/>
  <c r="H26" i="5"/>
  <c r="H22" i="5"/>
  <c r="H12" i="5"/>
  <c r="Q36" i="5"/>
  <c r="Q26" i="5"/>
  <c r="Q12" i="5"/>
  <c r="H28" i="5"/>
  <c r="H17" i="5"/>
  <c r="M33" i="1"/>
  <c r="H38" i="1"/>
  <c r="M38" i="1"/>
  <c r="M32" i="1"/>
  <c r="H32" i="1"/>
  <c r="M34" i="1"/>
  <c r="M37" i="1"/>
  <c r="G36" i="1"/>
  <c r="G34" i="1"/>
  <c r="H33" i="1"/>
  <c r="H30" i="1"/>
  <c r="H37" i="1"/>
  <c r="H35" i="1"/>
  <c r="H31" i="1"/>
  <c r="H28" i="1"/>
  <c r="Q16" i="6"/>
  <c r="M16" i="6"/>
  <c r="H15" i="6"/>
  <c r="G24" i="7"/>
  <c r="G20" i="7"/>
  <c r="G16" i="7"/>
  <c r="G11" i="7"/>
  <c r="G5" i="7"/>
  <c r="H22" i="7"/>
  <c r="H18" i="7"/>
  <c r="H14" i="7"/>
  <c r="H7" i="7"/>
  <c r="H25" i="7"/>
  <c r="H21" i="7"/>
  <c r="H17" i="7"/>
  <c r="H12" i="7"/>
  <c r="H6" i="7"/>
  <c r="Q10" i="7"/>
  <c r="R22" i="9" l="1"/>
  <c r="S22" i="9" s="1"/>
  <c r="R30" i="5"/>
  <c r="R28" i="5"/>
  <c r="S28" i="5" s="1"/>
  <c r="R21" i="9"/>
  <c r="T22" i="9"/>
  <c r="R28" i="9"/>
  <c r="S28" i="9" s="1"/>
  <c r="T28" i="9" s="1"/>
  <c r="S26" i="9"/>
  <c r="T26" i="9" s="1"/>
  <c r="S19" i="9"/>
  <c r="T19" i="9" s="1"/>
  <c r="R27" i="9"/>
  <c r="S24" i="9"/>
  <c r="T24" i="9" s="1"/>
  <c r="R25" i="9"/>
  <c r="S25" i="9" s="1"/>
  <c r="T25" i="9" s="1"/>
  <c r="S21" i="9"/>
  <c r="T21" i="9" s="1"/>
  <c r="R29" i="1"/>
  <c r="S29" i="1"/>
  <c r="T29" i="1" s="1"/>
  <c r="T20" i="9"/>
  <c r="S14" i="7"/>
  <c r="T14" i="7" s="1"/>
  <c r="R5" i="5"/>
  <c r="R28" i="1"/>
  <c r="R35" i="1"/>
  <c r="S35" i="1" s="1"/>
  <c r="T35" i="1" s="1"/>
  <c r="R26" i="9"/>
  <c r="R7" i="7"/>
  <c r="S7" i="7" s="1"/>
  <c r="T7" i="7" s="1"/>
  <c r="R22" i="7"/>
  <c r="S22" i="7" s="1"/>
  <c r="T22" i="7" s="1"/>
  <c r="S37" i="1"/>
  <c r="T37" i="1" s="1"/>
  <c r="R33" i="1"/>
  <c r="R36" i="1"/>
  <c r="S31" i="1"/>
  <c r="T31" i="1" s="1"/>
  <c r="S28" i="1"/>
  <c r="T28" i="1" s="1"/>
  <c r="R19" i="9"/>
  <c r="R18" i="7"/>
  <c r="R21" i="7"/>
  <c r="S27" i="9"/>
  <c r="T27" i="9" s="1"/>
  <c r="R30" i="1"/>
  <c r="S30" i="1" s="1"/>
  <c r="T30" i="1" s="1"/>
  <c r="S17" i="5"/>
  <c r="T17" i="5" s="1"/>
  <c r="R23" i="9"/>
  <c r="R24" i="9"/>
  <c r="R25" i="7"/>
  <c r="S25" i="7" s="1"/>
  <c r="T25" i="7" s="1"/>
  <c r="R31" i="1"/>
  <c r="R12" i="7"/>
  <c r="S12" i="7" s="1"/>
  <c r="T12" i="7" s="1"/>
  <c r="R6" i="5"/>
  <c r="R26" i="8"/>
  <c r="R24" i="7"/>
  <c r="R16" i="7"/>
  <c r="R5" i="7"/>
  <c r="R14" i="7"/>
  <c r="R10" i="7"/>
  <c r="S5" i="7"/>
  <c r="T5" i="7" s="1"/>
  <c r="R19" i="7"/>
  <c r="S19" i="7" s="1"/>
  <c r="T19" i="7" s="1"/>
  <c r="R15" i="7"/>
  <c r="S15" i="7" s="1"/>
  <c r="T15" i="7" s="1"/>
  <c r="S18" i="7"/>
  <c r="T18" i="7" s="1"/>
  <c r="S16" i="5"/>
  <c r="T16" i="5" s="1"/>
  <c r="R37" i="5"/>
  <c r="R21" i="5"/>
  <c r="R29" i="5"/>
  <c r="S27" i="5"/>
  <c r="T27" i="5" s="1"/>
  <c r="S21" i="5"/>
  <c r="T21" i="5" s="1"/>
  <c r="R17" i="5"/>
  <c r="R34" i="5"/>
  <c r="S34" i="5" s="1"/>
  <c r="T34" i="5" s="1"/>
  <c r="R22" i="5"/>
  <c r="S6" i="5"/>
  <c r="T6" i="5" s="1"/>
  <c r="R23" i="5"/>
  <c r="R27" i="5"/>
  <c r="S12" i="5"/>
  <c r="T12" i="5" s="1"/>
  <c r="S33" i="5"/>
  <c r="T33" i="5" s="1"/>
  <c r="R38" i="1"/>
  <c r="S38" i="1" s="1"/>
  <c r="T38" i="1" s="1"/>
  <c r="R32" i="1"/>
  <c r="S32" i="1"/>
  <c r="T32" i="1" s="1"/>
  <c r="S15" i="6"/>
  <c r="T15" i="6" s="1"/>
  <c r="R15" i="6"/>
  <c r="R23" i="7"/>
  <c r="S4" i="7"/>
  <c r="T4" i="7" s="1"/>
  <c r="S20" i="7"/>
  <c r="T20" i="7" s="1"/>
  <c r="S16" i="7"/>
  <c r="T16" i="7" s="1"/>
  <c r="R4" i="7"/>
  <c r="S23" i="7"/>
  <c r="T23" i="7" s="1"/>
  <c r="R11" i="7"/>
  <c r="S11" i="7" s="1"/>
  <c r="T11" i="7" s="1"/>
  <c r="S10" i="7"/>
  <c r="T10" i="7" s="1"/>
  <c r="R32" i="5"/>
  <c r="S30" i="5"/>
  <c r="T30" i="5" s="1"/>
  <c r="R26" i="5"/>
  <c r="R33" i="5"/>
  <c r="S5" i="5"/>
  <c r="T5" i="5" s="1"/>
  <c r="R16" i="5"/>
  <c r="T28" i="5"/>
  <c r="S29" i="5"/>
  <c r="T29" i="5" s="1"/>
  <c r="S33" i="1"/>
  <c r="T33" i="1" s="1"/>
  <c r="S30" i="8"/>
  <c r="T30" i="8" s="1"/>
  <c r="R29" i="8"/>
  <c r="S34" i="1"/>
  <c r="T34" i="1" s="1"/>
  <c r="S36" i="1"/>
  <c r="T36" i="1" s="1"/>
  <c r="R34" i="1"/>
  <c r="R12" i="5"/>
  <c r="R37" i="1"/>
  <c r="R36" i="5"/>
  <c r="S22" i="5"/>
  <c r="T22" i="5" s="1"/>
  <c r="S16" i="6"/>
  <c r="T16" i="6" s="1"/>
  <c r="R24" i="5"/>
  <c r="R25" i="8"/>
  <c r="S26" i="8"/>
  <c r="T26" i="8" s="1"/>
  <c r="S29" i="8"/>
  <c r="T29" i="8" s="1"/>
  <c r="S25" i="8"/>
  <c r="T25" i="8" s="1"/>
  <c r="R30" i="8"/>
  <c r="S15" i="8"/>
  <c r="T15" i="8" s="1"/>
  <c r="R15" i="8"/>
  <c r="S21" i="7"/>
  <c r="T21" i="7" s="1"/>
  <c r="S24" i="7"/>
  <c r="T24" i="7" s="1"/>
  <c r="R25" i="5"/>
  <c r="S25" i="5" s="1"/>
  <c r="T25" i="5" s="1"/>
  <c r="S23" i="9"/>
  <c r="T23" i="9" s="1"/>
  <c r="S36" i="5"/>
  <c r="T36" i="5" s="1"/>
  <c r="S24" i="5"/>
  <c r="T24" i="5" s="1"/>
  <c r="S37" i="5"/>
  <c r="T37" i="5" s="1"/>
  <c r="S23" i="5"/>
  <c r="T23" i="5" s="1"/>
  <c r="S26" i="5"/>
  <c r="T26" i="5" s="1"/>
  <c r="S11" i="5"/>
  <c r="T11" i="5" s="1"/>
  <c r="S32" i="5"/>
  <c r="T32" i="5" s="1"/>
  <c r="R16" i="6"/>
  <c r="T17" i="7"/>
  <c r="T6" i="7"/>
  <c r="A13" i="1"/>
  <c r="B13" i="1" s="1"/>
  <c r="A14" i="1"/>
  <c r="B14" i="1" s="1"/>
  <c r="A15" i="1"/>
  <c r="B15" i="1" s="1"/>
  <c r="A16" i="1"/>
  <c r="B16" i="1" s="1"/>
  <c r="A44" i="1"/>
  <c r="B44" i="1" s="1"/>
  <c r="A17" i="1"/>
  <c r="B17" i="1" s="1"/>
  <c r="A18" i="1"/>
  <c r="B18" i="1" s="1"/>
  <c r="A45" i="1"/>
  <c r="B45" i="1" s="1"/>
  <c r="A19" i="1"/>
  <c r="B19" i="1" s="1"/>
  <c r="A46" i="1"/>
  <c r="B46" i="1" s="1"/>
  <c r="A20" i="1"/>
  <c r="B20" i="1" s="1"/>
  <c r="A47" i="1"/>
  <c r="B47" i="1" s="1"/>
  <c r="A21" i="1"/>
  <c r="B21" i="1" s="1"/>
  <c r="A48" i="1"/>
  <c r="B48" i="1" s="1"/>
  <c r="A49" i="1"/>
  <c r="B49" i="1" s="1"/>
  <c r="A50" i="1"/>
  <c r="B50" i="1" s="1"/>
  <c r="A51" i="1"/>
  <c r="B5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3" i="1"/>
  <c r="B3" i="1" s="1"/>
  <c r="A4" i="1"/>
  <c r="B4" i="1" s="1"/>
  <c r="A5" i="1"/>
  <c r="B5" i="1" s="1"/>
  <c r="A12" i="1"/>
  <c r="B12" i="1" s="1"/>
  <c r="Q50" i="9"/>
  <c r="Q56" i="9"/>
  <c r="Q59" i="9"/>
  <c r="Q53" i="9"/>
  <c r="Q51" i="9"/>
  <c r="Q57" i="9"/>
  <c r="Q60" i="9"/>
  <c r="Q54" i="9"/>
  <c r="Q52" i="9"/>
  <c r="Q58" i="9"/>
  <c r="Q61" i="9"/>
  <c r="Q55" i="9"/>
  <c r="Q17" i="9"/>
  <c r="Q12" i="9"/>
  <c r="Q13" i="9"/>
  <c r="Q49" i="9"/>
  <c r="Q18" i="9"/>
  <c r="Q45" i="9"/>
  <c r="Q46" i="9"/>
  <c r="Q14" i="9"/>
  <c r="Q15" i="9"/>
  <c r="Q47" i="9"/>
  <c r="Q48" i="9"/>
  <c r="Q16" i="9"/>
  <c r="Q5" i="9"/>
  <c r="Q6" i="9"/>
  <c r="Q40" i="9"/>
  <c r="Q7" i="9"/>
  <c r="Q8" i="9"/>
  <c r="Q41" i="9"/>
  <c r="Q9" i="9"/>
  <c r="Q42" i="9"/>
  <c r="Q10" i="9"/>
  <c r="Q11" i="9"/>
  <c r="Q43" i="9"/>
  <c r="Q44" i="9"/>
  <c r="M5" i="9"/>
  <c r="M6" i="9"/>
  <c r="M40" i="9"/>
  <c r="M7" i="9"/>
  <c r="M8" i="9"/>
  <c r="M41" i="9"/>
  <c r="M9" i="9"/>
  <c r="M42" i="9"/>
  <c r="M10" i="9"/>
  <c r="M11" i="9"/>
  <c r="M43" i="9"/>
  <c r="M44" i="9"/>
  <c r="M12" i="9"/>
  <c r="M13" i="9"/>
  <c r="M49" i="9"/>
  <c r="M18" i="9"/>
  <c r="M45" i="9"/>
  <c r="M46" i="9"/>
  <c r="M14" i="9"/>
  <c r="M15" i="9"/>
  <c r="M47" i="9"/>
  <c r="M48" i="9"/>
  <c r="M16" i="9"/>
  <c r="M17" i="9"/>
  <c r="G5" i="9"/>
  <c r="H5" i="9"/>
  <c r="G6" i="9"/>
  <c r="H6" i="9"/>
  <c r="G40" i="9"/>
  <c r="H40" i="9"/>
  <c r="G7" i="9"/>
  <c r="H7" i="9"/>
  <c r="G8" i="9"/>
  <c r="H8" i="9"/>
  <c r="G41" i="9"/>
  <c r="H41" i="9"/>
  <c r="G9" i="9"/>
  <c r="H9" i="9"/>
  <c r="G42" i="9"/>
  <c r="H42" i="9"/>
  <c r="G10" i="9"/>
  <c r="H10" i="9"/>
  <c r="G11" i="9"/>
  <c r="H11" i="9"/>
  <c r="G43" i="9"/>
  <c r="H43" i="9"/>
  <c r="G44" i="9"/>
  <c r="H44" i="9"/>
  <c r="G12" i="9"/>
  <c r="H12" i="9"/>
  <c r="G13" i="9"/>
  <c r="H13" i="9"/>
  <c r="G49" i="9"/>
  <c r="H49" i="9"/>
  <c r="G18" i="9"/>
  <c r="H18" i="9"/>
  <c r="G45" i="9"/>
  <c r="H45" i="9"/>
  <c r="G46" i="9"/>
  <c r="H46" i="9"/>
  <c r="G14" i="9"/>
  <c r="H14" i="9"/>
  <c r="G15" i="9"/>
  <c r="H15" i="9"/>
  <c r="G47" i="9"/>
  <c r="H47" i="9"/>
  <c r="G48" i="9"/>
  <c r="H48" i="9"/>
  <c r="G16" i="9"/>
  <c r="H16" i="9"/>
  <c r="G17" i="9"/>
  <c r="H17" i="9"/>
  <c r="Q28" i="8"/>
  <c r="Q33" i="8"/>
  <c r="Q32" i="8"/>
  <c r="Q36" i="8"/>
  <c r="Q35" i="8"/>
  <c r="Q34" i="8"/>
  <c r="Q14" i="8"/>
  <c r="Q22" i="8"/>
  <c r="Q20" i="8"/>
  <c r="Q21" i="8"/>
  <c r="Q27" i="8"/>
  <c r="Q24" i="8"/>
  <c r="Q31" i="8"/>
  <c r="Q8" i="8"/>
  <c r="Q7" i="8"/>
  <c r="Q11" i="8"/>
  <c r="Q9" i="8"/>
  <c r="Q10" i="8"/>
  <c r="Q16" i="8"/>
  <c r="Q17" i="8"/>
  <c r="Q13" i="8"/>
  <c r="M8" i="8"/>
  <c r="M7" i="8"/>
  <c r="M11" i="8"/>
  <c r="M9" i="8"/>
  <c r="M10" i="8"/>
  <c r="M16" i="8"/>
  <c r="M17" i="8"/>
  <c r="M13" i="8"/>
  <c r="M14" i="8"/>
  <c r="M22" i="8"/>
  <c r="M20" i="8"/>
  <c r="M21" i="8"/>
  <c r="M27" i="8"/>
  <c r="M24" i="8"/>
  <c r="M31" i="8"/>
  <c r="M28" i="8"/>
  <c r="M33" i="8"/>
  <c r="M32" i="8"/>
  <c r="M36" i="8"/>
  <c r="M35" i="8"/>
  <c r="M34" i="8"/>
  <c r="G8" i="8"/>
  <c r="H8" i="8"/>
  <c r="G7" i="8"/>
  <c r="H7" i="8"/>
  <c r="G11" i="8"/>
  <c r="H11" i="8"/>
  <c r="G9" i="8"/>
  <c r="H9" i="8"/>
  <c r="G10" i="8"/>
  <c r="H10" i="8"/>
  <c r="G16" i="8"/>
  <c r="H16" i="8"/>
  <c r="G17" i="8"/>
  <c r="H17" i="8"/>
  <c r="G13" i="8"/>
  <c r="H13" i="8"/>
  <c r="G14" i="8"/>
  <c r="H14" i="8"/>
  <c r="G22" i="8"/>
  <c r="H22" i="8"/>
  <c r="G20" i="8"/>
  <c r="H20" i="8"/>
  <c r="G21" i="8"/>
  <c r="H21" i="8"/>
  <c r="G27" i="8"/>
  <c r="H27" i="8"/>
  <c r="G24" i="8"/>
  <c r="H24" i="8"/>
  <c r="G31" i="8"/>
  <c r="H31" i="8"/>
  <c r="G28" i="8"/>
  <c r="H28" i="8"/>
  <c r="G33" i="8"/>
  <c r="H33" i="8"/>
  <c r="G32" i="8"/>
  <c r="H32" i="8"/>
  <c r="G36" i="8"/>
  <c r="H36" i="8"/>
  <c r="G35" i="8"/>
  <c r="H35" i="8"/>
  <c r="G34" i="8"/>
  <c r="H34" i="8"/>
  <c r="Q3" i="7"/>
  <c r="Q26" i="7"/>
  <c r="Q9" i="7"/>
  <c r="M3" i="7"/>
  <c r="M26" i="7"/>
  <c r="M9" i="7"/>
  <c r="G3" i="7"/>
  <c r="H3" i="7"/>
  <c r="G26" i="7"/>
  <c r="H26" i="7"/>
  <c r="G9" i="7"/>
  <c r="H9" i="7"/>
  <c r="Q4" i="5"/>
  <c r="Q13" i="5"/>
  <c r="Q8" i="5"/>
  <c r="Q18" i="5"/>
  <c r="Q10" i="5"/>
  <c r="Q31" i="5"/>
  <c r="Q14" i="5"/>
  <c r="Q35" i="5"/>
  <c r="Q19" i="5"/>
  <c r="Q38" i="5"/>
  <c r="Q20" i="5"/>
  <c r="M4" i="5"/>
  <c r="M13" i="5"/>
  <c r="M8" i="5"/>
  <c r="M18" i="5"/>
  <c r="M10" i="5"/>
  <c r="M31" i="5"/>
  <c r="M14" i="5"/>
  <c r="M35" i="5"/>
  <c r="M19" i="5"/>
  <c r="M38" i="5"/>
  <c r="M20" i="5"/>
  <c r="G4" i="5"/>
  <c r="H4" i="5"/>
  <c r="G13" i="5"/>
  <c r="H13" i="5"/>
  <c r="G8" i="5"/>
  <c r="H8" i="5"/>
  <c r="G18" i="5"/>
  <c r="H18" i="5"/>
  <c r="G10" i="5"/>
  <c r="H10" i="5"/>
  <c r="G31" i="5"/>
  <c r="H31" i="5"/>
  <c r="G14" i="5"/>
  <c r="H14" i="5"/>
  <c r="G35" i="5"/>
  <c r="H35" i="5"/>
  <c r="G19" i="5"/>
  <c r="H19" i="5"/>
  <c r="G38" i="5"/>
  <c r="H38" i="5"/>
  <c r="G20" i="5"/>
  <c r="H20" i="5"/>
  <c r="Q24" i="1"/>
  <c r="Q25" i="1"/>
  <c r="Q26" i="1"/>
  <c r="Q27" i="1"/>
  <c r="Q20" i="1"/>
  <c r="Q47" i="1"/>
  <c r="Q21" i="1"/>
  <c r="Q48" i="1"/>
  <c r="Q49" i="1"/>
  <c r="Q50" i="1"/>
  <c r="Q51" i="1"/>
  <c r="Q22" i="1"/>
  <c r="Q23" i="1"/>
  <c r="Q10" i="1"/>
  <c r="Q11" i="1"/>
  <c r="Q12" i="1"/>
  <c r="Q13" i="1"/>
  <c r="Q14" i="1"/>
  <c r="Q15" i="1"/>
  <c r="Q16" i="1"/>
  <c r="Q44" i="1"/>
  <c r="Q17" i="1"/>
  <c r="Q18" i="1"/>
  <c r="Q45" i="1"/>
  <c r="Q19" i="1"/>
  <c r="Q46" i="1"/>
  <c r="M10" i="1"/>
  <c r="M11" i="1"/>
  <c r="M12" i="1"/>
  <c r="M13" i="1"/>
  <c r="M14" i="1"/>
  <c r="M15" i="1"/>
  <c r="M16" i="1"/>
  <c r="M44" i="1"/>
  <c r="M17" i="1"/>
  <c r="M18" i="1"/>
  <c r="M45" i="1"/>
  <c r="M19" i="1"/>
  <c r="M46" i="1"/>
  <c r="M20" i="1"/>
  <c r="M47" i="1"/>
  <c r="M21" i="1"/>
  <c r="M48" i="1"/>
  <c r="M49" i="1"/>
  <c r="M50" i="1"/>
  <c r="M51" i="1"/>
  <c r="M22" i="1"/>
  <c r="M23" i="1"/>
  <c r="M24" i="1"/>
  <c r="R24" i="1" s="1"/>
  <c r="M25" i="1"/>
  <c r="M26" i="1"/>
  <c r="M27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44" i="1"/>
  <c r="H44" i="1"/>
  <c r="G17" i="1"/>
  <c r="H17" i="1"/>
  <c r="G18" i="1"/>
  <c r="H18" i="1"/>
  <c r="G45" i="1"/>
  <c r="H45" i="1"/>
  <c r="G19" i="1"/>
  <c r="H19" i="1"/>
  <c r="G46" i="1"/>
  <c r="H46" i="1"/>
  <c r="G20" i="1"/>
  <c r="H20" i="1"/>
  <c r="G47" i="1"/>
  <c r="H47" i="1"/>
  <c r="G21" i="1"/>
  <c r="H21" i="1"/>
  <c r="G48" i="1"/>
  <c r="H48" i="1"/>
  <c r="G49" i="1"/>
  <c r="H49" i="1"/>
  <c r="G50" i="1"/>
  <c r="H50" i="1"/>
  <c r="G51" i="1"/>
  <c r="H51" i="1"/>
  <c r="G22" i="1"/>
  <c r="H22" i="1"/>
  <c r="G23" i="1"/>
  <c r="H23" i="1"/>
  <c r="G24" i="1"/>
  <c r="H24" i="1"/>
  <c r="G25" i="1"/>
  <c r="H25" i="1"/>
  <c r="G26" i="1"/>
  <c r="H26" i="1"/>
  <c r="G27" i="1"/>
  <c r="H27" i="1"/>
  <c r="Q24" i="6"/>
  <c r="Q25" i="6"/>
  <c r="Q13" i="6"/>
  <c r="Q26" i="6"/>
  <c r="Q27" i="6"/>
  <c r="Q14" i="6"/>
  <c r="Q6" i="6"/>
  <c r="Q23" i="6"/>
  <c r="Q7" i="6"/>
  <c r="Q8" i="6"/>
  <c r="Q12" i="6"/>
  <c r="Q9" i="6"/>
  <c r="Q10" i="6"/>
  <c r="Q5" i="6"/>
  <c r="R7" i="9" l="1"/>
  <c r="S7" i="9" s="1"/>
  <c r="T7" i="9" s="1"/>
  <c r="R15" i="9"/>
  <c r="S15" i="9" s="1"/>
  <c r="T15" i="9" s="1"/>
  <c r="R17" i="9"/>
  <c r="S17" i="9" s="1"/>
  <c r="T17" i="9" s="1"/>
  <c r="R11" i="9"/>
  <c r="S11" i="9" s="1"/>
  <c r="T11" i="9" s="1"/>
  <c r="R45" i="9"/>
  <c r="R10" i="9"/>
  <c r="R8" i="9"/>
  <c r="R18" i="9"/>
  <c r="S18" i="9" s="1"/>
  <c r="T18" i="9" s="1"/>
  <c r="R42" i="9"/>
  <c r="S42" i="9" s="1"/>
  <c r="T42" i="9" s="1"/>
  <c r="R16" i="9"/>
  <c r="S16" i="9" s="1"/>
  <c r="T16" i="9" s="1"/>
  <c r="R9" i="9"/>
  <c r="S9" i="9" s="1"/>
  <c r="T9" i="9" s="1"/>
  <c r="R35" i="5"/>
  <c r="S35" i="5" s="1"/>
  <c r="T35" i="5" s="1"/>
  <c r="R46" i="1"/>
  <c r="S46" i="1" s="1"/>
  <c r="T46" i="1" s="1"/>
  <c r="R14" i="1"/>
  <c r="S14" i="1" s="1"/>
  <c r="T14" i="1" s="1"/>
  <c r="R6" i="9"/>
  <c r="S6" i="9" s="1"/>
  <c r="T6" i="9" s="1"/>
  <c r="R34" i="8"/>
  <c r="R14" i="9"/>
  <c r="S14" i="9" s="1"/>
  <c r="T14" i="9" s="1"/>
  <c r="R40" i="9"/>
  <c r="S40" i="9" s="1"/>
  <c r="T40" i="9" s="1"/>
  <c r="R46" i="9"/>
  <c r="S46" i="9" s="1"/>
  <c r="T46" i="9" s="1"/>
  <c r="R47" i="9"/>
  <c r="S47" i="9" s="1"/>
  <c r="T47" i="9" s="1"/>
  <c r="S45" i="9"/>
  <c r="T45" i="9" s="1"/>
  <c r="S10" i="9"/>
  <c r="T10" i="9" s="1"/>
  <c r="S8" i="9"/>
  <c r="T8" i="9" s="1"/>
  <c r="R14" i="8"/>
  <c r="S14" i="8" s="1"/>
  <c r="T14" i="8" s="1"/>
  <c r="R22" i="8"/>
  <c r="S22" i="8" s="1"/>
  <c r="T22" i="8" s="1"/>
  <c r="R8" i="8"/>
  <c r="S8" i="8" s="1"/>
  <c r="T8" i="8" s="1"/>
  <c r="R14" i="5"/>
  <c r="S14" i="5" s="1"/>
  <c r="T14" i="5" s="1"/>
  <c r="R31" i="5"/>
  <c r="S31" i="5" s="1"/>
  <c r="T31" i="5" s="1"/>
  <c r="R10" i="5"/>
  <c r="S10" i="5" s="1"/>
  <c r="T10" i="5" s="1"/>
  <c r="R18" i="5"/>
  <c r="S18" i="5" s="1"/>
  <c r="T18" i="5" s="1"/>
  <c r="R13" i="5"/>
  <c r="S13" i="5" s="1"/>
  <c r="T13" i="5" s="1"/>
  <c r="R19" i="5"/>
  <c r="S19" i="5" s="1"/>
  <c r="T19" i="5" s="1"/>
  <c r="R4" i="5"/>
  <c r="S4" i="5" s="1"/>
  <c r="T4" i="5" s="1"/>
  <c r="R20" i="5"/>
  <c r="S20" i="5" s="1"/>
  <c r="T20" i="5" s="1"/>
  <c r="R8" i="5"/>
  <c r="S8" i="5" s="1"/>
  <c r="T8" i="5" s="1"/>
  <c r="R38" i="5"/>
  <c r="S38" i="5" s="1"/>
  <c r="T38" i="5" s="1"/>
  <c r="R12" i="1"/>
  <c r="S12" i="1" s="1"/>
  <c r="T12" i="1" s="1"/>
  <c r="R49" i="9"/>
  <c r="S49" i="9" s="1"/>
  <c r="T49" i="9" s="1"/>
  <c r="R48" i="9"/>
  <c r="S48" i="9" s="1"/>
  <c r="T48" i="9" s="1"/>
  <c r="R13" i="9"/>
  <c r="S13" i="9" s="1"/>
  <c r="T13" i="9" s="1"/>
  <c r="R41" i="9"/>
  <c r="S41" i="9" s="1"/>
  <c r="T41" i="9" s="1"/>
  <c r="R12" i="9"/>
  <c r="S12" i="9" s="1"/>
  <c r="T12" i="9" s="1"/>
  <c r="R44" i="9"/>
  <c r="S44" i="9" s="1"/>
  <c r="T44" i="9" s="1"/>
  <c r="R43" i="9"/>
  <c r="S43" i="9" s="1"/>
  <c r="T43" i="9" s="1"/>
  <c r="R5" i="9"/>
  <c r="S5" i="9" s="1"/>
  <c r="T5" i="9" s="1"/>
  <c r="R33" i="8"/>
  <c r="S33" i="8" s="1"/>
  <c r="T33" i="8" s="1"/>
  <c r="R20" i="8"/>
  <c r="S20" i="8" s="1"/>
  <c r="T20" i="8" s="1"/>
  <c r="R21" i="8"/>
  <c r="S21" i="8" s="1"/>
  <c r="T21" i="8" s="1"/>
  <c r="R11" i="8"/>
  <c r="S11" i="8" s="1"/>
  <c r="T11" i="8" s="1"/>
  <c r="R31" i="8"/>
  <c r="S31" i="8" s="1"/>
  <c r="T31" i="8" s="1"/>
  <c r="R10" i="8"/>
  <c r="S10" i="8" s="1"/>
  <c r="T10" i="8" s="1"/>
  <c r="R17" i="8"/>
  <c r="S17" i="8" s="1"/>
  <c r="T17" i="8" s="1"/>
  <c r="R36" i="8"/>
  <c r="S36" i="8" s="1"/>
  <c r="T36" i="8" s="1"/>
  <c r="R24" i="8"/>
  <c r="S24" i="8" s="1"/>
  <c r="T24" i="8" s="1"/>
  <c r="R27" i="8"/>
  <c r="S27" i="8" s="1"/>
  <c r="T27" i="8" s="1"/>
  <c r="R32" i="8"/>
  <c r="S32" i="8" s="1"/>
  <c r="T32" i="8" s="1"/>
  <c r="R9" i="7"/>
  <c r="S9" i="7" s="1"/>
  <c r="T9" i="7" s="1"/>
  <c r="R3" i="7"/>
  <c r="S3" i="7" s="1"/>
  <c r="T3" i="7" s="1"/>
  <c r="R18" i="1"/>
  <c r="S18" i="1" s="1"/>
  <c r="T18" i="1" s="1"/>
  <c r="R11" i="1"/>
  <c r="S11" i="1" s="1"/>
  <c r="T11" i="1" s="1"/>
  <c r="R48" i="1"/>
  <c r="S48" i="1" s="1"/>
  <c r="T48" i="1" s="1"/>
  <c r="R19" i="1"/>
  <c r="S19" i="1" s="1"/>
  <c r="T19" i="1" s="1"/>
  <c r="R13" i="1"/>
  <c r="S13" i="1" s="1"/>
  <c r="T13" i="1" s="1"/>
  <c r="R26" i="1"/>
  <c r="S26" i="1" s="1"/>
  <c r="T26" i="1" s="1"/>
  <c r="R16" i="1"/>
  <c r="S16" i="1" s="1"/>
  <c r="T16" i="1" s="1"/>
  <c r="R15" i="1"/>
  <c r="S15" i="1" s="1"/>
  <c r="T15" i="1" s="1"/>
  <c r="R22" i="1"/>
  <c r="S22" i="1" s="1"/>
  <c r="T22" i="1" s="1"/>
  <c r="R13" i="8"/>
  <c r="S13" i="8" s="1"/>
  <c r="T13" i="8" s="1"/>
  <c r="R9" i="8"/>
  <c r="S9" i="8" s="1"/>
  <c r="T9" i="8" s="1"/>
  <c r="S34" i="8"/>
  <c r="T34" i="8" s="1"/>
  <c r="R28" i="8"/>
  <c r="S28" i="8" s="1"/>
  <c r="T28" i="8" s="1"/>
  <c r="R35" i="8"/>
  <c r="S35" i="8" s="1"/>
  <c r="T35" i="8" s="1"/>
  <c r="R16" i="8"/>
  <c r="S16" i="8" s="1"/>
  <c r="T16" i="8" s="1"/>
  <c r="R7" i="8"/>
  <c r="S7" i="8" s="1"/>
  <c r="T7" i="8" s="1"/>
  <c r="R26" i="7"/>
  <c r="S26" i="7" s="1"/>
  <c r="T26" i="7" s="1"/>
  <c r="R27" i="1"/>
  <c r="S27" i="1" s="1"/>
  <c r="T27" i="1" s="1"/>
  <c r="R17" i="1"/>
  <c r="S17" i="1" s="1"/>
  <c r="T17" i="1" s="1"/>
  <c r="R44" i="1"/>
  <c r="S44" i="1" s="1"/>
  <c r="T44" i="1" s="1"/>
  <c r="R47" i="1"/>
  <c r="S47" i="1" s="1"/>
  <c r="T47" i="1" s="1"/>
  <c r="R50" i="1"/>
  <c r="S50" i="1" s="1"/>
  <c r="T50" i="1" s="1"/>
  <c r="R45" i="1"/>
  <c r="S45" i="1" s="1"/>
  <c r="T45" i="1" s="1"/>
  <c r="R21" i="1"/>
  <c r="S21" i="1" s="1"/>
  <c r="T21" i="1" s="1"/>
  <c r="R25" i="1"/>
  <c r="S25" i="1" s="1"/>
  <c r="T25" i="1" s="1"/>
  <c r="S24" i="1"/>
  <c r="T24" i="1" s="1"/>
  <c r="R51" i="1"/>
  <c r="S51" i="1" s="1"/>
  <c r="T51" i="1" s="1"/>
  <c r="R10" i="1"/>
  <c r="S10" i="1" s="1"/>
  <c r="T10" i="1" s="1"/>
  <c r="R23" i="1"/>
  <c r="S23" i="1" s="1"/>
  <c r="T23" i="1" s="1"/>
  <c r="R49" i="1"/>
  <c r="S49" i="1" s="1"/>
  <c r="T49" i="1" s="1"/>
  <c r="R20" i="1"/>
  <c r="S20" i="1" s="1"/>
  <c r="T20" i="1" s="1"/>
  <c r="A50" i="9"/>
  <c r="B50" i="9"/>
  <c r="C50" i="9"/>
  <c r="D50" i="9"/>
  <c r="E50" i="9"/>
  <c r="F50" i="9"/>
  <c r="I50" i="9"/>
  <c r="J50" i="9"/>
  <c r="K50" i="9"/>
  <c r="L50" i="9"/>
  <c r="N50" i="9"/>
  <c r="O50" i="9"/>
  <c r="P50" i="9"/>
  <c r="A56" i="9"/>
  <c r="B56" i="9"/>
  <c r="C56" i="9"/>
  <c r="D56" i="9"/>
  <c r="E56" i="9"/>
  <c r="F56" i="9"/>
  <c r="I56" i="9"/>
  <c r="J56" i="9"/>
  <c r="K56" i="9"/>
  <c r="L56" i="9"/>
  <c r="N56" i="9"/>
  <c r="O56" i="9"/>
  <c r="P56" i="9"/>
  <c r="A59" i="9"/>
  <c r="B59" i="9"/>
  <c r="C59" i="9"/>
  <c r="D59" i="9"/>
  <c r="E59" i="9"/>
  <c r="F59" i="9"/>
  <c r="I59" i="9"/>
  <c r="J59" i="9"/>
  <c r="K59" i="9"/>
  <c r="L59" i="9"/>
  <c r="N59" i="9"/>
  <c r="O59" i="9"/>
  <c r="P59" i="9"/>
  <c r="A53" i="9"/>
  <c r="B53" i="9"/>
  <c r="C53" i="9"/>
  <c r="D53" i="9"/>
  <c r="E53" i="9"/>
  <c r="F53" i="9"/>
  <c r="I53" i="9"/>
  <c r="J53" i="9"/>
  <c r="K53" i="9"/>
  <c r="L53" i="9"/>
  <c r="N53" i="9"/>
  <c r="O53" i="9"/>
  <c r="P53" i="9"/>
  <c r="A51" i="9"/>
  <c r="B51" i="9"/>
  <c r="C51" i="9"/>
  <c r="D51" i="9"/>
  <c r="E51" i="9"/>
  <c r="F51" i="9"/>
  <c r="I51" i="9"/>
  <c r="J51" i="9"/>
  <c r="K51" i="9"/>
  <c r="L51" i="9"/>
  <c r="N51" i="9"/>
  <c r="O51" i="9"/>
  <c r="P51" i="9"/>
  <c r="A57" i="9"/>
  <c r="B57" i="9"/>
  <c r="C57" i="9"/>
  <c r="D57" i="9"/>
  <c r="E57" i="9"/>
  <c r="F57" i="9"/>
  <c r="I57" i="9"/>
  <c r="J57" i="9"/>
  <c r="K57" i="9"/>
  <c r="L57" i="9"/>
  <c r="N57" i="9"/>
  <c r="O57" i="9"/>
  <c r="P57" i="9"/>
  <c r="A60" i="9"/>
  <c r="B60" i="9"/>
  <c r="C60" i="9"/>
  <c r="D60" i="9"/>
  <c r="E60" i="9"/>
  <c r="F60" i="9"/>
  <c r="I60" i="9"/>
  <c r="J60" i="9"/>
  <c r="K60" i="9"/>
  <c r="L60" i="9"/>
  <c r="N60" i="9"/>
  <c r="O60" i="9"/>
  <c r="P60" i="9"/>
  <c r="A54" i="9"/>
  <c r="B54" i="9"/>
  <c r="C54" i="9"/>
  <c r="D54" i="9"/>
  <c r="E54" i="9"/>
  <c r="F54" i="9"/>
  <c r="I54" i="9"/>
  <c r="J54" i="9"/>
  <c r="K54" i="9"/>
  <c r="L54" i="9"/>
  <c r="N54" i="9"/>
  <c r="O54" i="9"/>
  <c r="P54" i="9"/>
  <c r="A52" i="9"/>
  <c r="B52" i="9"/>
  <c r="C52" i="9"/>
  <c r="D52" i="9"/>
  <c r="E52" i="9"/>
  <c r="F52" i="9"/>
  <c r="I52" i="9"/>
  <c r="J52" i="9"/>
  <c r="K52" i="9"/>
  <c r="L52" i="9"/>
  <c r="N52" i="9"/>
  <c r="O52" i="9"/>
  <c r="P52" i="9"/>
  <c r="A58" i="9"/>
  <c r="B58" i="9"/>
  <c r="C58" i="9"/>
  <c r="D58" i="9"/>
  <c r="E58" i="9"/>
  <c r="F58" i="9"/>
  <c r="I58" i="9"/>
  <c r="J58" i="9"/>
  <c r="K58" i="9"/>
  <c r="L58" i="9"/>
  <c r="N58" i="9"/>
  <c r="O58" i="9"/>
  <c r="P58" i="9"/>
  <c r="A61" i="9"/>
  <c r="B61" i="9"/>
  <c r="C61" i="9"/>
  <c r="D61" i="9"/>
  <c r="E61" i="9"/>
  <c r="F61" i="9"/>
  <c r="I61" i="9"/>
  <c r="J61" i="9"/>
  <c r="K61" i="9"/>
  <c r="L61" i="9"/>
  <c r="N61" i="9"/>
  <c r="O61" i="9"/>
  <c r="P61" i="9"/>
  <c r="A55" i="9"/>
  <c r="B55" i="9"/>
  <c r="C55" i="9"/>
  <c r="D55" i="9"/>
  <c r="E55" i="9"/>
  <c r="F55" i="9"/>
  <c r="I55" i="9"/>
  <c r="J55" i="9"/>
  <c r="K55" i="9"/>
  <c r="L55" i="9"/>
  <c r="N55" i="9"/>
  <c r="O55" i="9"/>
  <c r="P55" i="9"/>
  <c r="M54" i="9" l="1"/>
  <c r="R54" i="9" s="1"/>
  <c r="M60" i="9"/>
  <c r="R60" i="9" s="1"/>
  <c r="M59" i="9"/>
  <c r="R59" i="9" s="1"/>
  <c r="M52" i="9"/>
  <c r="R52" i="9" s="1"/>
  <c r="G54" i="9"/>
  <c r="H54" i="9"/>
  <c r="M50" i="9"/>
  <c r="M55" i="9"/>
  <c r="H61" i="9"/>
  <c r="G61" i="9"/>
  <c r="M53" i="9"/>
  <c r="R53" i="9" s="1"/>
  <c r="H59" i="9"/>
  <c r="G59" i="9"/>
  <c r="G57" i="9"/>
  <c r="H57" i="9"/>
  <c r="M61" i="9"/>
  <c r="M58" i="9"/>
  <c r="G52" i="9"/>
  <c r="H52" i="9"/>
  <c r="M56" i="9"/>
  <c r="R56" i="9" s="1"/>
  <c r="G50" i="9"/>
  <c r="H50" i="9"/>
  <c r="H55" i="9"/>
  <c r="G55" i="9"/>
  <c r="M51" i="9"/>
  <c r="R51" i="9" s="1"/>
  <c r="G53" i="9"/>
  <c r="H53" i="9"/>
  <c r="H60" i="9"/>
  <c r="G60" i="9"/>
  <c r="G58" i="9"/>
  <c r="H58" i="9"/>
  <c r="G56" i="9"/>
  <c r="H56" i="9"/>
  <c r="M57" i="9"/>
  <c r="G51" i="9"/>
  <c r="H51" i="9"/>
  <c r="S54" i="9" l="1"/>
  <c r="T54" i="9" s="1"/>
  <c r="S60" i="9"/>
  <c r="T60" i="9" s="1"/>
  <c r="S59" i="9"/>
  <c r="T59" i="9" s="1"/>
  <c r="S52" i="9"/>
  <c r="T52" i="9" s="1"/>
  <c r="S51" i="9"/>
  <c r="T51" i="9" s="1"/>
  <c r="S53" i="9"/>
  <c r="T53" i="9" s="1"/>
  <c r="R57" i="9"/>
  <c r="S57" i="9"/>
  <c r="T57" i="9" s="1"/>
  <c r="R58" i="9"/>
  <c r="S58" i="9"/>
  <c r="T58" i="9" s="1"/>
  <c r="R61" i="9"/>
  <c r="S61" i="9"/>
  <c r="T61" i="9" s="1"/>
  <c r="R55" i="9"/>
  <c r="S55" i="9"/>
  <c r="T55" i="9" s="1"/>
  <c r="S50" i="9"/>
  <c r="T50" i="9" s="1"/>
  <c r="S56" i="9"/>
  <c r="T56" i="9" s="1"/>
  <c r="A3" i="9"/>
  <c r="B3" i="9"/>
  <c r="C3" i="9"/>
  <c r="D3" i="9"/>
  <c r="E3" i="9"/>
  <c r="F3" i="9"/>
  <c r="I3" i="9"/>
  <c r="J3" i="9"/>
  <c r="K3" i="9"/>
  <c r="L3" i="9"/>
  <c r="N3" i="9"/>
  <c r="O3" i="9"/>
  <c r="P3" i="9"/>
  <c r="A4" i="9"/>
  <c r="B4" i="9"/>
  <c r="C4" i="9"/>
  <c r="D4" i="9"/>
  <c r="E4" i="9"/>
  <c r="F4" i="9"/>
  <c r="I4" i="9"/>
  <c r="J4" i="9"/>
  <c r="K4" i="9"/>
  <c r="L4" i="9"/>
  <c r="N4" i="9"/>
  <c r="O4" i="9"/>
  <c r="P4" i="9"/>
  <c r="A3" i="8"/>
  <c r="B3" i="8"/>
  <c r="C3" i="8"/>
  <c r="E3" i="8"/>
  <c r="F3" i="8"/>
  <c r="I3" i="8"/>
  <c r="J3" i="8"/>
  <c r="K3" i="8"/>
  <c r="L3" i="8"/>
  <c r="N3" i="8"/>
  <c r="O3" i="8"/>
  <c r="P3" i="8"/>
  <c r="A6" i="8"/>
  <c r="B6" i="8"/>
  <c r="C6" i="8"/>
  <c r="D6" i="8"/>
  <c r="E6" i="8"/>
  <c r="F6" i="8"/>
  <c r="I6" i="8"/>
  <c r="J6" i="8"/>
  <c r="K6" i="8"/>
  <c r="L6" i="8"/>
  <c r="N6" i="8"/>
  <c r="O6" i="8"/>
  <c r="P6" i="8"/>
  <c r="A12" i="8"/>
  <c r="B12" i="8"/>
  <c r="C12" i="8"/>
  <c r="D12" i="8"/>
  <c r="E12" i="8"/>
  <c r="F12" i="8"/>
  <c r="I12" i="8"/>
  <c r="J12" i="8"/>
  <c r="K12" i="8"/>
  <c r="L12" i="8"/>
  <c r="N12" i="8"/>
  <c r="O12" i="8"/>
  <c r="P12" i="8"/>
  <c r="A18" i="8"/>
  <c r="B18" i="8"/>
  <c r="C18" i="8"/>
  <c r="D18" i="8"/>
  <c r="E18" i="8"/>
  <c r="F18" i="8"/>
  <c r="I18" i="8"/>
  <c r="J18" i="8"/>
  <c r="K18" i="8"/>
  <c r="L18" i="8"/>
  <c r="N18" i="8"/>
  <c r="O18" i="8"/>
  <c r="P18" i="8"/>
  <c r="A19" i="8"/>
  <c r="B19" i="8"/>
  <c r="C19" i="8"/>
  <c r="D19" i="8"/>
  <c r="E19" i="8"/>
  <c r="F19" i="8"/>
  <c r="I19" i="8"/>
  <c r="J19" i="8"/>
  <c r="K19" i="8"/>
  <c r="L19" i="8"/>
  <c r="N19" i="8"/>
  <c r="O19" i="8"/>
  <c r="P19" i="8"/>
  <c r="A23" i="8"/>
  <c r="B23" i="8"/>
  <c r="C23" i="8"/>
  <c r="D23" i="8"/>
  <c r="E23" i="8"/>
  <c r="F23" i="8"/>
  <c r="I23" i="8"/>
  <c r="J23" i="8"/>
  <c r="K23" i="8"/>
  <c r="L23" i="8"/>
  <c r="N23" i="8"/>
  <c r="O23" i="8"/>
  <c r="P23" i="8"/>
  <c r="A3" i="5"/>
  <c r="B3" i="5"/>
  <c r="C3" i="5"/>
  <c r="E3" i="5"/>
  <c r="F3" i="5"/>
  <c r="I3" i="5"/>
  <c r="J3" i="5"/>
  <c r="K3" i="5"/>
  <c r="L3" i="5"/>
  <c r="N3" i="5"/>
  <c r="O3" i="5"/>
  <c r="P3" i="5"/>
  <c r="A9" i="5"/>
  <c r="B9" i="5"/>
  <c r="C9" i="5"/>
  <c r="E9" i="5"/>
  <c r="F9" i="5"/>
  <c r="I9" i="5"/>
  <c r="J9" i="5"/>
  <c r="K9" i="5"/>
  <c r="L9" i="5"/>
  <c r="N9" i="5"/>
  <c r="O9" i="5"/>
  <c r="P9" i="5"/>
  <c r="C3" i="1"/>
  <c r="D3" i="1"/>
  <c r="E3" i="1"/>
  <c r="F3" i="1"/>
  <c r="I3" i="1"/>
  <c r="J3" i="1"/>
  <c r="K3" i="1"/>
  <c r="L3" i="1"/>
  <c r="N3" i="1"/>
  <c r="O3" i="1"/>
  <c r="P3" i="1"/>
  <c r="C4" i="1"/>
  <c r="D4" i="1"/>
  <c r="E4" i="1"/>
  <c r="F4" i="1"/>
  <c r="I4" i="1"/>
  <c r="J4" i="1"/>
  <c r="K4" i="1"/>
  <c r="L4" i="1"/>
  <c r="N4" i="1"/>
  <c r="O4" i="1"/>
  <c r="P4" i="1"/>
  <c r="C5" i="1"/>
  <c r="D5" i="1"/>
  <c r="E5" i="1"/>
  <c r="F5" i="1"/>
  <c r="I5" i="1"/>
  <c r="J5" i="1"/>
  <c r="K5" i="1"/>
  <c r="L5" i="1"/>
  <c r="N5" i="1"/>
  <c r="O5" i="1"/>
  <c r="P5" i="1"/>
  <c r="A3" i="6"/>
  <c r="B3" i="6"/>
  <c r="C3" i="6"/>
  <c r="D3" i="6"/>
  <c r="E3" i="6"/>
  <c r="F3" i="6"/>
  <c r="I3" i="6"/>
  <c r="J3" i="6"/>
  <c r="K3" i="6"/>
  <c r="L3" i="6"/>
  <c r="N3" i="6"/>
  <c r="O3" i="6"/>
  <c r="P3" i="6"/>
  <c r="A4" i="6"/>
  <c r="B4" i="6"/>
  <c r="C4" i="6"/>
  <c r="D4" i="6"/>
  <c r="E4" i="6"/>
  <c r="I4" i="6"/>
  <c r="J4" i="6"/>
  <c r="K4" i="6"/>
  <c r="L4" i="6"/>
  <c r="N4" i="6"/>
  <c r="O4" i="6"/>
  <c r="P4" i="6"/>
  <c r="B26" i="6"/>
  <c r="B14" i="6"/>
  <c r="G22" i="6"/>
  <c r="G5" i="6"/>
  <c r="G6" i="6"/>
  <c r="G23" i="6"/>
  <c r="G7" i="6"/>
  <c r="G8" i="6"/>
  <c r="G12" i="6"/>
  <c r="G9" i="6"/>
  <c r="G10" i="6"/>
  <c r="G24" i="6"/>
  <c r="G25" i="6"/>
  <c r="G13" i="6"/>
  <c r="G26" i="6"/>
  <c r="G27" i="6"/>
  <c r="G14" i="6"/>
  <c r="H22" i="6"/>
  <c r="H5" i="6"/>
  <c r="H6" i="6"/>
  <c r="H23" i="6"/>
  <c r="H7" i="6"/>
  <c r="H8" i="6"/>
  <c r="H12" i="6"/>
  <c r="H9" i="6"/>
  <c r="H10" i="6"/>
  <c r="H24" i="6"/>
  <c r="H25" i="6"/>
  <c r="H13" i="6"/>
  <c r="H26" i="6"/>
  <c r="H27" i="6"/>
  <c r="H14" i="6"/>
  <c r="M22" i="6"/>
  <c r="M5" i="6"/>
  <c r="R5" i="6" s="1"/>
  <c r="M6" i="6"/>
  <c r="R6" i="6" s="1"/>
  <c r="M23" i="6"/>
  <c r="R23" i="6" s="1"/>
  <c r="M7" i="6"/>
  <c r="R7" i="6" s="1"/>
  <c r="M8" i="6"/>
  <c r="R8" i="6" s="1"/>
  <c r="M12" i="6"/>
  <c r="R12" i="6" s="1"/>
  <c r="M9" i="6"/>
  <c r="R9" i="6" s="1"/>
  <c r="M10" i="6"/>
  <c r="R10" i="6" s="1"/>
  <c r="M24" i="6"/>
  <c r="R24" i="6" s="1"/>
  <c r="M25" i="6"/>
  <c r="R25" i="6" s="1"/>
  <c r="M13" i="6"/>
  <c r="R13" i="6" s="1"/>
  <c r="M26" i="6"/>
  <c r="R26" i="6" s="1"/>
  <c r="M27" i="6"/>
  <c r="R27" i="6" s="1"/>
  <c r="M14" i="6"/>
  <c r="R14" i="6" s="1"/>
  <c r="Q22" i="6"/>
  <c r="M9" i="5" l="1"/>
  <c r="Q4" i="6"/>
  <c r="M3" i="6"/>
  <c r="Q6" i="8"/>
  <c r="M3" i="8"/>
  <c r="S7" i="6"/>
  <c r="T7" i="6" s="1"/>
  <c r="S26" i="6"/>
  <c r="T26" i="6" s="1"/>
  <c r="S13" i="6"/>
  <c r="T13" i="6" s="1"/>
  <c r="S23" i="6"/>
  <c r="T23" i="6" s="1"/>
  <c r="H4" i="9"/>
  <c r="G4" i="9"/>
  <c r="Q4" i="9"/>
  <c r="M3" i="9"/>
  <c r="Q3" i="9"/>
  <c r="M4" i="9"/>
  <c r="G3" i="9"/>
  <c r="H3" i="9"/>
  <c r="Q3" i="8"/>
  <c r="Q12" i="8"/>
  <c r="M6" i="8"/>
  <c r="Q18" i="8"/>
  <c r="M23" i="8"/>
  <c r="G19" i="8"/>
  <c r="H19" i="8"/>
  <c r="Q19" i="8"/>
  <c r="M18" i="8"/>
  <c r="G12" i="8"/>
  <c r="H12" i="8"/>
  <c r="M12" i="8"/>
  <c r="G23" i="8"/>
  <c r="H23" i="8"/>
  <c r="G6" i="8"/>
  <c r="H6" i="8"/>
  <c r="G3" i="8"/>
  <c r="H3" i="8"/>
  <c r="Q23" i="8"/>
  <c r="M19" i="8"/>
  <c r="H18" i="8"/>
  <c r="G18" i="8"/>
  <c r="Q9" i="5"/>
  <c r="M3" i="5"/>
  <c r="G9" i="5"/>
  <c r="H9" i="5"/>
  <c r="G3" i="5"/>
  <c r="H3" i="5"/>
  <c r="Q3" i="5"/>
  <c r="Q5" i="1"/>
  <c r="G4" i="1"/>
  <c r="H4" i="1"/>
  <c r="M5" i="1"/>
  <c r="Q4" i="1"/>
  <c r="G3" i="1"/>
  <c r="H3" i="1"/>
  <c r="Q3" i="1"/>
  <c r="G5" i="1"/>
  <c r="H5" i="1"/>
  <c r="M4" i="1"/>
  <c r="M3" i="1"/>
  <c r="S10" i="6"/>
  <c r="T10" i="6" s="1"/>
  <c r="Q3" i="6"/>
  <c r="S9" i="6"/>
  <c r="T9" i="6" s="1"/>
  <c r="S5" i="6"/>
  <c r="T5" i="6" s="1"/>
  <c r="S24" i="6"/>
  <c r="T24" i="6" s="1"/>
  <c r="M4" i="6"/>
  <c r="H3" i="6"/>
  <c r="G3" i="6"/>
  <c r="R22" i="6"/>
  <c r="S22" i="6" s="1"/>
  <c r="T22" i="6" s="1"/>
  <c r="S14" i="6"/>
  <c r="T14" i="6" s="1"/>
  <c r="S12" i="6"/>
  <c r="T12" i="6" s="1"/>
  <c r="S8" i="6"/>
  <c r="T8" i="6" s="1"/>
  <c r="G4" i="6"/>
  <c r="H4" i="6"/>
  <c r="S6" i="6"/>
  <c r="T6" i="6" s="1"/>
  <c r="S27" i="6"/>
  <c r="T27" i="6" s="1"/>
  <c r="S25" i="6"/>
  <c r="T25" i="6" s="1"/>
  <c r="B48" i="9"/>
  <c r="B16" i="9"/>
  <c r="B17" i="9"/>
  <c r="B47" i="9"/>
  <c r="B15" i="9"/>
  <c r="B14" i="9"/>
  <c r="B46" i="9"/>
  <c r="B45" i="9"/>
  <c r="B18" i="9"/>
  <c r="B49" i="9"/>
  <c r="A44" i="9"/>
  <c r="B44" i="9" s="1"/>
  <c r="A12" i="9"/>
  <c r="B12" i="9" s="1"/>
  <c r="A13" i="9"/>
  <c r="B13" i="9" s="1"/>
  <c r="B43" i="9"/>
  <c r="A11" i="9"/>
  <c r="B11" i="9" s="1"/>
  <c r="B34" i="8"/>
  <c r="G4" i="8"/>
  <c r="A36" i="8"/>
  <c r="B36" i="8" s="1"/>
  <c r="A35" i="8"/>
  <c r="B35" i="8" s="1"/>
  <c r="A32" i="8"/>
  <c r="B32" i="8" s="1"/>
  <c r="B33" i="8"/>
  <c r="A31" i="8"/>
  <c r="B31" i="8" s="1"/>
  <c r="A28" i="8"/>
  <c r="B28" i="8" s="1"/>
  <c r="A24" i="8"/>
  <c r="B24" i="8" s="1"/>
  <c r="B27" i="8"/>
  <c r="A20" i="8"/>
  <c r="B20" i="8" s="1"/>
  <c r="A21" i="8"/>
  <c r="B21" i="8" s="1"/>
  <c r="A22" i="8"/>
  <c r="B22" i="8" s="1"/>
  <c r="B14" i="8"/>
  <c r="A13" i="8"/>
  <c r="B13" i="8" s="1"/>
  <c r="G13" i="7"/>
  <c r="H13" i="7"/>
  <c r="A27" i="6"/>
  <c r="B27" i="6" s="1"/>
  <c r="R3" i="6" l="1"/>
  <c r="S3" i="6" s="1"/>
  <c r="T3" i="6" s="1"/>
  <c r="R9" i="5"/>
  <c r="S9" i="5" s="1"/>
  <c r="T9" i="5" s="1"/>
  <c r="R12" i="8"/>
  <c r="S12" i="8" s="1"/>
  <c r="T12" i="8" s="1"/>
  <c r="R19" i="8"/>
  <c r="S19" i="8" s="1"/>
  <c r="T19" i="8" s="1"/>
  <c r="R4" i="6"/>
  <c r="S4" i="6" s="1"/>
  <c r="T4" i="6" s="1"/>
  <c r="R4" i="1"/>
  <c r="S4" i="1" s="1"/>
  <c r="T4" i="1" s="1"/>
  <c r="R6" i="8"/>
  <c r="S6" i="8" s="1"/>
  <c r="T6" i="8" s="1"/>
  <c r="R4" i="9"/>
  <c r="S4" i="9" s="1"/>
  <c r="T4" i="9" s="1"/>
  <c r="R3" i="9"/>
  <c r="S3" i="9" s="1"/>
  <c r="T3" i="9" s="1"/>
  <c r="R3" i="8"/>
  <c r="S3" i="8" s="1"/>
  <c r="T3" i="8" s="1"/>
  <c r="R18" i="8"/>
  <c r="S18" i="8" s="1"/>
  <c r="T18" i="8" s="1"/>
  <c r="R23" i="8"/>
  <c r="S23" i="8" s="1"/>
  <c r="T23" i="8" s="1"/>
  <c r="R3" i="5"/>
  <c r="S3" i="5" s="1"/>
  <c r="T3" i="5" s="1"/>
  <c r="R3" i="1"/>
  <c r="S3" i="1" s="1"/>
  <c r="T3" i="1" s="1"/>
  <c r="R5" i="1"/>
  <c r="S5" i="1" s="1"/>
  <c r="T5" i="1" s="1"/>
  <c r="A24" i="6"/>
  <c r="B24" i="6" s="1"/>
  <c r="A25" i="6"/>
  <c r="B25" i="6" s="1"/>
  <c r="A13" i="6"/>
  <c r="B13" i="6" s="1"/>
  <c r="A5" i="6" l="1"/>
  <c r="B5" i="6" s="1"/>
  <c r="A6" i="6"/>
  <c r="B6" i="6" s="1"/>
  <c r="A23" i="6"/>
  <c r="B23" i="6" s="1"/>
  <c r="A7" i="6"/>
  <c r="B7" i="6" s="1"/>
  <c r="A8" i="6"/>
  <c r="B8" i="6" s="1"/>
  <c r="A12" i="6"/>
  <c r="B12" i="6" s="1"/>
  <c r="A9" i="6"/>
  <c r="B9" i="6" s="1"/>
  <c r="A10" i="6"/>
  <c r="B10" i="6" s="1"/>
  <c r="H39" i="9" l="1"/>
  <c r="G39" i="9"/>
  <c r="H4" i="8"/>
  <c r="H7" i="5"/>
  <c r="G7" i="5"/>
  <c r="H43" i="1"/>
  <c r="G43" i="1"/>
  <c r="A13" i="7"/>
  <c r="A10" i="9" l="1"/>
  <c r="A42" i="9"/>
  <c r="A9" i="9"/>
  <c r="A41" i="9"/>
  <c r="A8" i="9"/>
  <c r="A7" i="9"/>
  <c r="B7" i="9" s="1"/>
  <c r="A40" i="9"/>
  <c r="A6" i="9"/>
  <c r="A5" i="9"/>
  <c r="Q39" i="9"/>
  <c r="M39" i="9"/>
  <c r="A39" i="9"/>
  <c r="A17" i="8"/>
  <c r="A16" i="8"/>
  <c r="A10" i="8"/>
  <c r="A9" i="8"/>
  <c r="A11" i="8"/>
  <c r="A7" i="8"/>
  <c r="Q4" i="8"/>
  <c r="M4" i="8"/>
  <c r="A4" i="8"/>
  <c r="A8" i="8"/>
  <c r="A3" i="7"/>
  <c r="Q13" i="7"/>
  <c r="M13" i="7"/>
  <c r="B13" i="7"/>
  <c r="A9" i="7"/>
  <c r="A26" i="7"/>
  <c r="A22" i="6"/>
  <c r="B22" i="6" s="1"/>
  <c r="B4" i="8" l="1"/>
  <c r="B26" i="7"/>
  <c r="B11" i="8"/>
  <c r="B6" i="9"/>
  <c r="B9" i="9"/>
  <c r="B16" i="8"/>
  <c r="B39" i="9"/>
  <c r="B8" i="9"/>
  <c r="B9" i="7"/>
  <c r="B9" i="8"/>
  <c r="B40" i="9"/>
  <c r="B42" i="9"/>
  <c r="B8" i="8"/>
  <c r="B17" i="8"/>
  <c r="B7" i="8"/>
  <c r="B5" i="9"/>
  <c r="B3" i="7"/>
  <c r="B10" i="8"/>
  <c r="B10" i="9"/>
  <c r="R39" i="9"/>
  <c r="R13" i="7"/>
  <c r="S13" i="7" s="1"/>
  <c r="T13" i="7" s="1"/>
  <c r="R4" i="8"/>
  <c r="S4" i="8" s="1"/>
  <c r="T4" i="8" s="1"/>
  <c r="B41" i="9"/>
  <c r="A14" i="5"/>
  <c r="S39" i="9" l="1"/>
  <c r="T39" i="9" s="1"/>
  <c r="B14" i="5"/>
  <c r="A38" i="5"/>
  <c r="B38" i="5" l="1"/>
  <c r="A10" i="5"/>
  <c r="A31" i="5"/>
  <c r="A35" i="5"/>
  <c r="A19" i="5"/>
  <c r="A20" i="5"/>
  <c r="A13" i="5"/>
  <c r="A7" i="5"/>
  <c r="A4" i="5"/>
  <c r="B4" i="5" s="1"/>
  <c r="A8" i="5"/>
  <c r="A18" i="5"/>
  <c r="M7" i="5"/>
  <c r="Q7" i="5"/>
  <c r="B10" i="5"/>
  <c r="B20" i="5" l="1"/>
  <c r="B19" i="5"/>
  <c r="B31" i="5"/>
  <c r="B8" i="5"/>
  <c r="B7" i="5"/>
  <c r="B35" i="5"/>
  <c r="B13" i="5"/>
  <c r="B18" i="5"/>
  <c r="R7" i="5"/>
  <c r="S7" i="5" s="1"/>
  <c r="T7" i="5" s="1"/>
  <c r="A43" i="1"/>
  <c r="A10" i="1"/>
  <c r="B10" i="1" s="1"/>
  <c r="A11" i="1"/>
  <c r="B11" i="1" s="1"/>
  <c r="B43" i="1" l="1"/>
  <c r="M43" i="1"/>
  <c r="Q43" i="1"/>
  <c r="R43" i="1" l="1"/>
  <c r="S43" i="1" s="1"/>
  <c r="T4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70F4980-C38F-4020-B285-71A7AA549B12}" keepAlive="1" name="Requête - Ajouter1" description="Connexion à la requête « Ajouter1 » dans le classeur." type="5" refreshedVersion="6" background="1" refreshOnLoad="1" saveData="1">
    <dbPr connection="Provider=Microsoft.Mashup.OleDb.1;Data Source=$Workbook$;Location=Ajouter1;Extended Properties=&quot;&quot;" command="SELECT * FROM [Ajouter1]"/>
  </connection>
  <connection id="2" xr16:uid="{0ECC1F35-9F86-4D8F-B185-9C602F480DDB}" keepAlive="1" name="Requête - T_1" description="Connexion à la requête « T_1 » dans le classeur." type="5" refreshedVersion="6" background="1" saveData="1">
    <dbPr connection="Provider=Microsoft.Mashup.OleDb.1;Data Source=$Workbook$;Location=T_1;Extended Properties=&quot;&quot;" command="SELECT * FROM [T_1]"/>
  </connection>
  <connection id="3" xr16:uid="{2BBE2D5C-1253-405B-9C03-5278B6D59636}" keepAlive="1" name="Requête - T_2" description="Connexion à la requête « T_2 » dans le classeur." type="5" refreshedVersion="6" background="1" saveData="1">
    <dbPr connection="Provider=Microsoft.Mashup.OleDb.1;Data Source=$Workbook$;Location=T_2;Extended Properties=&quot;&quot;" command="SELECT * FROM [T_2]"/>
  </connection>
  <connection id="4" xr16:uid="{64FC8B21-0131-4509-AD0C-C1D3A7966D2C}" keepAlive="1" name="Requête - T_3" description="Connexion à la requête « T_3 » dans le classeur." type="5" refreshedVersion="6" background="1" saveData="1">
    <dbPr connection="Provider=Microsoft.Mashup.OleDb.1;Data Source=$Workbook$;Location=T_3;Extended Properties=&quot;&quot;" command="SELECT * FROM [T_3]"/>
  </connection>
  <connection id="5" xr16:uid="{FD23BEF4-A8FD-48BA-BB6D-C916405F35CE}" keepAlive="1" name="Requête - T_4" description="Connexion à la requête « T_4 » dans le classeur." type="5" refreshedVersion="6" background="1" saveData="1">
    <dbPr connection="Provider=Microsoft.Mashup.OleDb.1;Data Source=$Workbook$;Location=T_4;Extended Properties=&quot;&quot;" command="SELECT * FROM [T_4]"/>
  </connection>
  <connection id="6" xr16:uid="{321A7BC8-68DF-47A4-AD4F-69564DAC1CC2}" keepAlive="1" name="Requête - T_5" description="Connexion à la requête « T_5 » dans le classeur." type="5" refreshedVersion="6" background="1" saveData="1">
    <dbPr connection="Provider=Microsoft.Mashup.OleDb.1;Data Source=$Workbook$;Location=T_5;Extended Properties=&quot;&quot;" command="SELECT * FROM [T_5]"/>
  </connection>
  <connection id="7" xr16:uid="{C0E7B648-FED4-4CF7-ACE1-B48F23EB5EDA}" keepAlive="1" name="Requête - T_6" description="Connexion à la requête « T_6 » dans le classeur." type="5" refreshedVersion="6" background="1" saveData="1">
    <dbPr connection="Provider=Microsoft.Mashup.OleDb.1;Data Source=$Workbook$;Location=T_6;Extended Properties=&quot;&quot;" command="SELECT * FROM [T_6]"/>
  </connection>
</connections>
</file>

<file path=xl/sharedStrings.xml><?xml version="1.0" encoding="utf-8"?>
<sst xmlns="http://schemas.openxmlformats.org/spreadsheetml/2006/main" count="6240" uniqueCount="264">
  <si>
    <t>Lot</t>
  </si>
  <si>
    <t>Tâche</t>
  </si>
  <si>
    <t>S/Tâche</t>
  </si>
  <si>
    <t>Partenaires</t>
  </si>
  <si>
    <t>Autres charges</t>
  </si>
  <si>
    <t>ACh Type</t>
  </si>
  <si>
    <t>ACh Qu</t>
  </si>
  <si>
    <t>ACh PU</t>
  </si>
  <si>
    <t>ACh CT</t>
  </si>
  <si>
    <t>P Type</t>
  </si>
  <si>
    <t>P Qu</t>
  </si>
  <si>
    <t>P PU</t>
  </si>
  <si>
    <t>P CT</t>
  </si>
  <si>
    <t>Ct TOTAL</t>
  </si>
  <si>
    <t>Partenaire</t>
  </si>
  <si>
    <t>CEREMA</t>
  </si>
  <si>
    <t>Guilde</t>
  </si>
  <si>
    <t>IP-UCA</t>
  </si>
  <si>
    <t>AKTA</t>
  </si>
  <si>
    <t>ParexLanko</t>
  </si>
  <si>
    <t>Vicat</t>
  </si>
  <si>
    <t>Autres</t>
  </si>
  <si>
    <t>UniLaSalle</t>
  </si>
  <si>
    <t>État de l’art, concertation et positionnent de la norme</t>
  </si>
  <si>
    <t>Gouvernance et suivi du programme</t>
  </si>
  <si>
    <t>Carte d’identité des granulats végétaux</t>
  </si>
  <si>
    <t>Test de validation des procédures et de la caractéris.</t>
  </si>
  <si>
    <t>Structuration d’une prénorme</t>
  </si>
  <si>
    <t>Communication et valorisation</t>
  </si>
  <si>
    <t>NoLot</t>
  </si>
  <si>
    <t>Lot_1</t>
  </si>
  <si>
    <t>Lot_2</t>
  </si>
  <si>
    <t>Lot_3</t>
  </si>
  <si>
    <t>Lot_4</t>
  </si>
  <si>
    <t>Lot_5</t>
  </si>
  <si>
    <t>Lot_6</t>
  </si>
  <si>
    <t>N° Lot</t>
  </si>
  <si>
    <t>Observations</t>
  </si>
  <si>
    <t>BioBuild Concept</t>
  </si>
  <si>
    <t>Étiquettes de lignes</t>
  </si>
  <si>
    <t>Total général</t>
  </si>
  <si>
    <t>Personnel</t>
  </si>
  <si>
    <t>TOTAL</t>
  </si>
  <si>
    <t>Achat</t>
  </si>
  <si>
    <t>CHOISIR DANS LA LISTE</t>
  </si>
  <si>
    <t>Déplacements</t>
  </si>
  <si>
    <t>Chef de projet</t>
  </si>
  <si>
    <r>
      <t xml:space="preserve">Coût de personnel (Salaires chargés) 
</t>
    </r>
    <r>
      <rPr>
        <b/>
        <sz val="10"/>
        <color rgb="FFFFFFFF"/>
        <rFont val="Calibri"/>
        <family val="2"/>
        <scheme val="minor"/>
      </rPr>
      <t>Unité en jours, mois ou année</t>
    </r>
  </si>
  <si>
    <t>ST 4</t>
  </si>
  <si>
    <t>CHOISIR_DANS_LA_LISTE</t>
  </si>
  <si>
    <t>T1_Suivi_administratif_et_financier</t>
  </si>
  <si>
    <t>T2_Comité_de_pilotage_et_de_suivi</t>
  </si>
  <si>
    <t>T3_Comité_scientifique_et_technique</t>
  </si>
  <si>
    <t>T1_Bibliographie_et_synthèse</t>
  </si>
  <si>
    <t>T2_Consultation_des_acteurs</t>
  </si>
  <si>
    <t>T4_Analyse_de_la_nomenclature_des_normes_positionnement_de_la_future_norme</t>
  </si>
  <si>
    <t>T5_Atelier_de_concertation</t>
  </si>
  <si>
    <t>T3_Consultation_des_organes_de_normalisation</t>
  </si>
  <si>
    <t>DEFINIR LA TACHE !</t>
  </si>
  <si>
    <t>ST 3 Réunion cadrge</t>
  </si>
  <si>
    <t>T1_Validation_des_caractéristiques_pertinentes</t>
  </si>
  <si>
    <t>T2_Rédaction_des_protocoles_de_caractérisation</t>
  </si>
  <si>
    <t xml:space="preserve">T3_Identification_des_indicateurs_environnementaux </t>
  </si>
  <si>
    <t>T1_Commission_prénormalisation</t>
  </si>
  <si>
    <t>T2_Vocabulaire_définition_termes_utilisés</t>
  </si>
  <si>
    <t>T3_Rédaction_proposition_prénorme</t>
  </si>
  <si>
    <t>T1_Site_Internet</t>
  </si>
  <si>
    <t>T2_Publications</t>
  </si>
  <si>
    <t>T3_Conférences_Séminaires</t>
  </si>
  <si>
    <t>LOT 1</t>
  </si>
  <si>
    <t>LOT 2</t>
  </si>
  <si>
    <t>LOT 3</t>
  </si>
  <si>
    <t>LOT 4</t>
  </si>
  <si>
    <t>LOT 5</t>
  </si>
  <si>
    <t>LOT 6</t>
  </si>
  <si>
    <t>Tx Charge Connexe</t>
  </si>
  <si>
    <t>Eligible</t>
  </si>
  <si>
    <t>Tx Sub</t>
  </si>
  <si>
    <t>Tx Ch Connexe</t>
  </si>
  <si>
    <t>ENTPE</t>
  </si>
  <si>
    <t>OuiNon</t>
  </si>
  <si>
    <t>Non</t>
  </si>
  <si>
    <t>Oui</t>
  </si>
  <si>
    <t>Mt Elligible</t>
  </si>
  <si>
    <t>Sub Possible</t>
  </si>
  <si>
    <t xml:space="preserve"> Elligible</t>
  </si>
  <si>
    <t>Subv. Possible</t>
  </si>
  <si>
    <t>ST 1 Organisation, animation, reporting</t>
  </si>
  <si>
    <t>ST 2 Participation aux réunions du CST</t>
  </si>
  <si>
    <t>Elligible</t>
  </si>
  <si>
    <t>Sub. Possible</t>
  </si>
  <si>
    <t>Nb Jrs</t>
  </si>
  <si>
    <t>NB Jrs</t>
  </si>
  <si>
    <t>N°</t>
  </si>
  <si>
    <t>ST 3 Integration des contenus et animation</t>
  </si>
  <si>
    <t>ST 1 Réorganisation du site Sable Vert et outil de capitalisation</t>
  </si>
  <si>
    <t>ST 1 Publications scientifiques</t>
  </si>
  <si>
    <t>ST 2 Publications techniques</t>
  </si>
  <si>
    <t>ST 3 Relations presse</t>
  </si>
  <si>
    <t>ST1 Plan de communication</t>
  </si>
  <si>
    <t>ST 2 Conférences organisées par Sable Vert</t>
  </si>
  <si>
    <t>ST 3 Participation à des événements externes</t>
  </si>
  <si>
    <t xml:space="preserve">ST 2 Rédaction des contenus  </t>
  </si>
  <si>
    <t>ST 1 Suvi de l'avancement et coordination du projet</t>
  </si>
  <si>
    <t>ST 1 Organisation, animation, reporting des réunions du Copil</t>
  </si>
  <si>
    <t>ST 3 Participation aux réunions du COPIL</t>
  </si>
  <si>
    <t>ST 1 Gestion adminitrative et financière</t>
  </si>
  <si>
    <t>ST 2 Reporting général et relations avec les bailleurs</t>
  </si>
  <si>
    <t>ST1 Analyse bibliographique</t>
  </si>
  <si>
    <t xml:space="preserve">ST2 Concertation, mise en commun des différentes équipes impliquées </t>
  </si>
  <si>
    <t>ST3 Rédaction de la synthèse</t>
  </si>
  <si>
    <t>ST1 Identification des acteurs, annuaire et schéma de filière</t>
  </si>
  <si>
    <t>ST2 Concertation pour receuillir les points de vigilances : entretiens perosnnalisés</t>
  </si>
  <si>
    <t>ST3 Concertation pour receuillir les points de vigilances : ateliers par typologies d'acteurs</t>
  </si>
  <si>
    <t>ST4 Rédaction d'une synthèse des informations issues des concertations avec les différents acteurs</t>
  </si>
  <si>
    <t>ST1 Concertation avec les différents organismes de normalisation</t>
  </si>
  <si>
    <t>ST2 Redaction des rapports de réunions</t>
  </si>
  <si>
    <t>ST1 Analyse du corpus normatif</t>
  </si>
  <si>
    <t>ST2 Rédaction des adaptations necessaires pour les essais des lots techniques</t>
  </si>
  <si>
    <t xml:space="preserve">ST1 Organisation d'un séminaire en fin de lot 2 </t>
  </si>
  <si>
    <t>ST2 Participation au séminaire de concertation</t>
  </si>
  <si>
    <t>ST3 Compilation et synthèse des travaux du lot 2</t>
  </si>
  <si>
    <t>ST 1 Sélection des granulats et livraison aux participants des tests inter-laboratoires</t>
  </si>
  <si>
    <t>ST1 Réunions de concertation par rapport aux granulats tests</t>
  </si>
  <si>
    <t>ST2 Réunion d’échanges pour les autres granulats</t>
  </si>
  <si>
    <t>ST3 Rédaction d'un rapport d'analyses</t>
  </si>
  <si>
    <t xml:space="preserve">ST1 Structuration et organisation de la "commission élargie" </t>
  </si>
  <si>
    <t>ST2 Mise en place du "comité de suivi" et de "groupes techniques"</t>
  </si>
  <si>
    <t>ST3 Réunions de la commission : organisation et animation</t>
  </si>
  <si>
    <t>ST4 Participation aux réunions de la commission</t>
  </si>
  <si>
    <t>ST5 Rédaction des PV de réunion</t>
  </si>
  <si>
    <t>ST1 Identification des termes techniques nécessitant d’être spécifiés et des définitions préexistante</t>
  </si>
  <si>
    <t>ST2 Propositions de définitions complémentaires au comité scientifique et à la commission de pré-normalisation</t>
  </si>
  <si>
    <t>ST1 Phase préliminaire : définir la stratégie normative</t>
  </si>
  <si>
    <t xml:space="preserve">ST2 Phase de rédaction  de la prénorme </t>
  </si>
  <si>
    <t>Gatichanvre</t>
  </si>
  <si>
    <t>Sous Traitance</t>
  </si>
  <si>
    <t>ST1 Détermination des données environnementales clefs</t>
  </si>
  <si>
    <t>ST2 Analyse des difficultés / Caractérisation de la robustesse du modèle</t>
  </si>
  <si>
    <t>ST1 Réunions de concertation / analyse critique des pratiques</t>
  </si>
  <si>
    <t>ST2 Analyse des valeurs</t>
  </si>
  <si>
    <t>ST3 Discussions des essais à conduire en lot 4</t>
  </si>
  <si>
    <t>ST4 Rédaction des protocoles</t>
  </si>
  <si>
    <t>ST1 Analyse des contributions / données liées aux granulats</t>
  </si>
  <si>
    <t>ST2 Synthèse des données pour la CI</t>
  </si>
  <si>
    <t>ST 2 Tests de caractérisation</t>
  </si>
  <si>
    <t>ST 3 Rédaction de la bdd experimenale – Analyse statistique – Variabilité</t>
  </si>
  <si>
    <t>T2_Définition_des_gammes_de_variations_acceptables</t>
  </si>
  <si>
    <t>ST 1 Etude comparative de différents granulats</t>
  </si>
  <si>
    <t>ST 2 comparaison intra-caractéristique et inter-caractéristique</t>
  </si>
  <si>
    <t xml:space="preserve">ST 1 Rédaction des cartes d’identité défini dans le Lot 3 pour les quatre matières premières avec une gamme de variation issue de l’analyse statistique réalisée en sous tâche 4.2.2
</t>
  </si>
  <si>
    <t>T1_Caractérisation_matières_premières</t>
  </si>
  <si>
    <t>T3_Rédaction_des_Cartes_Identité_des_granulats</t>
  </si>
  <si>
    <t xml:space="preserve">T4_Evaluation_impacts_environnementaux </t>
  </si>
  <si>
    <t>4 réunions en présentiels / 3 réunions en visio</t>
  </si>
  <si>
    <t>Chargé de mission</t>
  </si>
  <si>
    <t xml:space="preserve"> 2 réunions en présentiel</t>
  </si>
  <si>
    <t xml:space="preserve"> 3 réunions en présentiel</t>
  </si>
  <si>
    <t>Relecture</t>
  </si>
  <si>
    <t>Sous-Traitance</t>
  </si>
  <si>
    <t>Concertation Relecture</t>
  </si>
  <si>
    <t>Concpetion du séminaire</t>
  </si>
  <si>
    <t>Conception / préparation</t>
  </si>
  <si>
    <t>Sous-traitance</t>
  </si>
  <si>
    <t>4 réunions en 3 ans  2 en physique 2 en dématérialisées.</t>
  </si>
  <si>
    <t>4 réunions en 3 ans  2 en physique 2 en dématérialisées. /Prise en charge de faris de déplacments de 2 fois 30 personnes</t>
  </si>
  <si>
    <t>Prestataire externe</t>
  </si>
  <si>
    <t>LOT 6 Communication et valorisation</t>
  </si>
  <si>
    <t>Rédaction des paragraphes par les "groupes techniques" Modification et validation de chaque paragraphe par la "commission élargie"
===&gt; dossiers partagés, communication sur l'avancement , validation, commentaires, (voir outil AFNOR)</t>
  </si>
  <si>
    <t xml:space="preserve">Sur la base des résultats et conclusions de la tâches 2.4 et des avis des organismes de Certification, Définir et faire valider à la commission la structure  et les objectifs de la norme sur la base des résultats obtenus sur les LOTS 2-3 et 4. Réunions en conf call selon. </t>
  </si>
  <si>
    <t>Le comité de suivi définira terminologie définitive de la prénorme sur la base des tâches 2.4 et des résultats des lots techniques 3 et 4.  Points d'avancement (Conf call ou visio entre la commission de suivi)</t>
  </si>
  <si>
    <t>Le comité de suivi, sur la base de l'état de lieux sur les normes existantes analyser les possibles terminologies techniques à utiliser. Points d'avancement (Conf call ou visio entre la commission de suivi)</t>
  </si>
  <si>
    <t>compte rendu des réunions de la commission et des groupes d</t>
  </si>
  <si>
    <t>4 réunions en 3 ans  2 en physique 2 en dématérialisées. 
Point d'avancement entre les groupes techniques (conf call ou visio)</t>
  </si>
  <si>
    <t>1/ Désignation du "comité de suivi"
2/ Désignation des membres des "groupes techniques"</t>
  </si>
  <si>
    <t>1/ Annuaire des acteurs (à partir de l'annuaire établit dans le Lot 2 T2 / ST1
2/ Structuration de la commission (Comité de suivi, groupes de travail thématiques)
3/ Modalité de fonctionnement (prise de décisions, convocations, fonctionnement de réunions, etc.)</t>
  </si>
  <si>
    <t>LOT 5 Structuration d’une prénorme</t>
  </si>
  <si>
    <t>ST1 Evaluation des données environnementales clefs</t>
  </si>
  <si>
    <t>A)   Méthode Echantillonage 
B)   Taux d'Humidité 
C)   Masse Volumique vrac 
D)   Granulo tamisage  - Taux de poussiere-taux de fibres
E)   Granulo Analyse d'image 
F)    Taux d'absorption eau 
G)   conductivité thermique fluxmetrique 
H)   Conductivité thermique fil chaud 
I)     Analyses des extractibles</t>
  </si>
  <si>
    <t>LOT 4 Test de validation des procédures et de la caractéris.</t>
  </si>
  <si>
    <t>ST4 Synthèse des données pour la CI</t>
  </si>
  <si>
    <t>Vérification des bornes min et max</t>
  </si>
  <si>
    <t>Réflexions à mener sur la précision des mesures et la variabilité des valeurs</t>
  </si>
  <si>
    <t>4 réunions prévues (2 en présentiel et 2 en dématérialisé).  L'une des réunions sera dédiée aux aspects "chimie".</t>
  </si>
  <si>
    <t>Ce rapport synthétise et explique les différents choix effectués</t>
  </si>
  <si>
    <t>En dématérialisé</t>
  </si>
  <si>
    <t>2 réunions prévues en dématérialisé</t>
  </si>
  <si>
    <t>LOT 3 Carte d’identité des granulats végétaux</t>
  </si>
  <si>
    <t>1/ National
2/ Europe</t>
  </si>
  <si>
    <t>1/ organisation des séminaires
2/ animation
3/ rédaction des synthèse</t>
  </si>
  <si>
    <t>1/ Rédaction d'une grille d'interview
2/ Interview (téléphone)</t>
  </si>
  <si>
    <t>ST2 Concertation pour receuillir les points de vigilances : entretiens personnalisés</t>
  </si>
  <si>
    <t>1/ des acteurs producteurs de granulats végétaux, 
2/ des acteurs utilisatueurs de granulats végétaux</t>
  </si>
  <si>
    <t>1/ des différents protocoles de caractérisation, 
2/des propriétés physiques des granulats, 3/des propriétés chimiques des granulats, 
4/ des facteurs d'influence des propriétés, 
5/ de la variabilité des propriétés</t>
  </si>
  <si>
    <t>LOT 2 État de l’art, concertation et positionnent de la norme</t>
  </si>
  <si>
    <t>2 réunions</t>
  </si>
  <si>
    <t>ST 2 Organisation, animation, reporting des réunions du Copil</t>
  </si>
  <si>
    <t>LOT 1 Gouvernance et suivi du programme</t>
  </si>
  <si>
    <t>(vide)</t>
  </si>
  <si>
    <t>4 réunions en présentiel, 3 réunions dématérialisées</t>
  </si>
  <si>
    <t>2 réunions presentiel</t>
  </si>
  <si>
    <t>déplacements</t>
  </si>
  <si>
    <t xml:space="preserve">Chargée de recherche </t>
  </si>
  <si>
    <t xml:space="preserve">Déplacements </t>
  </si>
  <si>
    <t>2 réunions de concertation par rapport aux granulats tests</t>
  </si>
  <si>
    <t>chargée de recherche</t>
  </si>
  <si>
    <t>Réunion d’échanges pour les autres granulats</t>
  </si>
  <si>
    <t>ST1 Analyse bibliographique des procédures existantes</t>
  </si>
  <si>
    <t>physique / mécanique / thermique / acoustique / chimiques (granulat / lixiviation)</t>
  </si>
  <si>
    <t>ST3 Analyse des valeurs</t>
  </si>
  <si>
    <t>précision des mesures / variabilité des valeurs</t>
  </si>
  <si>
    <t>ST4 Discussions des essais à conduire en lot 4</t>
  </si>
  <si>
    <t>vérification des bornes min et max</t>
  </si>
  <si>
    <t>ST1 Analyse bibliographique des fiches de déclaration ES</t>
  </si>
  <si>
    <t>ST2 Analyse des contributions / données liées aux granulats</t>
  </si>
  <si>
    <t>ST3 Synthèse des données pour la CI</t>
  </si>
  <si>
    <t>Chargée de recherche</t>
  </si>
  <si>
    <t>technicien</t>
  </si>
  <si>
    <t xml:space="preserve">Consommables / Entretien réparation </t>
  </si>
  <si>
    <t xml:space="preserve">PRCE </t>
  </si>
  <si>
    <t>PR1</t>
  </si>
  <si>
    <t>Doctorant</t>
  </si>
  <si>
    <t>PRCE</t>
  </si>
  <si>
    <t>5 jours</t>
  </si>
  <si>
    <t xml:space="preserve">mécanismes (3) / chimie - 4 réunions de concertation </t>
  </si>
  <si>
    <t xml:space="preserve">4 réunions de concertation </t>
  </si>
  <si>
    <t>Contact + Sélection</t>
  </si>
  <si>
    <t>Essais interlaboratoires sur 4 granulats</t>
  </si>
  <si>
    <t>Synthèse</t>
  </si>
  <si>
    <t>Stat</t>
  </si>
  <si>
    <t>Rédac</t>
  </si>
  <si>
    <t>PR CE</t>
  </si>
  <si>
    <t>Petits Materiels</t>
  </si>
  <si>
    <t>Réunion</t>
  </si>
  <si>
    <t>Jrs</t>
  </si>
  <si>
    <t>C Personnel</t>
  </si>
  <si>
    <t>Charges diverses</t>
  </si>
  <si>
    <t>Subv Possible</t>
  </si>
  <si>
    <t>ITPE Chercheur</t>
  </si>
  <si>
    <t>Master Recherche</t>
  </si>
  <si>
    <t>Post-Doctorant</t>
  </si>
  <si>
    <t>Ingénieur</t>
  </si>
  <si>
    <t>Déplacement</t>
  </si>
  <si>
    <t>Post-doctorant</t>
  </si>
  <si>
    <t>Expert</t>
  </si>
  <si>
    <t>2 réunions en présentiel</t>
  </si>
  <si>
    <t>Directeur de projet</t>
  </si>
  <si>
    <t>2 jours</t>
  </si>
  <si>
    <t>2 réunions en présentiel et 2 en dématérialisé</t>
  </si>
  <si>
    <t>Personnel technique</t>
  </si>
  <si>
    <t>Mobilisation de dispositifs expérimentaux</t>
  </si>
  <si>
    <t>oui</t>
  </si>
  <si>
    <t xml:space="preserve">1 réunion en présentiel </t>
  </si>
  <si>
    <t>déplacement</t>
  </si>
  <si>
    <t>RH</t>
  </si>
  <si>
    <t xml:space="preserve"> 4 réunions en 3 ans  2 en physique 2 en dématérialisées.</t>
  </si>
  <si>
    <t>ST 1 Création de la Commission</t>
  </si>
  <si>
    <t xml:space="preserve">concertation des acteurs et défnir les rôles et le fonctionement </t>
  </si>
  <si>
    <t>Collecte info biblio / rédaction / synthèse sur COLZA et TOURNESOL</t>
  </si>
  <si>
    <t>Chargé de projet (ingénieur  R&amp;D)</t>
  </si>
  <si>
    <t>Fourniture de COLZA et TOURNESOL</t>
  </si>
  <si>
    <t>Sous-traitance et divers</t>
  </si>
  <si>
    <t xml:space="preserve">TEST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</si>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</sst>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_€"/>
    <numFmt numFmtId="165" formatCode="#,##0\ _€;[Red]\-#,##0\ _€"/>
    <numFmt numFmtId="166" formatCode="_-* #,##0\ _€_-;\-* #,##0\ _€_-;_-* &quot;-&quot;\ _€_-;_-@_-"/>
    <numFmt numFmtId="167" formatCode="_-* #,##0_-;\-* #,##0_-;_-* &quot;-&quot;??_-;_-@_-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20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scheme val="minor"/>
    </font>
    <font>
      <sz val="11"/>
      <color theme="0"/>
      <name val="Calibri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/>
      <top/>
      <bottom style="thin">
        <color theme="5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46">
    <xf numFmtId="0" fontId="0" fillId="0" borderId="0" xfId="0"/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left" vertical="top"/>
    </xf>
    <xf numFmtId="44" fontId="0" fillId="0" borderId="0" xfId="2" applyFont="1" applyAlignment="1" applyProtection="1">
      <alignment horizontal="left" vertical="top"/>
      <protection locked="0"/>
    </xf>
    <xf numFmtId="43" fontId="0" fillId="0" borderId="0" xfId="1" applyFont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43" fontId="0" fillId="0" borderId="0" xfId="1" applyFont="1" applyFill="1" applyAlignment="1" applyProtection="1">
      <alignment horizontal="left" vertical="top"/>
      <protection locked="0"/>
    </xf>
    <xf numFmtId="44" fontId="0" fillId="0" borderId="0" xfId="2" applyFont="1" applyFill="1" applyAlignment="1" applyProtection="1">
      <alignment horizontal="left" vertical="top"/>
      <protection locked="0"/>
    </xf>
    <xf numFmtId="44" fontId="0" fillId="0" borderId="0" xfId="2" applyFont="1" applyFill="1" applyAlignment="1" applyProtection="1">
      <alignment horizontal="left" vertical="top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3" fontId="0" fillId="0" borderId="0" xfId="1" applyFont="1" applyAlignment="1" applyProtection="1">
      <alignment horizontal="left" vertical="center"/>
    </xf>
    <xf numFmtId="0" fontId="0" fillId="5" borderId="0" xfId="0" applyFill="1" applyAlignment="1" applyProtection="1">
      <alignment horizontal="left" vertical="center"/>
    </xf>
    <xf numFmtId="43" fontId="0" fillId="5" borderId="0" xfId="1" applyFont="1" applyFill="1" applyAlignment="1" applyProtection="1">
      <alignment horizontal="left" vertical="center"/>
    </xf>
    <xf numFmtId="0" fontId="5" fillId="7" borderId="0" xfId="0" applyFont="1" applyFill="1" applyAlignment="1" applyProtection="1">
      <alignment vertical="center"/>
    </xf>
    <xf numFmtId="0" fontId="0" fillId="8" borderId="0" xfId="0" applyFill="1" applyAlignment="1" applyProtection="1">
      <alignment horizontal="left" vertical="top"/>
      <protection locked="0"/>
    </xf>
    <xf numFmtId="0" fontId="0" fillId="10" borderId="0" xfId="0" applyFill="1" applyAlignment="1" applyProtection="1">
      <alignment horizontal="left" vertical="top"/>
    </xf>
    <xf numFmtId="44" fontId="0" fillId="10" borderId="0" xfId="2" applyFont="1" applyFill="1" applyAlignment="1" applyProtection="1">
      <alignment horizontal="left" vertical="top"/>
    </xf>
    <xf numFmtId="0" fontId="0" fillId="10" borderId="0" xfId="0" applyFill="1" applyAlignment="1" applyProtection="1">
      <alignment horizontal="left" vertical="top"/>
      <protection locked="0"/>
    </xf>
    <xf numFmtId="0" fontId="7" fillId="7" borderId="0" xfId="0" applyFont="1" applyFill="1" applyAlignment="1" applyProtection="1">
      <alignment vertical="center"/>
    </xf>
    <xf numFmtId="44" fontId="4" fillId="11" borderId="0" xfId="2" applyFont="1" applyFill="1" applyAlignment="1" applyProtection="1">
      <alignment horizontal="left" vertical="top"/>
      <protection locked="0"/>
    </xf>
    <xf numFmtId="0" fontId="4" fillId="6" borderId="0" xfId="0" applyFont="1" applyFill="1" applyAlignment="1" applyProtection="1">
      <alignment horizontal="center" vertical="center"/>
    </xf>
    <xf numFmtId="0" fontId="0" fillId="8" borderId="0" xfId="0" applyNumberFormat="1" applyFill="1" applyAlignment="1" applyProtection="1">
      <alignment horizontal="left" vertical="top"/>
      <protection locked="0"/>
    </xf>
    <xf numFmtId="44" fontId="10" fillId="8" borderId="0" xfId="2" applyFont="1" applyFill="1" applyAlignment="1" applyProtection="1">
      <alignment horizontal="left" vertical="top"/>
    </xf>
    <xf numFmtId="0" fontId="10" fillId="0" borderId="0" xfId="0" applyFont="1" applyAlignment="1" applyProtection="1">
      <alignment horizontal="left" vertical="top"/>
    </xf>
    <xf numFmtId="0" fontId="9" fillId="7" borderId="0" xfId="0" applyFont="1" applyFill="1" applyAlignment="1" applyProtection="1">
      <alignment vertical="center"/>
    </xf>
    <xf numFmtId="0" fontId="4" fillId="5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44" fontId="6" fillId="12" borderId="0" xfId="2" applyFont="1" applyFill="1" applyAlignment="1" applyProtection="1">
      <alignment horizontal="left" vertical="top"/>
    </xf>
    <xf numFmtId="44" fontId="4" fillId="12" borderId="0" xfId="2" applyFont="1" applyFill="1" applyAlignment="1" applyProtection="1">
      <alignment horizontal="left" vertical="top"/>
    </xf>
    <xf numFmtId="44" fontId="0" fillId="8" borderId="0" xfId="2" applyFont="1" applyFill="1" applyAlignment="1" applyProtection="1">
      <alignment horizontal="left" vertical="top"/>
    </xf>
    <xf numFmtId="0" fontId="2" fillId="13" borderId="0" xfId="0" applyFont="1" applyFill="1" applyAlignment="1" applyProtection="1">
      <alignment horizontal="left" vertical="center"/>
    </xf>
    <xf numFmtId="0" fontId="13" fillId="13" borderId="0" xfId="0" applyFont="1" applyFill="1" applyAlignment="1" applyProtection="1">
      <alignment horizontal="left" vertical="center"/>
    </xf>
    <xf numFmtId="0" fontId="14" fillId="0" borderId="0" xfId="0" applyFont="1" applyFill="1" applyAlignment="1" applyProtection="1">
      <alignment horizontal="left" vertical="top"/>
      <protection locked="0"/>
    </xf>
    <xf numFmtId="0" fontId="11" fillId="0" borderId="0" xfId="0" applyFont="1" applyAlignment="1" applyProtection="1">
      <alignment horizontal="left" vertical="top"/>
      <protection locked="0"/>
    </xf>
    <xf numFmtId="0" fontId="11" fillId="0" borderId="0" xfId="0" applyFont="1" applyFill="1" applyAlignment="1" applyProtection="1">
      <alignment horizontal="left" vertical="top"/>
      <protection locked="0"/>
    </xf>
    <xf numFmtId="9" fontId="0" fillId="0" borderId="0" xfId="3" applyFont="1" applyAlignment="1" applyProtection="1">
      <alignment horizontal="center" vertical="center"/>
    </xf>
    <xf numFmtId="9" fontId="0" fillId="0" borderId="0" xfId="3" applyFont="1" applyAlignment="1" applyProtection="1">
      <alignment horizontal="center" vertical="top"/>
      <protection locked="0"/>
    </xf>
    <xf numFmtId="9" fontId="0" fillId="11" borderId="0" xfId="3" applyFont="1" applyFill="1" applyAlignment="1" applyProtection="1">
      <alignment horizontal="center" vertical="center"/>
    </xf>
    <xf numFmtId="0" fontId="0" fillId="11" borderId="0" xfId="0" applyFill="1" applyAlignment="1" applyProtection="1">
      <alignment horizontal="left" vertical="center"/>
    </xf>
    <xf numFmtId="9" fontId="14" fillId="8" borderId="0" xfId="3" applyFont="1" applyFill="1" applyAlignment="1" applyProtection="1">
      <alignment horizontal="center" vertical="top"/>
      <protection locked="0"/>
    </xf>
    <xf numFmtId="166" fontId="0" fillId="0" borderId="0" xfId="0" applyNumberFormat="1" applyAlignment="1" applyProtection="1">
      <alignment horizontal="left" vertical="center"/>
    </xf>
    <xf numFmtId="166" fontId="0" fillId="11" borderId="0" xfId="0" applyNumberFormat="1" applyFill="1" applyAlignment="1" applyProtection="1">
      <alignment horizontal="left" vertical="center"/>
    </xf>
    <xf numFmtId="166" fontId="0" fillId="0" borderId="0" xfId="2" applyNumberFormat="1" applyFont="1" applyAlignment="1" applyProtection="1">
      <alignment horizontal="left" vertical="top"/>
      <protection locked="0"/>
    </xf>
    <xf numFmtId="166" fontId="0" fillId="10" borderId="0" xfId="2" applyNumberFormat="1" applyFont="1" applyFill="1" applyAlignment="1" applyProtection="1">
      <alignment horizontal="left" vertical="top"/>
    </xf>
    <xf numFmtId="166" fontId="0" fillId="0" borderId="0" xfId="0" applyNumberFormat="1" applyAlignment="1" applyProtection="1">
      <alignment horizontal="left" vertical="top"/>
      <protection locked="0"/>
    </xf>
    <xf numFmtId="166" fontId="0" fillId="0" borderId="0" xfId="0" applyNumberFormat="1" applyAlignment="1" applyProtection="1">
      <alignment horizontal="left" vertical="top"/>
    </xf>
    <xf numFmtId="166" fontId="5" fillId="7" borderId="0" xfId="0" applyNumberFormat="1" applyFont="1" applyFill="1" applyAlignment="1" applyProtection="1">
      <alignment vertical="center"/>
    </xf>
    <xf numFmtId="166" fontId="0" fillId="0" borderId="0" xfId="2" applyNumberFormat="1" applyFont="1" applyAlignment="1" applyProtection="1">
      <alignment horizontal="left" vertical="center"/>
    </xf>
    <xf numFmtId="166" fontId="0" fillId="11" borderId="0" xfId="2" applyNumberFormat="1" applyFont="1" applyFill="1" applyAlignment="1" applyProtection="1">
      <alignment horizontal="left" vertical="center"/>
    </xf>
    <xf numFmtId="166" fontId="4" fillId="9" borderId="0" xfId="2" applyNumberFormat="1" applyFont="1" applyFill="1" applyAlignment="1" applyProtection="1">
      <alignment horizontal="left" vertical="top"/>
    </xf>
    <xf numFmtId="166" fontId="0" fillId="8" borderId="0" xfId="2" applyNumberFormat="1" applyFont="1" applyFill="1" applyAlignment="1" applyProtection="1">
      <alignment horizontal="left" vertical="top"/>
      <protection locked="0"/>
    </xf>
    <xf numFmtId="166" fontId="0" fillId="19" borderId="0" xfId="0" applyNumberFormat="1" applyFill="1" applyAlignment="1" applyProtection="1">
      <alignment horizontal="left" vertical="top"/>
      <protection locked="0"/>
    </xf>
    <xf numFmtId="9" fontId="14" fillId="19" borderId="0" xfId="3" applyFont="1" applyFill="1" applyAlignment="1" applyProtection="1">
      <alignment horizontal="center" vertical="top"/>
      <protection locked="0"/>
    </xf>
    <xf numFmtId="9" fontId="14" fillId="19" borderId="0" xfId="3" applyFont="1" applyFill="1" applyAlignment="1" applyProtection="1">
      <alignment horizontal="center" vertical="center"/>
      <protection locked="0"/>
    </xf>
    <xf numFmtId="165" fontId="0" fillId="0" borderId="0" xfId="0" applyNumberFormat="1"/>
    <xf numFmtId="167" fontId="5" fillId="7" borderId="0" xfId="1" applyNumberFormat="1" applyFont="1" applyFill="1" applyAlignment="1" applyProtection="1">
      <alignment vertical="center"/>
    </xf>
    <xf numFmtId="167" fontId="0" fillId="0" borderId="0" xfId="1" applyNumberFormat="1" applyFont="1" applyAlignment="1" applyProtection="1">
      <alignment horizontal="left" vertical="center"/>
    </xf>
    <xf numFmtId="167" fontId="0" fillId="0" borderId="0" xfId="1" applyNumberFormat="1" applyFont="1" applyFill="1" applyAlignment="1" applyProtection="1">
      <alignment horizontal="left" vertical="top"/>
      <protection locked="0"/>
    </xf>
    <xf numFmtId="167" fontId="0" fillId="0" borderId="0" xfId="1" applyNumberFormat="1" applyFont="1" applyAlignment="1" applyProtection="1">
      <alignment horizontal="left" vertical="top"/>
      <protection locked="0"/>
    </xf>
    <xf numFmtId="0" fontId="0" fillId="0" borderId="0" xfId="0" applyAlignment="1">
      <alignment horizontal="right"/>
    </xf>
    <xf numFmtId="0" fontId="18" fillId="15" borderId="7" xfId="0" applyFont="1" applyFill="1" applyBorder="1" applyAlignment="1">
      <alignment vertical="top" wrapText="1"/>
    </xf>
    <xf numFmtId="0" fontId="16" fillId="0" borderId="0" xfId="0" applyFont="1" applyAlignment="1">
      <alignment vertical="top"/>
    </xf>
    <xf numFmtId="9" fontId="16" fillId="0" borderId="0" xfId="3" applyFont="1" applyAlignment="1">
      <alignment vertical="top"/>
    </xf>
    <xf numFmtId="0" fontId="16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2" fillId="2" borderId="1" xfId="0" applyFont="1" applyFill="1" applyBorder="1" applyAlignment="1">
      <alignment vertical="top"/>
    </xf>
    <xf numFmtId="0" fontId="0" fillId="0" borderId="0" xfId="0" applyBorder="1" applyAlignment="1">
      <alignment vertical="top"/>
    </xf>
    <xf numFmtId="9" fontId="0" fillId="0" borderId="0" xfId="3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0" borderId="4" xfId="0" applyFont="1" applyBorder="1" applyAlignment="1">
      <alignment vertical="top"/>
    </xf>
    <xf numFmtId="0" fontId="0" fillId="14" borderId="7" xfId="0" applyFill="1" applyBorder="1" applyAlignment="1">
      <alignment vertical="top" wrapText="1"/>
    </xf>
    <xf numFmtId="0" fontId="0" fillId="15" borderId="7" xfId="0" applyFill="1" applyBorder="1" applyAlignment="1">
      <alignment vertical="top" wrapText="1"/>
    </xf>
    <xf numFmtId="0" fontId="11" fillId="15" borderId="7" xfId="0" applyFont="1" applyFill="1" applyBorder="1" applyAlignment="1">
      <alignment vertical="top" wrapText="1"/>
    </xf>
    <xf numFmtId="0" fontId="11" fillId="16" borderId="7" xfId="0" applyFont="1" applyFill="1" applyBorder="1" applyAlignment="1">
      <alignment vertical="top" wrapText="1"/>
    </xf>
    <xf numFmtId="0" fontId="11" fillId="17" borderId="7" xfId="0" applyFont="1" applyFill="1" applyBorder="1" applyAlignment="1">
      <alignment vertical="top" wrapText="1"/>
    </xf>
    <xf numFmtId="0" fontId="11" fillId="18" borderId="7" xfId="0" applyFont="1" applyFill="1" applyBorder="1" applyAlignment="1">
      <alignment vertical="top" wrapText="1"/>
    </xf>
    <xf numFmtId="0" fontId="0" fillId="3" borderId="1" xfId="0" applyFont="1" applyFill="1" applyBorder="1" applyAlignment="1">
      <alignment vertical="top"/>
    </xf>
    <xf numFmtId="0" fontId="0" fillId="0" borderId="0" xfId="0" applyAlignment="1">
      <alignment vertical="top" wrapText="1"/>
    </xf>
    <xf numFmtId="9" fontId="0" fillId="0" borderId="0" xfId="3" applyFont="1" applyAlignment="1">
      <alignment vertical="top" wrapText="1"/>
    </xf>
    <xf numFmtId="0" fontId="8" fillId="0" borderId="0" xfId="0" applyFont="1" applyAlignment="1">
      <alignment vertical="top" wrapText="1"/>
    </xf>
    <xf numFmtId="0" fontId="8" fillId="14" borderId="7" xfId="0" applyFont="1" applyFill="1" applyBorder="1" applyAlignment="1">
      <alignment vertical="top" wrapText="1"/>
    </xf>
    <xf numFmtId="0" fontId="8" fillId="15" borderId="7" xfId="0" applyFont="1" applyFill="1" applyBorder="1" applyAlignment="1">
      <alignment vertical="top" wrapText="1"/>
    </xf>
    <xf numFmtId="0" fontId="8" fillId="16" borderId="7" xfId="0" applyFont="1" applyFill="1" applyBorder="1" applyAlignment="1">
      <alignment vertical="top" wrapText="1"/>
    </xf>
    <xf numFmtId="0" fontId="8" fillId="17" borderId="7" xfId="0" applyFont="1" applyFill="1" applyBorder="1" applyAlignment="1">
      <alignment vertical="top" wrapText="1"/>
    </xf>
    <xf numFmtId="0" fontId="8" fillId="18" borderId="7" xfId="0" applyFont="1" applyFill="1" applyBorder="1" applyAlignment="1">
      <alignment vertical="top" wrapText="1"/>
    </xf>
    <xf numFmtId="0" fontId="0" fillId="0" borderId="1" xfId="0" applyFont="1" applyBorder="1" applyAlignment="1">
      <alignment vertical="top"/>
    </xf>
    <xf numFmtId="0" fontId="0" fillId="14" borderId="7" xfId="0" quotePrefix="1" applyFill="1" applyBorder="1" applyAlignment="1">
      <alignment vertical="top" wrapText="1"/>
    </xf>
    <xf numFmtId="0" fontId="0" fillId="14" borderId="9" xfId="0" quotePrefix="1" applyFill="1" applyBorder="1" applyAlignment="1">
      <alignment vertical="top" wrapText="1"/>
    </xf>
    <xf numFmtId="0" fontId="0" fillId="15" borderId="7" xfId="0" quotePrefix="1" applyFill="1" applyBorder="1" applyAlignment="1">
      <alignment vertical="top" wrapText="1"/>
    </xf>
    <xf numFmtId="0" fontId="0" fillId="15" borderId="7" xfId="0" applyFont="1" applyFill="1" applyBorder="1" applyAlignment="1">
      <alignment vertical="top" wrapText="1"/>
    </xf>
    <xf numFmtId="0" fontId="0" fillId="16" borderId="7" xfId="0" applyFont="1" applyFill="1" applyBorder="1" applyAlignment="1">
      <alignment vertical="top" wrapText="1"/>
    </xf>
    <xf numFmtId="0" fontId="0" fillId="17" borderId="7" xfId="0" applyFont="1" applyFill="1" applyBorder="1" applyAlignment="1">
      <alignment vertical="top" wrapText="1"/>
    </xf>
    <xf numFmtId="0" fontId="0" fillId="18" borderId="7" xfId="0" applyFont="1" applyFill="1" applyBorder="1" applyAlignment="1">
      <alignment vertical="top" wrapText="1"/>
    </xf>
    <xf numFmtId="0" fontId="0" fillId="14" borderId="8" xfId="0" quotePrefix="1" applyFill="1" applyBorder="1" applyAlignment="1">
      <alignment vertical="top" wrapText="1"/>
    </xf>
    <xf numFmtId="0" fontId="0" fillId="15" borderId="7" xfId="0" applyFill="1" applyBorder="1" applyAlignment="1">
      <alignment vertical="top"/>
    </xf>
    <xf numFmtId="0" fontId="0" fillId="0" borderId="6" xfId="0" applyFont="1" applyFill="1" applyBorder="1" applyAlignment="1">
      <alignment vertical="top" wrapText="1"/>
    </xf>
    <xf numFmtId="0" fontId="0" fillId="0" borderId="2" xfId="0" applyFont="1" applyBorder="1" applyAlignment="1">
      <alignment vertical="top"/>
    </xf>
    <xf numFmtId="0" fontId="0" fillId="0" borderId="0" xfId="0" applyBorder="1" applyAlignment="1">
      <alignment vertical="top" wrapText="1"/>
    </xf>
    <xf numFmtId="9" fontId="0" fillId="0" borderId="0" xfId="3" applyFont="1" applyAlignment="1">
      <alignment vertical="top"/>
    </xf>
    <xf numFmtId="0" fontId="0" fillId="0" borderId="5" xfId="0" applyFont="1" applyFill="1" applyBorder="1" applyAlignment="1">
      <alignment horizontal="left" vertical="top" wrapText="1"/>
    </xf>
    <xf numFmtId="0" fontId="0" fillId="18" borderId="6" xfId="0" applyFont="1" applyFill="1" applyBorder="1" applyAlignment="1">
      <alignment vertical="top" wrapText="1"/>
    </xf>
    <xf numFmtId="0" fontId="0" fillId="18" borderId="0" xfId="0" applyFont="1" applyFill="1" applyAlignment="1">
      <alignment vertical="top" wrapText="1"/>
    </xf>
    <xf numFmtId="165" fontId="15" fillId="0" borderId="0" xfId="0" applyNumberFormat="1" applyFont="1" applyFill="1"/>
    <xf numFmtId="0" fontId="14" fillId="17" borderId="0" xfId="0" applyFont="1" applyFill="1" applyAlignment="1" applyProtection="1">
      <alignment horizontal="left" vertical="top" wrapText="1"/>
      <protection locked="0"/>
    </xf>
    <xf numFmtId="0" fontId="14" fillId="17" borderId="0" xfId="0" applyFont="1" applyFill="1" applyAlignment="1" applyProtection="1">
      <alignment horizontal="left" vertical="top"/>
      <protection locked="0"/>
    </xf>
    <xf numFmtId="0" fontId="0" fillId="17" borderId="0" xfId="0" applyFill="1" applyAlignment="1" applyProtection="1">
      <alignment horizontal="left" vertical="top"/>
      <protection locked="0"/>
    </xf>
    <xf numFmtId="0" fontId="11" fillId="17" borderId="0" xfId="0" applyFont="1" applyFill="1" applyAlignment="1" applyProtection="1">
      <alignment horizontal="left" vertical="top"/>
      <protection locked="0"/>
    </xf>
    <xf numFmtId="166" fontId="4" fillId="5" borderId="0" xfId="2" applyNumberFormat="1" applyFont="1" applyFill="1" applyAlignment="1" applyProtection="1">
      <alignment horizontal="left" vertical="top"/>
      <protection locked="0"/>
    </xf>
    <xf numFmtId="0" fontId="0" fillId="10" borderId="0" xfId="0" applyNumberFormat="1" applyFill="1" applyAlignment="1" applyProtection="1">
      <alignment horizontal="left" vertical="top"/>
    </xf>
    <xf numFmtId="9" fontId="14" fillId="8" borderId="0" xfId="3" applyNumberFormat="1" applyFont="1" applyFill="1" applyAlignment="1" applyProtection="1">
      <alignment horizontal="center" vertical="top"/>
      <protection locked="0"/>
    </xf>
    <xf numFmtId="0" fontId="14" fillId="0" borderId="0" xfId="0" applyFont="1" applyAlignment="1" applyProtection="1">
      <alignment horizontal="left" vertical="top"/>
      <protection locked="0"/>
    </xf>
    <xf numFmtId="0" fontId="0" fillId="8" borderId="0" xfId="0" applyNumberFormat="1" applyFill="1" applyAlignment="1" applyProtection="1">
      <alignment horizontal="left" vertical="top"/>
    </xf>
    <xf numFmtId="0" fontId="10" fillId="0" borderId="0" xfId="0" applyFont="1" applyAlignment="1">
      <alignment vertical="center"/>
    </xf>
    <xf numFmtId="0" fontId="19" fillId="0" borderId="0" xfId="0" applyFont="1" applyAlignment="1">
      <alignment vertical="center" wrapText="1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10" xfId="0" applyFont="1" applyBorder="1" applyAlignment="1">
      <alignment vertical="center" wrapText="1"/>
    </xf>
    <xf numFmtId="0" fontId="20" fillId="0" borderId="10" xfId="0" applyFont="1" applyBorder="1" applyAlignment="1">
      <alignment vertical="center"/>
    </xf>
    <xf numFmtId="0" fontId="21" fillId="0" borderId="10" xfId="0" applyFont="1" applyBorder="1" applyAlignment="1">
      <alignment vertical="center"/>
    </xf>
    <xf numFmtId="0" fontId="19" fillId="21" borderId="10" xfId="0" applyFont="1" applyFill="1" applyBorder="1" applyAlignment="1">
      <alignment vertical="center" wrapText="1"/>
    </xf>
    <xf numFmtId="0" fontId="20" fillId="21" borderId="10" xfId="0" applyFont="1" applyFill="1" applyBorder="1" applyAlignment="1">
      <alignment vertical="center"/>
    </xf>
    <xf numFmtId="0" fontId="21" fillId="21" borderId="10" xfId="0" applyFont="1" applyFill="1" applyBorder="1" applyAlignment="1">
      <alignment vertical="center"/>
    </xf>
    <xf numFmtId="0" fontId="22" fillId="22" borderId="10" xfId="0" applyFont="1" applyFill="1" applyBorder="1" applyAlignment="1">
      <alignment vertical="center" wrapText="1"/>
    </xf>
    <xf numFmtId="0" fontId="23" fillId="22" borderId="10" xfId="0" applyFont="1" applyFill="1" applyBorder="1" applyAlignment="1">
      <alignment vertical="center"/>
    </xf>
    <xf numFmtId="0" fontId="24" fillId="22" borderId="10" xfId="0" applyFont="1" applyFill="1" applyBorder="1" applyAlignment="1">
      <alignment vertical="center"/>
    </xf>
    <xf numFmtId="0" fontId="15" fillId="0" borderId="10" xfId="0" applyFont="1" applyBorder="1" applyAlignment="1">
      <alignment vertical="top" wrapText="1"/>
    </xf>
    <xf numFmtId="0" fontId="19" fillId="23" borderId="10" xfId="0" applyFont="1" applyFill="1" applyBorder="1" applyAlignment="1">
      <alignment vertical="center" wrapText="1"/>
    </xf>
    <xf numFmtId="0" fontId="20" fillId="23" borderId="10" xfId="0" applyFont="1" applyFill="1" applyBorder="1" applyAlignment="1">
      <alignment vertical="center"/>
    </xf>
    <xf numFmtId="0" fontId="21" fillId="23" borderId="10" xfId="0" applyFont="1" applyFill="1" applyBorder="1" applyAlignment="1">
      <alignment vertical="center"/>
    </xf>
    <xf numFmtId="0" fontId="22" fillId="24" borderId="10" xfId="0" applyFont="1" applyFill="1" applyBorder="1" applyAlignment="1">
      <alignment vertical="center" wrapText="1"/>
    </xf>
    <xf numFmtId="0" fontId="23" fillId="24" borderId="10" xfId="0" applyFont="1" applyFill="1" applyBorder="1" applyAlignment="1">
      <alignment vertical="center"/>
    </xf>
    <xf numFmtId="0" fontId="24" fillId="24" borderId="10" xfId="0" applyFont="1" applyFill="1" applyBorder="1" applyAlignment="1">
      <alignment vertical="center"/>
    </xf>
    <xf numFmtId="0" fontId="19" fillId="25" borderId="10" xfId="0" applyFont="1" applyFill="1" applyBorder="1" applyAlignment="1">
      <alignment vertical="center" wrapText="1"/>
    </xf>
    <xf numFmtId="0" fontId="20" fillId="25" borderId="10" xfId="0" applyFont="1" applyFill="1" applyBorder="1" applyAlignment="1">
      <alignment vertical="center"/>
    </xf>
    <xf numFmtId="0" fontId="21" fillId="25" borderId="10" xfId="0" applyFont="1" applyFill="1" applyBorder="1" applyAlignment="1">
      <alignment vertical="center"/>
    </xf>
    <xf numFmtId="0" fontId="15" fillId="0" borderId="10" xfId="0" applyFont="1" applyBorder="1" applyAlignment="1">
      <alignment horizontal="justify" vertical="center" wrapText="1"/>
    </xf>
    <xf numFmtId="0" fontId="22" fillId="4" borderId="10" xfId="0" applyFont="1" applyFill="1" applyBorder="1" applyAlignment="1">
      <alignment vertical="center" wrapText="1"/>
    </xf>
    <xf numFmtId="0" fontId="23" fillId="4" borderId="10" xfId="0" applyFont="1" applyFill="1" applyBorder="1" applyAlignment="1">
      <alignment vertical="center"/>
    </xf>
    <xf numFmtId="0" fontId="24" fillId="4" borderId="10" xfId="0" applyFont="1" applyFill="1" applyBorder="1" applyAlignment="1">
      <alignment vertical="center"/>
    </xf>
    <xf numFmtId="0" fontId="19" fillId="26" borderId="10" xfId="0" applyFont="1" applyFill="1" applyBorder="1" applyAlignment="1">
      <alignment vertical="center" wrapText="1"/>
    </xf>
    <xf numFmtId="0" fontId="20" fillId="26" borderId="10" xfId="0" applyFont="1" applyFill="1" applyBorder="1" applyAlignment="1">
      <alignment vertical="center"/>
    </xf>
    <xf numFmtId="0" fontId="15" fillId="0" borderId="10" xfId="0" applyFont="1" applyBorder="1" applyAlignment="1">
      <alignment wrapText="1"/>
    </xf>
    <xf numFmtId="0" fontId="19" fillId="26" borderId="10" xfId="0" applyFont="1" applyFill="1" applyBorder="1" applyAlignment="1">
      <alignment horizontal="left" vertical="center" wrapText="1"/>
    </xf>
    <xf numFmtId="0" fontId="21" fillId="26" borderId="10" xfId="0" applyFont="1" applyFill="1" applyBorder="1" applyAlignment="1">
      <alignment vertical="center"/>
    </xf>
    <xf numFmtId="0" fontId="22" fillId="27" borderId="10" xfId="0" applyFont="1" applyFill="1" applyBorder="1" applyAlignment="1">
      <alignment vertical="center" wrapText="1"/>
    </xf>
    <xf numFmtId="0" fontId="23" fillId="27" borderId="10" xfId="0" applyFont="1" applyFill="1" applyBorder="1" applyAlignment="1">
      <alignment vertical="center"/>
    </xf>
    <xf numFmtId="0" fontId="24" fillId="27" borderId="10" xfId="0" applyFont="1" applyFill="1" applyBorder="1" applyAlignment="1">
      <alignment vertical="center"/>
    </xf>
    <xf numFmtId="0" fontId="19" fillId="28" borderId="10" xfId="0" applyFont="1" applyFill="1" applyBorder="1" applyAlignment="1">
      <alignment vertical="center" wrapText="1"/>
    </xf>
    <xf numFmtId="0" fontId="20" fillId="28" borderId="10" xfId="0" applyFont="1" applyFill="1" applyBorder="1" applyAlignment="1">
      <alignment vertical="center"/>
    </xf>
    <xf numFmtId="0" fontId="21" fillId="28" borderId="10" xfId="0" applyFont="1" applyFill="1" applyBorder="1" applyAlignment="1">
      <alignment vertical="center"/>
    </xf>
    <xf numFmtId="0" fontId="15" fillId="0" borderId="0" xfId="0" applyFont="1" applyAlignment="1">
      <alignment vertical="top" wrapText="1"/>
    </xf>
    <xf numFmtId="0" fontId="22" fillId="29" borderId="10" xfId="0" applyFont="1" applyFill="1" applyBorder="1" applyAlignment="1">
      <alignment vertical="center" wrapText="1"/>
    </xf>
    <xf numFmtId="0" fontId="23" fillId="29" borderId="10" xfId="0" applyFont="1" applyFill="1" applyBorder="1" applyAlignment="1">
      <alignment vertical="center"/>
    </xf>
    <xf numFmtId="0" fontId="24" fillId="29" borderId="10" xfId="0" applyFont="1" applyFill="1" applyBorder="1" applyAlignment="1">
      <alignment vertical="center"/>
    </xf>
    <xf numFmtId="0" fontId="19" fillId="20" borderId="10" xfId="0" applyFont="1" applyFill="1" applyBorder="1" applyAlignment="1">
      <alignment vertical="center" wrapText="1"/>
    </xf>
    <xf numFmtId="0" fontId="20" fillId="20" borderId="10" xfId="0" applyFont="1" applyFill="1" applyBorder="1" applyAlignment="1">
      <alignment vertical="center"/>
    </xf>
    <xf numFmtId="0" fontId="21" fillId="20" borderId="10" xfId="0" applyFont="1" applyFill="1" applyBorder="1" applyAlignment="1">
      <alignment vertical="center"/>
    </xf>
    <xf numFmtId="0" fontId="25" fillId="0" borderId="0" xfId="0" applyFont="1" applyAlignment="1">
      <alignment vertical="center"/>
    </xf>
    <xf numFmtId="0" fontId="22" fillId="4" borderId="11" xfId="0" applyFont="1" applyFill="1" applyBorder="1" applyAlignment="1">
      <alignment vertical="center" wrapText="1"/>
    </xf>
    <xf numFmtId="0" fontId="23" fillId="4" borderId="11" xfId="0" applyFont="1" applyFill="1" applyBorder="1" applyAlignment="1">
      <alignment vertical="center"/>
    </xf>
    <xf numFmtId="0" fontId="24" fillId="4" borderId="11" xfId="0" applyFont="1" applyFill="1" applyBorder="1" applyAlignment="1">
      <alignment vertical="center"/>
    </xf>
    <xf numFmtId="166" fontId="0" fillId="0" borderId="0" xfId="0" applyNumberFormat="1"/>
    <xf numFmtId="166" fontId="0" fillId="0" borderId="0" xfId="0" applyNumberFormat="1" applyAlignment="1">
      <alignment horizontal="right"/>
    </xf>
    <xf numFmtId="0" fontId="15" fillId="0" borderId="0" xfId="0" applyNumberFormat="1" applyFont="1" applyFill="1"/>
    <xf numFmtId="0" fontId="14" fillId="17" borderId="0" xfId="0" applyFont="1" applyFill="1" applyAlignment="1" applyProtection="1">
      <alignment horizontal="left" vertical="top"/>
      <protection locked="0"/>
    </xf>
    <xf numFmtId="0" fontId="14" fillId="0" borderId="0" xfId="0" applyFont="1" applyAlignment="1" applyProtection="1">
      <alignment horizontal="left" vertical="top"/>
      <protection locked="0"/>
    </xf>
    <xf numFmtId="0" fontId="0" fillId="8" borderId="0" xfId="0" applyNumberFormat="1" applyFill="1" applyAlignment="1" applyProtection="1">
      <alignment horizontal="left" vertical="top"/>
      <protection locked="0"/>
    </xf>
    <xf numFmtId="0" fontId="11" fillId="0" borderId="0" xfId="0" applyFont="1" applyFill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8" borderId="0" xfId="0" applyNumberFormat="1" applyFill="1" applyAlignment="1" applyProtection="1">
      <alignment horizontal="left" vertical="top"/>
      <protection locked="0"/>
    </xf>
    <xf numFmtId="166" fontId="0" fillId="19" borderId="0" xfId="0" applyNumberFormat="1" applyFill="1" applyAlignment="1" applyProtection="1">
      <alignment horizontal="left" vertical="top"/>
      <protection locked="0"/>
    </xf>
    <xf numFmtId="0" fontId="14" fillId="17" borderId="0" xfId="0" applyFont="1" applyFill="1" applyAlignment="1" applyProtection="1">
      <alignment horizontal="left" vertical="top" wrapText="1"/>
      <protection locked="0"/>
    </xf>
    <xf numFmtId="0" fontId="0" fillId="17" borderId="0" xfId="0" applyFill="1" applyAlignment="1" applyProtection="1">
      <alignment horizontal="left" vertical="top"/>
      <protection locked="0"/>
    </xf>
    <xf numFmtId="0" fontId="0" fillId="0" borderId="0" xfId="0"/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 wrapText="1"/>
      <protection locked="0"/>
    </xf>
    <xf numFmtId="0" fontId="0" fillId="0" borderId="0" xfId="0" applyFill="1" applyAlignment="1" applyProtection="1">
      <alignment horizontal="left" vertical="top"/>
      <protection locked="0"/>
    </xf>
    <xf numFmtId="0" fontId="0" fillId="10" borderId="0" xfId="0" applyFill="1" applyAlignment="1" applyProtection="1">
      <alignment horizontal="left" vertical="top"/>
      <protection locked="0"/>
    </xf>
    <xf numFmtId="0" fontId="0" fillId="8" borderId="0" xfId="0" applyNumberFormat="1" applyFill="1" applyAlignment="1" applyProtection="1">
      <alignment horizontal="left" vertical="top"/>
      <protection locked="0"/>
    </xf>
    <xf numFmtId="0" fontId="0" fillId="0" borderId="0" xfId="0" applyAlignment="1">
      <alignment horizontal="center"/>
    </xf>
    <xf numFmtId="166" fontId="0" fillId="19" borderId="0" xfId="0" applyNumberFormat="1" applyFill="1" applyAlignment="1" applyProtection="1">
      <alignment horizontal="left" vertical="top"/>
      <protection locked="0"/>
    </xf>
    <xf numFmtId="0" fontId="14" fillId="17" borderId="0" xfId="0" applyFont="1" applyFill="1" applyAlignment="1" applyProtection="1">
      <alignment horizontal="left" vertical="top" wrapText="1"/>
      <protection locked="0"/>
    </xf>
    <xf numFmtId="0" fontId="0" fillId="17" borderId="0" xfId="0" applyFill="1" applyAlignment="1" applyProtection="1">
      <alignment horizontal="left" vertical="top"/>
      <protection locked="0"/>
    </xf>
    <xf numFmtId="0" fontId="0" fillId="10" borderId="0" xfId="0" applyNumberFormat="1" applyFill="1" applyAlignment="1" applyProtection="1">
      <alignment horizontal="left" vertical="top"/>
      <protection locked="0"/>
    </xf>
    <xf numFmtId="0" fontId="0" fillId="0" borderId="0" xfId="0" applyAlignment="1" applyProtection="1">
      <alignment horizontal="center" vertical="center"/>
    </xf>
    <xf numFmtId="9" fontId="11" fillId="8" borderId="0" xfId="0" applyNumberFormat="1" applyFont="1" applyFill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 vertical="top"/>
      <protection locked="0"/>
    </xf>
    <xf numFmtId="44" fontId="26" fillId="8" borderId="0" xfId="2" applyFont="1" applyFill="1" applyAlignment="1" applyProtection="1">
      <alignment horizontal="left" vertical="top"/>
    </xf>
    <xf numFmtId="44" fontId="27" fillId="12" borderId="0" xfId="2" applyFont="1" applyFill="1" applyAlignment="1" applyProtection="1">
      <alignment horizontal="left" vertical="top"/>
    </xf>
    <xf numFmtId="0" fontId="0" fillId="0" borderId="0" xfId="0" applyAlignment="1" applyProtection="1">
      <alignment horizontal="center" vertical="center" wrapText="1"/>
    </xf>
    <xf numFmtId="9" fontId="14" fillId="19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9" fontId="14" fillId="19" borderId="0" xfId="0" applyNumberFormat="1" applyFont="1" applyFill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 wrapText="1"/>
      <protection locked="0"/>
    </xf>
    <xf numFmtId="166" fontId="4" fillId="5" borderId="0" xfId="0" applyNumberFormat="1" applyFont="1" applyFill="1" applyAlignment="1" applyProtection="1">
      <alignment horizontal="left" vertical="top"/>
      <protection locked="0"/>
    </xf>
    <xf numFmtId="43" fontId="0" fillId="30" borderId="0" xfId="1" applyFont="1" applyFill="1" applyAlignment="1" applyProtection="1">
      <alignment horizontal="left" vertical="top"/>
      <protection locked="0"/>
    </xf>
    <xf numFmtId="44" fontId="28" fillId="8" borderId="0" xfId="2" applyFont="1" applyFill="1" applyAlignment="1" applyProtection="1">
      <alignment horizontal="left" vertical="top"/>
    </xf>
    <xf numFmtId="44" fontId="29" fillId="12" borderId="0" xfId="2" applyFont="1" applyFill="1" applyAlignment="1" applyProtection="1">
      <alignment horizontal="left" vertical="top"/>
    </xf>
    <xf numFmtId="0" fontId="0" fillId="30" borderId="0" xfId="0" applyFill="1" applyAlignment="1" applyProtection="1">
      <alignment horizontal="left" vertical="top" wrapText="1"/>
      <protection locked="0"/>
    </xf>
    <xf numFmtId="0" fontId="0" fillId="30" borderId="0" xfId="0" applyFill="1" applyAlignment="1" applyProtection="1">
      <alignment horizontal="left" vertical="top"/>
      <protection locked="0"/>
    </xf>
    <xf numFmtId="44" fontId="0" fillId="30" borderId="0" xfId="2" applyFont="1" applyFill="1" applyAlignment="1" applyProtection="1">
      <alignment horizontal="left" vertical="top"/>
      <protection locked="0"/>
    </xf>
    <xf numFmtId="44" fontId="0" fillId="19" borderId="0" xfId="2" applyFont="1" applyFill="1" applyAlignment="1" applyProtection="1">
      <alignment horizontal="left" vertical="top"/>
    </xf>
    <xf numFmtId="44" fontId="0" fillId="0" borderId="0" xfId="2" applyFont="1" applyAlignment="1" applyProtection="1">
      <alignment horizontal="left" vertical="top"/>
    </xf>
    <xf numFmtId="9" fontId="11" fillId="19" borderId="0" xfId="0" applyNumberFormat="1" applyFont="1" applyFill="1" applyAlignment="1" applyProtection="1">
      <alignment horizontal="center" vertical="top"/>
      <protection locked="0"/>
    </xf>
    <xf numFmtId="9" fontId="14" fillId="0" borderId="0" xfId="0" applyNumberFormat="1" applyFont="1" applyFill="1" applyAlignment="1" applyProtection="1">
      <alignment horizontal="center" vertical="center" wrapText="1"/>
      <protection locked="0"/>
    </xf>
    <xf numFmtId="9" fontId="11" fillId="0" borderId="0" xfId="0" applyNumberFormat="1" applyFont="1" applyFill="1" applyAlignment="1" applyProtection="1">
      <alignment horizontal="center" vertical="top"/>
      <protection locked="0"/>
    </xf>
    <xf numFmtId="9" fontId="14" fillId="8" borderId="0" xfId="0" applyNumberFormat="1" applyFont="1" applyFill="1" applyAlignment="1" applyProtection="1">
      <alignment horizontal="center" vertical="center" wrapText="1"/>
      <protection locked="0"/>
    </xf>
    <xf numFmtId="166" fontId="0" fillId="8" borderId="0" xfId="0" applyNumberFormat="1" applyFill="1" applyAlignment="1" applyProtection="1">
      <alignment horizontal="left" vertical="top"/>
      <protection locked="0"/>
    </xf>
    <xf numFmtId="0" fontId="0" fillId="0" borderId="0" xfId="0"/>
    <xf numFmtId="0" fontId="0" fillId="0" borderId="0" xfId="0" applyNumberFormat="1"/>
    <xf numFmtId="0" fontId="0" fillId="0" borderId="0" xfId="0" applyAlignment="1" applyProtection="1">
      <alignment horizontal="left" vertical="top"/>
      <protection locked="0"/>
    </xf>
    <xf numFmtId="0" fontId="0" fillId="0" borderId="0" xfId="0" applyAlignment="1">
      <alignment horizontal="center"/>
    </xf>
    <xf numFmtId="166" fontId="0" fillId="0" borderId="0" xfId="0" applyNumberFormat="1" applyAlignment="1" applyProtection="1">
      <alignment horizontal="left" vertical="top"/>
      <protection locked="0"/>
    </xf>
    <xf numFmtId="0" fontId="0" fillId="0" borderId="0" xfId="0" pivotButton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11" fillId="0" borderId="0" xfId="0" applyNumberFormat="1" applyFont="1"/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6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5" fillId="20" borderId="0" xfId="0" applyFont="1" applyFill="1" applyAlignment="1">
      <alignment horizontal="left"/>
    </xf>
    <xf numFmtId="0" fontId="15" fillId="20" borderId="0" xfId="0" applyFont="1" applyFill="1" applyAlignment="1">
      <alignment horizontal="center"/>
    </xf>
    <xf numFmtId="164" fontId="15" fillId="0" borderId="0" xfId="0" applyNumberFormat="1" applyFont="1" applyFill="1"/>
    <xf numFmtId="0" fontId="15" fillId="0" borderId="0" xfId="0" applyFont="1" applyFill="1" applyAlignment="1">
      <alignment horizontal="left"/>
    </xf>
    <xf numFmtId="0" fontId="15" fillId="0" borderId="0" xfId="0" applyFont="1" applyFill="1" applyAlignment="1">
      <alignment horizontal="center"/>
    </xf>
    <xf numFmtId="0" fontId="0" fillId="10" borderId="0" xfId="0" applyNumberFormat="1" applyFill="1" applyAlignment="1" applyProtection="1">
      <alignment horizontal="left" vertical="top"/>
      <protection locked="0"/>
    </xf>
    <xf numFmtId="0" fontId="14" fillId="0" borderId="0" xfId="0" applyFont="1" applyAlignment="1" applyProtection="1">
      <alignment horizontal="left" vertical="top"/>
      <protection locked="0"/>
    </xf>
    <xf numFmtId="0" fontId="7" fillId="4" borderId="0" xfId="0" applyFont="1" applyFill="1" applyAlignment="1" applyProtection="1">
      <alignment horizontal="left" vertical="center" wrapText="1"/>
    </xf>
    <xf numFmtId="165" fontId="7" fillId="4" borderId="0" xfId="0" applyNumberFormat="1" applyFont="1" applyFill="1" applyAlignment="1" applyProtection="1">
      <alignment horizontal="left" vertical="center" wrapText="1"/>
    </xf>
    <xf numFmtId="0" fontId="16" fillId="15" borderId="7" xfId="0" applyFont="1" applyFill="1" applyBorder="1" applyAlignment="1">
      <alignment horizontal="center" vertical="top"/>
    </xf>
    <xf numFmtId="0" fontId="16" fillId="14" borderId="7" xfId="0" applyFont="1" applyFill="1" applyBorder="1" applyAlignment="1">
      <alignment horizontal="center" vertical="top"/>
    </xf>
    <xf numFmtId="0" fontId="16" fillId="16" borderId="7" xfId="0" applyFont="1" applyFill="1" applyBorder="1" applyAlignment="1">
      <alignment horizontal="center" vertical="top"/>
    </xf>
    <xf numFmtId="0" fontId="16" fillId="17" borderId="7" xfId="0" applyFont="1" applyFill="1" applyBorder="1" applyAlignment="1">
      <alignment horizontal="center" vertical="top"/>
    </xf>
    <xf numFmtId="0" fontId="16" fillId="18" borderId="7" xfId="0" applyFont="1" applyFill="1" applyBorder="1" applyAlignment="1">
      <alignment horizontal="center" vertical="top"/>
    </xf>
  </cellXfs>
  <cellStyles count="8">
    <cellStyle name="Milliers" xfId="1" builtinId="3"/>
    <cellStyle name="Milliers 2" xfId="4" xr:uid="{B6F42D3F-82EA-458B-A348-E161E6296F3D}"/>
    <cellStyle name="Milliers 3" xfId="6" xr:uid="{25F39A88-69E0-43E0-A289-2F239C09190A}"/>
    <cellStyle name="Monétaire" xfId="2" builtinId="4"/>
    <cellStyle name="Monétaire 2" xfId="5" xr:uid="{B74206A8-A655-4639-847D-C655016B4D5D}"/>
    <cellStyle name="Monétaire 3" xfId="7" xr:uid="{D0143C6C-8EB9-4437-AB93-D0D3923DCF78}"/>
    <cellStyle name="Normal" xfId="0" builtinId="0"/>
    <cellStyle name="Pourcentage" xfId="3" builtinId="5"/>
  </cellStyles>
  <dxfs count="33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border outline="0"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top style="thin">
          <color theme="5"/>
        </top>
      </border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top" textRotation="0" indent="0" justifyLastLine="0" shrinkToFit="0" readingOrder="0"/>
      <border diagonalUp="0" diagonalDown="0" outline="0">
        <left style="thin">
          <color theme="5" tint="0.39997558519241921"/>
        </left>
        <right/>
        <top style="thin">
          <color theme="5" tint="0.39997558519241921"/>
        </top>
        <bottom/>
      </border>
    </dxf>
    <dxf>
      <alignment vertical="top" textRotation="0" indent="0" justifyLastLine="0" shrinkToFit="0" readingOrder="0"/>
    </dxf>
    <dxf>
      <border outline="0">
        <right style="thin">
          <color theme="5" tint="0.39997558519241921"/>
        </right>
      </border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font>
        <b/>
      </font>
    </dxf>
    <dxf>
      <alignment horizontal="right"/>
    </dxf>
    <dxf>
      <alignment wrapText="1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</font>
    </dxf>
    <dxf>
      <font>
        <b val="0"/>
      </font>
    </dxf>
    <dxf>
      <font>
        <b val="0"/>
      </font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ill>
        <patternFill patternType="solid">
          <bgColor theme="5" tint="0.39997558519241921"/>
        </patternFill>
      </fill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6" formatCode="_-* #,##0\ _€_-;\-* #,##0\ _€_-;_-* &quot;-&quot;\ _€_-;_-@_-"/>
    </dxf>
    <dxf>
      <alignment wrapText="1"/>
    </dxf>
    <dxf>
      <numFmt numFmtId="166" formatCode="_-* #,##0\ _€_-;\-* #,##0\ _€_-;_-* &quot;-&quot;\ _€_-;_-@_-"/>
    </dxf>
    <dxf>
      <alignment wrapText="1"/>
    </dxf>
    <dxf>
      <alignment wrapText="1"/>
    </dxf>
    <dxf>
      <alignment horizontal="right"/>
    </dxf>
    <dxf>
      <alignment horizontal="right"/>
    </dxf>
    <dxf>
      <numFmt numFmtId="166" formatCode="_-* #,##0\ _€_-;\-* #,##0\ _€_-;_-* &quot;-&quot;\ _€_-;_-@_-"/>
    </dxf>
    <dxf>
      <alignment wrapText="1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_-* #,##0\ _€_-;\-* #,##0\ _€_-;_-* &quot;-&quot;\ _€_-;_-@_-"/>
      <fill>
        <patternFill>
          <fgColor indexed="64"/>
          <bgColor theme="0" tint="-0.499984740745262"/>
        </patternFill>
      </fill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_-* #,##0\ _€_-;\-* #,##0\ _€_-;_-* &quot;-&quot;\ _€_-;_-@_-"/>
      <fill>
        <patternFill>
          <fgColor indexed="64"/>
          <bgColor theme="0" tint="-0.499984740745262"/>
        </patternFill>
      </fill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>
          <fgColor indexed="64"/>
          <bgColor theme="2"/>
        </patternFill>
      </fill>
      <alignment horizontal="center" vertical="top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>
          <fgColor indexed="64"/>
          <bgColor theme="2"/>
        </patternFill>
      </fill>
      <alignment horizontal="center" vertical="top" textRotation="0" wrapText="1" indent="0" justifyLastLine="0" shrinkToFit="0" readingOrder="0"/>
      <protection locked="0" hidden="0"/>
    </dxf>
    <dxf>
      <font>
        <b/>
        <i val="0"/>
        <color indexed="8"/>
      </font>
      <fill>
        <patternFill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alignment horizontal="left" vertical="top" textRotation="0" wrapText="1" indent="0" justifyLastLine="0" shrinkToFit="0" readingOrder="0"/>
      <protection locked="0" hidden="0"/>
    </dxf>
    <dxf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font>
        <b/>
        <i val="0"/>
        <color indexed="8"/>
      </font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1" hidden="0"/>
    </dxf>
    <dxf>
      <numFmt numFmtId="0" formatCode="General"/>
      <fill>
        <patternFill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numFmt numFmtId="166" formatCode="_-* #,##0\ _€_-;\-* #,##0\ _€_-;_-* &quot;-&quot;\ _€_-;_-@_-"/>
      <fill>
        <patternFill>
          <fgColor indexed="64"/>
          <bgColor theme="2"/>
        </patternFill>
      </fill>
      <alignment horizontal="left" vertical="top" textRotation="0" indent="0" justifyLastLine="0" shrinkToFit="0" readingOrder="0"/>
      <protection locked="0" hidden="0"/>
    </dxf>
    <dxf>
      <numFmt numFmtId="166" formatCode="_-* #,##0\ _€_-;\-* #,##0\ _€_-;_-* &quot;-&quot;\ _€_-;_-@_-"/>
      <fill>
        <patternFill>
          <fgColor indexed="64"/>
          <bgColor theme="2"/>
        </patternFill>
      </fill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>
          <fgColor indexed="64"/>
          <bgColor theme="2"/>
        </patternFill>
      </fill>
      <alignment horizontal="center" vertical="top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>
          <fgColor indexed="64"/>
          <bgColor theme="2"/>
        </patternFill>
      </fill>
      <alignment horizontal="center" vertical="top" textRotation="0" wrapText="1" indent="0" justifyLastLine="0" shrinkToFit="0" readingOrder="0"/>
      <protection locked="0" hidden="0"/>
    </dxf>
    <dxf>
      <font>
        <b/>
        <i val="0"/>
        <color indexed="8"/>
      </font>
      <fill>
        <patternFill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font>
        <b/>
        <i val="0"/>
        <color indexed="8"/>
      </font>
      <fill>
        <patternFill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numFmt numFmtId="166" formatCode="_-* #,##0\ _€_-;\-* #,##0\ _€_-;_-* &quot;-&quot;\ _€_-;_-@_-"/>
      <fill>
        <patternFill patternType="solid">
          <fgColor indexed="64"/>
          <bgColor theme="2"/>
        </patternFill>
      </fill>
      <alignment horizontal="left" vertical="top" textRotation="0" wrapText="0" indent="0" justifyLastLine="0" shrinkToFit="0" readingOrder="0"/>
      <protection locked="0" hidden="0"/>
    </dxf>
    <dxf>
      <numFmt numFmtId="166" formatCode="_-* #,##0\ _€_-;\-* #,##0\ _€_-;_-* &quot;-&quot;\ _€_-;_-@_-"/>
      <fill>
        <patternFill>
          <fgColor indexed="64"/>
          <bgColor theme="2"/>
        </patternFill>
      </fill>
      <alignment horizontal="left" vertical="top" textRotation="0" indent="0" justifyLastLine="0" shrinkToFit="0" readingOrder="0"/>
      <protection locked="0" hidden="0"/>
    </dxf>
    <dxf>
      <numFmt numFmtId="166" formatCode="_-* #,##0\ _€_-;\-* #,##0\ _€_-;_-* &quot;-&quot;\ _€_-;_-@_-"/>
      <fill>
        <patternFill patternType="solid">
          <fgColor indexed="64"/>
          <bgColor theme="2"/>
        </patternFill>
      </fill>
      <alignment horizontal="left" vertical="top" textRotation="0" wrapText="0" indent="0" justifyLastLine="0" shrinkToFit="0" readingOrder="0"/>
      <protection locked="0" hidden="0"/>
    </dxf>
    <dxf>
      <numFmt numFmtId="166" formatCode="_-* #,##0\ _€_-;\-* #,##0\ _€_-;_-* &quot;-&quot;\ _€_-;_-@_-"/>
      <fill>
        <patternFill>
          <fgColor indexed="64"/>
          <bgColor theme="2"/>
        </patternFill>
      </fill>
      <alignment horizontal="left" vertical="top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left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499984740745262"/>
        </patternFill>
      </fill>
      <alignment horizontal="left"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1" hidden="0"/>
    </dxf>
    <dxf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protection locked="1" hidden="0"/>
    </dxf>
    <dxf>
      <alignment horizontal="left"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none">
          <fgColor indexed="64"/>
          <bgColor theme="2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none">
          <fgColor indexed="64"/>
          <bgColor theme="2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font>
        <b/>
        <i val="0"/>
        <color indexed="8"/>
      </font>
      <fill>
        <patternFill patternType="solid"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alignment horizontal="left" vertical="top" textRotation="0" wrapText="1" indent="0" justifyLastLine="0" shrinkToFit="0" readingOrder="0"/>
      <protection locked="0" hidden="0"/>
    </dxf>
    <dxf>
      <alignment horizontal="left" vertical="top" textRotation="0" wrapText="1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left" vertical="top" textRotation="0" wrapText="1" indent="0" justifyLastLine="0" shrinkToFit="0" readingOrder="0"/>
      <protection locked="0" hidden="0"/>
    </dxf>
    <dxf>
      <font>
        <b/>
        <i val="0"/>
        <color indexed="8"/>
      </font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wrapText="1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protection locked="0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protection locked="0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499984740745262"/>
        </patternFill>
      </fill>
      <alignment horizontal="left" vertical="top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499984740745262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numFmt numFmtId="0" formatCode="General"/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numFmt numFmtId="0" formatCode="General"/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5" tint="-0.249977111117893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1" hidden="0"/>
    </dxf>
    <dxf>
      <numFmt numFmtId="0" formatCode="General"/>
      <alignment horizontal="left" vertical="top" textRotation="0" wrapText="0" indent="0" justifyLastLine="0" shrinkToFit="0" readingOrder="0"/>
    </dxf>
    <dxf>
      <alignment horizontal="left" vertical="top" textRotation="0" indent="0" justifyLastLine="0" shrinkToFit="0" readingOrder="0"/>
      <protection locked="0" hidden="0"/>
    </dxf>
    <dxf>
      <numFmt numFmtId="0" formatCode="General"/>
      <alignment horizontal="left" vertical="top" textRotation="0" wrapText="0" indent="0" justifyLastLine="0" shrinkToFit="0" readingOrder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theme="2"/>
        </patternFill>
      </fill>
      <alignment horizontal="center" vertical="top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theme="2"/>
        </patternFill>
      </fill>
      <alignment horizontal="center" vertical="top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1" indent="0" justifyLastLine="0" shrinkToFit="0" readingOrder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1" indent="0" justifyLastLine="0" shrinkToFit="0" readingOrder="0"/>
    </dxf>
    <dxf>
      <numFmt numFmtId="0" formatCode="General"/>
      <fill>
        <patternFill>
          <fgColor indexed="64"/>
          <bgColor theme="0" tint="-0.14999847407452621"/>
        </patternFill>
      </fill>
      <alignment horizontal="left" vertical="top" textRotation="0" wrapText="0" indent="0" justifyLastLine="0" shrinkToFit="0" readingOrder="0"/>
      <protection locked="1" hidden="0"/>
    </dxf>
    <dxf>
      <alignment horizontal="left" vertical="top" textRotation="0" wrapText="0" indent="0" justifyLastLine="0" shrinkToFit="0" readingOrder="0"/>
    </dxf>
    <dxf>
      <numFmt numFmtId="0" formatCode="General"/>
      <fill>
        <patternFill>
          <fgColor indexed="64"/>
          <bgColor theme="0" tint="-0.14999847407452621"/>
        </patternFill>
      </fill>
      <alignment horizontal="left" vertical="top" textRotation="0" indent="0" justifyLastLine="0" shrinkToFit="0" readingOrder="0"/>
      <protection locked="0" hidden="0"/>
    </dxf>
    <dxf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1" hidden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  <protection locked="0" hidden="0"/>
    </dxf>
    <dxf>
      <font>
        <b/>
        <i val="0"/>
        <color indexed="8"/>
      </font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font>
        <b/>
        <i val="0"/>
        <color indexed="8"/>
      </font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top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_-* #,##0\ _€_-;\-* #,##0\ _€_-;_-* &quot;-&quot;\ _€_-;_-@_-"/>
      <fill>
        <patternFill patternType="solid">
          <fgColor indexed="64"/>
          <bgColor theme="2" tint="-0.499984740745262"/>
        </patternFill>
      </fill>
      <alignment horizontal="left" vertical="top" textRotation="0" indent="0" justifyLastLine="0" shrinkToFit="0" readingOrder="0"/>
      <protection locked="1" hidden="0"/>
    </dxf>
    <dxf>
      <numFmt numFmtId="166" formatCode="_-* #,##0\ _€_-;\-* #,##0\ _€_-;_-* &quot;-&quot;\ _€_-;_-@_-"/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1" hidden="0"/>
    </dxf>
    <dxf>
      <numFmt numFmtId="167" formatCode="_-* #,##0_-;\-* #,##0_-;_-* &quot;-&quot;??_-;_-@_-"/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left" vertical="top" textRotation="0" indent="0" justifyLastLine="0" shrinkToFit="0" readingOrder="0"/>
      <protection locked="0" hidden="0"/>
    </dxf>
    <dxf>
      <numFmt numFmtId="166" formatCode="_-* #,##0\ _€_-;\-* #,##0\ _€_-;_-* &quot;-&quot;\ _€_-;_-@_-"/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1" hidden="0"/>
    </dxf>
    <dxf>
      <numFmt numFmtId="166" formatCode="_-* #,##0\ _€_-;\-* #,##0\ _€_-;_-* &quot;-&quot;\ _€_-;_-@_-"/>
      <alignment horizontal="left" vertical="top" textRotation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alignment horizontal="left" vertical="top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solid"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numFmt numFmtId="13" formatCode="0%"/>
      <fill>
        <patternFill patternType="solid"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  <protection locked="0" hidden="0"/>
    </dxf>
    <dxf>
      <font>
        <b/>
        <i val="0"/>
        <color indexed="8"/>
      </font>
      <fill>
        <patternFill patternType="solid">
          <fgColor indexed="64"/>
          <bgColor theme="7" tint="0.79998168889431442"/>
        </patternFill>
      </fill>
      <alignment horizontal="left" vertical="top" textRotation="0" indent="0" justifyLastLine="0" shrinkToFit="0" readingOrder="0"/>
      <protection locked="0" hidden="0"/>
    </dxf>
    <dxf>
      <alignment horizontal="left" vertical="top" textRotation="0" wrapText="0" indent="0" justifyLastLine="0" shrinkToFit="0" readingOrder="0"/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font>
        <b/>
        <i val="0"/>
        <color indexed="8"/>
      </font>
      <fill>
        <patternFill patternType="solid">
          <fgColor indexed="64"/>
          <bgColor theme="7" tint="0.79998168889431442"/>
        </patternFill>
      </fill>
      <alignment horizontal="left" vertical="top" textRotation="0" wrapText="0" indent="0" justifyLastLine="0" shrinkToFit="0" readingOrder="0"/>
      <protection locked="0" hidden="0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top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left" vertical="top" textRotation="0" indent="0" justifyLastLine="0" shrinkToFit="0" readingOrder="0"/>
      <protection locked="1" hidden="0"/>
    </dxf>
    <dxf>
      <alignment horizontal="left" vertical="top" textRotation="0" indent="0" justifyLastLine="0" shrinkToFit="0" readingOrder="0"/>
      <protection locked="0" hidden="0"/>
    </dxf>
    <dxf>
      <alignment horizontal="left" vertical="center" textRotation="0" indent="0" justifyLastLine="0" shrinkToFit="0" readingOrder="0"/>
      <protection locked="1" hidden="0"/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theme="5" tint="-0.24994659260841701"/>
        </patternFill>
      </fill>
    </dxf>
    <dxf>
      <border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4" xr9:uid="{78118250-E4D2-4E3F-B013-89321B337589}">
      <tableStyleElement type="wholeTable" dxfId="329"/>
      <tableStyleElement type="headerRow" dxfId="328"/>
      <tableStyleElement type="firstHeaderCell" dxfId="327"/>
      <tableStyleElement type="pageFieldLabels" dxfId="3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7/relationships/slicerCache" Target="slicerCaches/slicerCache1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4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pivotCacheDefinition" Target="pivotCache/pivotCacheDefinition1.xml"/><Relationship Id="rId25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5.xml"/><Relationship Id="rId20" Type="http://schemas.microsoft.com/office/2007/relationships/slicerCache" Target="slicerCaches/slicerCache3.xml"/><Relationship Id="rId29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23" Type="http://schemas.microsoft.com/office/2007/relationships/slicerCache" Target="slicerCaches/slicerCache6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Relationship Id="rId22" Type="http://schemas.microsoft.com/office/2007/relationships/slicerCache" Target="slicerCaches/slicerCache5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133348</xdr:colOff>
      <xdr:row>0</xdr:row>
      <xdr:rowOff>57150</xdr:rowOff>
    </xdr:from>
    <xdr:to>
      <xdr:col>10</xdr:col>
      <xdr:colOff>666750</xdr:colOff>
      <xdr:row>1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rtenaires">
              <a:extLst>
                <a:ext uri="{FF2B5EF4-FFF2-40B4-BE49-F238E27FC236}">
                  <a16:creationId xmlns:a16="http://schemas.microsoft.com/office/drawing/2014/main" id="{B04CAE9F-F804-4BF6-B5A7-C27E1E2A37D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48" y="57150"/>
              <a:ext cx="5657852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19049</xdr:colOff>
      <xdr:row>0</xdr:row>
      <xdr:rowOff>47626</xdr:rowOff>
    </xdr:from>
    <xdr:to>
      <xdr:col>15</xdr:col>
      <xdr:colOff>495299</xdr:colOff>
      <xdr:row>0</xdr:row>
      <xdr:rowOff>933450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Lot">
              <a:extLst>
                <a:ext uri="{FF2B5EF4-FFF2-40B4-BE49-F238E27FC236}">
                  <a16:creationId xmlns:a16="http://schemas.microsoft.com/office/drawing/2014/main" id="{7EE73891-5EEA-41FC-9B25-CCF24957B1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Lo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43599" y="47626"/>
              <a:ext cx="3762375" cy="8858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295275</xdr:colOff>
      <xdr:row>0</xdr:row>
      <xdr:rowOff>0</xdr:rowOff>
    </xdr:from>
    <xdr:to>
      <xdr:col>7</xdr:col>
      <xdr:colOff>66675</xdr:colOff>
      <xdr:row>0</xdr:row>
      <xdr:rowOff>914399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° Lot 2">
              <a:extLst>
                <a:ext uri="{FF2B5EF4-FFF2-40B4-BE49-F238E27FC236}">
                  <a16:creationId xmlns:a16="http://schemas.microsoft.com/office/drawing/2014/main" id="{7C1570E0-239B-4691-BB4F-A31802F339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Lot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28925" y="0"/>
              <a:ext cx="2819400" cy="914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133350</xdr:rowOff>
        </xdr:from>
        <xdr:to>
          <xdr:col>0</xdr:col>
          <xdr:colOff>895350</xdr:colOff>
          <xdr:row>0</xdr:row>
          <xdr:rowOff>857250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ECF67DF-99F8-4AFE-A0D4-9517E09B77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 et actualise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les requêtes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0</xdr:row>
          <xdr:rowOff>161925</xdr:rowOff>
        </xdr:from>
        <xdr:to>
          <xdr:col>2</xdr:col>
          <xdr:colOff>57150</xdr:colOff>
          <xdr:row>0</xdr:row>
          <xdr:rowOff>828675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790CAC0-407C-46D3-8A63-C957FD66BC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 les TDC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19051</xdr:rowOff>
    </xdr:from>
    <xdr:to>
      <xdr:col>11</xdr:col>
      <xdr:colOff>2400300</xdr:colOff>
      <xdr:row>0</xdr:row>
      <xdr:rowOff>962025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rtenaires 1">
              <a:extLst>
                <a:ext uri="{FF2B5EF4-FFF2-40B4-BE49-F238E27FC236}">
                  <a16:creationId xmlns:a16="http://schemas.microsoft.com/office/drawing/2014/main" id="{51672FC4-BA18-4991-9236-6AB5174010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19051"/>
              <a:ext cx="4943476" cy="9429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9525</xdr:colOff>
      <xdr:row>0</xdr:row>
      <xdr:rowOff>47625</xdr:rowOff>
    </xdr:from>
    <xdr:to>
      <xdr:col>9</xdr:col>
      <xdr:colOff>57150</xdr:colOff>
      <xdr:row>0</xdr:row>
      <xdr:rowOff>914400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artenaires 2">
              <a:extLst>
                <a:ext uri="{FF2B5EF4-FFF2-40B4-BE49-F238E27FC236}">
                  <a16:creationId xmlns:a16="http://schemas.microsoft.com/office/drawing/2014/main" id="{519E34E4-FA58-4140-9802-F8FEE028C8C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enaire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" y="47625"/>
              <a:ext cx="8058150" cy="866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1523999</xdr:colOff>
      <xdr:row>0</xdr:row>
      <xdr:rowOff>28575</xdr:rowOff>
    </xdr:from>
    <xdr:to>
      <xdr:col>13</xdr:col>
      <xdr:colOff>266699</xdr:colOff>
      <xdr:row>0</xdr:row>
      <xdr:rowOff>962024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° Lot 1">
              <a:extLst>
                <a:ext uri="{FF2B5EF4-FFF2-40B4-BE49-F238E27FC236}">
                  <a16:creationId xmlns:a16="http://schemas.microsoft.com/office/drawing/2014/main" id="{DF4FAD66-65EB-4382-BCCA-8737E38E7D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Lo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0149" y="28575"/>
              <a:ext cx="2581275" cy="9334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KTA/Copie%20de%20NG2B%20Pr&#233;Budget%20AKTA%20V2%20B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EREMA/200421%20NG2B%20Pr&#233;Budget%20Cerema_E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UNILASSALE/NG2B%20Pr&#233;Budget%20UniLaSall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IP%20UCA/NG2B%20Pr&#233;Budget%20%20IP-UCA%20V3%20B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NG2B%20Pr&#233;Budget%20CONSOLIDATION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tecture Projet"/>
      <sheetName val="Lot 1"/>
      <sheetName val="Lot 2"/>
      <sheetName val="Lot 3"/>
      <sheetName val="Lot 4"/>
      <sheetName val="Lot 5"/>
      <sheetName val="Lot 6"/>
      <sheetName val="Synth Partenaire"/>
      <sheetName val="Synth Lot"/>
      <sheetName val="Consolidation"/>
      <sheetName val="Liste"/>
    </sheetNames>
    <sheetDataSet>
      <sheetData sheetId="0"/>
      <sheetData sheetId="1">
        <row r="12">
          <cell r="A12" t="str">
            <v>Lot_1</v>
          </cell>
          <cell r="B12" t="str">
            <v>Gouvernance et suivi du programme</v>
          </cell>
          <cell r="C12" t="str">
            <v>T2_Comité_de_pilotage_et_de_suivi</v>
          </cell>
          <cell r="D12" t="str">
            <v>ST 3 Participation aux réunions du COPIL</v>
          </cell>
          <cell r="E12" t="str">
            <v>4 réunions en présentiel, 3 réunions dématérialisées</v>
          </cell>
          <cell r="F12" t="str">
            <v>AKTA</v>
          </cell>
          <cell r="J12" t="str">
            <v>Oui</v>
          </cell>
          <cell r="K12">
            <v>5.5</v>
          </cell>
          <cell r="L12">
            <v>490</v>
          </cell>
          <cell r="N12" t="str">
            <v>Déplacements</v>
          </cell>
          <cell r="O12">
            <v>4</v>
          </cell>
          <cell r="P12">
            <v>150</v>
          </cell>
        </row>
        <row r="13">
          <cell r="A13" t="str">
            <v>Lot_1</v>
          </cell>
          <cell r="B13" t="str">
            <v>Gouvernance et suivi du programme</v>
          </cell>
          <cell r="C13" t="str">
            <v>T3_Comité_scientifique_et_technique</v>
          </cell>
          <cell r="D13" t="str">
            <v>ST 2 Participation aux réunions du CST</v>
          </cell>
          <cell r="E13" t="str">
            <v>2 réunions presentiel</v>
          </cell>
          <cell r="F13" t="str">
            <v>AKTA</v>
          </cell>
          <cell r="J13" t="str">
            <v>Oui</v>
          </cell>
          <cell r="K13">
            <v>2</v>
          </cell>
          <cell r="L13">
            <v>490</v>
          </cell>
          <cell r="N13" t="str">
            <v>Déplacements</v>
          </cell>
          <cell r="O13">
            <v>2</v>
          </cell>
          <cell r="P13">
            <v>150</v>
          </cell>
        </row>
      </sheetData>
      <sheetData sheetId="2">
        <row r="3">
          <cell r="C3" t="str">
            <v>T2_Consultation_des_acteurs</v>
          </cell>
          <cell r="D3" t="str">
            <v>ST1 Identification des acteurs, annuaire et schéma de filière</v>
          </cell>
          <cell r="F3" t="str">
            <v>AKTA</v>
          </cell>
          <cell r="J3" t="str">
            <v>Oui</v>
          </cell>
          <cell r="K3">
            <v>1</v>
          </cell>
          <cell r="L3">
            <v>490</v>
          </cell>
          <cell r="N3" t="str">
            <v>déplacements</v>
          </cell>
          <cell r="O3">
            <v>1</v>
          </cell>
          <cell r="P3">
            <v>150</v>
          </cell>
        </row>
        <row r="4">
          <cell r="C4" t="str">
            <v>T2_Consultation_des_acteurs</v>
          </cell>
          <cell r="D4" t="str">
            <v>ST2 Concertation pour receuillir les points de vigilances : entretiens perosnnalisés</v>
          </cell>
          <cell r="F4" t="str">
            <v>AKTA</v>
          </cell>
          <cell r="J4" t="str">
            <v>Oui</v>
          </cell>
          <cell r="K4">
            <v>4</v>
          </cell>
          <cell r="L4">
            <v>490</v>
          </cell>
          <cell r="N4" t="str">
            <v>Déplacements</v>
          </cell>
          <cell r="O4">
            <v>3</v>
          </cell>
          <cell r="P4">
            <v>150</v>
          </cell>
        </row>
        <row r="5">
          <cell r="C5" t="str">
            <v>T2_Consultation_des_acteurs</v>
          </cell>
          <cell r="D5" t="str">
            <v>ST3 Concertation pour receuillir les points de vigilances : ateliers par typologies d'acteurs</v>
          </cell>
          <cell r="F5" t="str">
            <v>AKTA</v>
          </cell>
          <cell r="J5" t="str">
            <v>Oui</v>
          </cell>
          <cell r="K5">
            <v>2</v>
          </cell>
          <cell r="L5">
            <v>490</v>
          </cell>
          <cell r="N5" t="str">
            <v>Déplacements</v>
          </cell>
          <cell r="O5">
            <v>2</v>
          </cell>
          <cell r="P5">
            <v>150</v>
          </cell>
        </row>
      </sheetData>
      <sheetData sheetId="3">
        <row r="30">
          <cell r="A30" t="str">
            <v>Lot_3</v>
          </cell>
          <cell r="B30" t="str">
            <v>Carte d’identité des granulats végétaux</v>
          </cell>
          <cell r="C30" t="str">
            <v>T1_Validation_des_caractéristiques_pertinentes</v>
          </cell>
          <cell r="F30" t="str">
            <v>AKTA</v>
          </cell>
          <cell r="J30" t="str">
            <v>Oui</v>
          </cell>
          <cell r="K30">
            <v>2.5</v>
          </cell>
          <cell r="L30">
            <v>490</v>
          </cell>
          <cell r="N30"/>
          <cell r="O30"/>
          <cell r="P30"/>
        </row>
        <row r="31">
          <cell r="A31" t="str">
            <v>Lot_3</v>
          </cell>
          <cell r="B31" t="str">
            <v>Carte d’identité des granulats végétaux</v>
          </cell>
          <cell r="C31" t="str">
            <v>T1_Validation_des_caractéristiques_pertinentes</v>
          </cell>
          <cell r="F31" t="str">
            <v>AKTA</v>
          </cell>
          <cell r="J31" t="str">
            <v>Oui</v>
          </cell>
          <cell r="K31">
            <v>3</v>
          </cell>
          <cell r="L31">
            <v>490</v>
          </cell>
          <cell r="N31"/>
          <cell r="O31"/>
          <cell r="P31"/>
        </row>
      </sheetData>
      <sheetData sheetId="4"/>
      <sheetData sheetId="5">
        <row r="3">
          <cell r="A3" t="str">
            <v>Lot_5</v>
          </cell>
          <cell r="B3" t="str">
            <v>Structuration d’une prénorme</v>
          </cell>
          <cell r="C3" t="str">
            <v>T1_Commission_prénormalisation</v>
          </cell>
          <cell r="F3" t="str">
            <v>AKTA</v>
          </cell>
          <cell r="J3" t="str">
            <v>Oui</v>
          </cell>
          <cell r="K3">
            <v>1.5</v>
          </cell>
          <cell r="L3">
            <v>490</v>
          </cell>
          <cell r="N3" t="str">
            <v>Déplacements</v>
          </cell>
          <cell r="O3">
            <v>1</v>
          </cell>
          <cell r="P3">
            <v>150</v>
          </cell>
        </row>
        <row r="4">
          <cell r="A4" t="str">
            <v>Lot_5</v>
          </cell>
          <cell r="B4" t="str">
            <v>Structuration d’une prénorme</v>
          </cell>
          <cell r="C4" t="str">
            <v>T1_Commission_prénormalisation</v>
          </cell>
          <cell r="D4" t="str">
            <v>ST2 Mise en place du "comité de suivi" et de "groupes techniques"</v>
          </cell>
          <cell r="F4" t="str">
            <v>AKTA</v>
          </cell>
          <cell r="J4" t="str">
            <v>Oui</v>
          </cell>
          <cell r="K4">
            <v>2</v>
          </cell>
          <cell r="L4">
            <v>490</v>
          </cell>
          <cell r="N4" t="str">
            <v>Déplacements</v>
          </cell>
          <cell r="O4">
            <v>2</v>
          </cell>
          <cell r="P4">
            <v>150</v>
          </cell>
        </row>
        <row r="5">
          <cell r="A5" t="str">
            <v>Lot_5</v>
          </cell>
          <cell r="B5" t="str">
            <v>Structuration d’une prénorme</v>
          </cell>
          <cell r="C5" t="str">
            <v>T1_Commission_prénormalisation</v>
          </cell>
          <cell r="D5" t="str">
            <v>ST4 Participation aux réunions de la commission</v>
          </cell>
          <cell r="F5" t="str">
            <v>AKTA</v>
          </cell>
          <cell r="J5" t="str">
            <v>Oui</v>
          </cell>
          <cell r="K5">
            <v>4</v>
          </cell>
          <cell r="L5">
            <v>490</v>
          </cell>
          <cell r="N5" t="str">
            <v>Déplacements</v>
          </cell>
          <cell r="O5">
            <v>2</v>
          </cell>
          <cell r="P5">
            <v>150</v>
          </cell>
        </row>
        <row r="6">
          <cell r="A6" t="str">
            <v>Lot_5</v>
          </cell>
          <cell r="B6" t="str">
            <v>Structuration d’une prénorme</v>
          </cell>
          <cell r="C6" t="str">
            <v>T2_Vocabulaire_définition_termes_utilisés</v>
          </cell>
          <cell r="D6" t="str">
            <v>ST1 Identification des termes techniques nécessitant d’être spécifiés et des définitions préexistante</v>
          </cell>
          <cell r="F6" t="str">
            <v>AKTA</v>
          </cell>
          <cell r="J6" t="str">
            <v>Oui</v>
          </cell>
          <cell r="K6">
            <v>4</v>
          </cell>
          <cell r="L6">
            <v>490</v>
          </cell>
          <cell r="N6"/>
          <cell r="O6"/>
          <cell r="P6"/>
        </row>
        <row r="7">
          <cell r="A7" t="str">
            <v>Lot_5</v>
          </cell>
          <cell r="B7" t="str">
            <v>Structuration d’une prénorme</v>
          </cell>
          <cell r="C7" t="str">
            <v>T3_Rédaction_proposition_prénorme</v>
          </cell>
          <cell r="D7" t="str">
            <v>ST1 Phase préliminaire : définir la stratégie normative</v>
          </cell>
          <cell r="F7" t="str">
            <v>AKTA</v>
          </cell>
          <cell r="J7" t="str">
            <v>Oui</v>
          </cell>
          <cell r="K7">
            <v>2</v>
          </cell>
          <cell r="L7">
            <v>490</v>
          </cell>
          <cell r="N7"/>
          <cell r="O7"/>
          <cell r="P7"/>
        </row>
        <row r="8">
          <cell r="A8" t="str">
            <v>Lot_5</v>
          </cell>
          <cell r="B8" t="str">
            <v>Structuration d’une prénorme</v>
          </cell>
          <cell r="C8" t="str">
            <v>T3_Rédaction_proposition_prénorme</v>
          </cell>
          <cell r="D8" t="str">
            <v xml:space="preserve">ST2 Phase de rédaction  de la prénorme </v>
          </cell>
          <cell r="F8" t="str">
            <v>AKTA</v>
          </cell>
          <cell r="J8" t="str">
            <v>Oui</v>
          </cell>
          <cell r="K8">
            <v>3</v>
          </cell>
          <cell r="L8">
            <v>490</v>
          </cell>
          <cell r="N8"/>
          <cell r="O8"/>
          <cell r="P8"/>
        </row>
      </sheetData>
      <sheetData sheetId="6">
        <row r="3">
          <cell r="A3" t="str">
            <v>Lot_6</v>
          </cell>
          <cell r="B3" t="str">
            <v>Communication et valorisation</v>
          </cell>
          <cell r="C3" t="str">
            <v>T3_Conférences_Séminaires</v>
          </cell>
          <cell r="D3" t="str">
            <v>ST 2 Conférences organisées par Sable Vert</v>
          </cell>
          <cell r="F3" t="str">
            <v>AKTA</v>
          </cell>
          <cell r="J3" t="str">
            <v>Oui</v>
          </cell>
          <cell r="K3">
            <v>6</v>
          </cell>
          <cell r="L3">
            <v>490</v>
          </cell>
          <cell r="N3" t="str">
            <v>Déplacements</v>
          </cell>
          <cell r="O3">
            <v>6</v>
          </cell>
          <cell r="P3">
            <v>150</v>
          </cell>
        </row>
        <row r="4">
          <cell r="A4" t="str">
            <v>Lot_6</v>
          </cell>
          <cell r="B4" t="str">
            <v>Communication et valorisation</v>
          </cell>
          <cell r="C4" t="str">
            <v>T3_Conférences_Séminaires</v>
          </cell>
          <cell r="D4" t="str">
            <v>ST 3 Participation à des événements externes</v>
          </cell>
          <cell r="F4" t="str">
            <v>AKTA</v>
          </cell>
          <cell r="J4" t="str">
            <v>Oui</v>
          </cell>
          <cell r="K4">
            <v>4</v>
          </cell>
          <cell r="L4">
            <v>490</v>
          </cell>
          <cell r="N4" t="str">
            <v>Déplacements</v>
          </cell>
          <cell r="O4">
            <v>4</v>
          </cell>
          <cell r="P4">
            <v>150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tecture Projet"/>
      <sheetName val="Lot 1"/>
      <sheetName val="Lot 2"/>
      <sheetName val="Lot 3"/>
      <sheetName val="Lot 4"/>
      <sheetName val="Lot 5"/>
      <sheetName val="Lot 6"/>
      <sheetName val="Synth Partenaire"/>
      <sheetName val="Synth Lot"/>
      <sheetName val="Consolidation"/>
      <sheetName val="Liste"/>
    </sheetNames>
    <sheetDataSet>
      <sheetData sheetId="0"/>
      <sheetData sheetId="1">
        <row r="12">
          <cell r="C12" t="str">
            <v>T2_Comité_de_pilotage_et_de_suivi</v>
          </cell>
          <cell r="D12" t="str">
            <v>ST 3 Participation aux réunions du COPIL</v>
          </cell>
          <cell r="E12" t="str">
            <v>4 réunions en présentiel, 3 réunions dématérialisées</v>
          </cell>
          <cell r="F12" t="str">
            <v>CEREMA</v>
          </cell>
          <cell r="I12" t="str">
            <v>Expert</v>
          </cell>
          <cell r="J12" t="str">
            <v>Non</v>
          </cell>
          <cell r="L12">
            <v>792</v>
          </cell>
          <cell r="N12" t="str">
            <v>Déplacements</v>
          </cell>
          <cell r="O12">
            <v>4</v>
          </cell>
          <cell r="P12">
            <v>150</v>
          </cell>
        </row>
        <row r="14">
          <cell r="C14" t="str">
            <v>T3_Comité_scientifique_et_technique</v>
          </cell>
          <cell r="D14" t="str">
            <v>ST 2 Participation aux réunions du CST</v>
          </cell>
          <cell r="E14" t="str">
            <v>2 réunions en présentiel</v>
          </cell>
          <cell r="F14" t="str">
            <v>CEREMA</v>
          </cell>
          <cell r="I14" t="str">
            <v>Expert</v>
          </cell>
          <cell r="J14" t="str">
            <v>Non</v>
          </cell>
          <cell r="K14">
            <v>2</v>
          </cell>
          <cell r="L14">
            <v>792</v>
          </cell>
          <cell r="N14" t="str">
            <v>Déplacements</v>
          </cell>
          <cell r="O14">
            <v>2</v>
          </cell>
          <cell r="P14">
            <v>150</v>
          </cell>
        </row>
      </sheetData>
      <sheetData sheetId="2">
        <row r="3">
          <cell r="C3" t="str">
            <v>T1_Bibliographie_et_synthèse</v>
          </cell>
          <cell r="D3" t="str">
            <v>ST1 Analyse bibliographique</v>
          </cell>
          <cell r="E3"/>
          <cell r="F3" t="str">
            <v>CEREMA</v>
          </cell>
          <cell r="I3" t="str">
            <v>Directeur de projet</v>
          </cell>
          <cell r="J3" t="str">
            <v>Non</v>
          </cell>
          <cell r="L3">
            <v>548</v>
          </cell>
          <cell r="N3"/>
          <cell r="O3"/>
          <cell r="P3"/>
        </row>
        <row r="4">
          <cell r="C4" t="str">
            <v>T1_Bibliographie_et_synthèse</v>
          </cell>
          <cell r="D4" t="str">
            <v>ST1 Analyse bibliographique</v>
          </cell>
          <cell r="F4" t="str">
            <v>CEREMA</v>
          </cell>
          <cell r="I4" t="str">
            <v>Ingénieur</v>
          </cell>
          <cell r="J4" t="str">
            <v>Non</v>
          </cell>
          <cell r="L4">
            <v>376</v>
          </cell>
          <cell r="N4"/>
          <cell r="O4"/>
          <cell r="P4"/>
        </row>
        <row r="5">
          <cell r="C5" t="str">
            <v>T1_Bibliographie_et_synthèse</v>
          </cell>
          <cell r="D5" t="str">
            <v>ST1 Analyse bibliographique</v>
          </cell>
          <cell r="F5" t="str">
            <v>CEREMA</v>
          </cell>
          <cell r="I5" t="str">
            <v>Post-doctorant</v>
          </cell>
          <cell r="J5" t="str">
            <v>Oui</v>
          </cell>
          <cell r="L5">
            <v>277</v>
          </cell>
          <cell r="N5"/>
          <cell r="O5"/>
          <cell r="P5"/>
        </row>
        <row r="7">
          <cell r="C7" t="str">
            <v>T1_Bibliographie_et_synthèse</v>
          </cell>
          <cell r="D7" t="str">
            <v xml:space="preserve">ST2 Concertation, mise en commun des différentes équipes impliquées </v>
          </cell>
          <cell r="E7" t="str">
            <v>2 réunions en présentiel</v>
          </cell>
          <cell r="F7" t="str">
            <v>CEREMA</v>
          </cell>
          <cell r="I7" t="str">
            <v>Expert</v>
          </cell>
          <cell r="J7" t="str">
            <v>Non</v>
          </cell>
          <cell r="K7">
            <v>2</v>
          </cell>
          <cell r="L7">
            <v>792</v>
          </cell>
          <cell r="N7" t="str">
            <v>Déplacements</v>
          </cell>
          <cell r="O7">
            <v>2</v>
          </cell>
          <cell r="P7">
            <v>150</v>
          </cell>
        </row>
        <row r="8">
          <cell r="C8" t="str">
            <v>T1_Bibliographie_et_synthèse</v>
          </cell>
          <cell r="D8" t="str">
            <v xml:space="preserve">ST2 Concertation, mise en commun des différentes équipes impliquées </v>
          </cell>
          <cell r="E8" t="str">
            <v>2 réunions en présentiel</v>
          </cell>
          <cell r="F8" t="str">
            <v>CEREMA</v>
          </cell>
          <cell r="I8" t="str">
            <v>Ingénieur</v>
          </cell>
          <cell r="J8" t="str">
            <v>Non</v>
          </cell>
          <cell r="K8">
            <v>2</v>
          </cell>
          <cell r="L8">
            <v>376</v>
          </cell>
          <cell r="N8" t="str">
            <v>Déplacements</v>
          </cell>
          <cell r="O8">
            <v>2</v>
          </cell>
          <cell r="P8">
            <v>150</v>
          </cell>
        </row>
        <row r="9">
          <cell r="C9" t="str">
            <v>T1_Bibliographie_et_synthèse</v>
          </cell>
          <cell r="D9" t="str">
            <v>ST3 Rédaction de la synthèse</v>
          </cell>
          <cell r="F9" t="str">
            <v>CEREMA</v>
          </cell>
          <cell r="I9" t="str">
            <v>Expert</v>
          </cell>
          <cell r="J9" t="str">
            <v>Non</v>
          </cell>
          <cell r="K9">
            <v>2</v>
          </cell>
          <cell r="L9">
            <v>792</v>
          </cell>
          <cell r="N9"/>
          <cell r="O9"/>
          <cell r="P9"/>
        </row>
        <row r="10">
          <cell r="C10" t="str">
            <v>T1_Bibliographie_et_synthèse</v>
          </cell>
          <cell r="D10" t="str">
            <v>ST3 Rédaction de la synthèse</v>
          </cell>
          <cell r="F10" t="str">
            <v>CEREMA</v>
          </cell>
          <cell r="I10" t="str">
            <v>Ingénieur</v>
          </cell>
          <cell r="J10" t="str">
            <v>Non</v>
          </cell>
          <cell r="K10">
            <v>10</v>
          </cell>
          <cell r="L10">
            <v>376</v>
          </cell>
          <cell r="N10"/>
          <cell r="O10"/>
          <cell r="P10"/>
        </row>
        <row r="11">
          <cell r="C11" t="str">
            <v>T1_Bibliographie_et_synthèse</v>
          </cell>
          <cell r="D11" t="str">
            <v>ST3 Rédaction de la synthèse</v>
          </cell>
          <cell r="F11" t="str">
            <v>CEREMA</v>
          </cell>
          <cell r="I11" t="str">
            <v>Post-doctorant</v>
          </cell>
          <cell r="J11" t="str">
            <v>Oui</v>
          </cell>
          <cell r="K11">
            <v>10</v>
          </cell>
          <cell r="L11">
            <v>277</v>
          </cell>
          <cell r="N11"/>
          <cell r="O11"/>
          <cell r="P11"/>
        </row>
        <row r="14">
          <cell r="C14" t="str">
            <v>T5_Atelier_de_concertation</v>
          </cell>
          <cell r="D14" t="str">
            <v>ST2 Participation au séminaire de concertation</v>
          </cell>
          <cell r="E14" t="str">
            <v>2 jours</v>
          </cell>
          <cell r="F14" t="str">
            <v>CEREMA</v>
          </cell>
          <cell r="I14" t="str">
            <v>Expert</v>
          </cell>
          <cell r="J14" t="str">
            <v>Non</v>
          </cell>
          <cell r="K14">
            <v>2</v>
          </cell>
          <cell r="L14">
            <v>792</v>
          </cell>
          <cell r="N14" t="str">
            <v>Déplacements</v>
          </cell>
          <cell r="O14">
            <v>2</v>
          </cell>
          <cell r="P14">
            <v>150</v>
          </cell>
        </row>
        <row r="15">
          <cell r="C15" t="str">
            <v>T5_Atelier_de_concertation</v>
          </cell>
          <cell r="D15" t="str">
            <v>ST2 Participation au séminaire de concertation</v>
          </cell>
          <cell r="E15" t="str">
            <v>2 jours</v>
          </cell>
          <cell r="F15" t="str">
            <v>CEREMA</v>
          </cell>
          <cell r="I15" t="str">
            <v>Ingénieur</v>
          </cell>
          <cell r="J15" t="str">
            <v>Non</v>
          </cell>
          <cell r="K15">
            <v>2</v>
          </cell>
          <cell r="L15">
            <v>376</v>
          </cell>
          <cell r="N15" t="str">
            <v>Déplacements</v>
          </cell>
          <cell r="O15">
            <v>2</v>
          </cell>
          <cell r="P15">
            <v>150</v>
          </cell>
        </row>
        <row r="16">
          <cell r="C16" t="str">
            <v>T5_Atelier_de_concertation</v>
          </cell>
          <cell r="D16" t="str">
            <v>ST2 Participation au séminaire de concertation</v>
          </cell>
          <cell r="E16" t="str">
            <v>2 jours</v>
          </cell>
          <cell r="F16" t="str">
            <v>CEREMA</v>
          </cell>
          <cell r="I16" t="str">
            <v>Post-doctorant</v>
          </cell>
          <cell r="J16" t="str">
            <v>Oui</v>
          </cell>
          <cell r="K16">
            <v>2</v>
          </cell>
          <cell r="L16">
            <v>277</v>
          </cell>
          <cell r="N16" t="str">
            <v>Déplacements</v>
          </cell>
          <cell r="O16">
            <v>2</v>
          </cell>
          <cell r="P16">
            <v>150</v>
          </cell>
        </row>
      </sheetData>
      <sheetData sheetId="3">
        <row r="3">
          <cell r="C3" t="str">
            <v>T1_Validation_des_caractéristiques_pertinentes</v>
          </cell>
          <cell r="E3" t="str">
            <v>2 réunions de concertation par rapport aux granulats tests</v>
          </cell>
          <cell r="F3" t="str">
            <v>CEREMA</v>
          </cell>
          <cell r="I3" t="str">
            <v>Expert</v>
          </cell>
          <cell r="J3" t="str">
            <v>Non</v>
          </cell>
          <cell r="K3">
            <v>2</v>
          </cell>
          <cell r="L3">
            <v>792</v>
          </cell>
          <cell r="N3"/>
          <cell r="O3"/>
          <cell r="P3"/>
        </row>
        <row r="4">
          <cell r="C4" t="str">
            <v>T1_Validation_des_caractéristiques_pertinentes</v>
          </cell>
          <cell r="E4" t="str">
            <v>2 réunions de concertation par rapport aux granulats tests</v>
          </cell>
          <cell r="F4" t="str">
            <v>CEREMA</v>
          </cell>
          <cell r="I4" t="str">
            <v>Ingénieur</v>
          </cell>
          <cell r="J4" t="str">
            <v>Non</v>
          </cell>
          <cell r="K4">
            <v>2</v>
          </cell>
          <cell r="L4">
            <v>376</v>
          </cell>
          <cell r="N4"/>
          <cell r="O4"/>
          <cell r="P4"/>
        </row>
        <row r="5">
          <cell r="C5" t="str">
            <v>T1_Validation_des_caractéristiques_pertinentes</v>
          </cell>
          <cell r="E5" t="str">
            <v>Réunion d’échanges pour les autres granulats</v>
          </cell>
          <cell r="F5" t="str">
            <v>CEREMA</v>
          </cell>
          <cell r="I5" t="str">
            <v>Expert</v>
          </cell>
          <cell r="J5" t="str">
            <v>Non</v>
          </cell>
          <cell r="K5">
            <v>1</v>
          </cell>
          <cell r="L5">
            <v>792</v>
          </cell>
          <cell r="N5"/>
          <cell r="O5"/>
          <cell r="P5"/>
        </row>
        <row r="6">
          <cell r="C6" t="str">
            <v>T1_Validation_des_caractéristiques_pertinentes</v>
          </cell>
          <cell r="E6" t="str">
            <v>Réunion d’échanges pour les autres granulats</v>
          </cell>
          <cell r="F6" t="str">
            <v>CEREMA</v>
          </cell>
          <cell r="I6" t="str">
            <v>Ingénieur</v>
          </cell>
          <cell r="J6" t="str">
            <v>Non</v>
          </cell>
          <cell r="K6">
            <v>1</v>
          </cell>
          <cell r="L6">
            <v>376</v>
          </cell>
          <cell r="N6"/>
          <cell r="O6"/>
          <cell r="P6"/>
        </row>
        <row r="7">
          <cell r="C7" t="str">
            <v>T1_Validation_des_caractéristiques_pertinentes</v>
          </cell>
          <cell r="E7"/>
          <cell r="F7" t="str">
            <v>CEREMA</v>
          </cell>
          <cell r="I7" t="str">
            <v>Expert</v>
          </cell>
          <cell r="J7" t="str">
            <v>Non</v>
          </cell>
          <cell r="L7">
            <v>792</v>
          </cell>
          <cell r="N7"/>
          <cell r="O7"/>
          <cell r="P7"/>
        </row>
        <row r="8">
          <cell r="C8" t="str">
            <v>T1_Validation_des_caractéristiques_pertinentes</v>
          </cell>
          <cell r="E8"/>
          <cell r="F8" t="str">
            <v>CEREMA</v>
          </cell>
          <cell r="I8" t="str">
            <v>Ingénieur</v>
          </cell>
          <cell r="J8" t="str">
            <v>Non</v>
          </cell>
          <cell r="L8">
            <v>376</v>
          </cell>
          <cell r="N8"/>
          <cell r="O8"/>
          <cell r="P8"/>
        </row>
        <row r="9">
          <cell r="C9" t="str">
            <v>T2_Rédaction_des_protocoles_de_caractérisation</v>
          </cell>
          <cell r="D9" t="str">
            <v>ST1 Réunions de concertation / analyse critique des pratiques</v>
          </cell>
          <cell r="E9" t="str">
            <v>2 réunions en présentiel et 2 en dématérialisé</v>
          </cell>
          <cell r="F9" t="str">
            <v>CEREMA</v>
          </cell>
          <cell r="I9" t="str">
            <v>Expert</v>
          </cell>
          <cell r="J9" t="str">
            <v>Non</v>
          </cell>
          <cell r="K9">
            <v>4</v>
          </cell>
          <cell r="L9">
            <v>792</v>
          </cell>
          <cell r="N9" t="str">
            <v>Déplacements</v>
          </cell>
          <cell r="O9">
            <v>2</v>
          </cell>
          <cell r="P9">
            <v>150</v>
          </cell>
        </row>
        <row r="10">
          <cell r="C10" t="str">
            <v>T2_Rédaction_des_protocoles_de_caractérisation</v>
          </cell>
          <cell r="D10" t="str">
            <v>ST1 Réunions de concertation / analyse critique des pratiques</v>
          </cell>
          <cell r="E10" t="str">
            <v>2 réunions en présentiel et 2 en dématérialisé</v>
          </cell>
          <cell r="F10" t="str">
            <v>CEREMA</v>
          </cell>
          <cell r="I10" t="str">
            <v>Ingénieur</v>
          </cell>
          <cell r="J10" t="str">
            <v>Non</v>
          </cell>
          <cell r="K10">
            <v>4</v>
          </cell>
          <cell r="L10">
            <v>376</v>
          </cell>
          <cell r="N10" t="str">
            <v>Déplacements</v>
          </cell>
          <cell r="O10">
            <v>2</v>
          </cell>
          <cell r="P10">
            <v>150</v>
          </cell>
        </row>
        <row r="11">
          <cell r="C11" t="str">
            <v>T2_Rédaction_des_protocoles_de_caractérisation</v>
          </cell>
          <cell r="D11" t="str">
            <v>ST2 Analyse des valeurs</v>
          </cell>
          <cell r="E11" t="str">
            <v>précision des mesures / variabilité des valeurs</v>
          </cell>
          <cell r="F11" t="str">
            <v>CEREMA</v>
          </cell>
          <cell r="I11" t="str">
            <v>Expert</v>
          </cell>
          <cell r="J11" t="str">
            <v>Non</v>
          </cell>
          <cell r="K11">
            <v>2</v>
          </cell>
          <cell r="L11">
            <v>792</v>
          </cell>
          <cell r="N11"/>
          <cell r="O11"/>
          <cell r="P11"/>
        </row>
        <row r="12">
          <cell r="C12" t="str">
            <v>T2_Rédaction_des_protocoles_de_caractérisation</v>
          </cell>
          <cell r="D12" t="str">
            <v>ST2 Analyse des valeurs</v>
          </cell>
          <cell r="E12" t="str">
            <v>précision des mesures / variabilité des valeurs</v>
          </cell>
          <cell r="F12" t="str">
            <v>CEREMA</v>
          </cell>
          <cell r="I12" t="str">
            <v>Ingénieur</v>
          </cell>
          <cell r="J12" t="str">
            <v>Non</v>
          </cell>
          <cell r="K12">
            <v>5</v>
          </cell>
          <cell r="L12">
            <v>376</v>
          </cell>
          <cell r="N12"/>
          <cell r="O12"/>
          <cell r="P12"/>
        </row>
        <row r="13">
          <cell r="C13" t="str">
            <v>T2_Rédaction_des_protocoles_de_caractérisation</v>
          </cell>
          <cell r="D13" t="str">
            <v>ST2 Analyse des valeurs</v>
          </cell>
          <cell r="E13" t="str">
            <v>précision des mesures / variabilité des valeurs</v>
          </cell>
          <cell r="F13" t="str">
            <v>CEREMA</v>
          </cell>
          <cell r="I13" t="str">
            <v>Post-doctorant</v>
          </cell>
          <cell r="J13" t="str">
            <v>Oui</v>
          </cell>
          <cell r="K13">
            <v>5</v>
          </cell>
          <cell r="L13">
            <v>277</v>
          </cell>
          <cell r="N13"/>
          <cell r="O13"/>
          <cell r="P13"/>
        </row>
        <row r="14">
          <cell r="C14" t="str">
            <v>T2_Rédaction_des_protocoles_de_caractérisation</v>
          </cell>
          <cell r="D14" t="str">
            <v>ST3 Discussions des essais à conduire en lot 4</v>
          </cell>
          <cell r="E14" t="str">
            <v>vérification des bornes min et max</v>
          </cell>
          <cell r="F14" t="str">
            <v>CEREMA</v>
          </cell>
          <cell r="I14" t="str">
            <v>Expert</v>
          </cell>
          <cell r="J14" t="str">
            <v>Non</v>
          </cell>
          <cell r="K14">
            <v>4</v>
          </cell>
          <cell r="L14">
            <v>792</v>
          </cell>
          <cell r="N14"/>
          <cell r="O14"/>
          <cell r="P14"/>
        </row>
        <row r="15">
          <cell r="C15" t="str">
            <v>T2_Rédaction_des_protocoles_de_caractérisation</v>
          </cell>
          <cell r="D15" t="str">
            <v>ST3 Discussions des essais à conduire en lot 4</v>
          </cell>
          <cell r="E15" t="str">
            <v>vérification des bornes min et max</v>
          </cell>
          <cell r="F15" t="str">
            <v>CEREMA</v>
          </cell>
          <cell r="I15" t="str">
            <v>Ingénieur</v>
          </cell>
          <cell r="J15" t="str">
            <v>Non</v>
          </cell>
          <cell r="K15">
            <v>5</v>
          </cell>
          <cell r="L15">
            <v>376</v>
          </cell>
          <cell r="N15"/>
          <cell r="O15"/>
          <cell r="P15"/>
        </row>
        <row r="16">
          <cell r="C16" t="str">
            <v>T2_Rédaction_des_protocoles_de_caractérisation</v>
          </cell>
          <cell r="D16" t="str">
            <v>ST3 Discussions des essais à conduire en lot 4</v>
          </cell>
          <cell r="E16" t="str">
            <v>vérification des bornes min et max</v>
          </cell>
          <cell r="F16" t="str">
            <v>CEREMA</v>
          </cell>
          <cell r="I16" t="str">
            <v>Post-doctorant</v>
          </cell>
          <cell r="J16" t="str">
            <v>Oui</v>
          </cell>
          <cell r="L16">
            <v>277</v>
          </cell>
          <cell r="N16"/>
          <cell r="O16"/>
          <cell r="P16"/>
        </row>
        <row r="17">
          <cell r="C17" t="str">
            <v>T2_Rédaction_des_protocoles_de_caractérisation</v>
          </cell>
          <cell r="D17" t="str">
            <v>ST4 Rédaction des protocoles</v>
          </cell>
          <cell r="E17"/>
          <cell r="F17" t="str">
            <v>CEREMA</v>
          </cell>
          <cell r="I17" t="str">
            <v>Expert</v>
          </cell>
          <cell r="J17" t="str">
            <v>Non</v>
          </cell>
          <cell r="K17">
            <v>2</v>
          </cell>
          <cell r="L17">
            <v>792</v>
          </cell>
          <cell r="N17"/>
          <cell r="O17"/>
          <cell r="P17"/>
        </row>
        <row r="18">
          <cell r="C18" t="str">
            <v>T2_Rédaction_des_protocoles_de_caractérisation</v>
          </cell>
          <cell r="D18" t="str">
            <v>ST4 Rédaction des protocoles</v>
          </cell>
          <cell r="E18"/>
          <cell r="F18" t="str">
            <v>CEREMA</v>
          </cell>
          <cell r="I18" t="str">
            <v>Ingénieur</v>
          </cell>
          <cell r="J18" t="str">
            <v>Non</v>
          </cell>
          <cell r="L18">
            <v>376</v>
          </cell>
          <cell r="N18"/>
          <cell r="O18"/>
          <cell r="P18"/>
        </row>
        <row r="19">
          <cell r="C19" t="str">
            <v xml:space="preserve">T3_Identification_des_indicateurs_environnementaux </v>
          </cell>
          <cell r="D19" t="str">
            <v>ST1 Analyse des contributions / données liées aux granulats</v>
          </cell>
          <cell r="E19"/>
          <cell r="F19" t="str">
            <v>CEREMA</v>
          </cell>
          <cell r="I19" t="str">
            <v>Directeur de projet</v>
          </cell>
          <cell r="J19" t="str">
            <v>Non</v>
          </cell>
          <cell r="L19">
            <v>548</v>
          </cell>
          <cell r="N19"/>
          <cell r="O19"/>
          <cell r="P19"/>
        </row>
        <row r="20">
          <cell r="C20" t="str">
            <v xml:space="preserve">T3_Identification_des_indicateurs_environnementaux </v>
          </cell>
          <cell r="D20" t="str">
            <v>ST1 Analyse des contributions / données liées aux granulats</v>
          </cell>
          <cell r="E20"/>
          <cell r="F20" t="str">
            <v>CEREMA</v>
          </cell>
          <cell r="I20" t="str">
            <v>Ingénieur</v>
          </cell>
          <cell r="J20" t="str">
            <v>Non</v>
          </cell>
          <cell r="K20">
            <v>20</v>
          </cell>
          <cell r="L20">
            <v>376</v>
          </cell>
          <cell r="N20"/>
          <cell r="O20"/>
          <cell r="P20"/>
        </row>
        <row r="21">
          <cell r="C21" t="str">
            <v xml:space="preserve">T3_Identification_des_indicateurs_environnementaux </v>
          </cell>
          <cell r="D21" t="str">
            <v>ST1 Analyse des contributions / données liées aux granulats</v>
          </cell>
          <cell r="E21"/>
          <cell r="F21" t="str">
            <v>CEREMA</v>
          </cell>
          <cell r="I21" t="str">
            <v>Master Recherche</v>
          </cell>
          <cell r="J21" t="str">
            <v>Oui</v>
          </cell>
          <cell r="K21">
            <v>40</v>
          </cell>
          <cell r="L21">
            <v>30</v>
          </cell>
          <cell r="N21"/>
          <cell r="O21"/>
          <cell r="P21"/>
        </row>
        <row r="22">
          <cell r="C22" t="str">
            <v xml:space="preserve">T3_Identification_des_indicateurs_environnementaux </v>
          </cell>
          <cell r="D22" t="str">
            <v>ST2 Synthèse des données pour la CI</v>
          </cell>
          <cell r="E22"/>
          <cell r="F22" t="str">
            <v>CEREMA</v>
          </cell>
          <cell r="I22" t="str">
            <v>Directeur de projet</v>
          </cell>
          <cell r="J22" t="str">
            <v>Non</v>
          </cell>
          <cell r="L22">
            <v>548</v>
          </cell>
          <cell r="N22"/>
          <cell r="O22"/>
          <cell r="P22"/>
        </row>
        <row r="23">
          <cell r="C23" t="str">
            <v xml:space="preserve">T3_Identification_des_indicateurs_environnementaux </v>
          </cell>
          <cell r="D23" t="str">
            <v>ST2 Synthèse des données pour la CI</v>
          </cell>
          <cell r="E23"/>
          <cell r="F23" t="str">
            <v>CEREMA</v>
          </cell>
          <cell r="I23" t="str">
            <v>Ingénieur</v>
          </cell>
          <cell r="J23" t="str">
            <v>Non</v>
          </cell>
          <cell r="K23">
            <v>10</v>
          </cell>
          <cell r="L23">
            <v>376</v>
          </cell>
          <cell r="N23"/>
          <cell r="O23"/>
          <cell r="P23"/>
        </row>
      </sheetData>
      <sheetData sheetId="4">
        <row r="3">
          <cell r="C3" t="str">
            <v>T1_Caractérisation_matières_premières</v>
          </cell>
          <cell r="D3" t="str">
            <v>ST 2 Tests de caractérisation</v>
          </cell>
          <cell r="F3" t="str">
            <v>CEREMA</v>
          </cell>
          <cell r="I3" t="str">
            <v>Ingénieur</v>
          </cell>
          <cell r="J3" t="str">
            <v>Non</v>
          </cell>
          <cell r="K3">
            <v>10</v>
          </cell>
          <cell r="L3">
            <v>376</v>
          </cell>
          <cell r="N3"/>
          <cell r="O3"/>
          <cell r="P3"/>
        </row>
        <row r="4">
          <cell r="C4" t="str">
            <v>T1_Caractérisation_matières_premières</v>
          </cell>
          <cell r="D4" t="str">
            <v>ST 2 Tests de caractérisation</v>
          </cell>
          <cell r="F4" t="str">
            <v>CEREMA</v>
          </cell>
          <cell r="I4" t="str">
            <v>Personnel technique</v>
          </cell>
          <cell r="J4" t="str">
            <v>Non</v>
          </cell>
          <cell r="K4">
            <v>20</v>
          </cell>
          <cell r="L4">
            <v>324</v>
          </cell>
          <cell r="N4" t="str">
            <v>Mobilisation de dispositifs expérimentaux</v>
          </cell>
          <cell r="O4">
            <v>1</v>
          </cell>
          <cell r="P4">
            <v>15000</v>
          </cell>
        </row>
        <row r="5">
          <cell r="C5" t="str">
            <v>T1_Caractérisation_matières_premières</v>
          </cell>
          <cell r="D5" t="str">
            <v>ST 2 Tests de caractérisation</v>
          </cell>
          <cell r="F5" t="str">
            <v>CEREMA</v>
          </cell>
          <cell r="I5" t="str">
            <v>Post-doctorant</v>
          </cell>
          <cell r="J5" t="str">
            <v>Oui</v>
          </cell>
          <cell r="L5">
            <v>277</v>
          </cell>
          <cell r="N5"/>
          <cell r="O5"/>
          <cell r="P5"/>
        </row>
        <row r="6">
          <cell r="C6" t="str">
            <v>T1_Caractérisation_matières_premières</v>
          </cell>
          <cell r="D6" t="str">
            <v>ST 2 Tests de caractérisation</v>
          </cell>
          <cell r="F6" t="str">
            <v>CEREMA</v>
          </cell>
          <cell r="I6" t="str">
            <v>Master Recherche</v>
          </cell>
          <cell r="J6" t="str">
            <v>Oui</v>
          </cell>
          <cell r="L6">
            <v>30</v>
          </cell>
          <cell r="N6"/>
          <cell r="O6"/>
          <cell r="P6"/>
        </row>
        <row r="7">
          <cell r="C7" t="str">
            <v>T1_Caractérisation_matières_premières</v>
          </cell>
          <cell r="D7" t="str">
            <v>ST 3 Rédaction de la bdd experimenale – Analyse statistique – Variabilité</v>
          </cell>
          <cell r="F7" t="str">
            <v>CEREMA</v>
          </cell>
          <cell r="I7" t="str">
            <v>Ingénieur</v>
          </cell>
          <cell r="J7" t="str">
            <v>Non</v>
          </cell>
          <cell r="K7">
            <v>10</v>
          </cell>
          <cell r="L7">
            <v>376</v>
          </cell>
          <cell r="N7"/>
          <cell r="O7"/>
          <cell r="P7"/>
        </row>
        <row r="8">
          <cell r="C8" t="str">
            <v>T1_Caractérisation_matières_premières</v>
          </cell>
          <cell r="D8" t="str">
            <v>ST 3 Rédaction de la bdd experimenale – Analyse statistique – Variabilité</v>
          </cell>
          <cell r="F8" t="str">
            <v>CEREMA</v>
          </cell>
          <cell r="I8" t="str">
            <v>Post-doctorant</v>
          </cell>
          <cell r="J8" t="str">
            <v>Oui</v>
          </cell>
          <cell r="K8">
            <v>20</v>
          </cell>
          <cell r="L8">
            <v>277</v>
          </cell>
          <cell r="N8"/>
          <cell r="O8"/>
          <cell r="P8"/>
        </row>
        <row r="9">
          <cell r="C9" t="str">
            <v>T1_Caractérisation_matières_premières</v>
          </cell>
          <cell r="D9" t="str">
            <v>ST 3 Rédaction de la bdd experimenale – Analyse statistique – Variabilité</v>
          </cell>
          <cell r="F9" t="str">
            <v>CEREMA</v>
          </cell>
          <cell r="I9" t="str">
            <v>Master Recherche</v>
          </cell>
          <cell r="J9" t="str">
            <v>Oui</v>
          </cell>
          <cell r="K9">
            <v>40</v>
          </cell>
          <cell r="L9">
            <v>30</v>
          </cell>
          <cell r="N9"/>
          <cell r="O9"/>
          <cell r="P9"/>
        </row>
        <row r="10">
          <cell r="C10" t="str">
            <v>T2_Définition_des_gammes_de_variations_acceptables</v>
          </cell>
          <cell r="D10" t="str">
            <v>ST 1 Etude comparative de différents granulats</v>
          </cell>
          <cell r="F10" t="str">
            <v>CEREMA</v>
          </cell>
          <cell r="I10" t="str">
            <v>Ingénieur</v>
          </cell>
          <cell r="J10" t="str">
            <v>Non</v>
          </cell>
          <cell r="K10">
            <v>10</v>
          </cell>
          <cell r="L10">
            <v>376</v>
          </cell>
          <cell r="N10"/>
          <cell r="O10"/>
          <cell r="P10"/>
        </row>
        <row r="11">
          <cell r="C11" t="str">
            <v>T2_Définition_des_gammes_de_variations_acceptables</v>
          </cell>
          <cell r="D11" t="str">
            <v>ST 1 Etude comparative de différents granulats</v>
          </cell>
          <cell r="F11" t="str">
            <v>CEREMA</v>
          </cell>
          <cell r="I11" t="str">
            <v>Post-doctorant</v>
          </cell>
          <cell r="J11" t="str">
            <v>Oui</v>
          </cell>
          <cell r="K11">
            <v>20</v>
          </cell>
          <cell r="L11">
            <v>277</v>
          </cell>
          <cell r="N11"/>
          <cell r="O11"/>
          <cell r="P11"/>
        </row>
        <row r="12">
          <cell r="C12" t="str">
            <v>T2_Définition_des_gammes_de_variations_acceptables</v>
          </cell>
          <cell r="D12" t="str">
            <v>ST 2 comparaison intra-caractéristique et inter-caractéristique</v>
          </cell>
          <cell r="F12" t="str">
            <v>CEREMA</v>
          </cell>
          <cell r="I12" t="str">
            <v>Ingénieur</v>
          </cell>
          <cell r="J12" t="str">
            <v>Non</v>
          </cell>
          <cell r="K12">
            <v>10</v>
          </cell>
          <cell r="L12">
            <v>376</v>
          </cell>
          <cell r="N12"/>
          <cell r="O12"/>
          <cell r="P12"/>
        </row>
        <row r="13">
          <cell r="C13" t="str">
            <v>T2_Définition_des_gammes_de_variations_acceptables</v>
          </cell>
          <cell r="D13" t="str">
            <v>ST 2 comparaison intra-caractéristique et inter-caractéristique</v>
          </cell>
          <cell r="F13" t="str">
            <v>CEREMA</v>
          </cell>
          <cell r="I13" t="str">
            <v>Post-doctorant</v>
          </cell>
          <cell r="J13" t="str">
            <v>Oui</v>
          </cell>
          <cell r="K13">
            <v>20</v>
          </cell>
          <cell r="L13">
            <v>277</v>
          </cell>
          <cell r="N13"/>
          <cell r="O13"/>
          <cell r="P13"/>
        </row>
        <row r="14">
          <cell r="C14" t="str">
            <v>T3_Rédaction_des_Cartes_Identité_des_granulats</v>
          </cell>
          <cell r="D14" t="str">
            <v xml:space="preserve">ST 1 Rédaction des cartes d’identité défini dans le Lot 3 pour les quatre matières premières avec une gamme de variation issue de l’analyse statistique réalisée en sous tâche 4.2.2
</v>
          </cell>
          <cell r="F14" t="str">
            <v>CEREMA</v>
          </cell>
          <cell r="I14" t="str">
            <v>Ingénieur</v>
          </cell>
          <cell r="J14" t="str">
            <v>Non</v>
          </cell>
          <cell r="K14">
            <v>5</v>
          </cell>
          <cell r="L14">
            <v>376</v>
          </cell>
          <cell r="N14"/>
          <cell r="O14"/>
          <cell r="P14"/>
        </row>
        <row r="15">
          <cell r="C15" t="str">
            <v>T3_Rédaction_des_Cartes_Identité_des_granulats</v>
          </cell>
          <cell r="D15" t="str">
            <v xml:space="preserve">ST 1 Rédaction des cartes d’identité défini dans le Lot 3 pour les quatre matières premières avec une gamme de variation issue de l’analyse statistique réalisée en sous tâche 4.2.2
</v>
          </cell>
          <cell r="F15" t="str">
            <v>CEREMA</v>
          </cell>
          <cell r="I15" t="str">
            <v>Post-doctorant</v>
          </cell>
          <cell r="J15" t="str">
            <v>Oui</v>
          </cell>
          <cell r="K15">
            <v>10</v>
          </cell>
          <cell r="L15">
            <v>277</v>
          </cell>
          <cell r="N15"/>
          <cell r="O15"/>
          <cell r="P15"/>
        </row>
        <row r="16">
          <cell r="C16" t="str">
            <v xml:space="preserve">T4_Evaluation_impacts_environnementaux </v>
          </cell>
          <cell r="D16" t="str">
            <v>ST1 Détermination des données environnementales clefs</v>
          </cell>
          <cell r="F16" t="str">
            <v>CEREMA</v>
          </cell>
          <cell r="I16" t="str">
            <v>Directeur de projet</v>
          </cell>
          <cell r="J16" t="str">
            <v>Non</v>
          </cell>
          <cell r="L16">
            <v>548</v>
          </cell>
          <cell r="N16"/>
          <cell r="O16"/>
          <cell r="P16"/>
        </row>
        <row r="17">
          <cell r="C17" t="str">
            <v xml:space="preserve">T4_Evaluation_impacts_environnementaux </v>
          </cell>
          <cell r="D17" t="str">
            <v>ST1 Détermination des données environnementales clefs</v>
          </cell>
          <cell r="F17" t="str">
            <v>CEREMA</v>
          </cell>
          <cell r="I17" t="str">
            <v>Ingénieur</v>
          </cell>
          <cell r="J17" t="str">
            <v>Non</v>
          </cell>
          <cell r="K17">
            <v>20</v>
          </cell>
          <cell r="L17">
            <v>376</v>
          </cell>
          <cell r="N17"/>
          <cell r="O17"/>
          <cell r="P17"/>
        </row>
        <row r="18">
          <cell r="C18" t="str">
            <v xml:space="preserve">T4_Evaluation_impacts_environnementaux </v>
          </cell>
          <cell r="D18" t="str">
            <v>ST1 Détermination des données environnementales clefs</v>
          </cell>
          <cell r="F18" t="str">
            <v>CEREMA</v>
          </cell>
          <cell r="I18" t="str">
            <v>Master Recherche</v>
          </cell>
          <cell r="J18" t="str">
            <v>Oui</v>
          </cell>
          <cell r="K18">
            <v>40</v>
          </cell>
          <cell r="L18">
            <v>30</v>
          </cell>
          <cell r="N18"/>
          <cell r="O18"/>
          <cell r="P18"/>
        </row>
        <row r="19">
          <cell r="C19" t="str">
            <v xml:space="preserve">T4_Evaluation_impacts_environnementaux </v>
          </cell>
          <cell r="D19" t="str">
            <v>ST2 Analyse des difficultés / Caractérisation de la robustesse du modèle</v>
          </cell>
          <cell r="I19" t="str">
            <v>Directeur de projet</v>
          </cell>
          <cell r="J19" t="str">
            <v>Non</v>
          </cell>
          <cell r="L19">
            <v>548</v>
          </cell>
          <cell r="N19"/>
          <cell r="O19"/>
          <cell r="P19"/>
        </row>
        <row r="20">
          <cell r="C20" t="str">
            <v xml:space="preserve">T4_Evaluation_impacts_environnementaux </v>
          </cell>
          <cell r="D20" t="str">
            <v>ST2 Analyse des difficultés / Caractérisation de la robustesse du modèle</v>
          </cell>
          <cell r="I20" t="str">
            <v>Ingénieur</v>
          </cell>
          <cell r="J20" t="str">
            <v>Non</v>
          </cell>
          <cell r="K20">
            <v>20</v>
          </cell>
          <cell r="L20">
            <v>376</v>
          </cell>
          <cell r="N20"/>
          <cell r="O20"/>
          <cell r="P20"/>
        </row>
        <row r="21">
          <cell r="C21" t="str">
            <v xml:space="preserve">T4_Evaluation_impacts_environnementaux </v>
          </cell>
          <cell r="D21" t="str">
            <v>ST2 Analyse des difficultés / Caractérisation de la robustesse du modèle</v>
          </cell>
          <cell r="I21" t="str">
            <v>Master Recherche</v>
          </cell>
          <cell r="J21" t="str">
            <v>Oui</v>
          </cell>
          <cell r="K21">
            <v>40</v>
          </cell>
          <cell r="L21">
            <v>30</v>
          </cell>
          <cell r="N21"/>
          <cell r="O21"/>
          <cell r="P21"/>
        </row>
      </sheetData>
      <sheetData sheetId="5">
        <row r="3">
          <cell r="C3" t="str">
            <v>T1_Commission_prénormalisation</v>
          </cell>
          <cell r="D3" t="str">
            <v>ST4 Participation aux réunions de la commission</v>
          </cell>
          <cell r="F3" t="str">
            <v>CEREMA</v>
          </cell>
          <cell r="I3" t="str">
            <v>Expert</v>
          </cell>
          <cell r="J3" t="str">
            <v>Non</v>
          </cell>
          <cell r="K3">
            <v>4</v>
          </cell>
          <cell r="L3">
            <v>792</v>
          </cell>
          <cell r="N3" t="str">
            <v>Déplacements</v>
          </cell>
          <cell r="O3">
            <v>2</v>
          </cell>
          <cell r="P3">
            <v>150</v>
          </cell>
        </row>
        <row r="5">
          <cell r="C5" t="str">
            <v>T2_Vocabulaire_définition_termes_utilisés</v>
          </cell>
          <cell r="D5" t="str">
            <v>ST1 Identification des termes techniques nécessitant d’être spécifiés et des définitions préexistante</v>
          </cell>
          <cell r="F5" t="str">
            <v>CEREMA</v>
          </cell>
          <cell r="I5" t="str">
            <v>Expert</v>
          </cell>
          <cell r="J5" t="str">
            <v>Non</v>
          </cell>
          <cell r="K5">
            <v>2</v>
          </cell>
          <cell r="L5">
            <v>792</v>
          </cell>
          <cell r="N5"/>
          <cell r="O5"/>
          <cell r="P5"/>
        </row>
        <row r="6">
          <cell r="C6" t="str">
            <v>T2_Vocabulaire_définition_termes_utilisés</v>
          </cell>
          <cell r="D6" t="str">
            <v>ST1 Identification des termes techniques nécessitant d’être spécifiés et des définitions préexistante</v>
          </cell>
          <cell r="F6" t="str">
            <v>CEREMA</v>
          </cell>
          <cell r="I6" t="str">
            <v>Ingénieur</v>
          </cell>
          <cell r="J6" t="str">
            <v>Non</v>
          </cell>
          <cell r="K6">
            <v>2</v>
          </cell>
          <cell r="L6">
            <v>376</v>
          </cell>
          <cell r="N6"/>
          <cell r="O6"/>
          <cell r="P6"/>
        </row>
        <row r="7">
          <cell r="C7" t="str">
            <v>T2_Vocabulaire_définition_termes_utilisés</v>
          </cell>
          <cell r="D7" t="str">
            <v>ST2 Propositions de définitions complémentaires au comité scientifique et à la commission de pré-normalisation</v>
          </cell>
          <cell r="F7" t="str">
            <v>CEREMA</v>
          </cell>
          <cell r="I7" t="str">
            <v>Expert</v>
          </cell>
          <cell r="J7" t="str">
            <v>Non</v>
          </cell>
          <cell r="K7">
            <v>2</v>
          </cell>
          <cell r="L7">
            <v>792</v>
          </cell>
          <cell r="N7"/>
          <cell r="O7"/>
          <cell r="P7"/>
        </row>
        <row r="8">
          <cell r="C8" t="str">
            <v>T2_Vocabulaire_définition_termes_utilisés</v>
          </cell>
          <cell r="D8" t="str">
            <v>ST2 Propositions de définitions complémentaires au comité scientifique et à la commission de pré-normalisation</v>
          </cell>
          <cell r="F8" t="str">
            <v>CEREMA</v>
          </cell>
          <cell r="I8" t="str">
            <v>Ingénieur</v>
          </cell>
          <cell r="J8" t="str">
            <v>Non</v>
          </cell>
          <cell r="K8">
            <v>2</v>
          </cell>
          <cell r="L8">
            <v>376</v>
          </cell>
          <cell r="N8"/>
          <cell r="O8"/>
          <cell r="P8"/>
        </row>
      </sheetData>
      <sheetData sheetId="6">
        <row r="3">
          <cell r="C3" t="str">
            <v>T2_Publications</v>
          </cell>
          <cell r="D3" t="str">
            <v>ST 1 Publications scientifiques</v>
          </cell>
          <cell r="F3" t="str">
            <v>CEREMA</v>
          </cell>
          <cell r="I3" t="str">
            <v>Ingénieur</v>
          </cell>
          <cell r="J3" t="str">
            <v>Non</v>
          </cell>
          <cell r="K3">
            <v>10</v>
          </cell>
          <cell r="L3">
            <v>376</v>
          </cell>
          <cell r="N3"/>
          <cell r="O3"/>
          <cell r="P3"/>
        </row>
        <row r="4">
          <cell r="C4" t="str">
            <v>T2_Publications</v>
          </cell>
          <cell r="D4" t="str">
            <v>ST 1 Publications scientifiques</v>
          </cell>
          <cell r="F4" t="str">
            <v>CEREMA</v>
          </cell>
          <cell r="I4" t="str">
            <v>Post-doctorant</v>
          </cell>
          <cell r="J4" t="str">
            <v>Oui</v>
          </cell>
          <cell r="K4">
            <v>20</v>
          </cell>
          <cell r="L4">
            <v>277</v>
          </cell>
          <cell r="N4"/>
          <cell r="O4"/>
          <cell r="P4"/>
        </row>
        <row r="5">
          <cell r="C5" t="str">
            <v>T2_Publications</v>
          </cell>
          <cell r="D5" t="str">
            <v>ST 2 Publications techniques</v>
          </cell>
          <cell r="F5" t="str">
            <v>CEREMA</v>
          </cell>
          <cell r="I5" t="str">
            <v>Ingénieur</v>
          </cell>
          <cell r="J5" t="str">
            <v>Non</v>
          </cell>
          <cell r="K5">
            <v>5</v>
          </cell>
          <cell r="L5">
            <v>376</v>
          </cell>
          <cell r="N5"/>
          <cell r="O5"/>
          <cell r="P5"/>
        </row>
        <row r="6">
          <cell r="C6" t="str">
            <v>T2_Publications</v>
          </cell>
          <cell r="D6" t="str">
            <v>ST 2 Publications techniques</v>
          </cell>
          <cell r="F6" t="str">
            <v>CEREMA</v>
          </cell>
          <cell r="I6" t="str">
            <v>Post-doctorant</v>
          </cell>
          <cell r="J6" t="str">
            <v>Oui</v>
          </cell>
          <cell r="K6">
            <v>10</v>
          </cell>
          <cell r="L6">
            <v>277</v>
          </cell>
          <cell r="N6"/>
          <cell r="O6"/>
          <cell r="P6"/>
        </row>
        <row r="7">
          <cell r="C7" t="str">
            <v>T3_Conférences_Séminaires</v>
          </cell>
          <cell r="D7" t="str">
            <v>ST 2 Conférences organisées par Sable Vert</v>
          </cell>
          <cell r="F7" t="str">
            <v>CEREMA</v>
          </cell>
          <cell r="J7" t="str">
            <v>Non</v>
          </cell>
          <cell r="K7">
            <v>3</v>
          </cell>
          <cell r="N7" t="str">
            <v>Déplacements</v>
          </cell>
          <cell r="O7">
            <v>3</v>
          </cell>
          <cell r="P7">
            <v>150</v>
          </cell>
        </row>
        <row r="8">
          <cell r="C8" t="str">
            <v>T3_Conférences_Séminaires</v>
          </cell>
          <cell r="D8" t="str">
            <v>ST 2 Conférences organisées par Sable Vert</v>
          </cell>
          <cell r="F8" t="str">
            <v>CEREMA</v>
          </cell>
          <cell r="I8" t="str">
            <v>Ingénieur</v>
          </cell>
          <cell r="J8" t="str">
            <v>Non</v>
          </cell>
          <cell r="K8">
            <v>2</v>
          </cell>
          <cell r="L8">
            <v>376</v>
          </cell>
          <cell r="N8" t="str">
            <v>Déplacements</v>
          </cell>
          <cell r="O8">
            <v>2</v>
          </cell>
          <cell r="P8">
            <v>150</v>
          </cell>
        </row>
        <row r="9">
          <cell r="C9" t="str">
            <v>T3_Conférences_Séminaires</v>
          </cell>
          <cell r="D9" t="str">
            <v>ST 2 Conférences organisées par Sable Vert</v>
          </cell>
          <cell r="F9" t="str">
            <v>CEREMA</v>
          </cell>
          <cell r="I9" t="str">
            <v>Post-doctorant</v>
          </cell>
          <cell r="J9" t="str">
            <v>Oui</v>
          </cell>
          <cell r="K9">
            <v>2</v>
          </cell>
          <cell r="L9">
            <v>277</v>
          </cell>
          <cell r="N9" t="str">
            <v>Déplacements</v>
          </cell>
          <cell r="O9">
            <v>2</v>
          </cell>
          <cell r="P9">
            <v>150</v>
          </cell>
        </row>
        <row r="10">
          <cell r="C10" t="str">
            <v>T3_Conférences_Séminaires</v>
          </cell>
          <cell r="D10" t="str">
            <v>ST 3 Participation à des événements externes</v>
          </cell>
          <cell r="F10" t="str">
            <v>CEREMA</v>
          </cell>
          <cell r="J10" t="str">
            <v>Non</v>
          </cell>
          <cell r="K10">
            <v>1</v>
          </cell>
          <cell r="N10" t="str">
            <v>Déplacements</v>
          </cell>
          <cell r="O10">
            <v>1</v>
          </cell>
          <cell r="P10">
            <v>150</v>
          </cell>
        </row>
        <row r="11">
          <cell r="C11" t="str">
            <v>T3_Conférences_Séminaires</v>
          </cell>
          <cell r="D11" t="str">
            <v>ST 3 Participation à des événements externes</v>
          </cell>
          <cell r="F11" t="str">
            <v>CEREMA</v>
          </cell>
          <cell r="I11" t="str">
            <v>Ingénieur</v>
          </cell>
          <cell r="J11" t="str">
            <v>Non</v>
          </cell>
          <cell r="K11">
            <v>5</v>
          </cell>
          <cell r="L11">
            <v>376</v>
          </cell>
          <cell r="N11" t="str">
            <v>Déplacements</v>
          </cell>
          <cell r="O11">
            <v>5</v>
          </cell>
          <cell r="P11">
            <v>150</v>
          </cell>
        </row>
        <row r="12">
          <cell r="C12" t="str">
            <v>T3_Conférences_Séminaires</v>
          </cell>
          <cell r="D12" t="str">
            <v>ST 3 Participation à des événements externes</v>
          </cell>
          <cell r="F12" t="str">
            <v>CEREMA</v>
          </cell>
          <cell r="I12" t="str">
            <v>Post-doctorant</v>
          </cell>
          <cell r="J12" t="str">
            <v>Oui</v>
          </cell>
          <cell r="K12">
            <v>5</v>
          </cell>
          <cell r="L12">
            <v>277</v>
          </cell>
          <cell r="N12" t="str">
            <v>Déplacements</v>
          </cell>
          <cell r="O12">
            <v>5</v>
          </cell>
          <cell r="P12">
            <v>150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tecture Projet"/>
      <sheetName val="Lot 1"/>
      <sheetName val="Lot 2"/>
      <sheetName val="Lot 3"/>
      <sheetName val="Lot 4"/>
      <sheetName val="Lot 5"/>
      <sheetName val="Lot 6"/>
      <sheetName val="Synth Partenaire"/>
      <sheetName val="Synth Lot"/>
      <sheetName val="Consolidation"/>
      <sheetName val="Liste"/>
    </sheetNames>
    <sheetDataSet>
      <sheetData sheetId="0"/>
      <sheetData sheetId="1"/>
      <sheetData sheetId="2"/>
      <sheetData sheetId="3">
        <row r="11">
          <cell r="A11" t="str">
            <v>Lot_3</v>
          </cell>
          <cell r="B11" t="str">
            <v>Carte d’identité des granulats végétaux</v>
          </cell>
          <cell r="C11" t="str">
            <v xml:space="preserve">T3_Identification_des_indicateurs_environnementaux </v>
          </cell>
          <cell r="D11" t="str">
            <v>ST2 Analyse des contributions / données liées aux granulats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tecture Projet"/>
      <sheetName val="Lot 1"/>
      <sheetName val="Lot 2"/>
      <sheetName val="Lot 3"/>
      <sheetName val="Lot 4"/>
      <sheetName val="Lot 5"/>
      <sheetName val="Lot 6"/>
      <sheetName val="Synth Partenaire"/>
      <sheetName val="Synth Lot"/>
      <sheetName val="Consolidation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 t="str">
            <v>Lot_6</v>
          </cell>
          <cell r="B3" t="str">
            <v>Communication et valorisation</v>
          </cell>
          <cell r="C3" t="str">
            <v>T2_Publications</v>
          </cell>
          <cell r="D3" t="str">
            <v>ST 1 Publications scientifiques</v>
          </cell>
          <cell r="F3" t="str">
            <v>IP-UCA</v>
          </cell>
          <cell r="I3" t="str">
            <v>PRCE</v>
          </cell>
          <cell r="J3" t="str">
            <v>Non</v>
          </cell>
          <cell r="K3">
            <v>10</v>
          </cell>
          <cell r="L3">
            <v>572</v>
          </cell>
          <cell r="N3"/>
          <cell r="O3"/>
          <cell r="P3"/>
          <cell r="Q3">
            <v>0</v>
          </cell>
        </row>
        <row r="4">
          <cell r="A4" t="str">
            <v>Lot_6</v>
          </cell>
          <cell r="B4" t="str">
            <v>Communication et valorisation</v>
          </cell>
          <cell r="C4" t="str">
            <v>T3_Conférences_Séminaires</v>
          </cell>
          <cell r="D4" t="str">
            <v>ST 2 Conférences organisées par Sable Vert</v>
          </cell>
          <cell r="F4" t="str">
            <v>IP-UCA</v>
          </cell>
          <cell r="I4" t="str">
            <v>PRCE</v>
          </cell>
          <cell r="J4" t="str">
            <v>Non</v>
          </cell>
          <cell r="K4">
            <v>5</v>
          </cell>
          <cell r="L4">
            <v>572</v>
          </cell>
          <cell r="N4" t="str">
            <v>Déplacements</v>
          </cell>
          <cell r="O4">
            <v>5</v>
          </cell>
          <cell r="P4">
            <v>150</v>
          </cell>
          <cell r="Q4">
            <v>750</v>
          </cell>
        </row>
        <row r="5">
          <cell r="A5" t="str">
            <v>Lot_6</v>
          </cell>
          <cell r="B5" t="str">
            <v>Communication et valorisation</v>
          </cell>
          <cell r="C5" t="str">
            <v>T3_Conférences_Séminaires</v>
          </cell>
          <cell r="D5" t="str">
            <v>ST 3 Participation à des événements externes</v>
          </cell>
          <cell r="F5" t="str">
            <v>IP-UCA</v>
          </cell>
          <cell r="I5" t="str">
            <v>PRCE</v>
          </cell>
          <cell r="J5" t="str">
            <v>Non</v>
          </cell>
          <cell r="K5">
            <v>5</v>
          </cell>
          <cell r="L5">
            <v>572</v>
          </cell>
          <cell r="N5" t="str">
            <v>Déplacements</v>
          </cell>
          <cell r="O5">
            <v>5</v>
          </cell>
          <cell r="P5">
            <v>150</v>
          </cell>
          <cell r="Q5">
            <v>750</v>
          </cell>
        </row>
        <row r="6">
          <cell r="A6" t="str">
            <v>Lot_6</v>
          </cell>
          <cell r="B6" t="str">
            <v>Communication et valorisation</v>
          </cell>
          <cell r="C6" t="str">
            <v>T2_Publications</v>
          </cell>
          <cell r="D6" t="str">
            <v>ST 2 Publications techniques</v>
          </cell>
          <cell r="F6" t="str">
            <v>IP-UCA</v>
          </cell>
          <cell r="I6" t="str">
            <v>PRCE</v>
          </cell>
          <cell r="J6" t="str">
            <v>Non</v>
          </cell>
          <cell r="K6">
            <v>5</v>
          </cell>
          <cell r="L6">
            <v>572</v>
          </cell>
          <cell r="N6"/>
          <cell r="O6"/>
          <cell r="P6"/>
          <cell r="Q6">
            <v>0</v>
          </cell>
        </row>
        <row r="7">
          <cell r="A7" t="str">
            <v>Lot_6</v>
          </cell>
          <cell r="B7" t="str">
            <v>Communication et valorisation</v>
          </cell>
          <cell r="C7" t="str">
            <v>T2_Publications</v>
          </cell>
          <cell r="D7" t="str">
            <v>ST 1 Publications scientifiques</v>
          </cell>
          <cell r="F7" t="str">
            <v>IP-UCA</v>
          </cell>
          <cell r="I7" t="str">
            <v>PR1</v>
          </cell>
          <cell r="J7" t="str">
            <v>Non</v>
          </cell>
          <cell r="K7">
            <v>10</v>
          </cell>
          <cell r="L7">
            <v>494</v>
          </cell>
          <cell r="N7"/>
          <cell r="O7"/>
          <cell r="P7"/>
          <cell r="Q7">
            <v>0</v>
          </cell>
        </row>
        <row r="8">
          <cell r="A8" t="str">
            <v>Lot_6</v>
          </cell>
          <cell r="B8" t="str">
            <v>Communication et valorisation</v>
          </cell>
          <cell r="C8" t="str">
            <v>T3_Conférences_Séminaires</v>
          </cell>
          <cell r="D8" t="str">
            <v>ST 2 Conférences organisées par Sable Vert</v>
          </cell>
          <cell r="F8" t="str">
            <v>IP-UCA</v>
          </cell>
          <cell r="I8" t="str">
            <v>PR1</v>
          </cell>
          <cell r="J8" t="str">
            <v>Non</v>
          </cell>
          <cell r="K8">
            <v>5</v>
          </cell>
          <cell r="L8">
            <v>494</v>
          </cell>
          <cell r="N8" t="str">
            <v>Déplacements</v>
          </cell>
          <cell r="O8">
            <v>5</v>
          </cell>
          <cell r="P8">
            <v>150</v>
          </cell>
          <cell r="Q8">
            <v>750</v>
          </cell>
        </row>
        <row r="9">
          <cell r="A9" t="str">
            <v>Lot_6</v>
          </cell>
          <cell r="B9" t="str">
            <v>Communication et valorisation</v>
          </cell>
          <cell r="C9" t="str">
            <v>T3_Conférences_Séminaires</v>
          </cell>
          <cell r="D9" t="str">
            <v>ST 3 Participation à des événements externes</v>
          </cell>
          <cell r="F9" t="str">
            <v>IP-UCA</v>
          </cell>
          <cell r="I9" t="str">
            <v>PR1</v>
          </cell>
          <cell r="J9" t="str">
            <v>Non</v>
          </cell>
          <cell r="K9">
            <v>5</v>
          </cell>
          <cell r="L9">
            <v>494</v>
          </cell>
          <cell r="N9" t="str">
            <v>Déplacements</v>
          </cell>
          <cell r="O9">
            <v>5</v>
          </cell>
          <cell r="P9">
            <v>150</v>
          </cell>
          <cell r="Q9">
            <v>750</v>
          </cell>
        </row>
        <row r="10">
          <cell r="A10" t="str">
            <v>Lot_6</v>
          </cell>
          <cell r="B10" t="str">
            <v>Communication et valorisation</v>
          </cell>
          <cell r="C10" t="str">
            <v>T2_Publications</v>
          </cell>
          <cell r="D10" t="str">
            <v>ST 2 Publications techniques</v>
          </cell>
          <cell r="F10" t="str">
            <v>IP-UCA</v>
          </cell>
          <cell r="I10" t="str">
            <v>PR1</v>
          </cell>
          <cell r="J10" t="str">
            <v>Non</v>
          </cell>
          <cell r="K10">
            <v>5</v>
          </cell>
          <cell r="L10">
            <v>494</v>
          </cell>
          <cell r="N10"/>
          <cell r="O10"/>
          <cell r="P10"/>
          <cell r="Q10">
            <v>0</v>
          </cell>
        </row>
        <row r="11">
          <cell r="A11" t="str">
            <v>Lot_6</v>
          </cell>
          <cell r="B11" t="str">
            <v>Communication et valorisation</v>
          </cell>
          <cell r="C11" t="str">
            <v>T2_Publications</v>
          </cell>
          <cell r="D11" t="str">
            <v>ST 1 Publications scientifiques</v>
          </cell>
          <cell r="F11" t="str">
            <v>IP-UCA</v>
          </cell>
          <cell r="I11" t="str">
            <v>Doctorant</v>
          </cell>
          <cell r="J11" t="str">
            <v>Non</v>
          </cell>
          <cell r="K11">
            <v>20</v>
          </cell>
          <cell r="L11">
            <v>119</v>
          </cell>
          <cell r="N11"/>
          <cell r="O11"/>
          <cell r="P11"/>
          <cell r="Q11">
            <v>0</v>
          </cell>
        </row>
        <row r="12">
          <cell r="A12" t="str">
            <v>Lot_6</v>
          </cell>
          <cell r="B12" t="str">
            <v>Communication et valorisation</v>
          </cell>
          <cell r="C12" t="str">
            <v>T3_Conférences_Séminaires</v>
          </cell>
          <cell r="D12" t="str">
            <v>ST 2 Conférences organisées par Sable Vert</v>
          </cell>
          <cell r="F12" t="str">
            <v>IP-UCA</v>
          </cell>
          <cell r="I12" t="str">
            <v>Doctorant</v>
          </cell>
          <cell r="J12" t="str">
            <v>Non</v>
          </cell>
          <cell r="K12">
            <v>5</v>
          </cell>
          <cell r="L12">
            <v>119</v>
          </cell>
          <cell r="N12" t="str">
            <v>Déplacements</v>
          </cell>
          <cell r="O12">
            <v>5</v>
          </cell>
          <cell r="P12">
            <v>150</v>
          </cell>
          <cell r="Q12">
            <v>750</v>
          </cell>
        </row>
        <row r="13">
          <cell r="A13" t="str">
            <v>Lot_6</v>
          </cell>
          <cell r="B13" t="str">
            <v>Communication et valorisation</v>
          </cell>
          <cell r="C13" t="str">
            <v>T3_Conférences_Séminaires</v>
          </cell>
          <cell r="D13" t="str">
            <v>ST 3 Participation à des événements externes</v>
          </cell>
          <cell r="F13" t="str">
            <v>IP-UCA</v>
          </cell>
          <cell r="I13" t="str">
            <v>Doctorant</v>
          </cell>
          <cell r="J13" t="str">
            <v>Non</v>
          </cell>
          <cell r="K13">
            <v>5</v>
          </cell>
          <cell r="L13">
            <v>119</v>
          </cell>
          <cell r="N13" t="str">
            <v>Déplacements</v>
          </cell>
          <cell r="O13">
            <v>5</v>
          </cell>
          <cell r="P13">
            <v>150</v>
          </cell>
          <cell r="Q13">
            <v>750</v>
          </cell>
        </row>
        <row r="14">
          <cell r="A14" t="str">
            <v>Lot_6</v>
          </cell>
          <cell r="B14" t="str">
            <v>Communication et valorisation</v>
          </cell>
          <cell r="C14" t="str">
            <v>T2_Publications</v>
          </cell>
          <cell r="D14" t="str">
            <v>ST 2 Publications techniques</v>
          </cell>
          <cell r="F14" t="str">
            <v>IP-UCA</v>
          </cell>
          <cell r="I14" t="str">
            <v>Doctorant</v>
          </cell>
          <cell r="J14" t="str">
            <v>Non</v>
          </cell>
          <cell r="K14">
            <v>10</v>
          </cell>
          <cell r="L14">
            <v>119</v>
          </cell>
          <cell r="N14"/>
          <cell r="O14"/>
          <cell r="P14"/>
          <cell r="Q14">
            <v>0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tecture Projet"/>
      <sheetName val="Lot 1"/>
      <sheetName val="Lot 2"/>
      <sheetName val="Lot 3"/>
      <sheetName val="Lot 4"/>
      <sheetName val="Lot 5"/>
      <sheetName val="Lot 6"/>
      <sheetName val="Synth Partenaire"/>
      <sheetName val="Synth Lot"/>
      <sheetName val="CONSOLIDATION"/>
      <sheetName val="Liste"/>
    </sheetNames>
    <definedNames>
      <definedName name="ActualiserRequetes"/>
      <definedName name="ActualiserTD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nard" refreshedDate="43952.696307523147" createdVersion="6" refreshedVersion="6" minRefreshableVersion="3" recordCount="393" xr:uid="{19C87667-AF4E-429B-8192-D6C89051D2D3}">
  <cacheSource type="worksheet">
    <worksheetSource name="Consolidation"/>
  </cacheSource>
  <cacheFields count="20">
    <cacheField name="N° Lot" numFmtId="0">
      <sharedItems count="6">
        <s v="Lot_1"/>
        <s v="Lot_2"/>
        <s v="Lot_3"/>
        <s v="Lot_4"/>
        <s v="Lot_5"/>
        <s v="Lot_6"/>
      </sharedItems>
    </cacheField>
    <cacheField name="Lot" numFmtId="0">
      <sharedItems count="7">
        <s v="Gouvernance et suivi du programme"/>
        <s v="État de l’art, concertation et positionnent de la norme"/>
        <s v="Carte d’identité des granulats végétaux"/>
        <s v="Test de validation des procédures et de la caractéris."/>
        <s v="Structuration d’une prénorme"/>
        <s v="Communication et valorisation"/>
        <s v="Etat de l'Art, concertation et positionnement de la norme" u="1"/>
      </sharedItems>
    </cacheField>
    <cacheField name="Tâche" numFmtId="0">
      <sharedItems containsBlank="1" count="24">
        <s v="T2_Comité_de_pilotage_et_de_suivi"/>
        <s v="T3_Comité_scientifique_et_technique"/>
        <s v="T1_Suivi_administratif_et_financier"/>
        <s v="T2_Consultation_des_acteurs"/>
        <s v="T1_Bibliographie_et_synthèse"/>
        <s v="T3_Consultation_des_organes_de_normalisation"/>
        <s v="T4_Analyse_de_la_nomenclature_des_normes_positionnement_de_la_future_norme"/>
        <s v="T5_Atelier_de_concertation"/>
        <s v="T1_Commission_prénormalisation"/>
        <s v="T2_Vocabulaire_définition_termes_utilisés"/>
        <s v="T3_Rédaction_proposition_prénorme"/>
        <s v="T1_Validation_des_caractéristiques_pertinentes"/>
        <s v="T2_Rédaction_des_protocoles_de_caractérisation"/>
        <s v="T3_Identification_des_indicateurs_environnementaux "/>
        <s v="T1_Caractérisation_matières_premières"/>
        <s v="T4_Evaluation_impacts_environnementaux "/>
        <s v="T2_Définition_des_gammes_de_variations_acceptables"/>
        <s v="T3_Rédaction_des_Cartes_Identité_des_granulats"/>
        <m/>
        <s v="T3_Conférences_Séminaires"/>
        <s v="T1_Site_Internet"/>
        <s v="T2_Publications"/>
        <s v="CHOISIR_DANS_LA_LISTE" u="1"/>
        <s v="T1_Définition_des_gammes_de_variations_acceptables" u="1"/>
      </sharedItems>
    </cacheField>
    <cacheField name="S/Tâche" numFmtId="0">
      <sharedItems count="66">
        <s v="ST 3 Participation aux réunions du COPIL"/>
        <s v="ST 2 Participation aux réunions du CST"/>
        <s v="ST 1 Gestion adminitrative et financière"/>
        <s v="ST 2 Reporting général et relations avec les bailleurs"/>
        <s v="ST 1 Organisation, animation, reporting des réunions du Copil"/>
        <s v="ST 1 Suvi de l'avancement et coordination du projet"/>
        <s v="ST1 Identification des acteurs, annuaire et schéma de filière"/>
        <s v="ST2 Concertation pour receuillir les points de vigilances : entretiens perosnnalisés"/>
        <s v="ST3 Concertation pour receuillir les points de vigilances : ateliers par typologies d'acteurs"/>
        <s v="ST1 Analyse bibliographique"/>
        <s v="ST4 Rédaction d'une synthèse des informations issues des concertations avec les différents acteurs"/>
        <s v="ST 3 Réunion cadrge"/>
        <s v="ST2 Redaction des rapports de réunions"/>
        <s v="ST1 Analyse du corpus normatif"/>
        <s v="ST2 Rédaction des adaptations necessaires pour les essais des lots techniques"/>
        <s v="ST1 Organisation d'un séminaire en fin de lot 2 "/>
        <s v="ST2 Participation au séminaire de concertation"/>
        <s v="ST3 Compilation et synthèse des travaux du lot 2"/>
        <s v="ST2 Concertation, mise en commun des différentes équipes impliquées "/>
        <s v="ST3 Rédaction de la synthèse"/>
        <s v="ST1 Concertation avec les différents organismes de normalisation"/>
        <s v="ST4 Participation aux réunions de la commission"/>
        <s v="ST1 Identification des termes techniques nécessitant d’être spécifiés et des définitions préexistante"/>
        <s v="ST2 Propositions de définitions complémentaires au comité scientifique et à la commission de pré-normalisation"/>
        <s v="ST1 Phase préliminaire : définir la stratégie normative"/>
        <s v="ST2 Phase de rédaction  de la prénorme "/>
        <s v="ST1 Réunions de concertation par rapport aux granulats tests"/>
        <s v="ST2 Réunion d’échanges pour les autres granulats"/>
        <s v="ST3 Rédaction d'un rapport d'analyses"/>
        <s v="ST4 Rédaction des protocoles"/>
        <s v="ST2 Analyse des contributions / données liées aux granulats"/>
        <s v="ST1 Analyse des contributions / données liées aux granulats"/>
        <s v="ST2 Synthèse des données pour la CI"/>
        <s v="ST1 Réunions de concertation / analyse critique des pratiques"/>
        <s v="ST2 Analyse des valeurs"/>
        <s v="ST3 Discussions des essais à conduire en lot 4"/>
        <s v="ST1 Analyse bibliographique des procédures existantes"/>
        <s v="ST3 Analyse des valeurs"/>
        <s v="ST4 Discussions des essais à conduire en lot 4"/>
        <s v="ST1 Analyse bibliographique des fiches de déclaration ES"/>
        <s v="ST3 Synthèse des données pour la CI"/>
        <s v="ST 3 Rédaction de la bdd experimenale – Analyse statistique – Variabilité"/>
        <s v="ST 2 Tests de caractérisation"/>
        <s v="ST1 Détermination des données environnementales clefs"/>
        <s v="ST2 Analyse des difficultés / Caractérisation de la robustesse du modèle"/>
        <s v="ST 1 Etude comparative de différents granulats"/>
        <s v="ST 2 comparaison intra-caractéristique et inter-caractéristique"/>
        <s v="ST 1 Rédaction des cartes d’identité défini dans le Lot 3 pour les quatre matières premières avec une gamme de variation issue de l’analyse statistique réalisée en sous tâche 4.2.2_x000a_"/>
        <s v="ST 1 Sélection des granulats et livraison aux participants des tests inter-laboratoires"/>
        <s v="ST1 Structuration et organisation de la &quot;commission élargie&quot; "/>
        <s v="ST2 Mise en place du &quot;comité de suivi&quot; et de &quot;groupes techniques&quot;"/>
        <s v="ST3 Réunions de la commission : organisation et animation"/>
        <s v="ST5 Rédaction des PV de réunion"/>
        <s v="ST 1 Création de la Commission"/>
        <s v="ST 2 Conférences organisées par Sable Vert"/>
        <s v="ST 3 Participation à des événements externes"/>
        <s v="ST 1 Réorganisation du site Sable Vert et outil de capitalisation"/>
        <s v="ST 2 Rédaction des contenus  "/>
        <s v="ST 3 Integration des contenus et animation"/>
        <s v="ST 1 Publications scientifiques"/>
        <s v="ST 2 Publications techniques"/>
        <s v="ST 3 Relations presse"/>
        <s v="ST1 Plan de communication"/>
        <s v="DEFINIR LA TACHE !" u="1"/>
        <s v="ST 2 Organisation rencontre" u="1"/>
        <s v="ST1 Organisation d'un séminaire en fin de lot 3" u="1"/>
      </sharedItems>
    </cacheField>
    <cacheField name="Observations" numFmtId="0">
      <sharedItems containsBlank="1" containsMixedTypes="1" containsNumber="1" containsInteger="1" minValue="0" maxValue="0" count="37">
        <s v="4 réunions en présentiel, 3 réunions dématérialisées"/>
        <s v="2 réunions presentiel"/>
        <m/>
        <s v="4 réunions en présentiels / 3 réunions en visio"/>
        <s v=" 2 réunions en présentiel"/>
        <s v="2 réunions en présentiel"/>
        <s v=" 3 réunions en présentiel"/>
        <s v="TEST "/>
        <n v="0"/>
        <s v="Collecte info biblio / rédaction / synthèse sur COLZA et TOURNESOL"/>
        <s v="Relecture"/>
        <s v="Concertation Relecture"/>
        <s v="Conception / préparation"/>
        <s v="2 jours"/>
        <s v="Concpetion du séminaire"/>
        <s v="2 réunions"/>
        <s v="5 jours"/>
        <s v="1 réunion en présentiel "/>
        <s v="2 réunions de concertation par rapport aux granulats tests"/>
        <s v="Réunion d’échanges pour les autres granulats"/>
        <s v="2 réunions en présentiel et 2 en dématérialisé"/>
        <s v="précision des mesures / variabilité des valeurs"/>
        <s v="vérification des bornes min et max"/>
        <s v="mécanismes (3) / chimie - 4 réunions de concertation "/>
        <s v="4 réunions de concertation "/>
        <s v="physique / mécanique / thermique / acoustique / chimiques (granulat / lixiviation)"/>
        <s v="Essais interlaboratoires sur 4 granulats"/>
        <s v="Synthèse"/>
        <s v="Contact + Sélection"/>
        <s v="Stat"/>
        <s v="Rédac"/>
        <s v="Fourniture de COLZA et TOURNESOL"/>
        <s v="4 réunions en 3 ans  2 en physique 2 en dématérialisées."/>
        <s v="4 réunions en 3 ans  2 en physique 2 en dématérialisées. /Prise en charge de faris de déplacments de 2 fois 30 personnes"/>
        <s v="Réunion"/>
        <s v="concertation des acteurs et défnir les rôles et le fonctionement "/>
        <s v=" 4 réunions en 3 ans  2 en physique 2 en dématérialisées."/>
      </sharedItems>
    </cacheField>
    <cacheField name="Partenaires" numFmtId="0">
      <sharedItems count="12">
        <s v="AKTA"/>
        <s v="BioBuild Concept"/>
        <s v="CEREMA"/>
        <s v="ENTPE"/>
        <s v="Gatichanvre"/>
        <s v="Guilde"/>
        <s v="IP-UCA"/>
        <s v="ParexLanko"/>
        <s v="UniLaSalle"/>
        <s v="Vicat"/>
        <s v="Autres"/>
        <s v="CHOISIR DANS LA LISTE" u="1"/>
      </sharedItems>
    </cacheField>
    <cacheField name="Tx Charge Connexe" numFmtId="0">
      <sharedItems containsSemiMixedTypes="0" containsString="0" containsNumber="1" minValue="0.16" maxValue="0.25"/>
    </cacheField>
    <cacheField name="Tx Sub" numFmtId="0">
      <sharedItems containsSemiMixedTypes="0" containsString="0" containsNumber="1" minValue="0.5" maxValue="0.7"/>
    </cacheField>
    <cacheField name="P Type" numFmtId="0">
      <sharedItems containsBlank="1" containsMixedTypes="1" containsNumber="1" containsInteger="1" minValue="0" maxValue="0"/>
    </cacheField>
    <cacheField name="Eligible" numFmtId="0">
      <sharedItems containsBlank="1" containsMixedTypes="1" containsNumber="1" containsInteger="1" minValue="0" maxValue="0"/>
    </cacheField>
    <cacheField name="P Qu" numFmtId="0">
      <sharedItems containsString="0" containsBlank="1" containsNumber="1" minValue="0" maxValue="130"/>
    </cacheField>
    <cacheField name="P PU" numFmtId="0">
      <sharedItems containsString="0" containsBlank="1" containsNumber="1" containsInteger="1" minValue="0" maxValue="100000"/>
    </cacheField>
    <cacheField name="P CT" numFmtId="0">
      <sharedItems containsSemiMixedTypes="0" containsString="0" containsNumber="1" containsInteger="1" minValue="0" maxValue="24024"/>
    </cacheField>
    <cacheField name="ACh Type" numFmtId="0">
      <sharedItems containsBlank="1" containsMixedTypes="1" containsNumber="1" containsInteger="1" minValue="0" maxValue="0"/>
    </cacheField>
    <cacheField name="ACh Qu" numFmtId="0">
      <sharedItems containsString="0" containsBlank="1" containsNumber="1" minValue="0" maxValue="62"/>
    </cacheField>
    <cacheField name="ACh PU" numFmtId="0">
      <sharedItems containsString="0" containsBlank="1" containsNumber="1" containsInteger="1" minValue="0" maxValue="15000"/>
    </cacheField>
    <cacheField name="ACh CT" numFmtId="0">
      <sharedItems containsSemiMixedTypes="0" containsString="0" containsNumber="1" containsInteger="1" minValue="0" maxValue="17000"/>
    </cacheField>
    <cacheField name="Ct TOTAL" numFmtId="0">
      <sharedItems containsSemiMixedTypes="0" containsString="0" containsNumber="1" containsInteger="1" minValue="0" maxValue="30470"/>
    </cacheField>
    <cacheField name="Mt Elligible" numFmtId="0">
      <sharedItems containsSemiMixedTypes="0" containsString="0" containsNumber="1" minValue="0" maxValue="35954.6"/>
    </cacheField>
    <cacheField name="Sub Possible" numFmtId="0">
      <sharedItems containsSemiMixedTypes="0" containsString="0" containsNumber="1" minValue="0" maxValue="17977.3"/>
    </cacheField>
  </cacheFields>
  <extLst>
    <ext xmlns:x14="http://schemas.microsoft.com/office/spreadsheetml/2009/9/main" uri="{725AE2AE-9491-48be-B2B4-4EB974FC3084}">
      <x14:pivotCacheDefinition pivotCacheId="35351795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3">
  <r>
    <x v="0"/>
    <x v="0"/>
    <x v="0"/>
    <x v="0"/>
    <x v="0"/>
    <x v="0"/>
    <n v="0.25"/>
    <n v="0.7"/>
    <n v="0"/>
    <s v="Oui"/>
    <n v="5.5"/>
    <n v="490"/>
    <n v="2695"/>
    <s v="Déplacements"/>
    <n v="4"/>
    <n v="150"/>
    <n v="600"/>
    <n v="3295"/>
    <n v="4118.75"/>
    <n v="2883.125"/>
  </r>
  <r>
    <x v="0"/>
    <x v="0"/>
    <x v="1"/>
    <x v="1"/>
    <x v="1"/>
    <x v="0"/>
    <n v="0.25"/>
    <n v="0.7"/>
    <n v="0"/>
    <s v="Oui"/>
    <n v="2"/>
    <n v="490"/>
    <n v="980"/>
    <s v="Déplacements"/>
    <n v="2"/>
    <n v="150"/>
    <n v="300"/>
    <n v="1280"/>
    <n v="1600"/>
    <n v="1120"/>
  </r>
  <r>
    <x v="0"/>
    <x v="0"/>
    <x v="2"/>
    <x v="2"/>
    <x v="2"/>
    <x v="1"/>
    <n v="0.22"/>
    <n v="0.7"/>
    <s v="Chef de projet"/>
    <s v="Oui"/>
    <n v="6"/>
    <n v="406"/>
    <n v="2436"/>
    <m/>
    <m/>
    <m/>
    <n v="0"/>
    <n v="2436"/>
    <n v="2971.92"/>
    <n v="2080.3440000000001"/>
  </r>
  <r>
    <x v="0"/>
    <x v="0"/>
    <x v="2"/>
    <x v="2"/>
    <x v="2"/>
    <x v="1"/>
    <n v="0.22"/>
    <n v="0.7"/>
    <s v="Chargé de mission"/>
    <s v="Oui"/>
    <n v="12"/>
    <n v="304"/>
    <n v="3648"/>
    <m/>
    <m/>
    <m/>
    <n v="0"/>
    <n v="3648"/>
    <n v="4450.5600000000004"/>
    <n v="3115.3920000000003"/>
  </r>
  <r>
    <x v="0"/>
    <x v="0"/>
    <x v="2"/>
    <x v="3"/>
    <x v="2"/>
    <x v="1"/>
    <n v="0.22"/>
    <n v="0.7"/>
    <s v="Chef de projet"/>
    <s v="Oui"/>
    <n v="3"/>
    <n v="406"/>
    <n v="1218"/>
    <m/>
    <m/>
    <m/>
    <n v="0"/>
    <n v="1218"/>
    <n v="1485.96"/>
    <n v="1040.172"/>
  </r>
  <r>
    <x v="0"/>
    <x v="0"/>
    <x v="2"/>
    <x v="3"/>
    <x v="2"/>
    <x v="1"/>
    <n v="0.22"/>
    <n v="0.7"/>
    <s v="Chargé de mission"/>
    <s v="Oui"/>
    <n v="7.5"/>
    <n v="304"/>
    <n v="2280"/>
    <m/>
    <m/>
    <m/>
    <n v="0"/>
    <n v="2280"/>
    <n v="2781.6"/>
    <n v="1947.12"/>
  </r>
  <r>
    <x v="0"/>
    <x v="0"/>
    <x v="0"/>
    <x v="4"/>
    <x v="3"/>
    <x v="1"/>
    <n v="0.22"/>
    <n v="0.7"/>
    <s v="Chef de projet"/>
    <s v="Oui"/>
    <n v="3.5"/>
    <n v="406"/>
    <n v="1421"/>
    <m/>
    <m/>
    <m/>
    <n v="0"/>
    <n v="1421"/>
    <n v="1733.62"/>
    <n v="1213.5340000000001"/>
  </r>
  <r>
    <x v="0"/>
    <x v="0"/>
    <x v="0"/>
    <x v="4"/>
    <x v="3"/>
    <x v="1"/>
    <n v="0.22"/>
    <n v="0.7"/>
    <s v="Chargé de mission"/>
    <s v="Oui"/>
    <n v="7"/>
    <n v="304"/>
    <n v="2128"/>
    <m/>
    <m/>
    <m/>
    <n v="0"/>
    <n v="2128"/>
    <n v="2596.16"/>
    <n v="1817.3119999999997"/>
  </r>
  <r>
    <x v="0"/>
    <x v="0"/>
    <x v="0"/>
    <x v="5"/>
    <x v="2"/>
    <x v="1"/>
    <n v="0.22"/>
    <n v="0.7"/>
    <s v="Chef de projet"/>
    <s v="Oui"/>
    <n v="3"/>
    <n v="406"/>
    <n v="1218"/>
    <m/>
    <m/>
    <m/>
    <n v="0"/>
    <n v="1218"/>
    <n v="1485.96"/>
    <n v="1040.172"/>
  </r>
  <r>
    <x v="0"/>
    <x v="0"/>
    <x v="0"/>
    <x v="5"/>
    <x v="2"/>
    <x v="1"/>
    <n v="0.22"/>
    <n v="0.7"/>
    <s v="Chargé de mission"/>
    <s v="Oui"/>
    <n v="6"/>
    <n v="304"/>
    <n v="1824"/>
    <m/>
    <m/>
    <m/>
    <n v="0"/>
    <n v="1824"/>
    <n v="2225.2800000000002"/>
    <n v="1557.6959999999999"/>
  </r>
  <r>
    <x v="0"/>
    <x v="0"/>
    <x v="0"/>
    <x v="0"/>
    <x v="3"/>
    <x v="1"/>
    <n v="0.22"/>
    <n v="0.7"/>
    <s v="Chef de projet"/>
    <s v="Oui"/>
    <n v="5.5"/>
    <n v="406"/>
    <n v="2233"/>
    <s v="Déplacements"/>
    <n v="4"/>
    <n v="150"/>
    <n v="600"/>
    <n v="2833"/>
    <n v="3456.26"/>
    <n v="2419.3820000000001"/>
  </r>
  <r>
    <x v="0"/>
    <x v="0"/>
    <x v="1"/>
    <x v="1"/>
    <x v="4"/>
    <x v="1"/>
    <n v="0.22"/>
    <n v="0.7"/>
    <s v="Chef de projet"/>
    <s v="Oui"/>
    <n v="2"/>
    <n v="406"/>
    <n v="812"/>
    <s v="Déplacements"/>
    <n v="2"/>
    <n v="150"/>
    <n v="300"/>
    <n v="1112"/>
    <n v="1356.64"/>
    <n v="949.64800000000002"/>
  </r>
  <r>
    <x v="0"/>
    <x v="0"/>
    <x v="0"/>
    <x v="0"/>
    <x v="0"/>
    <x v="2"/>
    <n v="0.25"/>
    <n v="0.5"/>
    <s v="Expert"/>
    <s v="Non"/>
    <n v="5.5"/>
    <n v="792"/>
    <n v="4356"/>
    <s v="Déplacements"/>
    <n v="4"/>
    <n v="150"/>
    <n v="600"/>
    <n v="4956"/>
    <n v="1839"/>
    <n v="919.5"/>
  </r>
  <r>
    <x v="0"/>
    <x v="0"/>
    <x v="1"/>
    <x v="1"/>
    <x v="5"/>
    <x v="2"/>
    <n v="0.25"/>
    <n v="0.5"/>
    <s v="Expert"/>
    <s v="Non"/>
    <n v="2"/>
    <n v="792"/>
    <n v="1584"/>
    <s v="Déplacements"/>
    <n v="2"/>
    <n v="150"/>
    <n v="300"/>
    <n v="1884"/>
    <n v="771"/>
    <n v="385.5"/>
  </r>
  <r>
    <x v="0"/>
    <x v="0"/>
    <x v="0"/>
    <x v="0"/>
    <x v="3"/>
    <x v="3"/>
    <n v="0.16"/>
    <n v="0.5"/>
    <s v="ITPE Chercheur"/>
    <s v="Non"/>
    <n v="5.5"/>
    <n v="446"/>
    <n v="2453"/>
    <s v="Déplacements"/>
    <n v="4"/>
    <n v="150"/>
    <n v="600"/>
    <n v="3053"/>
    <n v="1088.48"/>
    <n v="544.24"/>
  </r>
  <r>
    <x v="0"/>
    <x v="0"/>
    <x v="0"/>
    <x v="0"/>
    <x v="3"/>
    <x v="3"/>
    <n v="0.16"/>
    <n v="0.5"/>
    <s v="Ingénieur"/>
    <s v="Non"/>
    <n v="5.5"/>
    <n v="275"/>
    <n v="1512"/>
    <s v="Déplacements"/>
    <n v="4"/>
    <n v="150"/>
    <n v="600"/>
    <n v="2112"/>
    <n v="938"/>
    <n v="469"/>
  </r>
  <r>
    <x v="0"/>
    <x v="0"/>
    <x v="1"/>
    <x v="1"/>
    <x v="4"/>
    <x v="3"/>
    <n v="0.16"/>
    <n v="0.5"/>
    <s v="ITPE Chercheur"/>
    <s v="Non"/>
    <n v="2"/>
    <n v="446"/>
    <n v="892"/>
    <s v="Déplacements"/>
    <n v="2"/>
    <n v="150"/>
    <n v="300"/>
    <n v="1192"/>
    <n v="490.72"/>
    <n v="245.36"/>
  </r>
  <r>
    <x v="0"/>
    <x v="0"/>
    <x v="1"/>
    <x v="1"/>
    <x v="4"/>
    <x v="3"/>
    <n v="0.16"/>
    <n v="0.5"/>
    <s v="Ingénieur"/>
    <s v="Non"/>
    <n v="2"/>
    <n v="275"/>
    <n v="550"/>
    <s v="Sous Traitance"/>
    <n v="2"/>
    <n v="150"/>
    <n v="300"/>
    <n v="850"/>
    <n v="436"/>
    <n v="218"/>
  </r>
  <r>
    <x v="0"/>
    <x v="0"/>
    <x v="0"/>
    <x v="0"/>
    <x v="0"/>
    <x v="4"/>
    <n v="0.25"/>
    <n v="0.7"/>
    <m/>
    <s v="Oui"/>
    <n v="5.5"/>
    <n v="422"/>
    <n v="2321"/>
    <s v="Déplacements"/>
    <n v="4"/>
    <n v="150"/>
    <n v="600"/>
    <n v="2921"/>
    <n v="3651.25"/>
    <n v="2555.875"/>
  </r>
  <r>
    <x v="0"/>
    <x v="0"/>
    <x v="2"/>
    <x v="2"/>
    <x v="2"/>
    <x v="5"/>
    <n v="0.25"/>
    <n v="0.7"/>
    <m/>
    <s v="Oui"/>
    <m/>
    <m/>
    <n v="0"/>
    <s v="Sous Traitance"/>
    <n v="6"/>
    <n v="520"/>
    <n v="3120"/>
    <n v="3120"/>
    <n v="3900"/>
    <n v="2730"/>
  </r>
  <r>
    <x v="0"/>
    <x v="0"/>
    <x v="2"/>
    <x v="3"/>
    <x v="2"/>
    <x v="5"/>
    <n v="0.25"/>
    <n v="0.7"/>
    <m/>
    <s v="Oui"/>
    <m/>
    <m/>
    <n v="0"/>
    <s v="Sous Traitance"/>
    <n v="3"/>
    <n v="520"/>
    <n v="1560"/>
    <n v="1560"/>
    <n v="1950"/>
    <n v="1365"/>
  </r>
  <r>
    <x v="0"/>
    <x v="0"/>
    <x v="0"/>
    <x v="0"/>
    <x v="3"/>
    <x v="5"/>
    <n v="0.25"/>
    <n v="0.7"/>
    <m/>
    <s v="Oui"/>
    <m/>
    <m/>
    <n v="0"/>
    <s v="Sous Traitance"/>
    <n v="5.5"/>
    <n v="520"/>
    <n v="2860"/>
    <n v="2860"/>
    <n v="3575"/>
    <n v="2502.5"/>
  </r>
  <r>
    <x v="0"/>
    <x v="0"/>
    <x v="0"/>
    <x v="0"/>
    <x v="3"/>
    <x v="5"/>
    <n v="0.25"/>
    <n v="0.7"/>
    <m/>
    <s v="Oui"/>
    <m/>
    <m/>
    <n v="0"/>
    <s v="Déplacements"/>
    <n v="4"/>
    <n v="150"/>
    <n v="600"/>
    <n v="600"/>
    <n v="750"/>
    <n v="525"/>
  </r>
  <r>
    <x v="0"/>
    <x v="0"/>
    <x v="1"/>
    <x v="1"/>
    <x v="4"/>
    <x v="5"/>
    <n v="0.25"/>
    <n v="0.7"/>
    <m/>
    <s v="Oui"/>
    <m/>
    <m/>
    <n v="0"/>
    <s v="Sous Traitance"/>
    <n v="2"/>
    <n v="520"/>
    <n v="1040"/>
    <n v="1040"/>
    <n v="1300"/>
    <n v="909.99999999999989"/>
  </r>
  <r>
    <x v="0"/>
    <x v="0"/>
    <x v="1"/>
    <x v="1"/>
    <x v="6"/>
    <x v="5"/>
    <n v="0.25"/>
    <n v="0.7"/>
    <m/>
    <s v="Oui"/>
    <m/>
    <m/>
    <n v="0"/>
    <s v="Déplacements"/>
    <n v="2"/>
    <n v="150"/>
    <n v="300"/>
    <n v="300"/>
    <n v="375"/>
    <n v="262.5"/>
  </r>
  <r>
    <x v="0"/>
    <x v="0"/>
    <x v="0"/>
    <x v="0"/>
    <x v="0"/>
    <x v="6"/>
    <n v="0.18"/>
    <n v="0.5"/>
    <s v="PRCE "/>
    <s v="Non"/>
    <n v="7"/>
    <n v="572"/>
    <n v="4004"/>
    <s v="Déplacements"/>
    <n v="4"/>
    <n v="150"/>
    <n v="600"/>
    <n v="4604"/>
    <n v="1428.72"/>
    <n v="714.36"/>
  </r>
  <r>
    <x v="0"/>
    <x v="0"/>
    <x v="0"/>
    <x v="0"/>
    <x v="0"/>
    <x v="6"/>
    <n v="0.18"/>
    <n v="0.5"/>
    <s v="PR1"/>
    <s v="Non"/>
    <n v="7"/>
    <n v="494"/>
    <n v="3458"/>
    <s v="Déplacements"/>
    <n v="4"/>
    <n v="150"/>
    <n v="600"/>
    <n v="4058"/>
    <n v="1330.44"/>
    <n v="665.22"/>
  </r>
  <r>
    <x v="0"/>
    <x v="0"/>
    <x v="0"/>
    <x v="0"/>
    <x v="0"/>
    <x v="6"/>
    <n v="0.18"/>
    <n v="0.5"/>
    <s v="Doctorant"/>
    <s v="Oui"/>
    <n v="7"/>
    <n v="119"/>
    <n v="833"/>
    <s v="Déplacements"/>
    <n v="4"/>
    <n v="150"/>
    <n v="600"/>
    <n v="1433"/>
    <n v="1690.94"/>
    <n v="845.47"/>
  </r>
  <r>
    <x v="0"/>
    <x v="0"/>
    <x v="1"/>
    <x v="1"/>
    <x v="1"/>
    <x v="6"/>
    <n v="0.18"/>
    <n v="0.5"/>
    <s v="PRCE "/>
    <s v="Non"/>
    <n v="2"/>
    <n v="572"/>
    <n v="1144"/>
    <s v="Déplacements"/>
    <n v="2"/>
    <n v="150"/>
    <n v="300"/>
    <n v="1444"/>
    <n v="559.91999999999996"/>
    <n v="279.95999999999998"/>
  </r>
  <r>
    <x v="0"/>
    <x v="0"/>
    <x v="1"/>
    <x v="1"/>
    <x v="1"/>
    <x v="6"/>
    <n v="0.18"/>
    <n v="0.5"/>
    <s v="PR1"/>
    <s v="Non"/>
    <n v="2"/>
    <n v="494"/>
    <n v="988"/>
    <s v="Déplacements"/>
    <n v="2"/>
    <n v="150"/>
    <n v="300"/>
    <n v="1288"/>
    <n v="531.84"/>
    <n v="265.92"/>
  </r>
  <r>
    <x v="0"/>
    <x v="0"/>
    <x v="1"/>
    <x v="1"/>
    <x v="1"/>
    <x v="6"/>
    <n v="0.18"/>
    <n v="0.5"/>
    <s v="Doctorant"/>
    <s v="Oui"/>
    <n v="2"/>
    <n v="119"/>
    <n v="238"/>
    <s v="Déplacements"/>
    <n v="2"/>
    <n v="150"/>
    <n v="300"/>
    <n v="538"/>
    <n v="634.84"/>
    <n v="317.42"/>
  </r>
  <r>
    <x v="0"/>
    <x v="0"/>
    <x v="0"/>
    <x v="0"/>
    <x v="0"/>
    <x v="7"/>
    <n v="0.25"/>
    <n v="0.5"/>
    <m/>
    <s v="Oui"/>
    <n v="5.5"/>
    <n v="350"/>
    <n v="1925"/>
    <s v="Déplacements"/>
    <n v="4"/>
    <n v="150"/>
    <n v="600"/>
    <n v="2525"/>
    <n v="3156.25"/>
    <n v="1578.125"/>
  </r>
  <r>
    <x v="0"/>
    <x v="0"/>
    <x v="1"/>
    <x v="1"/>
    <x v="1"/>
    <x v="7"/>
    <n v="0.25"/>
    <n v="0.5"/>
    <m/>
    <s v="Oui"/>
    <n v="2"/>
    <n v="350"/>
    <n v="700"/>
    <s v="Déplacements"/>
    <n v="2"/>
    <n v="150"/>
    <n v="300"/>
    <n v="1000"/>
    <n v="1250"/>
    <n v="625"/>
  </r>
  <r>
    <x v="0"/>
    <x v="0"/>
    <x v="0"/>
    <x v="0"/>
    <x v="0"/>
    <x v="8"/>
    <n v="0.2"/>
    <n v="0.5"/>
    <s v="Chargée de recherche "/>
    <s v="Oui"/>
    <n v="5.5"/>
    <n v="380"/>
    <n v="2090"/>
    <s v="Déplacements"/>
    <n v="4"/>
    <n v="150"/>
    <n v="600"/>
    <n v="2690"/>
    <n v="3228"/>
    <n v="1614"/>
  </r>
  <r>
    <x v="0"/>
    <x v="0"/>
    <x v="1"/>
    <x v="1"/>
    <x v="1"/>
    <x v="8"/>
    <n v="0.2"/>
    <n v="0.5"/>
    <s v="Chargée de recherche "/>
    <s v="Oui"/>
    <n v="2"/>
    <n v="380"/>
    <n v="760"/>
    <s v="Déplacements"/>
    <n v="2"/>
    <n v="150"/>
    <n v="300"/>
    <n v="1060"/>
    <n v="1272"/>
    <n v="636"/>
  </r>
  <r>
    <x v="0"/>
    <x v="0"/>
    <x v="0"/>
    <x v="0"/>
    <x v="0"/>
    <x v="9"/>
    <n v="0.25"/>
    <n v="0.5"/>
    <m/>
    <s v="Oui"/>
    <n v="5.5"/>
    <n v="350"/>
    <n v="1925"/>
    <s v="Déplacements"/>
    <n v="4"/>
    <n v="150"/>
    <n v="600"/>
    <n v="2525"/>
    <n v="3156.25"/>
    <n v="1578.125"/>
  </r>
  <r>
    <x v="0"/>
    <x v="0"/>
    <x v="1"/>
    <x v="1"/>
    <x v="1"/>
    <x v="9"/>
    <n v="0.25"/>
    <n v="0.5"/>
    <m/>
    <s v="Oui"/>
    <n v="2"/>
    <n v="350"/>
    <n v="700"/>
    <s v="Déplacements"/>
    <n v="2"/>
    <n v="150"/>
    <n v="300"/>
    <n v="1000"/>
    <n v="1250"/>
    <n v="625"/>
  </r>
  <r>
    <x v="0"/>
    <x v="0"/>
    <x v="2"/>
    <x v="2"/>
    <x v="7"/>
    <x v="0"/>
    <n v="0.25"/>
    <n v="0.7"/>
    <s v="TEST"/>
    <s v="Oui"/>
    <n v="0"/>
    <n v="100000"/>
    <n v="0"/>
    <m/>
    <m/>
    <m/>
    <n v="0"/>
    <n v="0"/>
    <n v="0"/>
    <n v="0"/>
  </r>
  <r>
    <x v="1"/>
    <x v="1"/>
    <x v="3"/>
    <x v="6"/>
    <x v="8"/>
    <x v="0"/>
    <n v="0.25"/>
    <n v="0.7"/>
    <n v="0"/>
    <s v="Oui"/>
    <n v="1"/>
    <n v="490"/>
    <n v="490"/>
    <s v="Déplacements"/>
    <n v="1"/>
    <n v="150"/>
    <n v="150"/>
    <n v="640"/>
    <n v="800"/>
    <n v="560"/>
  </r>
  <r>
    <x v="1"/>
    <x v="1"/>
    <x v="3"/>
    <x v="7"/>
    <x v="8"/>
    <x v="0"/>
    <n v="0.25"/>
    <n v="0.7"/>
    <n v="0"/>
    <s v="Oui"/>
    <n v="4"/>
    <n v="490"/>
    <n v="1960"/>
    <s v="Déplacements"/>
    <n v="3"/>
    <n v="150"/>
    <n v="450"/>
    <n v="2410"/>
    <n v="3012.5"/>
    <n v="2108.75"/>
  </r>
  <r>
    <x v="1"/>
    <x v="1"/>
    <x v="3"/>
    <x v="8"/>
    <x v="8"/>
    <x v="0"/>
    <n v="0.25"/>
    <n v="0.7"/>
    <n v="0"/>
    <s v="Oui"/>
    <n v="2"/>
    <n v="490"/>
    <n v="980"/>
    <s v="Déplacements"/>
    <n v="2"/>
    <n v="150"/>
    <n v="300"/>
    <n v="1280"/>
    <n v="1600"/>
    <n v="1120"/>
  </r>
  <r>
    <x v="1"/>
    <x v="1"/>
    <x v="4"/>
    <x v="9"/>
    <x v="9"/>
    <x v="10"/>
    <n v="0.25"/>
    <n v="0.7"/>
    <s v="Chargé de projet (ingénieur  R&amp;D)"/>
    <s v="Oui"/>
    <n v="16"/>
    <n v="430"/>
    <n v="6880"/>
    <m/>
    <m/>
    <m/>
    <n v="0"/>
    <n v="6880"/>
    <n v="8600"/>
    <n v="6020"/>
  </r>
  <r>
    <x v="1"/>
    <x v="1"/>
    <x v="3"/>
    <x v="6"/>
    <x v="2"/>
    <x v="10"/>
    <n v="0.25"/>
    <n v="0.7"/>
    <s v="Chargé de projet (ingénieur  R&amp;D)"/>
    <s v="Oui"/>
    <n v="2"/>
    <n v="430"/>
    <n v="860"/>
    <m/>
    <m/>
    <m/>
    <n v="0"/>
    <n v="860"/>
    <n v="1075"/>
    <n v="752.5"/>
  </r>
  <r>
    <x v="1"/>
    <x v="1"/>
    <x v="3"/>
    <x v="8"/>
    <x v="2"/>
    <x v="10"/>
    <n v="0.25"/>
    <n v="0.7"/>
    <s v="Chargé de projet (ingénieur  R&amp;D)"/>
    <s v="Oui"/>
    <n v="2"/>
    <n v="430"/>
    <n v="860"/>
    <s v="Déplacements"/>
    <n v="2"/>
    <n v="150"/>
    <n v="300"/>
    <n v="1160"/>
    <n v="1450"/>
    <n v="1015"/>
  </r>
  <r>
    <x v="1"/>
    <x v="1"/>
    <x v="3"/>
    <x v="10"/>
    <x v="2"/>
    <x v="10"/>
    <n v="0.25"/>
    <n v="0.7"/>
    <s v="Chargé de projet (ingénieur  R&amp;D)"/>
    <s v="Oui"/>
    <n v="2"/>
    <n v="430"/>
    <n v="860"/>
    <s v="Déplacements"/>
    <m/>
    <m/>
    <n v="0"/>
    <n v="860"/>
    <n v="1075"/>
    <n v="752.5"/>
  </r>
  <r>
    <x v="1"/>
    <x v="1"/>
    <x v="4"/>
    <x v="11"/>
    <x v="10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3"/>
    <x v="6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3"/>
    <x v="6"/>
    <x v="2"/>
    <x v="1"/>
    <n v="0.22"/>
    <n v="0.7"/>
    <s v="Chargé de mission"/>
    <s v="Oui"/>
    <n v="3"/>
    <n v="304"/>
    <n v="912"/>
    <m/>
    <m/>
    <m/>
    <n v="0"/>
    <n v="912"/>
    <n v="1112.6400000000001"/>
    <n v="778.84799999999996"/>
  </r>
  <r>
    <x v="1"/>
    <x v="1"/>
    <x v="3"/>
    <x v="7"/>
    <x v="2"/>
    <x v="1"/>
    <n v="0.22"/>
    <n v="0.7"/>
    <s v="Chef de projet"/>
    <s v="Oui"/>
    <n v="0.5"/>
    <n v="406"/>
    <n v="203"/>
    <m/>
    <m/>
    <m/>
    <n v="0"/>
    <n v="203"/>
    <n v="247.66"/>
    <n v="173.36199999999999"/>
  </r>
  <r>
    <x v="1"/>
    <x v="1"/>
    <x v="3"/>
    <x v="7"/>
    <x v="2"/>
    <x v="1"/>
    <n v="0.22"/>
    <n v="0.7"/>
    <s v="Chargé de mission"/>
    <s v="Oui"/>
    <n v="3.5"/>
    <n v="304"/>
    <n v="1064"/>
    <m/>
    <m/>
    <m/>
    <n v="0"/>
    <n v="1064"/>
    <n v="1298.08"/>
    <n v="908.65599999999984"/>
  </r>
  <r>
    <x v="1"/>
    <x v="1"/>
    <x v="3"/>
    <x v="8"/>
    <x v="2"/>
    <x v="1"/>
    <n v="0.22"/>
    <n v="0.7"/>
    <s v="Chef de projet"/>
    <s v="Oui"/>
    <n v="2"/>
    <n v="406"/>
    <n v="812"/>
    <s v="Déplacements"/>
    <n v="2"/>
    <n v="150"/>
    <n v="300"/>
    <n v="1112"/>
    <n v="1356.64"/>
    <n v="949.64800000000002"/>
  </r>
  <r>
    <x v="1"/>
    <x v="1"/>
    <x v="3"/>
    <x v="8"/>
    <x v="2"/>
    <x v="1"/>
    <n v="0.22"/>
    <n v="0.7"/>
    <s v="Chargé de mission"/>
    <s v="Oui"/>
    <n v="2"/>
    <n v="304"/>
    <n v="608"/>
    <m/>
    <m/>
    <m/>
    <n v="0"/>
    <n v="608"/>
    <n v="741.76"/>
    <n v="519.23199999999997"/>
  </r>
  <r>
    <x v="1"/>
    <x v="1"/>
    <x v="3"/>
    <x v="10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3"/>
    <x v="10"/>
    <x v="2"/>
    <x v="1"/>
    <n v="0.22"/>
    <n v="0.7"/>
    <s v="Chargé de mission"/>
    <s v="Oui"/>
    <n v="3"/>
    <n v="304"/>
    <n v="912"/>
    <m/>
    <m/>
    <m/>
    <n v="0"/>
    <n v="912"/>
    <n v="1112.6400000000001"/>
    <n v="778.84799999999996"/>
  </r>
  <r>
    <x v="1"/>
    <x v="1"/>
    <x v="5"/>
    <x v="12"/>
    <x v="11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6"/>
    <x v="13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6"/>
    <x v="14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7"/>
    <x v="15"/>
    <x v="1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7"/>
    <x v="15"/>
    <x v="12"/>
    <x v="1"/>
    <n v="0.22"/>
    <n v="0.7"/>
    <s v="Chargé de mission"/>
    <s v="Oui"/>
    <n v="4"/>
    <n v="304"/>
    <n v="1216"/>
    <m/>
    <m/>
    <m/>
    <n v="0"/>
    <n v="1216"/>
    <n v="1483.52"/>
    <n v="1038.4639999999999"/>
  </r>
  <r>
    <x v="1"/>
    <x v="1"/>
    <x v="7"/>
    <x v="16"/>
    <x v="2"/>
    <x v="1"/>
    <n v="0.22"/>
    <n v="0.7"/>
    <s v="Chef de projet"/>
    <s v="Oui"/>
    <n v="1"/>
    <n v="406"/>
    <n v="406"/>
    <s v="Déplacements"/>
    <n v="1"/>
    <n v="150"/>
    <n v="150"/>
    <n v="556"/>
    <n v="678.32"/>
    <n v="474.82400000000001"/>
  </r>
  <r>
    <x v="1"/>
    <x v="1"/>
    <x v="7"/>
    <x v="16"/>
    <x v="2"/>
    <x v="1"/>
    <n v="0.22"/>
    <n v="0.7"/>
    <s v="Chargé de mission"/>
    <s v="Oui"/>
    <n v="1"/>
    <n v="304"/>
    <n v="304"/>
    <s v="Déplacements"/>
    <n v="1"/>
    <n v="150"/>
    <n v="150"/>
    <n v="454"/>
    <n v="553.88"/>
    <n v="387.71599999999989"/>
  </r>
  <r>
    <x v="1"/>
    <x v="1"/>
    <x v="7"/>
    <x v="17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1"/>
    <x v="1"/>
    <x v="7"/>
    <x v="17"/>
    <x v="2"/>
    <x v="1"/>
    <n v="0.22"/>
    <n v="0.7"/>
    <s v="Chargé de mission"/>
    <s v="Oui"/>
    <n v="2"/>
    <n v="304"/>
    <n v="608"/>
    <m/>
    <m/>
    <m/>
    <n v="0"/>
    <n v="608"/>
    <n v="741.76"/>
    <n v="519.23199999999997"/>
  </r>
  <r>
    <x v="1"/>
    <x v="1"/>
    <x v="4"/>
    <x v="9"/>
    <x v="8"/>
    <x v="2"/>
    <n v="0.25"/>
    <n v="0.5"/>
    <s v="Directeur de projet"/>
    <s v="Non"/>
    <n v="2"/>
    <n v="548"/>
    <n v="1096"/>
    <n v="0"/>
    <n v="0"/>
    <n v="0"/>
    <n v="0"/>
    <n v="1096"/>
    <n v="274"/>
    <n v="137"/>
  </r>
  <r>
    <x v="1"/>
    <x v="1"/>
    <x v="4"/>
    <x v="9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1"/>
    <x v="1"/>
    <x v="4"/>
    <x v="9"/>
    <x v="8"/>
    <x v="2"/>
    <n v="0.25"/>
    <n v="0.5"/>
    <s v="Post-doctorant"/>
    <s v="Oui"/>
    <n v="20"/>
    <n v="277"/>
    <n v="5540"/>
    <n v="0"/>
    <n v="0"/>
    <n v="0"/>
    <n v="0"/>
    <n v="5540"/>
    <n v="6925"/>
    <n v="3462.5"/>
  </r>
  <r>
    <x v="1"/>
    <x v="1"/>
    <x v="4"/>
    <x v="18"/>
    <x v="5"/>
    <x v="2"/>
    <n v="0.25"/>
    <n v="0.5"/>
    <s v="Expert"/>
    <s v="Non"/>
    <n v="2"/>
    <n v="792"/>
    <n v="1584"/>
    <s v="Déplacements"/>
    <n v="2"/>
    <n v="150"/>
    <n v="300"/>
    <n v="1884"/>
    <n v="771"/>
    <n v="385.5"/>
  </r>
  <r>
    <x v="1"/>
    <x v="1"/>
    <x v="4"/>
    <x v="18"/>
    <x v="5"/>
    <x v="2"/>
    <n v="0.25"/>
    <n v="0.5"/>
    <s v="Ingénieur"/>
    <s v="Non"/>
    <n v="2"/>
    <n v="376"/>
    <n v="752"/>
    <s v="Déplacements"/>
    <n v="2"/>
    <n v="150"/>
    <n v="300"/>
    <n v="1052"/>
    <n v="563"/>
    <n v="281.5"/>
  </r>
  <r>
    <x v="1"/>
    <x v="1"/>
    <x v="4"/>
    <x v="19"/>
    <x v="8"/>
    <x v="2"/>
    <n v="0.25"/>
    <n v="0.5"/>
    <s v="Expert"/>
    <s v="Non"/>
    <n v="2"/>
    <n v="792"/>
    <n v="1584"/>
    <n v="0"/>
    <n v="0"/>
    <n v="0"/>
    <n v="0"/>
    <n v="1584"/>
    <n v="396"/>
    <n v="198"/>
  </r>
  <r>
    <x v="1"/>
    <x v="1"/>
    <x v="4"/>
    <x v="19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1"/>
    <x v="1"/>
    <x v="4"/>
    <x v="19"/>
    <x v="8"/>
    <x v="2"/>
    <n v="0.25"/>
    <n v="0.5"/>
    <s v="Post-doctorant"/>
    <s v="Oui"/>
    <n v="10"/>
    <n v="277"/>
    <n v="2770"/>
    <n v="0"/>
    <n v="0"/>
    <n v="0"/>
    <n v="0"/>
    <n v="2770"/>
    <n v="3462.5"/>
    <n v="1731.25"/>
  </r>
  <r>
    <x v="1"/>
    <x v="1"/>
    <x v="7"/>
    <x v="16"/>
    <x v="13"/>
    <x v="2"/>
    <n v="0.25"/>
    <n v="0.5"/>
    <s v="Expert"/>
    <s v="Non"/>
    <n v="2"/>
    <n v="792"/>
    <n v="1584"/>
    <s v="Déplacements"/>
    <n v="2"/>
    <n v="150"/>
    <n v="300"/>
    <n v="1884"/>
    <n v="771"/>
    <n v="385.5"/>
  </r>
  <r>
    <x v="1"/>
    <x v="1"/>
    <x v="7"/>
    <x v="16"/>
    <x v="13"/>
    <x v="2"/>
    <n v="0.25"/>
    <n v="0.5"/>
    <s v="Ingénieur"/>
    <s v="Non"/>
    <n v="2"/>
    <n v="376"/>
    <n v="752"/>
    <s v="Déplacements"/>
    <n v="2"/>
    <n v="150"/>
    <n v="300"/>
    <n v="1052"/>
    <n v="563"/>
    <n v="281.5"/>
  </r>
  <r>
    <x v="1"/>
    <x v="1"/>
    <x v="7"/>
    <x v="16"/>
    <x v="13"/>
    <x v="2"/>
    <n v="0.25"/>
    <n v="0.5"/>
    <s v="Post-doctorant"/>
    <s v="Oui"/>
    <n v="2"/>
    <n v="277"/>
    <n v="554"/>
    <s v="Déplacements"/>
    <n v="2"/>
    <n v="150"/>
    <n v="300"/>
    <n v="854"/>
    <n v="1067.5"/>
    <n v="533.75"/>
  </r>
  <r>
    <x v="1"/>
    <x v="1"/>
    <x v="3"/>
    <x v="6"/>
    <x v="2"/>
    <x v="4"/>
    <n v="0.25"/>
    <n v="0.7"/>
    <m/>
    <s v="Oui"/>
    <n v="2"/>
    <n v="422"/>
    <n v="844"/>
    <m/>
    <m/>
    <m/>
    <n v="0"/>
    <n v="844"/>
    <n v="1055"/>
    <n v="738.5"/>
  </r>
  <r>
    <x v="1"/>
    <x v="1"/>
    <x v="3"/>
    <x v="8"/>
    <x v="2"/>
    <x v="4"/>
    <n v="0.25"/>
    <n v="0.7"/>
    <m/>
    <s v="Oui"/>
    <n v="3"/>
    <n v="422"/>
    <n v="1266"/>
    <m/>
    <m/>
    <m/>
    <n v="0"/>
    <n v="1266"/>
    <n v="1582.5"/>
    <n v="1107.75"/>
  </r>
  <r>
    <x v="1"/>
    <x v="1"/>
    <x v="3"/>
    <x v="10"/>
    <x v="2"/>
    <x v="4"/>
    <n v="0.25"/>
    <n v="0.7"/>
    <m/>
    <s v="Oui"/>
    <n v="1"/>
    <n v="422"/>
    <n v="422"/>
    <m/>
    <m/>
    <m/>
    <n v="0"/>
    <n v="422"/>
    <n v="527.5"/>
    <n v="369.25"/>
  </r>
  <r>
    <x v="1"/>
    <x v="1"/>
    <x v="7"/>
    <x v="16"/>
    <x v="2"/>
    <x v="4"/>
    <n v="0.25"/>
    <n v="0.7"/>
    <m/>
    <s v="Oui"/>
    <n v="1"/>
    <n v="422"/>
    <n v="422"/>
    <s v="Déplacement"/>
    <n v="1"/>
    <n v="150"/>
    <n v="150"/>
    <n v="572"/>
    <n v="715"/>
    <n v="500.49999999999994"/>
  </r>
  <r>
    <x v="1"/>
    <x v="1"/>
    <x v="4"/>
    <x v="11"/>
    <x v="10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3"/>
    <x v="10"/>
    <x v="2"/>
    <x v="5"/>
    <n v="0.25"/>
    <n v="0.7"/>
    <m/>
    <s v="Oui"/>
    <m/>
    <m/>
    <n v="0"/>
    <s v="Sous-Traitance"/>
    <n v="0.5"/>
    <n v="520"/>
    <n v="260"/>
    <n v="260"/>
    <n v="325"/>
    <n v="227.49999999999997"/>
  </r>
  <r>
    <x v="1"/>
    <x v="1"/>
    <x v="5"/>
    <x v="12"/>
    <x v="11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6"/>
    <x v="13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6"/>
    <x v="14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7"/>
    <x v="15"/>
    <x v="14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7"/>
    <x v="16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1"/>
    <x v="1"/>
    <x v="7"/>
    <x v="16"/>
    <x v="2"/>
    <x v="5"/>
    <n v="0.25"/>
    <n v="0.7"/>
    <m/>
    <s v="Oui"/>
    <m/>
    <m/>
    <n v="0"/>
    <s v="Déplacements"/>
    <n v="40"/>
    <n v="150"/>
    <n v="6000"/>
    <n v="6000"/>
    <n v="7500"/>
    <n v="5250"/>
  </r>
  <r>
    <x v="1"/>
    <x v="1"/>
    <x v="7"/>
    <x v="17"/>
    <x v="10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1"/>
    <x v="1"/>
    <x v="4"/>
    <x v="9"/>
    <x v="8"/>
    <x v="6"/>
    <n v="0.18"/>
    <n v="0.5"/>
    <s v="PRCE"/>
    <s v="Non"/>
    <n v="42"/>
    <n v="572"/>
    <n v="24024"/>
    <n v="0"/>
    <n v="0"/>
    <n v="0"/>
    <n v="0"/>
    <n v="24024"/>
    <n v="4324.32"/>
    <n v="2162.16"/>
  </r>
  <r>
    <x v="1"/>
    <x v="1"/>
    <x v="4"/>
    <x v="9"/>
    <x v="8"/>
    <x v="6"/>
    <n v="0.18"/>
    <n v="0.5"/>
    <s v="PR1"/>
    <s v="Non"/>
    <n v="21"/>
    <n v="494"/>
    <n v="10374"/>
    <n v="0"/>
    <n v="0"/>
    <n v="0"/>
    <n v="0"/>
    <n v="10374"/>
    <n v="1867.32"/>
    <n v="933.66"/>
  </r>
  <r>
    <x v="1"/>
    <x v="1"/>
    <x v="4"/>
    <x v="9"/>
    <x v="8"/>
    <x v="6"/>
    <n v="0.18"/>
    <n v="0.5"/>
    <s v="Doctorant"/>
    <s v="Oui"/>
    <n v="105"/>
    <n v="119"/>
    <n v="12495"/>
    <n v="0"/>
    <n v="0"/>
    <n v="0"/>
    <n v="0"/>
    <n v="12495"/>
    <n v="14744.1"/>
    <n v="7372.05"/>
  </r>
  <r>
    <x v="1"/>
    <x v="1"/>
    <x v="4"/>
    <x v="18"/>
    <x v="15"/>
    <x v="6"/>
    <n v="0.18"/>
    <n v="0.5"/>
    <s v="PRCE"/>
    <s v="Non"/>
    <n v="10"/>
    <n v="572"/>
    <n v="5720"/>
    <s v="Déplacements"/>
    <n v="2"/>
    <n v="150"/>
    <n v="300"/>
    <n v="6020"/>
    <n v="1383.6"/>
    <n v="691.8"/>
  </r>
  <r>
    <x v="1"/>
    <x v="1"/>
    <x v="4"/>
    <x v="18"/>
    <x v="15"/>
    <x v="6"/>
    <n v="0.18"/>
    <n v="0.5"/>
    <s v="PR1"/>
    <s v="Non"/>
    <n v="5"/>
    <n v="494"/>
    <n v="2470"/>
    <s v="Déplacements"/>
    <n v="2"/>
    <n v="150"/>
    <n v="300"/>
    <n v="2770"/>
    <n v="798.5999999999998"/>
    <n v="399.2999999999999"/>
  </r>
  <r>
    <x v="1"/>
    <x v="1"/>
    <x v="4"/>
    <x v="18"/>
    <x v="15"/>
    <x v="6"/>
    <n v="0.18"/>
    <n v="0.5"/>
    <n v="0"/>
    <n v="0"/>
    <n v="0"/>
    <n v="0"/>
    <n v="0"/>
    <s v="Déplacements"/>
    <n v="2"/>
    <n v="150"/>
    <n v="300"/>
    <n v="300"/>
    <n v="354"/>
    <n v="177"/>
  </r>
  <r>
    <x v="1"/>
    <x v="1"/>
    <x v="4"/>
    <x v="19"/>
    <x v="8"/>
    <x v="6"/>
    <n v="0.18"/>
    <n v="0.5"/>
    <s v="PRCE"/>
    <s v="Non"/>
    <n v="10"/>
    <n v="572"/>
    <n v="5720"/>
    <n v="0"/>
    <n v="0"/>
    <n v="0"/>
    <n v="0"/>
    <n v="5720"/>
    <n v="1029.5999999999999"/>
    <n v="514.79999999999995"/>
  </r>
  <r>
    <x v="1"/>
    <x v="1"/>
    <x v="4"/>
    <x v="19"/>
    <x v="8"/>
    <x v="6"/>
    <n v="0.18"/>
    <n v="0.5"/>
    <s v="PR1"/>
    <s v="Non"/>
    <n v="5"/>
    <n v="494"/>
    <n v="2470"/>
    <n v="0"/>
    <n v="0"/>
    <n v="0"/>
    <n v="0"/>
    <n v="2470"/>
    <n v="444.6"/>
    <n v="222.3"/>
  </r>
  <r>
    <x v="1"/>
    <x v="1"/>
    <x v="4"/>
    <x v="19"/>
    <x v="8"/>
    <x v="6"/>
    <n v="0.18"/>
    <n v="0.5"/>
    <s v="Doctorant"/>
    <s v="Oui"/>
    <n v="21"/>
    <n v="119"/>
    <n v="2499"/>
    <n v="0"/>
    <n v="0"/>
    <n v="0"/>
    <n v="0"/>
    <n v="2499"/>
    <n v="2948.82"/>
    <n v="1474.41"/>
  </r>
  <r>
    <x v="1"/>
    <x v="1"/>
    <x v="7"/>
    <x v="16"/>
    <x v="16"/>
    <x v="6"/>
    <n v="0.18"/>
    <n v="0.5"/>
    <s v="PRCE"/>
    <s v="Non"/>
    <n v="5"/>
    <n v="572"/>
    <n v="2860"/>
    <s v="Déplacements"/>
    <n v="4"/>
    <n v="150"/>
    <n v="600"/>
    <n v="3460"/>
    <n v="1222.8"/>
    <n v="611.4"/>
  </r>
  <r>
    <x v="1"/>
    <x v="1"/>
    <x v="7"/>
    <x v="16"/>
    <x v="16"/>
    <x v="6"/>
    <n v="0.18"/>
    <n v="0.5"/>
    <s v="PR1"/>
    <s v="Non"/>
    <n v="5"/>
    <n v="494"/>
    <n v="2470"/>
    <s v="Déplacements"/>
    <n v="4"/>
    <n v="150"/>
    <n v="600"/>
    <n v="3070"/>
    <n v="1152.5999999999999"/>
    <n v="576.29999999999995"/>
  </r>
  <r>
    <x v="1"/>
    <x v="1"/>
    <x v="7"/>
    <x v="16"/>
    <x v="16"/>
    <x v="6"/>
    <n v="0.18"/>
    <n v="0.5"/>
    <s v="Doctorant"/>
    <s v="Oui"/>
    <n v="5"/>
    <n v="119"/>
    <n v="595"/>
    <s v="Déplacements"/>
    <n v="4"/>
    <n v="150"/>
    <n v="600"/>
    <n v="1195"/>
    <n v="1410.1"/>
    <n v="705.05"/>
  </r>
  <r>
    <x v="1"/>
    <x v="1"/>
    <x v="3"/>
    <x v="7"/>
    <x v="2"/>
    <x v="7"/>
    <n v="0.25"/>
    <n v="0.5"/>
    <m/>
    <s v="Oui"/>
    <n v="4"/>
    <n v="350"/>
    <n v="1400"/>
    <m/>
    <m/>
    <m/>
    <n v="0"/>
    <n v="1400"/>
    <n v="1750"/>
    <n v="875"/>
  </r>
  <r>
    <x v="1"/>
    <x v="1"/>
    <x v="5"/>
    <x v="20"/>
    <x v="2"/>
    <x v="7"/>
    <n v="0.25"/>
    <n v="0.5"/>
    <m/>
    <s v="Oui"/>
    <n v="2"/>
    <n v="350"/>
    <n v="700"/>
    <m/>
    <m/>
    <m/>
    <n v="0"/>
    <n v="700"/>
    <n v="875"/>
    <n v="437.5"/>
  </r>
  <r>
    <x v="1"/>
    <x v="1"/>
    <x v="6"/>
    <x v="8"/>
    <x v="2"/>
    <x v="7"/>
    <n v="0.25"/>
    <n v="0.5"/>
    <m/>
    <s v="Oui"/>
    <n v="4"/>
    <n v="350"/>
    <n v="1400"/>
    <m/>
    <m/>
    <m/>
    <n v="0"/>
    <n v="1400"/>
    <n v="1750"/>
    <n v="875"/>
  </r>
  <r>
    <x v="1"/>
    <x v="1"/>
    <x v="7"/>
    <x v="16"/>
    <x v="17"/>
    <x v="7"/>
    <n v="0.25"/>
    <n v="0.5"/>
    <m/>
    <s v="Oui"/>
    <n v="1"/>
    <n v="350"/>
    <n v="350"/>
    <s v="Déplacement"/>
    <n v="1"/>
    <n v="150"/>
    <n v="150"/>
    <n v="500"/>
    <n v="625"/>
    <n v="312.5"/>
  </r>
  <r>
    <x v="1"/>
    <x v="1"/>
    <x v="4"/>
    <x v="9"/>
    <x v="2"/>
    <x v="8"/>
    <n v="0.2"/>
    <n v="0.5"/>
    <s v="Chargée de recherche "/>
    <s v="Oui"/>
    <n v="5"/>
    <n v="380"/>
    <n v="1900"/>
    <m/>
    <m/>
    <m/>
    <n v="0"/>
    <n v="1900"/>
    <n v="2280"/>
    <n v="1140"/>
  </r>
  <r>
    <x v="1"/>
    <x v="1"/>
    <x v="4"/>
    <x v="18"/>
    <x v="2"/>
    <x v="8"/>
    <n v="0.2"/>
    <n v="0.5"/>
    <s v="Chargée de recherche "/>
    <s v="Oui"/>
    <n v="1"/>
    <n v="380"/>
    <n v="380"/>
    <m/>
    <m/>
    <m/>
    <n v="0"/>
    <n v="380"/>
    <n v="456"/>
    <n v="228"/>
  </r>
  <r>
    <x v="1"/>
    <x v="1"/>
    <x v="4"/>
    <x v="19"/>
    <x v="2"/>
    <x v="8"/>
    <n v="0.2"/>
    <n v="0.5"/>
    <s v="Chargée de recherche "/>
    <s v="Oui"/>
    <n v="1"/>
    <n v="380"/>
    <n v="380"/>
    <m/>
    <m/>
    <m/>
    <n v="0"/>
    <n v="380"/>
    <n v="456"/>
    <n v="228"/>
  </r>
  <r>
    <x v="1"/>
    <x v="1"/>
    <x v="7"/>
    <x v="17"/>
    <x v="2"/>
    <x v="8"/>
    <n v="0.2"/>
    <n v="0.5"/>
    <s v="Chargée de recherche "/>
    <s v="Oui"/>
    <n v="1"/>
    <n v="380"/>
    <n v="380"/>
    <s v="Déplacements "/>
    <n v="1"/>
    <n v="150"/>
    <n v="150"/>
    <n v="530"/>
    <n v="636"/>
    <n v="318"/>
  </r>
  <r>
    <x v="1"/>
    <x v="1"/>
    <x v="6"/>
    <x v="10"/>
    <x v="2"/>
    <x v="9"/>
    <n v="0.25"/>
    <n v="0.5"/>
    <m/>
    <s v="Oui"/>
    <n v="4"/>
    <n v="350"/>
    <n v="1400"/>
    <m/>
    <m/>
    <m/>
    <n v="0"/>
    <n v="1400"/>
    <n v="1750"/>
    <n v="875"/>
  </r>
  <r>
    <x v="1"/>
    <x v="1"/>
    <x v="7"/>
    <x v="16"/>
    <x v="17"/>
    <x v="9"/>
    <n v="0.25"/>
    <n v="0.5"/>
    <m/>
    <s v="Oui"/>
    <n v="1"/>
    <n v="350"/>
    <n v="350"/>
    <s v="Déplacement"/>
    <n v="1"/>
    <n v="150"/>
    <n v="150"/>
    <n v="500"/>
    <n v="625"/>
    <n v="312.5"/>
  </r>
  <r>
    <x v="1"/>
    <x v="1"/>
    <x v="8"/>
    <x v="21"/>
    <x v="2"/>
    <x v="3"/>
    <n v="0.16"/>
    <n v="0.5"/>
    <s v="ITPE Chercheur"/>
    <s v="Non"/>
    <n v="4"/>
    <n v="446"/>
    <n v="1784"/>
    <s v="Déplacement"/>
    <n v="2"/>
    <n v="150"/>
    <n v="300"/>
    <n v="2084"/>
    <n v="633.44000000000005"/>
    <n v="316.72000000000003"/>
  </r>
  <r>
    <x v="1"/>
    <x v="1"/>
    <x v="8"/>
    <x v="21"/>
    <x v="2"/>
    <x v="3"/>
    <n v="0.16"/>
    <n v="0.5"/>
    <s v="Ingénieur"/>
    <s v="Non"/>
    <n v="4"/>
    <n v="275"/>
    <n v="1100"/>
    <s v="Déplacement"/>
    <n v="2"/>
    <n v="150"/>
    <n v="300"/>
    <n v="1400"/>
    <n v="524"/>
    <n v="262"/>
  </r>
  <r>
    <x v="1"/>
    <x v="1"/>
    <x v="9"/>
    <x v="22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1"/>
    <x v="1"/>
    <x v="9"/>
    <x v="23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1"/>
    <x v="1"/>
    <x v="10"/>
    <x v="24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1"/>
    <x v="1"/>
    <x v="10"/>
    <x v="25"/>
    <x v="2"/>
    <x v="3"/>
    <n v="0.16"/>
    <n v="0.5"/>
    <s v="ITPE Chercheur"/>
    <s v="Non"/>
    <n v="5"/>
    <n v="446"/>
    <n v="2230"/>
    <m/>
    <m/>
    <m/>
    <n v="0"/>
    <n v="2230"/>
    <n v="356.8"/>
    <n v="178.4"/>
  </r>
  <r>
    <x v="1"/>
    <x v="1"/>
    <x v="10"/>
    <x v="25"/>
    <x v="2"/>
    <x v="3"/>
    <n v="0.16"/>
    <n v="0.5"/>
    <s v="Post-doctorant"/>
    <s v="Oui"/>
    <n v="15"/>
    <n v="328"/>
    <n v="4920"/>
    <m/>
    <m/>
    <m/>
    <n v="0"/>
    <n v="4920"/>
    <n v="5707.2"/>
    <n v="2853.6"/>
  </r>
  <r>
    <x v="2"/>
    <x v="2"/>
    <x v="11"/>
    <x v="26"/>
    <x v="8"/>
    <x v="0"/>
    <n v="0.25"/>
    <n v="0.7"/>
    <n v="0"/>
    <s v="Oui"/>
    <n v="2.5"/>
    <n v="490"/>
    <n v="1225"/>
    <n v="0"/>
    <n v="0"/>
    <n v="0"/>
    <n v="0"/>
    <n v="1225"/>
    <n v="1531.25"/>
    <n v="1071.875"/>
  </r>
  <r>
    <x v="2"/>
    <x v="2"/>
    <x v="11"/>
    <x v="26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2"/>
    <x v="2"/>
    <x v="11"/>
    <x v="26"/>
    <x v="18"/>
    <x v="2"/>
    <n v="0.25"/>
    <n v="0.5"/>
    <s v="Expert"/>
    <s v="Non"/>
    <n v="2"/>
    <n v="792"/>
    <n v="1584"/>
    <n v="0"/>
    <n v="0"/>
    <n v="0"/>
    <n v="0"/>
    <n v="1584"/>
    <n v="396"/>
    <n v="198"/>
  </r>
  <r>
    <x v="2"/>
    <x v="2"/>
    <x v="11"/>
    <x v="26"/>
    <x v="18"/>
    <x v="2"/>
    <n v="0.25"/>
    <n v="0.5"/>
    <s v="Ingénieur"/>
    <s v="Non"/>
    <n v="2"/>
    <n v="376"/>
    <n v="752"/>
    <n v="0"/>
    <n v="0"/>
    <n v="0"/>
    <n v="0"/>
    <n v="752"/>
    <n v="188"/>
    <n v="94"/>
  </r>
  <r>
    <x v="2"/>
    <x v="2"/>
    <x v="11"/>
    <x v="26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2"/>
    <x v="2"/>
    <x v="11"/>
    <x v="27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2"/>
    <x v="2"/>
    <x v="11"/>
    <x v="27"/>
    <x v="8"/>
    <x v="0"/>
    <n v="0.25"/>
    <n v="0.7"/>
    <n v="0"/>
    <s v="Oui"/>
    <n v="3"/>
    <n v="490"/>
    <n v="1470"/>
    <n v="0"/>
    <n v="0"/>
    <n v="0"/>
    <n v="0"/>
    <n v="1470"/>
    <n v="1837.5"/>
    <n v="1286.25"/>
  </r>
  <r>
    <x v="2"/>
    <x v="2"/>
    <x v="11"/>
    <x v="28"/>
    <x v="10"/>
    <x v="1"/>
    <n v="0.22"/>
    <n v="0.7"/>
    <s v="Chef de projet"/>
    <s v="Oui"/>
    <n v="0.5"/>
    <n v="406"/>
    <n v="203"/>
    <m/>
    <m/>
    <m/>
    <n v="0"/>
    <n v="203"/>
    <n v="247.66"/>
    <n v="173.36199999999999"/>
  </r>
  <r>
    <x v="2"/>
    <x v="2"/>
    <x v="11"/>
    <x v="27"/>
    <x v="19"/>
    <x v="2"/>
    <n v="0.25"/>
    <n v="0.5"/>
    <s v="Expert"/>
    <s v="Non"/>
    <n v="1"/>
    <n v="792"/>
    <n v="792"/>
    <n v="0"/>
    <n v="0"/>
    <n v="0"/>
    <n v="0"/>
    <n v="792"/>
    <n v="198"/>
    <n v="99"/>
  </r>
  <r>
    <x v="2"/>
    <x v="2"/>
    <x v="11"/>
    <x v="27"/>
    <x v="19"/>
    <x v="2"/>
    <n v="0.25"/>
    <n v="0.5"/>
    <s v="Ingénieur"/>
    <s v="Non"/>
    <n v="1"/>
    <n v="376"/>
    <n v="376"/>
    <n v="0"/>
    <n v="0"/>
    <n v="0"/>
    <n v="0"/>
    <n v="376"/>
    <n v="94"/>
    <n v="47"/>
  </r>
  <r>
    <x v="2"/>
    <x v="2"/>
    <x v="11"/>
    <x v="27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2"/>
    <x v="2"/>
    <x v="12"/>
    <x v="29"/>
    <x v="10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2"/>
    <x v="2"/>
    <x v="13"/>
    <x v="30"/>
    <x v="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2"/>
    <x v="2"/>
    <x v="11"/>
    <x v="28"/>
    <x v="8"/>
    <x v="2"/>
    <n v="0.25"/>
    <n v="0.5"/>
    <s v="Expert"/>
    <s v="Non"/>
    <n v="2"/>
    <n v="792"/>
    <n v="1584"/>
    <n v="0"/>
    <n v="0"/>
    <n v="0"/>
    <n v="0"/>
    <n v="1584"/>
    <n v="396"/>
    <n v="198"/>
  </r>
  <r>
    <x v="2"/>
    <x v="2"/>
    <x v="11"/>
    <x v="28"/>
    <x v="8"/>
    <x v="2"/>
    <n v="0.25"/>
    <n v="0.5"/>
    <s v="Ingénieur"/>
    <s v="Non"/>
    <n v="15"/>
    <n v="376"/>
    <n v="5640"/>
    <n v="0"/>
    <n v="0"/>
    <n v="0"/>
    <n v="0"/>
    <n v="5640"/>
    <n v="1410"/>
    <n v="705"/>
  </r>
  <r>
    <x v="2"/>
    <x v="2"/>
    <x v="11"/>
    <x v="28"/>
    <x v="10"/>
    <x v="5"/>
    <n v="0.25"/>
    <n v="0.7"/>
    <m/>
    <s v="Oui"/>
    <m/>
    <m/>
    <n v="0"/>
    <s v="Sous-Traitance"/>
    <n v="0.5"/>
    <n v="520"/>
    <n v="260"/>
    <n v="260"/>
    <n v="325"/>
    <n v="227.49999999999997"/>
  </r>
  <r>
    <x v="2"/>
    <x v="2"/>
    <x v="13"/>
    <x v="31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2"/>
    <x v="2"/>
    <x v="13"/>
    <x v="32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2"/>
    <x v="2"/>
    <x v="12"/>
    <x v="33"/>
    <x v="20"/>
    <x v="2"/>
    <n v="0.25"/>
    <n v="0.5"/>
    <s v="Expert"/>
    <s v="Non"/>
    <n v="4"/>
    <n v="792"/>
    <n v="3168"/>
    <s v="Déplacements"/>
    <n v="2"/>
    <n v="150"/>
    <n v="300"/>
    <n v="3468"/>
    <n v="1167"/>
    <n v="583.5"/>
  </r>
  <r>
    <x v="2"/>
    <x v="2"/>
    <x v="12"/>
    <x v="33"/>
    <x v="20"/>
    <x v="2"/>
    <n v="0.25"/>
    <n v="0.5"/>
    <s v="Ingénieur"/>
    <s v="Non"/>
    <n v="4"/>
    <n v="376"/>
    <n v="1504"/>
    <s v="Déplacements"/>
    <n v="2"/>
    <n v="150"/>
    <n v="300"/>
    <n v="1804"/>
    <n v="751"/>
    <n v="375.5"/>
  </r>
  <r>
    <x v="2"/>
    <x v="2"/>
    <x v="12"/>
    <x v="34"/>
    <x v="21"/>
    <x v="2"/>
    <n v="0.25"/>
    <n v="0.5"/>
    <s v="Expert"/>
    <s v="Non"/>
    <n v="2"/>
    <n v="792"/>
    <n v="1584"/>
    <n v="0"/>
    <n v="0"/>
    <n v="0"/>
    <n v="0"/>
    <n v="1584"/>
    <n v="396"/>
    <n v="198"/>
  </r>
  <r>
    <x v="2"/>
    <x v="2"/>
    <x v="12"/>
    <x v="34"/>
    <x v="21"/>
    <x v="2"/>
    <n v="0.25"/>
    <n v="0.5"/>
    <s v="Ingénieur"/>
    <s v="Non"/>
    <n v="5"/>
    <n v="376"/>
    <n v="1880"/>
    <n v="0"/>
    <n v="0"/>
    <n v="0"/>
    <n v="0"/>
    <n v="1880"/>
    <n v="470"/>
    <n v="235"/>
  </r>
  <r>
    <x v="2"/>
    <x v="2"/>
    <x v="12"/>
    <x v="34"/>
    <x v="21"/>
    <x v="2"/>
    <n v="0.25"/>
    <n v="0.5"/>
    <s v="Post-doctorant"/>
    <s v="Oui"/>
    <n v="5"/>
    <n v="277"/>
    <n v="1385"/>
    <n v="0"/>
    <n v="0"/>
    <n v="0"/>
    <n v="0"/>
    <n v="1385"/>
    <n v="1731.25"/>
    <n v="865.625"/>
  </r>
  <r>
    <x v="2"/>
    <x v="2"/>
    <x v="12"/>
    <x v="35"/>
    <x v="22"/>
    <x v="2"/>
    <n v="0.25"/>
    <n v="0.5"/>
    <s v="Expert"/>
    <s v="Non"/>
    <n v="4"/>
    <n v="792"/>
    <n v="3168"/>
    <n v="0"/>
    <n v="0"/>
    <n v="0"/>
    <n v="0"/>
    <n v="3168"/>
    <n v="792"/>
    <n v="396"/>
  </r>
  <r>
    <x v="2"/>
    <x v="2"/>
    <x v="12"/>
    <x v="35"/>
    <x v="22"/>
    <x v="2"/>
    <n v="0.25"/>
    <n v="0.5"/>
    <s v="Ingénieur"/>
    <s v="Non"/>
    <n v="5"/>
    <n v="376"/>
    <n v="1880"/>
    <n v="0"/>
    <n v="0"/>
    <n v="0"/>
    <n v="0"/>
    <n v="1880"/>
    <n v="470"/>
    <n v="235"/>
  </r>
  <r>
    <x v="2"/>
    <x v="2"/>
    <x v="12"/>
    <x v="35"/>
    <x v="22"/>
    <x v="2"/>
    <n v="0.25"/>
    <n v="0.5"/>
    <s v="Post-doctorant"/>
    <s v="Oui"/>
    <n v="10"/>
    <n v="277"/>
    <n v="2770"/>
    <n v="0"/>
    <n v="0"/>
    <n v="0"/>
    <n v="0"/>
    <n v="2770"/>
    <n v="3462.5"/>
    <n v="1731.25"/>
  </r>
  <r>
    <x v="2"/>
    <x v="2"/>
    <x v="12"/>
    <x v="29"/>
    <x v="8"/>
    <x v="2"/>
    <n v="0.25"/>
    <n v="0.5"/>
    <s v="Expert"/>
    <s v="Non"/>
    <n v="2"/>
    <n v="792"/>
    <n v="1584"/>
    <n v="0"/>
    <n v="0"/>
    <n v="0"/>
    <n v="0"/>
    <n v="1584"/>
    <n v="396"/>
    <n v="198"/>
  </r>
  <r>
    <x v="2"/>
    <x v="2"/>
    <x v="12"/>
    <x v="29"/>
    <x v="8"/>
    <x v="2"/>
    <n v="0.25"/>
    <n v="0.5"/>
    <s v="Ingénieur"/>
    <s v="Non"/>
    <n v="20"/>
    <n v="376"/>
    <n v="7520"/>
    <n v="0"/>
    <n v="0"/>
    <n v="0"/>
    <n v="0"/>
    <n v="7520"/>
    <n v="1880"/>
    <n v="940"/>
  </r>
  <r>
    <x v="2"/>
    <x v="2"/>
    <x v="12"/>
    <x v="29"/>
    <x v="10"/>
    <x v="5"/>
    <n v="0.25"/>
    <n v="0.7"/>
    <m/>
    <s v="Oui"/>
    <m/>
    <m/>
    <n v="0"/>
    <s v="Sous-Traitance"/>
    <n v="1"/>
    <n v="520"/>
    <n v="520"/>
    <n v="520"/>
    <n v="650"/>
    <n v="454.99999999999994"/>
  </r>
  <r>
    <x v="2"/>
    <x v="2"/>
    <x v="13"/>
    <x v="31"/>
    <x v="8"/>
    <x v="2"/>
    <n v="0.25"/>
    <n v="0.5"/>
    <s v="Directeur de projet"/>
    <s v="Non"/>
    <n v="5"/>
    <n v="548"/>
    <n v="2740"/>
    <n v="0"/>
    <n v="0"/>
    <n v="0"/>
    <n v="0"/>
    <n v="2740"/>
    <n v="685"/>
    <n v="342.5"/>
  </r>
  <r>
    <x v="2"/>
    <x v="2"/>
    <x v="13"/>
    <x v="31"/>
    <x v="8"/>
    <x v="2"/>
    <n v="0.25"/>
    <n v="0.5"/>
    <s v="Ingénieur"/>
    <s v="Non"/>
    <n v="20"/>
    <n v="376"/>
    <n v="7520"/>
    <n v="0"/>
    <n v="0"/>
    <n v="0"/>
    <n v="0"/>
    <n v="7520"/>
    <n v="1880"/>
    <n v="940"/>
  </r>
  <r>
    <x v="2"/>
    <x v="2"/>
    <x v="13"/>
    <x v="31"/>
    <x v="8"/>
    <x v="2"/>
    <n v="0.25"/>
    <n v="0.5"/>
    <s v="Master Recherche"/>
    <s v="Oui"/>
    <n v="40"/>
    <n v="30"/>
    <n v="1200"/>
    <n v="0"/>
    <n v="0"/>
    <n v="0"/>
    <n v="0"/>
    <n v="1200"/>
    <n v="1500"/>
    <n v="750"/>
  </r>
  <r>
    <x v="2"/>
    <x v="2"/>
    <x v="13"/>
    <x v="31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2"/>
    <x v="2"/>
    <x v="13"/>
    <x v="32"/>
    <x v="8"/>
    <x v="2"/>
    <n v="0.25"/>
    <n v="0.5"/>
    <s v="Directeur de projet"/>
    <s v="Non"/>
    <n v="5"/>
    <n v="548"/>
    <n v="2740"/>
    <n v="0"/>
    <n v="0"/>
    <n v="0"/>
    <n v="0"/>
    <n v="2740"/>
    <n v="685"/>
    <n v="342.5"/>
  </r>
  <r>
    <x v="2"/>
    <x v="2"/>
    <x v="13"/>
    <x v="32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2"/>
    <x v="2"/>
    <x v="13"/>
    <x v="32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2"/>
    <x v="2"/>
    <x v="11"/>
    <x v="26"/>
    <x v="18"/>
    <x v="6"/>
    <n v="0.18"/>
    <n v="0.5"/>
    <s v="PRCE"/>
    <s v="Non"/>
    <n v="2"/>
    <n v="572"/>
    <n v="1144"/>
    <s v="Déplacements"/>
    <n v="2"/>
    <n v="150"/>
    <n v="300"/>
    <n v="1444"/>
    <n v="559.91999999999996"/>
    <n v="279.95999999999998"/>
  </r>
  <r>
    <x v="2"/>
    <x v="2"/>
    <x v="11"/>
    <x v="26"/>
    <x v="18"/>
    <x v="6"/>
    <n v="0.18"/>
    <n v="0.5"/>
    <s v="PR1"/>
    <s v="Non"/>
    <n v="2"/>
    <n v="494"/>
    <n v="988"/>
    <s v="Déplacements"/>
    <n v="2"/>
    <n v="150"/>
    <n v="300"/>
    <n v="1288"/>
    <n v="531.84"/>
    <n v="265.92"/>
  </r>
  <r>
    <x v="2"/>
    <x v="2"/>
    <x v="11"/>
    <x v="26"/>
    <x v="18"/>
    <x v="6"/>
    <n v="0.18"/>
    <n v="0.5"/>
    <s v="Doctorant"/>
    <s v="Oui"/>
    <n v="2"/>
    <n v="119"/>
    <n v="238"/>
    <s v="Déplacements"/>
    <n v="2"/>
    <n v="150"/>
    <n v="300"/>
    <n v="538"/>
    <n v="634.84"/>
    <n v="317.42"/>
  </r>
  <r>
    <x v="2"/>
    <x v="2"/>
    <x v="11"/>
    <x v="27"/>
    <x v="19"/>
    <x v="6"/>
    <n v="0.18"/>
    <n v="0.5"/>
    <s v="PRCE"/>
    <s v="Non"/>
    <n v="2"/>
    <n v="572"/>
    <n v="1144"/>
    <s v="Déplacements"/>
    <n v="2"/>
    <n v="150"/>
    <n v="300"/>
    <n v="1444"/>
    <n v="559.91999999999996"/>
    <n v="279.95999999999998"/>
  </r>
  <r>
    <x v="2"/>
    <x v="2"/>
    <x v="11"/>
    <x v="27"/>
    <x v="19"/>
    <x v="6"/>
    <n v="0.18"/>
    <n v="0.5"/>
    <s v="PR1"/>
    <s v="Non"/>
    <n v="2"/>
    <n v="494"/>
    <n v="988"/>
    <s v="Déplacements"/>
    <n v="2"/>
    <n v="150"/>
    <n v="300"/>
    <n v="1288"/>
    <n v="531.84"/>
    <n v="265.92"/>
  </r>
  <r>
    <x v="2"/>
    <x v="2"/>
    <x v="11"/>
    <x v="27"/>
    <x v="19"/>
    <x v="6"/>
    <n v="0.18"/>
    <n v="0.5"/>
    <s v="Doctorant"/>
    <s v="Oui"/>
    <n v="2"/>
    <n v="119"/>
    <n v="238"/>
    <s v="Déplacements"/>
    <n v="2"/>
    <n v="150"/>
    <n v="300"/>
    <n v="538"/>
    <n v="634.84"/>
    <n v="317.42"/>
  </r>
  <r>
    <x v="2"/>
    <x v="2"/>
    <x v="11"/>
    <x v="28"/>
    <x v="8"/>
    <x v="6"/>
    <n v="0.18"/>
    <n v="0.5"/>
    <s v="PRCE"/>
    <s v="Non"/>
    <n v="15"/>
    <n v="572"/>
    <n v="8580"/>
    <n v="0"/>
    <n v="0"/>
    <n v="0"/>
    <n v="0"/>
    <n v="8580"/>
    <n v="1544.4"/>
    <n v="772.2"/>
  </r>
  <r>
    <x v="2"/>
    <x v="2"/>
    <x v="11"/>
    <x v="28"/>
    <x v="8"/>
    <x v="6"/>
    <n v="0.18"/>
    <n v="0.5"/>
    <s v="PR1"/>
    <s v="Non"/>
    <n v="10"/>
    <n v="494"/>
    <n v="4940"/>
    <n v="0"/>
    <n v="0"/>
    <n v="0"/>
    <n v="0"/>
    <n v="4940"/>
    <n v="889.2"/>
    <n v="444.6"/>
  </r>
  <r>
    <x v="2"/>
    <x v="2"/>
    <x v="11"/>
    <x v="28"/>
    <x v="8"/>
    <x v="6"/>
    <n v="0.18"/>
    <n v="0.5"/>
    <s v="Doctorant"/>
    <s v="Oui"/>
    <n v="0"/>
    <n v="119"/>
    <n v="0"/>
    <n v="0"/>
    <n v="0"/>
    <n v="0"/>
    <n v="0"/>
    <n v="0"/>
    <n v="0"/>
    <n v="0"/>
  </r>
  <r>
    <x v="2"/>
    <x v="2"/>
    <x v="12"/>
    <x v="33"/>
    <x v="23"/>
    <x v="6"/>
    <n v="0.18"/>
    <n v="0.5"/>
    <s v="PRCE"/>
    <s v="Non"/>
    <n v="8"/>
    <n v="572"/>
    <n v="4576"/>
    <s v="Déplacements"/>
    <n v="4"/>
    <n v="150"/>
    <n v="600"/>
    <n v="5176"/>
    <n v="1531.6799999999998"/>
    <n v="765.84"/>
  </r>
  <r>
    <x v="2"/>
    <x v="2"/>
    <x v="12"/>
    <x v="33"/>
    <x v="23"/>
    <x v="6"/>
    <n v="0.18"/>
    <n v="0.5"/>
    <s v="PR1"/>
    <s v="Non"/>
    <n v="8"/>
    <n v="494"/>
    <n v="3952"/>
    <s v="Déplacements"/>
    <n v="4"/>
    <n v="150"/>
    <n v="600"/>
    <n v="4552"/>
    <n v="1419.36"/>
    <n v="709.68000000000006"/>
  </r>
  <r>
    <x v="2"/>
    <x v="2"/>
    <x v="12"/>
    <x v="33"/>
    <x v="23"/>
    <x v="6"/>
    <n v="0.18"/>
    <n v="0.5"/>
    <s v="Doctorant"/>
    <s v="Oui"/>
    <n v="8"/>
    <n v="119"/>
    <n v="952"/>
    <s v="Déplacements"/>
    <n v="4"/>
    <n v="150"/>
    <n v="600"/>
    <n v="1552"/>
    <n v="1831.36"/>
    <n v="915.68"/>
  </r>
  <r>
    <x v="2"/>
    <x v="2"/>
    <x v="12"/>
    <x v="34"/>
    <x v="8"/>
    <x v="6"/>
    <n v="0.18"/>
    <n v="0.5"/>
    <s v="PRCE"/>
    <s v="Non"/>
    <n v="15"/>
    <n v="572"/>
    <n v="8580"/>
    <n v="0"/>
    <n v="0"/>
    <n v="0"/>
    <n v="0"/>
    <n v="8580"/>
    <n v="1544.4"/>
    <n v="772.2"/>
  </r>
  <r>
    <x v="2"/>
    <x v="2"/>
    <x v="12"/>
    <x v="34"/>
    <x v="8"/>
    <x v="6"/>
    <n v="0.18"/>
    <n v="0.5"/>
    <s v="PR1"/>
    <s v="Non"/>
    <n v="10"/>
    <n v="494"/>
    <n v="4940"/>
    <n v="0"/>
    <n v="0"/>
    <n v="0"/>
    <n v="0"/>
    <n v="4940"/>
    <n v="889.2"/>
    <n v="444.6"/>
  </r>
  <r>
    <x v="2"/>
    <x v="2"/>
    <x v="12"/>
    <x v="34"/>
    <x v="8"/>
    <x v="6"/>
    <n v="0.18"/>
    <n v="0.5"/>
    <s v="Doctorant"/>
    <s v="Oui"/>
    <n v="0"/>
    <n v="119"/>
    <n v="0"/>
    <n v="0"/>
    <n v="0"/>
    <n v="0"/>
    <n v="0"/>
    <n v="0"/>
    <n v="0"/>
    <n v="0"/>
  </r>
  <r>
    <x v="2"/>
    <x v="2"/>
    <x v="12"/>
    <x v="35"/>
    <x v="24"/>
    <x v="6"/>
    <n v="0.18"/>
    <n v="0.5"/>
    <s v="PRCE"/>
    <s v="Non"/>
    <n v="4"/>
    <n v="572"/>
    <n v="2288"/>
    <s v="Déplacements"/>
    <n v="2"/>
    <n v="150"/>
    <n v="300"/>
    <n v="2588"/>
    <n v="765.84"/>
    <n v="382.92"/>
  </r>
  <r>
    <x v="2"/>
    <x v="2"/>
    <x v="12"/>
    <x v="35"/>
    <x v="24"/>
    <x v="6"/>
    <n v="0.18"/>
    <n v="0.5"/>
    <s v="PR1"/>
    <s v="Non"/>
    <n v="4"/>
    <n v="494"/>
    <n v="1976"/>
    <s v="Déplacements"/>
    <n v="2"/>
    <n v="150"/>
    <n v="300"/>
    <n v="2276"/>
    <n v="709.68000000000006"/>
    <n v="354.84000000000003"/>
  </r>
  <r>
    <x v="2"/>
    <x v="2"/>
    <x v="12"/>
    <x v="35"/>
    <x v="24"/>
    <x v="6"/>
    <n v="0.18"/>
    <n v="0.5"/>
    <s v="RH"/>
    <s v="Oui"/>
    <n v="4"/>
    <n v="119"/>
    <n v="476"/>
    <s v="Déplacements"/>
    <n v="2"/>
    <n v="150"/>
    <n v="300"/>
    <n v="776"/>
    <n v="915.68"/>
    <n v="457.84"/>
  </r>
  <r>
    <x v="2"/>
    <x v="2"/>
    <x v="12"/>
    <x v="29"/>
    <x v="8"/>
    <x v="6"/>
    <n v="0.18"/>
    <n v="0.5"/>
    <s v="PRCE"/>
    <s v="Non"/>
    <n v="15"/>
    <n v="572"/>
    <n v="8580"/>
    <n v="0"/>
    <n v="0"/>
    <n v="0"/>
    <n v="0"/>
    <n v="8580"/>
    <n v="1544.4"/>
    <n v="772.2"/>
  </r>
  <r>
    <x v="2"/>
    <x v="2"/>
    <x v="12"/>
    <x v="29"/>
    <x v="8"/>
    <x v="6"/>
    <n v="0.18"/>
    <n v="0.5"/>
    <s v="PR1"/>
    <s v="Non"/>
    <n v="10"/>
    <n v="494"/>
    <n v="4940"/>
    <n v="0"/>
    <n v="0"/>
    <n v="0"/>
    <n v="0"/>
    <n v="4940"/>
    <n v="889.2"/>
    <n v="444.6"/>
  </r>
  <r>
    <x v="2"/>
    <x v="2"/>
    <x v="12"/>
    <x v="29"/>
    <x v="8"/>
    <x v="6"/>
    <n v="0.18"/>
    <n v="0.5"/>
    <s v="Doctorant"/>
    <s v="Oui"/>
    <n v="0"/>
    <n v="119"/>
    <n v="0"/>
    <n v="0"/>
    <n v="0"/>
    <n v="0"/>
    <n v="0"/>
    <n v="0"/>
    <n v="0"/>
    <n v="0"/>
  </r>
  <r>
    <x v="2"/>
    <x v="2"/>
    <x v="11"/>
    <x v="26"/>
    <x v="18"/>
    <x v="3"/>
    <n v="0.16"/>
    <n v="0.5"/>
    <s v="ITPE Chercheur"/>
    <s v="Non"/>
    <n v="2"/>
    <n v="446"/>
    <n v="892"/>
    <s v="Déplacements"/>
    <n v="2"/>
    <n v="150"/>
    <n v="300"/>
    <n v="1192"/>
    <n v="490.72"/>
    <n v="245.36"/>
  </r>
  <r>
    <x v="2"/>
    <x v="2"/>
    <x v="11"/>
    <x v="26"/>
    <x v="18"/>
    <x v="3"/>
    <n v="0.16"/>
    <n v="0.5"/>
    <s v="Ingénieur"/>
    <s v="Non"/>
    <n v="2"/>
    <n v="275"/>
    <n v="550"/>
    <s v="Déplacements"/>
    <n v="2"/>
    <n v="150"/>
    <n v="300"/>
    <n v="850"/>
    <n v="436"/>
    <n v="218"/>
  </r>
  <r>
    <x v="2"/>
    <x v="2"/>
    <x v="11"/>
    <x v="27"/>
    <x v="19"/>
    <x v="3"/>
    <n v="0.16"/>
    <n v="0.5"/>
    <s v="ITPE Chercheur"/>
    <s v="Non"/>
    <n v="1"/>
    <n v="446"/>
    <n v="446"/>
    <s v="Déplacement"/>
    <n v="1"/>
    <n v="150"/>
    <n v="150"/>
    <n v="596"/>
    <n v="245.36"/>
    <n v="122.68"/>
  </r>
  <r>
    <x v="2"/>
    <x v="2"/>
    <x v="11"/>
    <x v="27"/>
    <x v="19"/>
    <x v="3"/>
    <n v="0.16"/>
    <n v="0.5"/>
    <s v="Ingénieur"/>
    <s v="Non"/>
    <n v="1"/>
    <n v="275"/>
    <n v="275"/>
    <s v="Déplacement"/>
    <n v="1"/>
    <n v="150"/>
    <n v="150"/>
    <n v="425"/>
    <n v="218"/>
    <n v="109"/>
  </r>
  <r>
    <x v="2"/>
    <x v="2"/>
    <x v="11"/>
    <x v="28"/>
    <x v="10"/>
    <x v="3"/>
    <n v="0.16"/>
    <n v="0.5"/>
    <s v="ITPE Chercheur"/>
    <s v="Non"/>
    <n v="1"/>
    <n v="446"/>
    <n v="446"/>
    <m/>
    <m/>
    <m/>
    <n v="0"/>
    <n v="446"/>
    <n v="71.36"/>
    <n v="35.68"/>
  </r>
  <r>
    <x v="2"/>
    <x v="2"/>
    <x v="11"/>
    <x v="28"/>
    <x v="10"/>
    <x v="3"/>
    <n v="0.16"/>
    <n v="0.5"/>
    <s v="Ingénieur"/>
    <s v="Non"/>
    <n v="1"/>
    <n v="275"/>
    <n v="275"/>
    <m/>
    <m/>
    <m/>
    <n v="0"/>
    <n v="275"/>
    <n v="44"/>
    <n v="22"/>
  </r>
  <r>
    <x v="2"/>
    <x v="2"/>
    <x v="12"/>
    <x v="33"/>
    <x v="15"/>
    <x v="3"/>
    <n v="0.16"/>
    <n v="0.5"/>
    <s v="ITPE Chercheur"/>
    <s v="Non"/>
    <n v="2"/>
    <n v="446"/>
    <n v="892"/>
    <s v="Déplacement"/>
    <n v="2"/>
    <n v="150"/>
    <n v="300"/>
    <n v="1192"/>
    <n v="490.72"/>
    <n v="245.36"/>
  </r>
  <r>
    <x v="2"/>
    <x v="2"/>
    <x v="12"/>
    <x v="33"/>
    <x v="15"/>
    <x v="3"/>
    <n v="0.16"/>
    <n v="0.5"/>
    <s v="Ingénieur"/>
    <s v="Non"/>
    <n v="2"/>
    <n v="275"/>
    <n v="550"/>
    <s v="Déplacement"/>
    <n v="2"/>
    <n v="150"/>
    <n v="300"/>
    <n v="850"/>
    <n v="436"/>
    <n v="218"/>
  </r>
  <r>
    <x v="2"/>
    <x v="2"/>
    <x v="12"/>
    <x v="34"/>
    <x v="2"/>
    <x v="3"/>
    <n v="0.16"/>
    <n v="0.5"/>
    <s v="ITPE Chercheur"/>
    <s v="Non"/>
    <n v="4"/>
    <n v="446"/>
    <n v="1784"/>
    <m/>
    <m/>
    <m/>
    <n v="0"/>
    <n v="1784"/>
    <n v="285.44"/>
    <n v="142.72"/>
  </r>
  <r>
    <x v="2"/>
    <x v="2"/>
    <x v="12"/>
    <x v="34"/>
    <x v="2"/>
    <x v="3"/>
    <n v="0.16"/>
    <n v="0.5"/>
    <s v="Post-doctorant"/>
    <s v="Oui"/>
    <n v="4"/>
    <n v="328"/>
    <n v="1312"/>
    <m/>
    <m/>
    <m/>
    <n v="0"/>
    <n v="1312"/>
    <n v="1521.92"/>
    <n v="760.96"/>
  </r>
  <r>
    <x v="2"/>
    <x v="2"/>
    <x v="12"/>
    <x v="34"/>
    <x v="2"/>
    <x v="3"/>
    <n v="0.16"/>
    <n v="0.5"/>
    <s v="Ingénieur"/>
    <s v="Non"/>
    <n v="4"/>
    <n v="275"/>
    <n v="1100"/>
    <m/>
    <m/>
    <m/>
    <n v="0"/>
    <n v="1100"/>
    <n v="176"/>
    <n v="88"/>
  </r>
  <r>
    <x v="2"/>
    <x v="2"/>
    <x v="12"/>
    <x v="35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2"/>
    <x v="2"/>
    <x v="12"/>
    <x v="35"/>
    <x v="2"/>
    <x v="3"/>
    <n v="0.16"/>
    <n v="0.5"/>
    <s v="Ingénieur"/>
    <s v="Non"/>
    <n v="2"/>
    <n v="275"/>
    <n v="550"/>
    <m/>
    <m/>
    <m/>
    <n v="0"/>
    <n v="550"/>
    <n v="88"/>
    <n v="44"/>
  </r>
  <r>
    <x v="2"/>
    <x v="2"/>
    <x v="12"/>
    <x v="29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2"/>
    <x v="2"/>
    <x v="12"/>
    <x v="29"/>
    <x v="2"/>
    <x v="3"/>
    <n v="0.16"/>
    <n v="0.5"/>
    <s v="Ingénieur"/>
    <s v="Non"/>
    <n v="2"/>
    <n v="275"/>
    <n v="550"/>
    <m/>
    <m/>
    <m/>
    <n v="0"/>
    <n v="550"/>
    <n v="88"/>
    <n v="44"/>
  </r>
  <r>
    <x v="2"/>
    <x v="2"/>
    <x v="12"/>
    <x v="29"/>
    <x v="2"/>
    <x v="3"/>
    <n v="0.16"/>
    <n v="0.5"/>
    <s v="Post-doctorant"/>
    <s v="Oui"/>
    <n v="10"/>
    <n v="328"/>
    <n v="3280"/>
    <m/>
    <m/>
    <m/>
    <n v="0"/>
    <n v="3280"/>
    <n v="3804.8"/>
    <n v="1902.4"/>
  </r>
  <r>
    <x v="2"/>
    <x v="2"/>
    <x v="13"/>
    <x v="31"/>
    <x v="2"/>
    <x v="10"/>
    <n v="0.25"/>
    <n v="0.7"/>
    <s v="Chargé de projet (ingénieur  R&amp;D)"/>
    <m/>
    <n v="4"/>
    <n v="430"/>
    <n v="1720"/>
    <s v="Déplacements"/>
    <n v="4"/>
    <m/>
    <n v="0"/>
    <n v="1720"/>
    <n v="430"/>
    <n v="301"/>
  </r>
  <r>
    <x v="2"/>
    <x v="2"/>
    <x v="13"/>
    <x v="32"/>
    <x v="2"/>
    <x v="10"/>
    <n v="0.25"/>
    <n v="0.7"/>
    <s v="Chargé de projet (ingénieur  R&amp;D)"/>
    <m/>
    <n v="2"/>
    <n v="430"/>
    <n v="860"/>
    <s v="Déplacements"/>
    <n v="2"/>
    <m/>
    <n v="0"/>
    <n v="860"/>
    <n v="215"/>
    <n v="150.5"/>
  </r>
  <r>
    <x v="2"/>
    <x v="2"/>
    <x v="11"/>
    <x v="26"/>
    <x v="18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1"/>
    <x v="27"/>
    <x v="18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1"/>
    <x v="28"/>
    <x v="19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2"/>
    <x v="33"/>
    <x v="19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2"/>
    <x v="36"/>
    <x v="25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2"/>
    <x v="37"/>
    <x v="21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2"/>
    <x v="38"/>
    <x v="22"/>
    <x v="8"/>
    <n v="0.2"/>
    <n v="0.5"/>
    <s v="chargée de recherche"/>
    <s v="Oui"/>
    <n v="1"/>
    <n v="380"/>
    <n v="380"/>
    <m/>
    <m/>
    <m/>
    <n v="0"/>
    <n v="380"/>
    <n v="456"/>
    <n v="228"/>
  </r>
  <r>
    <x v="2"/>
    <x v="2"/>
    <x v="13"/>
    <x v="39"/>
    <x v="2"/>
    <x v="8"/>
    <n v="0.2"/>
    <n v="0.5"/>
    <s v="chargée de recherche"/>
    <s v="Oui"/>
    <n v="0"/>
    <n v="380"/>
    <n v="0"/>
    <m/>
    <m/>
    <m/>
    <n v="0"/>
    <n v="0"/>
    <n v="0"/>
    <n v="0"/>
  </r>
  <r>
    <x v="2"/>
    <x v="2"/>
    <x v="13"/>
    <x v="30"/>
    <x v="2"/>
    <x v="8"/>
    <n v="0.2"/>
    <n v="0.5"/>
    <s v="chargée de recherche"/>
    <s v="Oui"/>
    <n v="0"/>
    <n v="380"/>
    <n v="0"/>
    <m/>
    <m/>
    <m/>
    <n v="0"/>
    <n v="0"/>
    <n v="0"/>
    <n v="0"/>
  </r>
  <r>
    <x v="2"/>
    <x v="2"/>
    <x v="13"/>
    <x v="40"/>
    <x v="2"/>
    <x v="8"/>
    <n v="0.2"/>
    <n v="0.5"/>
    <s v="chargée de recherche"/>
    <s v="Oui"/>
    <n v="0"/>
    <n v="380"/>
    <n v="0"/>
    <m/>
    <m/>
    <m/>
    <n v="0"/>
    <n v="0"/>
    <n v="0"/>
    <n v="0"/>
  </r>
  <r>
    <x v="3"/>
    <x v="3"/>
    <x v="14"/>
    <x v="41"/>
    <x v="10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3"/>
    <x v="3"/>
    <x v="14"/>
    <x v="42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3"/>
    <x v="3"/>
    <x v="14"/>
    <x v="42"/>
    <x v="8"/>
    <x v="2"/>
    <n v="0.25"/>
    <n v="0.5"/>
    <s v="Personnel technique"/>
    <s v="Non"/>
    <n v="20"/>
    <n v="324"/>
    <n v="6480"/>
    <s v="Mobilisation de dispositifs expérimentaux"/>
    <n v="1"/>
    <n v="15000"/>
    <n v="15000"/>
    <n v="21480"/>
    <n v="20370"/>
    <n v="10185"/>
  </r>
  <r>
    <x v="3"/>
    <x v="3"/>
    <x v="14"/>
    <x v="42"/>
    <x v="8"/>
    <x v="2"/>
    <n v="0.25"/>
    <n v="0.5"/>
    <s v="Post-doctorant"/>
    <s v="Oui"/>
    <n v="40"/>
    <n v="277"/>
    <n v="11080"/>
    <n v="0"/>
    <n v="0"/>
    <n v="0"/>
    <n v="0"/>
    <n v="11080"/>
    <n v="13850"/>
    <n v="6925"/>
  </r>
  <r>
    <x v="3"/>
    <x v="3"/>
    <x v="14"/>
    <x v="42"/>
    <x v="8"/>
    <x v="2"/>
    <n v="0.25"/>
    <n v="0.5"/>
    <s v="Master Recherche"/>
    <s v="Oui"/>
    <n v="60"/>
    <n v="30"/>
    <n v="1800"/>
    <n v="0"/>
    <n v="0"/>
    <n v="0"/>
    <n v="0"/>
    <n v="1800"/>
    <n v="2250"/>
    <n v="1125"/>
  </r>
  <r>
    <x v="3"/>
    <x v="3"/>
    <x v="15"/>
    <x v="43"/>
    <x v="2"/>
    <x v="1"/>
    <n v="0.22"/>
    <n v="0.7"/>
    <s v="Chef de projet"/>
    <s v="Oui"/>
    <n v="4"/>
    <n v="406"/>
    <n v="1624"/>
    <m/>
    <m/>
    <m/>
    <n v="0"/>
    <n v="1624"/>
    <n v="1981.28"/>
    <n v="1386.896"/>
  </r>
  <r>
    <x v="3"/>
    <x v="3"/>
    <x v="15"/>
    <x v="44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3"/>
    <x v="3"/>
    <x v="14"/>
    <x v="41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3"/>
    <x v="3"/>
    <x v="14"/>
    <x v="41"/>
    <x v="8"/>
    <x v="2"/>
    <n v="0.25"/>
    <n v="0.5"/>
    <s v="Post-doctorant"/>
    <s v="Oui"/>
    <n v="20"/>
    <n v="277"/>
    <n v="5540"/>
    <n v="0"/>
    <n v="0"/>
    <n v="0"/>
    <n v="0"/>
    <n v="5540"/>
    <n v="6925"/>
    <n v="3462.5"/>
  </r>
  <r>
    <x v="3"/>
    <x v="3"/>
    <x v="14"/>
    <x v="41"/>
    <x v="8"/>
    <x v="2"/>
    <n v="0.25"/>
    <n v="0.5"/>
    <s v="Master Recherche"/>
    <s v="Oui"/>
    <n v="40"/>
    <n v="30"/>
    <n v="1200"/>
    <n v="0"/>
    <n v="0"/>
    <n v="0"/>
    <n v="0"/>
    <n v="1200"/>
    <n v="1500"/>
    <n v="750"/>
  </r>
  <r>
    <x v="3"/>
    <x v="3"/>
    <x v="14"/>
    <x v="41"/>
    <x v="10"/>
    <x v="5"/>
    <n v="0.25"/>
    <n v="0.7"/>
    <m/>
    <s v="Oui"/>
    <m/>
    <m/>
    <n v="0"/>
    <s v="Sous-Traitance"/>
    <n v="1"/>
    <n v="520"/>
    <n v="520"/>
    <n v="520"/>
    <n v="650"/>
    <n v="454.99999999999994"/>
  </r>
  <r>
    <x v="3"/>
    <x v="3"/>
    <x v="16"/>
    <x v="45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3"/>
    <x v="3"/>
    <x v="16"/>
    <x v="45"/>
    <x v="8"/>
    <x v="2"/>
    <n v="0.25"/>
    <n v="0.5"/>
    <s v="Post-doctorant"/>
    <s v="Oui"/>
    <n v="20"/>
    <n v="277"/>
    <n v="5540"/>
    <n v="0"/>
    <n v="0"/>
    <n v="0"/>
    <n v="0"/>
    <n v="5540"/>
    <n v="6925"/>
    <n v="3462.5"/>
  </r>
  <r>
    <x v="3"/>
    <x v="3"/>
    <x v="16"/>
    <x v="46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3"/>
    <x v="3"/>
    <x v="16"/>
    <x v="46"/>
    <x v="8"/>
    <x v="2"/>
    <n v="0.25"/>
    <n v="0.5"/>
    <s v="Post-doctorant"/>
    <s v="Oui"/>
    <n v="20"/>
    <n v="277"/>
    <n v="5540"/>
    <n v="0"/>
    <n v="0"/>
    <n v="0"/>
    <n v="0"/>
    <n v="5540"/>
    <n v="6925"/>
    <n v="3462.5"/>
  </r>
  <r>
    <x v="3"/>
    <x v="3"/>
    <x v="17"/>
    <x v="47"/>
    <x v="8"/>
    <x v="2"/>
    <n v="0.25"/>
    <n v="0.5"/>
    <s v="Ingénieur"/>
    <s v="Non"/>
    <n v="5"/>
    <n v="376"/>
    <n v="1880"/>
    <n v="0"/>
    <n v="0"/>
    <n v="0"/>
    <n v="0"/>
    <n v="1880"/>
    <n v="470"/>
    <n v="235"/>
  </r>
  <r>
    <x v="3"/>
    <x v="3"/>
    <x v="17"/>
    <x v="47"/>
    <x v="8"/>
    <x v="2"/>
    <n v="0.25"/>
    <n v="0.5"/>
    <s v="Post-doctorant"/>
    <s v="Oui"/>
    <n v="10"/>
    <n v="277"/>
    <n v="2770"/>
    <n v="0"/>
    <n v="0"/>
    <n v="0"/>
    <n v="0"/>
    <n v="2770"/>
    <n v="3462.5"/>
    <n v="1731.25"/>
  </r>
  <r>
    <x v="3"/>
    <x v="3"/>
    <x v="15"/>
    <x v="43"/>
    <x v="8"/>
    <x v="2"/>
    <n v="0.25"/>
    <n v="0.5"/>
    <s v="Directeur de projet"/>
    <s v="Non"/>
    <n v="4"/>
    <n v="548"/>
    <n v="2192"/>
    <n v="0"/>
    <n v="0"/>
    <n v="0"/>
    <n v="0"/>
    <n v="2192"/>
    <n v="548"/>
    <n v="274"/>
  </r>
  <r>
    <x v="3"/>
    <x v="3"/>
    <x v="15"/>
    <x v="43"/>
    <x v="8"/>
    <x v="2"/>
    <n v="0.25"/>
    <n v="0.5"/>
    <s v="Ingénieur"/>
    <s v="Non"/>
    <n v="20"/>
    <n v="376"/>
    <n v="7520"/>
    <n v="0"/>
    <n v="0"/>
    <n v="0"/>
    <n v="0"/>
    <n v="7520"/>
    <n v="1880"/>
    <n v="940"/>
  </r>
  <r>
    <x v="3"/>
    <x v="3"/>
    <x v="15"/>
    <x v="43"/>
    <x v="8"/>
    <x v="2"/>
    <n v="0.25"/>
    <n v="0.5"/>
    <s v="Master Recherche"/>
    <s v="Oui"/>
    <n v="40"/>
    <n v="30"/>
    <n v="1200"/>
    <n v="0"/>
    <n v="0"/>
    <n v="0"/>
    <n v="0"/>
    <n v="1200"/>
    <n v="1500"/>
    <n v="750"/>
  </r>
  <r>
    <x v="3"/>
    <x v="3"/>
    <x v="15"/>
    <x v="44"/>
    <x v="8"/>
    <x v="2"/>
    <n v="0.25"/>
    <n v="0.5"/>
    <s v="Directeur de projet"/>
    <s v="Non"/>
    <n v="4"/>
    <n v="548"/>
    <n v="2192"/>
    <n v="0"/>
    <n v="0"/>
    <n v="0"/>
    <n v="0"/>
    <n v="2192"/>
    <n v="548"/>
    <n v="274"/>
  </r>
  <r>
    <x v="3"/>
    <x v="3"/>
    <x v="15"/>
    <x v="44"/>
    <x v="8"/>
    <x v="2"/>
    <n v="0.25"/>
    <n v="0.5"/>
    <s v="Ingénieur"/>
    <s v="Non"/>
    <n v="20"/>
    <n v="376"/>
    <n v="7520"/>
    <n v="0"/>
    <n v="0"/>
    <n v="0"/>
    <n v="0"/>
    <n v="7520"/>
    <n v="1880"/>
    <n v="940"/>
  </r>
  <r>
    <x v="3"/>
    <x v="3"/>
    <x v="15"/>
    <x v="44"/>
    <x v="8"/>
    <x v="2"/>
    <n v="0.25"/>
    <n v="0.5"/>
    <s v="Master Recherche"/>
    <s v="Oui"/>
    <n v="40"/>
    <n v="30"/>
    <n v="1200"/>
    <n v="0"/>
    <n v="0"/>
    <n v="0"/>
    <n v="0"/>
    <n v="1200"/>
    <n v="1500"/>
    <n v="750"/>
  </r>
  <r>
    <x v="3"/>
    <x v="3"/>
    <x v="15"/>
    <x v="44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3"/>
    <x v="3"/>
    <x v="14"/>
    <x v="42"/>
    <x v="26"/>
    <x v="6"/>
    <n v="0.18"/>
    <n v="0.5"/>
    <s v="PRCE"/>
    <s v="Non"/>
    <n v="10"/>
    <n v="572"/>
    <n v="5720"/>
    <n v="0"/>
    <n v="0"/>
    <n v="0"/>
    <n v="0"/>
    <n v="5720"/>
    <n v="1029.5999999999999"/>
    <n v="514.79999999999995"/>
  </r>
  <r>
    <x v="3"/>
    <x v="3"/>
    <x v="14"/>
    <x v="42"/>
    <x v="26"/>
    <x v="6"/>
    <n v="0.18"/>
    <n v="0.5"/>
    <s v="PR1"/>
    <s v="Non"/>
    <n v="10"/>
    <n v="494"/>
    <n v="4940"/>
    <n v="0"/>
    <n v="0"/>
    <n v="0"/>
    <n v="0"/>
    <n v="4940"/>
    <n v="889.2"/>
    <n v="444.6"/>
  </r>
  <r>
    <x v="3"/>
    <x v="3"/>
    <x v="14"/>
    <x v="42"/>
    <x v="26"/>
    <x v="6"/>
    <n v="0.18"/>
    <n v="0.5"/>
    <s v="RH"/>
    <s v="Oui"/>
    <n v="130"/>
    <n v="119"/>
    <n v="15470"/>
    <s v="Petits Materiels"/>
    <n v="1"/>
    <n v="15000"/>
    <n v="15000"/>
    <n v="30470"/>
    <n v="35954.6"/>
    <n v="17977.3"/>
  </r>
  <r>
    <x v="3"/>
    <x v="3"/>
    <x v="14"/>
    <x v="41"/>
    <x v="27"/>
    <x v="6"/>
    <n v="0.18"/>
    <n v="0.5"/>
    <s v="PRCE"/>
    <s v="Non"/>
    <n v="15"/>
    <n v="572"/>
    <n v="8580"/>
    <n v="0"/>
    <n v="0"/>
    <n v="0"/>
    <n v="0"/>
    <n v="8580"/>
    <n v="1544.4"/>
    <n v="772.2"/>
  </r>
  <r>
    <x v="3"/>
    <x v="3"/>
    <x v="14"/>
    <x v="41"/>
    <x v="27"/>
    <x v="6"/>
    <n v="0.18"/>
    <n v="0.5"/>
    <s v="PR1"/>
    <s v="Non"/>
    <n v="10"/>
    <n v="494"/>
    <n v="4940"/>
    <n v="0"/>
    <n v="0"/>
    <n v="0"/>
    <n v="0"/>
    <n v="4940"/>
    <n v="889.2"/>
    <n v="444.6"/>
  </r>
  <r>
    <x v="3"/>
    <x v="3"/>
    <x v="14"/>
    <x v="41"/>
    <x v="27"/>
    <x v="6"/>
    <n v="0.18"/>
    <n v="0.5"/>
    <s v="RH"/>
    <s v="Oui"/>
    <n v="0"/>
    <n v="119"/>
    <n v="0"/>
    <n v="0"/>
    <n v="0"/>
    <n v="0"/>
    <n v="0"/>
    <n v="0"/>
    <n v="0"/>
    <n v="0"/>
  </r>
  <r>
    <x v="3"/>
    <x v="3"/>
    <x v="16"/>
    <x v="48"/>
    <x v="28"/>
    <x v="6"/>
    <n v="0.18"/>
    <n v="0.5"/>
    <s v="PRCE"/>
    <s v="Non"/>
    <n v="5"/>
    <n v="572"/>
    <n v="2860"/>
    <n v="0"/>
    <n v="0"/>
    <n v="0"/>
    <n v="0"/>
    <n v="2860"/>
    <n v="514.79999999999995"/>
    <n v="257.39999999999998"/>
  </r>
  <r>
    <x v="3"/>
    <x v="3"/>
    <x v="16"/>
    <x v="48"/>
    <x v="28"/>
    <x v="6"/>
    <n v="0.18"/>
    <n v="0.5"/>
    <s v="PR1"/>
    <s v="Non"/>
    <n v="0"/>
    <n v="494"/>
    <n v="0"/>
    <n v="0"/>
    <n v="0"/>
    <n v="0"/>
    <n v="0"/>
    <n v="0"/>
    <n v="0"/>
    <n v="0"/>
  </r>
  <r>
    <x v="3"/>
    <x v="3"/>
    <x v="16"/>
    <x v="48"/>
    <x v="28"/>
    <x v="6"/>
    <n v="0.18"/>
    <n v="0.5"/>
    <s v="RH"/>
    <s v="Oui"/>
    <n v="0"/>
    <n v="119"/>
    <n v="0"/>
    <n v="0"/>
    <n v="0"/>
    <n v="0"/>
    <n v="0"/>
    <n v="0"/>
    <n v="0"/>
    <n v="0"/>
  </r>
  <r>
    <x v="3"/>
    <x v="3"/>
    <x v="16"/>
    <x v="45"/>
    <x v="29"/>
    <x v="6"/>
    <n v="0.18"/>
    <n v="0.5"/>
    <s v="PRCE"/>
    <s v="Non"/>
    <n v="10"/>
    <n v="572"/>
    <n v="5720"/>
    <n v="0"/>
    <n v="0"/>
    <n v="0"/>
    <n v="0"/>
    <n v="5720"/>
    <n v="1029.5999999999999"/>
    <n v="514.79999999999995"/>
  </r>
  <r>
    <x v="3"/>
    <x v="3"/>
    <x v="16"/>
    <x v="45"/>
    <x v="29"/>
    <x v="6"/>
    <n v="0.18"/>
    <n v="0.5"/>
    <s v="PR1"/>
    <s v="Non"/>
    <n v="5"/>
    <n v="494"/>
    <n v="2470"/>
    <n v="0"/>
    <n v="0"/>
    <n v="0"/>
    <n v="0"/>
    <n v="2470"/>
    <n v="444.6"/>
    <n v="222.3"/>
  </r>
  <r>
    <x v="3"/>
    <x v="3"/>
    <x v="16"/>
    <x v="45"/>
    <x v="29"/>
    <x v="6"/>
    <n v="0.18"/>
    <n v="0.5"/>
    <s v="RH"/>
    <s v="Oui"/>
    <n v="60"/>
    <n v="119"/>
    <n v="7140"/>
    <n v="0"/>
    <n v="0"/>
    <n v="0"/>
    <n v="0"/>
    <n v="7140"/>
    <n v="8425.2000000000007"/>
    <n v="4212.6000000000004"/>
  </r>
  <r>
    <x v="3"/>
    <x v="3"/>
    <x v="16"/>
    <x v="46"/>
    <x v="29"/>
    <x v="6"/>
    <n v="0.18"/>
    <n v="0.5"/>
    <s v="PRCE"/>
    <s v="Non"/>
    <n v="10"/>
    <n v="572"/>
    <n v="5720"/>
    <n v="0"/>
    <n v="0"/>
    <n v="0"/>
    <n v="0"/>
    <n v="5720"/>
    <n v="1029.5999999999999"/>
    <n v="514.79999999999995"/>
  </r>
  <r>
    <x v="3"/>
    <x v="3"/>
    <x v="16"/>
    <x v="46"/>
    <x v="29"/>
    <x v="6"/>
    <n v="0.18"/>
    <n v="0.5"/>
    <s v="PR1"/>
    <s v="Non"/>
    <n v="5"/>
    <n v="494"/>
    <n v="2470"/>
    <n v="0"/>
    <n v="0"/>
    <n v="0"/>
    <n v="0"/>
    <n v="2470"/>
    <n v="444.6"/>
    <n v="222.3"/>
  </r>
  <r>
    <x v="3"/>
    <x v="3"/>
    <x v="16"/>
    <x v="46"/>
    <x v="29"/>
    <x v="6"/>
    <n v="0.18"/>
    <n v="0.5"/>
    <s v="Doctorant"/>
    <s v="Oui"/>
    <n v="60"/>
    <n v="119"/>
    <n v="7140"/>
    <n v="0"/>
    <n v="0"/>
    <n v="0"/>
    <n v="0"/>
    <n v="7140"/>
    <n v="8425.2000000000007"/>
    <n v="4212.6000000000004"/>
  </r>
  <r>
    <x v="3"/>
    <x v="3"/>
    <x v="17"/>
    <x v="47"/>
    <x v="30"/>
    <x v="6"/>
    <n v="0.18"/>
    <n v="0.5"/>
    <s v="PR CE"/>
    <s v="Non"/>
    <n v="15"/>
    <n v="572"/>
    <n v="8580"/>
    <n v="0"/>
    <n v="0"/>
    <n v="0"/>
    <n v="0"/>
    <n v="8580"/>
    <n v="1544.4"/>
    <n v="772.2"/>
  </r>
  <r>
    <x v="3"/>
    <x v="3"/>
    <x v="17"/>
    <x v="47"/>
    <x v="30"/>
    <x v="6"/>
    <n v="0.18"/>
    <n v="0.5"/>
    <s v="PR1"/>
    <s v="Non"/>
    <n v="10"/>
    <n v="494"/>
    <n v="4940"/>
    <n v="0"/>
    <n v="0"/>
    <n v="0"/>
    <n v="0"/>
    <n v="4940"/>
    <n v="889.2"/>
    <n v="444.6"/>
  </r>
  <r>
    <x v="3"/>
    <x v="3"/>
    <x v="17"/>
    <x v="47"/>
    <x v="30"/>
    <x v="6"/>
    <n v="0.18"/>
    <n v="0.5"/>
    <s v="RH"/>
    <s v="Oui"/>
    <n v="20"/>
    <n v="119"/>
    <n v="2380"/>
    <n v="0"/>
    <n v="0"/>
    <n v="0"/>
    <n v="0"/>
    <n v="2380"/>
    <n v="2808.4"/>
    <n v="1404.2"/>
  </r>
  <r>
    <x v="3"/>
    <x v="3"/>
    <x v="14"/>
    <x v="42"/>
    <x v="2"/>
    <x v="3"/>
    <n v="0.16"/>
    <n v="0.5"/>
    <s v="Post-doctorant"/>
    <s v="Oui"/>
    <n v="63"/>
    <n v="328"/>
    <n v="20664"/>
    <m/>
    <m/>
    <m/>
    <n v="0"/>
    <n v="20664"/>
    <n v="23970.240000000002"/>
    <n v="11985.12"/>
  </r>
  <r>
    <x v="3"/>
    <x v="3"/>
    <x v="14"/>
    <x v="42"/>
    <x v="2"/>
    <x v="3"/>
    <n v="0.16"/>
    <n v="0.5"/>
    <s v="Ingénieur"/>
    <s v="Non"/>
    <n v="63"/>
    <n v="275"/>
    <n v="17325"/>
    <m/>
    <m/>
    <m/>
    <n v="0"/>
    <n v="17325"/>
    <n v="2772"/>
    <n v="1386"/>
  </r>
  <r>
    <x v="3"/>
    <x v="3"/>
    <x v="14"/>
    <x v="42"/>
    <x v="2"/>
    <x v="3"/>
    <n v="0.16"/>
    <n v="0.5"/>
    <s v="Master Recherche"/>
    <s v="Oui"/>
    <n v="63"/>
    <n v="30"/>
    <n v="1890"/>
    <m/>
    <m/>
    <m/>
    <n v="0"/>
    <n v="1890"/>
    <n v="2192.4"/>
    <n v="1096.2"/>
  </r>
  <r>
    <x v="3"/>
    <x v="3"/>
    <x v="14"/>
    <x v="41"/>
    <x v="2"/>
    <x v="3"/>
    <n v="0.16"/>
    <n v="0.5"/>
    <s v="ITPE Chercheur"/>
    <s v="Non"/>
    <n v="4"/>
    <n v="446"/>
    <n v="1784"/>
    <m/>
    <m/>
    <m/>
    <n v="0"/>
    <n v="1784"/>
    <n v="285.44"/>
    <n v="142.72"/>
  </r>
  <r>
    <x v="3"/>
    <x v="3"/>
    <x v="14"/>
    <x v="41"/>
    <x v="2"/>
    <x v="3"/>
    <n v="0.16"/>
    <n v="0.5"/>
    <s v="Post-doctorant"/>
    <s v="Oui"/>
    <n v="4"/>
    <n v="328"/>
    <n v="1312"/>
    <m/>
    <m/>
    <m/>
    <n v="0"/>
    <n v="1312"/>
    <n v="1521.92"/>
    <n v="760.96"/>
  </r>
  <r>
    <x v="3"/>
    <x v="3"/>
    <x v="18"/>
    <x v="41"/>
    <x v="2"/>
    <x v="3"/>
    <n v="0.16"/>
    <n v="0.5"/>
    <s v="Master Recherche"/>
    <s v="Oui"/>
    <n v="5"/>
    <n v="30"/>
    <n v="150"/>
    <m/>
    <m/>
    <m/>
    <n v="0"/>
    <n v="150"/>
    <n v="174"/>
    <n v="87"/>
  </r>
  <r>
    <x v="3"/>
    <x v="3"/>
    <x v="16"/>
    <x v="45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3"/>
    <x v="3"/>
    <x v="16"/>
    <x v="45"/>
    <x v="2"/>
    <x v="3"/>
    <n v="0.16"/>
    <n v="0.5"/>
    <s v="Post-doctorant"/>
    <s v="Oui"/>
    <n v="3"/>
    <n v="328"/>
    <n v="984"/>
    <m/>
    <m/>
    <m/>
    <n v="0"/>
    <n v="984"/>
    <n v="1141.44"/>
    <n v="570.72"/>
  </r>
  <r>
    <x v="3"/>
    <x v="3"/>
    <x v="16"/>
    <x v="45"/>
    <x v="2"/>
    <x v="3"/>
    <n v="0.16"/>
    <n v="0.5"/>
    <s v="Master Recherche"/>
    <s v="Oui"/>
    <n v="10"/>
    <n v="30"/>
    <n v="300"/>
    <m/>
    <m/>
    <m/>
    <n v="0"/>
    <n v="300"/>
    <n v="348"/>
    <n v="174"/>
  </r>
  <r>
    <x v="3"/>
    <x v="3"/>
    <x v="16"/>
    <x v="46"/>
    <x v="2"/>
    <x v="3"/>
    <n v="0.16"/>
    <n v="0.5"/>
    <s v="ITPE Chercheur"/>
    <s v="Non"/>
    <n v="1"/>
    <n v="446"/>
    <n v="446"/>
    <m/>
    <m/>
    <m/>
    <n v="0"/>
    <n v="446"/>
    <n v="71.36"/>
    <n v="35.68"/>
  </r>
  <r>
    <x v="3"/>
    <x v="3"/>
    <x v="16"/>
    <x v="46"/>
    <x v="2"/>
    <x v="3"/>
    <n v="0.16"/>
    <n v="0.5"/>
    <s v="Post-doctorant"/>
    <s v="Oui"/>
    <n v="3"/>
    <n v="328"/>
    <n v="984"/>
    <m/>
    <m/>
    <m/>
    <n v="0"/>
    <n v="984"/>
    <n v="1141.44"/>
    <n v="570.72"/>
  </r>
  <r>
    <x v="3"/>
    <x v="3"/>
    <x v="16"/>
    <x v="46"/>
    <x v="2"/>
    <x v="3"/>
    <n v="0.16"/>
    <n v="0.5"/>
    <s v="Master Recherche"/>
    <s v="Oui"/>
    <n v="10"/>
    <n v="30"/>
    <n v="300"/>
    <m/>
    <m/>
    <m/>
    <n v="0"/>
    <n v="300"/>
    <n v="348"/>
    <n v="174"/>
  </r>
  <r>
    <x v="3"/>
    <x v="3"/>
    <x v="17"/>
    <x v="47"/>
    <x v="2"/>
    <x v="3"/>
    <n v="0.16"/>
    <n v="0.5"/>
    <s v="ITPE Chercheur"/>
    <s v="Non"/>
    <n v="1"/>
    <n v="446"/>
    <n v="446"/>
    <m/>
    <m/>
    <m/>
    <n v="0"/>
    <n v="446"/>
    <n v="71.36"/>
    <n v="35.68"/>
  </r>
  <r>
    <x v="3"/>
    <x v="3"/>
    <x v="17"/>
    <x v="47"/>
    <x v="2"/>
    <x v="3"/>
    <n v="0.16"/>
    <n v="0.5"/>
    <s v="Post-doctorant"/>
    <s v="Oui"/>
    <n v="5"/>
    <n v="328"/>
    <n v="1640"/>
    <m/>
    <m/>
    <m/>
    <n v="0"/>
    <n v="1640"/>
    <n v="1902.4"/>
    <n v="951.2"/>
  </r>
  <r>
    <x v="3"/>
    <x v="3"/>
    <x v="17"/>
    <x v="47"/>
    <x v="2"/>
    <x v="3"/>
    <n v="0.16"/>
    <n v="0.5"/>
    <s v="Master Recherche"/>
    <s v="Oui"/>
    <n v="5"/>
    <n v="30"/>
    <n v="150"/>
    <m/>
    <m/>
    <m/>
    <n v="0"/>
    <n v="150"/>
    <n v="174"/>
    <n v="87"/>
  </r>
  <r>
    <x v="3"/>
    <x v="3"/>
    <x v="15"/>
    <x v="43"/>
    <x v="2"/>
    <x v="10"/>
    <n v="0.25"/>
    <n v="0.7"/>
    <s v="Chargé de projet (ingénieur  R&amp;D)"/>
    <s v="Oui"/>
    <n v="16"/>
    <n v="430"/>
    <n v="6880"/>
    <s v="Déplacements"/>
    <n v="14"/>
    <n v="150"/>
    <n v="2100"/>
    <n v="8980"/>
    <n v="11225"/>
    <n v="7857.4999999999982"/>
  </r>
  <r>
    <x v="3"/>
    <x v="3"/>
    <x v="15"/>
    <x v="44"/>
    <x v="2"/>
    <x v="10"/>
    <n v="0.25"/>
    <n v="0.7"/>
    <s v="Chargé de projet (ingénieur  R&amp;D)"/>
    <s v="Oui"/>
    <n v="2"/>
    <n v="430"/>
    <n v="860"/>
    <s v="Déplacements"/>
    <m/>
    <m/>
    <n v="0"/>
    <n v="860"/>
    <n v="1075"/>
    <n v="752.5"/>
  </r>
  <r>
    <x v="3"/>
    <x v="3"/>
    <x v="14"/>
    <x v="42"/>
    <x v="31"/>
    <x v="10"/>
    <n v="0.25"/>
    <n v="0.7"/>
    <s v="Chargé de projet (ingénieur  R&amp;D)"/>
    <s v="Oui"/>
    <n v="4"/>
    <n v="430"/>
    <n v="1720"/>
    <s v="Sous-traitance et divers"/>
    <n v="2"/>
    <n v="8500"/>
    <n v="17000"/>
    <n v="18720"/>
    <n v="23400"/>
    <n v="16379.999999999998"/>
  </r>
  <r>
    <x v="3"/>
    <x v="3"/>
    <x v="14"/>
    <x v="48"/>
    <x v="2"/>
    <x v="8"/>
    <n v="0.2"/>
    <n v="0.5"/>
    <s v="chargée de recherche"/>
    <s v="Oui"/>
    <n v="5"/>
    <n v="380"/>
    <n v="1900"/>
    <m/>
    <m/>
    <m/>
    <n v="0"/>
    <n v="1900"/>
    <n v="2280"/>
    <n v="1140"/>
  </r>
  <r>
    <x v="3"/>
    <x v="3"/>
    <x v="14"/>
    <x v="42"/>
    <x v="2"/>
    <x v="8"/>
    <n v="0.2"/>
    <n v="0.5"/>
    <s v="chargée de recherche"/>
    <s v="Oui"/>
    <n v="1"/>
    <n v="380"/>
    <n v="380"/>
    <m/>
    <m/>
    <m/>
    <n v="0"/>
    <n v="380"/>
    <n v="456"/>
    <n v="228"/>
  </r>
  <r>
    <x v="3"/>
    <x v="3"/>
    <x v="14"/>
    <x v="42"/>
    <x v="2"/>
    <x v="8"/>
    <n v="0.2"/>
    <n v="0.5"/>
    <s v="technicien"/>
    <s v="Oui"/>
    <n v="80"/>
    <n v="280"/>
    <n v="22400"/>
    <s v="Consommables / Entretien réparation "/>
    <n v="1"/>
    <n v="7000"/>
    <n v="7000"/>
    <n v="29400"/>
    <n v="35280"/>
    <n v="17640"/>
  </r>
  <r>
    <x v="3"/>
    <x v="3"/>
    <x v="14"/>
    <x v="41"/>
    <x v="2"/>
    <x v="8"/>
    <n v="0.2"/>
    <n v="0.5"/>
    <s v="chargée de recherche"/>
    <s v="Oui"/>
    <n v="3"/>
    <n v="380"/>
    <n v="1140"/>
    <m/>
    <m/>
    <m/>
    <n v="0"/>
    <n v="1140"/>
    <n v="1368"/>
    <n v="684"/>
  </r>
  <r>
    <x v="3"/>
    <x v="3"/>
    <x v="16"/>
    <x v="45"/>
    <x v="2"/>
    <x v="8"/>
    <n v="0.2"/>
    <n v="0.5"/>
    <s v="chargée de recherche"/>
    <s v="Oui"/>
    <n v="1"/>
    <n v="380"/>
    <n v="380"/>
    <m/>
    <m/>
    <m/>
    <n v="0"/>
    <n v="380"/>
    <n v="456"/>
    <n v="228"/>
  </r>
  <r>
    <x v="3"/>
    <x v="3"/>
    <x v="16"/>
    <x v="46"/>
    <x v="2"/>
    <x v="8"/>
    <n v="0.2"/>
    <n v="0.5"/>
    <s v="chargée de recherche"/>
    <s v="Oui"/>
    <n v="1"/>
    <n v="380"/>
    <n v="380"/>
    <m/>
    <m/>
    <m/>
    <n v="0"/>
    <n v="380"/>
    <n v="456"/>
    <n v="228"/>
  </r>
  <r>
    <x v="3"/>
    <x v="3"/>
    <x v="17"/>
    <x v="47"/>
    <x v="2"/>
    <x v="8"/>
    <n v="0.2"/>
    <n v="0.5"/>
    <s v="chargée de recherche"/>
    <s v="Oui"/>
    <n v="1"/>
    <n v="380"/>
    <n v="380"/>
    <m/>
    <m/>
    <m/>
    <n v="0"/>
    <n v="380"/>
    <n v="456"/>
    <n v="228"/>
  </r>
  <r>
    <x v="4"/>
    <x v="4"/>
    <x v="8"/>
    <x v="49"/>
    <x v="8"/>
    <x v="0"/>
    <n v="0.25"/>
    <n v="0.7"/>
    <n v="0"/>
    <s v="Oui"/>
    <n v="1.5"/>
    <n v="490"/>
    <n v="735"/>
    <s v="Déplacements"/>
    <n v="1"/>
    <n v="150"/>
    <n v="150"/>
    <n v="885"/>
    <n v="1106.25"/>
    <n v="774.375"/>
  </r>
  <r>
    <x v="4"/>
    <x v="4"/>
    <x v="8"/>
    <x v="49"/>
    <x v="2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4"/>
    <x v="4"/>
    <x v="8"/>
    <x v="49"/>
    <x v="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4"/>
    <x v="4"/>
    <x v="8"/>
    <x v="50"/>
    <x v="8"/>
    <x v="0"/>
    <n v="0.25"/>
    <n v="0.7"/>
    <n v="0"/>
    <s v="Oui"/>
    <n v="2"/>
    <n v="490"/>
    <n v="980"/>
    <s v="Déplacements"/>
    <n v="2"/>
    <n v="150"/>
    <n v="300"/>
    <n v="1280"/>
    <n v="1600"/>
    <n v="1120"/>
  </r>
  <r>
    <x v="4"/>
    <x v="4"/>
    <x v="8"/>
    <x v="50"/>
    <x v="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4"/>
    <x v="4"/>
    <x v="8"/>
    <x v="50"/>
    <x v="2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4"/>
    <x v="4"/>
    <x v="8"/>
    <x v="51"/>
    <x v="3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4"/>
    <x v="4"/>
    <x v="8"/>
    <x v="51"/>
    <x v="32"/>
    <x v="1"/>
    <n v="0.22"/>
    <n v="0.7"/>
    <s v="Chargé de mission"/>
    <s v="Oui"/>
    <n v="6"/>
    <n v="304"/>
    <n v="1824"/>
    <m/>
    <m/>
    <m/>
    <n v="0"/>
    <n v="1824"/>
    <n v="2225.2800000000002"/>
    <n v="1557.6959999999999"/>
  </r>
  <r>
    <x v="4"/>
    <x v="4"/>
    <x v="8"/>
    <x v="51"/>
    <x v="3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4"/>
    <x v="4"/>
    <x v="8"/>
    <x v="21"/>
    <x v="8"/>
    <x v="0"/>
    <n v="0.25"/>
    <n v="0.7"/>
    <n v="0"/>
    <s v="Oui"/>
    <n v="4"/>
    <n v="490"/>
    <n v="1960"/>
    <s v="Déplacements"/>
    <n v="2"/>
    <n v="150"/>
    <n v="300"/>
    <n v="2260"/>
    <n v="2825"/>
    <n v="1977.5"/>
  </r>
  <r>
    <x v="4"/>
    <x v="4"/>
    <x v="8"/>
    <x v="21"/>
    <x v="32"/>
    <x v="1"/>
    <n v="0.22"/>
    <n v="0.7"/>
    <s v="Chef de projet"/>
    <s v="Oui"/>
    <n v="3"/>
    <n v="406"/>
    <n v="1218"/>
    <s v="Déplacements"/>
    <n v="2"/>
    <n v="150"/>
    <n v="300"/>
    <n v="1518"/>
    <n v="1851.96"/>
    <n v="1296.3719999999998"/>
  </r>
  <r>
    <x v="4"/>
    <x v="4"/>
    <x v="8"/>
    <x v="21"/>
    <x v="32"/>
    <x v="1"/>
    <n v="0.22"/>
    <n v="0.7"/>
    <s v="Chargé de mission"/>
    <s v="Oui"/>
    <n v="3"/>
    <n v="304"/>
    <n v="912"/>
    <s v="Déplacements"/>
    <n v="2"/>
    <n v="150"/>
    <n v="300"/>
    <n v="1212"/>
    <n v="1478.64"/>
    <n v="1035.0479999999998"/>
  </r>
  <r>
    <x v="4"/>
    <x v="4"/>
    <x v="8"/>
    <x v="21"/>
    <x v="8"/>
    <x v="2"/>
    <n v="0.25"/>
    <n v="0.5"/>
    <s v="Expert"/>
    <s v="Non"/>
    <n v="4"/>
    <n v="792"/>
    <n v="3168"/>
    <s v="Déplacements"/>
    <n v="2"/>
    <n v="150"/>
    <n v="300"/>
    <n v="3468"/>
    <n v="1167"/>
    <n v="583.5"/>
  </r>
  <r>
    <x v="4"/>
    <x v="4"/>
    <x v="8"/>
    <x v="21"/>
    <x v="32"/>
    <x v="5"/>
    <n v="0.25"/>
    <n v="0.7"/>
    <m/>
    <s v="Oui"/>
    <m/>
    <m/>
    <n v="0"/>
    <s v="Sous-Traitance"/>
    <n v="3"/>
    <n v="520"/>
    <n v="1560"/>
    <n v="1560"/>
    <n v="1950"/>
    <n v="1365"/>
  </r>
  <r>
    <x v="4"/>
    <x v="4"/>
    <x v="8"/>
    <x v="21"/>
    <x v="33"/>
    <x v="5"/>
    <n v="0.25"/>
    <n v="0.7"/>
    <m/>
    <s v="Oui"/>
    <m/>
    <m/>
    <n v="0"/>
    <s v="Déplacements"/>
    <n v="62"/>
    <n v="150"/>
    <n v="9300"/>
    <n v="9300"/>
    <n v="11625"/>
    <n v="8137.4999999999982"/>
  </r>
  <r>
    <x v="4"/>
    <x v="4"/>
    <x v="9"/>
    <x v="22"/>
    <x v="8"/>
    <x v="0"/>
    <n v="0.25"/>
    <n v="0.7"/>
    <n v="0"/>
    <s v="Oui"/>
    <n v="4"/>
    <n v="490"/>
    <n v="1960"/>
    <n v="0"/>
    <n v="0"/>
    <n v="0"/>
    <n v="0"/>
    <n v="1960"/>
    <n v="2450"/>
    <n v="1715"/>
  </r>
  <r>
    <x v="4"/>
    <x v="4"/>
    <x v="10"/>
    <x v="24"/>
    <x v="8"/>
    <x v="0"/>
    <n v="0.25"/>
    <n v="0.7"/>
    <n v="0"/>
    <s v="Oui"/>
    <n v="2"/>
    <n v="490"/>
    <n v="980"/>
    <n v="0"/>
    <n v="0"/>
    <n v="0"/>
    <n v="0"/>
    <n v="980"/>
    <n v="1225"/>
    <n v="857.5"/>
  </r>
  <r>
    <x v="4"/>
    <x v="4"/>
    <x v="8"/>
    <x v="52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4"/>
    <x v="4"/>
    <x v="8"/>
    <x v="52"/>
    <x v="2"/>
    <x v="1"/>
    <n v="0.22"/>
    <n v="0.7"/>
    <s v="Chargé de mission"/>
    <s v="Oui"/>
    <n v="3"/>
    <n v="304"/>
    <n v="912"/>
    <m/>
    <m/>
    <m/>
    <n v="0"/>
    <n v="912"/>
    <n v="1112.6400000000001"/>
    <n v="778.84799999999996"/>
  </r>
  <r>
    <x v="4"/>
    <x v="4"/>
    <x v="8"/>
    <x v="52"/>
    <x v="3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4"/>
    <x v="4"/>
    <x v="10"/>
    <x v="25"/>
    <x v="8"/>
    <x v="0"/>
    <n v="0.25"/>
    <n v="0.7"/>
    <n v="0"/>
    <s v="Oui"/>
    <n v="3"/>
    <n v="490"/>
    <n v="1470"/>
    <n v="0"/>
    <n v="0"/>
    <n v="0"/>
    <n v="0"/>
    <n v="1470"/>
    <n v="1837.5"/>
    <n v="1286.25"/>
  </r>
  <r>
    <x v="4"/>
    <x v="4"/>
    <x v="9"/>
    <x v="22"/>
    <x v="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4"/>
    <x v="4"/>
    <x v="9"/>
    <x v="22"/>
    <x v="8"/>
    <x v="2"/>
    <n v="0.25"/>
    <n v="0.5"/>
    <s v="Expert"/>
    <s v="Non"/>
    <n v="2"/>
    <n v="792"/>
    <n v="1584"/>
    <n v="0"/>
    <n v="0"/>
    <n v="0"/>
    <n v="0"/>
    <n v="1584"/>
    <n v="396"/>
    <n v="198"/>
  </r>
  <r>
    <x v="4"/>
    <x v="4"/>
    <x v="9"/>
    <x v="22"/>
    <x v="8"/>
    <x v="2"/>
    <n v="0.25"/>
    <n v="0.5"/>
    <s v="Ingénieur"/>
    <s v="Non"/>
    <n v="2"/>
    <n v="376"/>
    <n v="752"/>
    <n v="0"/>
    <n v="0"/>
    <n v="0"/>
    <n v="0"/>
    <n v="752"/>
    <n v="188"/>
    <n v="94"/>
  </r>
  <r>
    <x v="4"/>
    <x v="4"/>
    <x v="9"/>
    <x v="22"/>
    <x v="2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4"/>
    <x v="4"/>
    <x v="9"/>
    <x v="23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4"/>
    <x v="4"/>
    <x v="9"/>
    <x v="23"/>
    <x v="8"/>
    <x v="2"/>
    <n v="0.25"/>
    <n v="0.5"/>
    <s v="Expert"/>
    <s v="Non"/>
    <n v="2"/>
    <n v="792"/>
    <n v="1584"/>
    <n v="0"/>
    <n v="0"/>
    <n v="0"/>
    <n v="0"/>
    <n v="1584"/>
    <n v="396"/>
    <n v="198"/>
  </r>
  <r>
    <x v="4"/>
    <x v="4"/>
    <x v="9"/>
    <x v="23"/>
    <x v="8"/>
    <x v="2"/>
    <n v="0.25"/>
    <n v="0.5"/>
    <s v="Ingénieur"/>
    <s v="Non"/>
    <n v="2"/>
    <n v="376"/>
    <n v="752"/>
    <n v="0"/>
    <n v="0"/>
    <n v="0"/>
    <n v="0"/>
    <n v="752"/>
    <n v="188"/>
    <n v="94"/>
  </r>
  <r>
    <x v="4"/>
    <x v="4"/>
    <x v="9"/>
    <x v="23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4"/>
    <x v="4"/>
    <x v="10"/>
    <x v="24"/>
    <x v="2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4"/>
    <x v="4"/>
    <x v="10"/>
    <x v="24"/>
    <x v="2"/>
    <x v="5"/>
    <n v="0.25"/>
    <n v="0.7"/>
    <m/>
    <s v="Oui"/>
    <m/>
    <m/>
    <n v="0"/>
    <s v="Sous-Traitance"/>
    <n v="3"/>
    <n v="520"/>
    <n v="1560"/>
    <n v="1560"/>
    <n v="1950"/>
    <n v="1365"/>
  </r>
  <r>
    <x v="4"/>
    <x v="4"/>
    <x v="10"/>
    <x v="24"/>
    <x v="2"/>
    <x v="5"/>
    <n v="0.25"/>
    <n v="0.7"/>
    <m/>
    <m/>
    <m/>
    <m/>
    <n v="0"/>
    <s v="Déplacements"/>
    <n v="1"/>
    <n v="150"/>
    <n v="150"/>
    <n v="150"/>
    <n v="187.5"/>
    <n v="131.25"/>
  </r>
  <r>
    <x v="4"/>
    <x v="4"/>
    <x v="10"/>
    <x v="25"/>
    <x v="2"/>
    <x v="1"/>
    <n v="0.22"/>
    <n v="0.7"/>
    <s v="Chef de projet"/>
    <s v="Oui"/>
    <n v="3"/>
    <n v="406"/>
    <n v="1218"/>
    <m/>
    <m/>
    <m/>
    <n v="0"/>
    <n v="1218"/>
    <n v="1485.96"/>
    <n v="1040.172"/>
  </r>
  <r>
    <x v="4"/>
    <x v="4"/>
    <x v="10"/>
    <x v="25"/>
    <x v="2"/>
    <x v="5"/>
    <n v="0.25"/>
    <n v="0.7"/>
    <m/>
    <s v="Oui"/>
    <m/>
    <m/>
    <n v="0"/>
    <s v="Sous-Traitance"/>
    <n v="3"/>
    <n v="520"/>
    <n v="1560"/>
    <n v="1560"/>
    <n v="1950"/>
    <n v="1365"/>
  </r>
  <r>
    <x v="4"/>
    <x v="4"/>
    <x v="8"/>
    <x v="21"/>
    <x v="32"/>
    <x v="7"/>
    <n v="0.25"/>
    <n v="0.5"/>
    <m/>
    <s v="Oui"/>
    <n v="3"/>
    <n v="350"/>
    <n v="1050"/>
    <s v="Déplacement"/>
    <n v="2"/>
    <n v="150"/>
    <n v="300"/>
    <n v="1350"/>
    <n v="1687.5"/>
    <n v="843.75"/>
  </r>
  <r>
    <x v="4"/>
    <x v="4"/>
    <x v="9"/>
    <x v="22"/>
    <x v="2"/>
    <x v="7"/>
    <n v="0.25"/>
    <n v="0.5"/>
    <m/>
    <s v="Oui"/>
    <n v="5"/>
    <n v="350"/>
    <n v="1750"/>
    <m/>
    <m/>
    <m/>
    <n v="0"/>
    <n v="1750"/>
    <n v="2187.5"/>
    <n v="1093.75"/>
  </r>
  <r>
    <x v="4"/>
    <x v="4"/>
    <x v="9"/>
    <x v="23"/>
    <x v="2"/>
    <x v="7"/>
    <n v="0.25"/>
    <n v="0.5"/>
    <m/>
    <s v="Oui"/>
    <n v="5"/>
    <n v="350"/>
    <n v="1750"/>
    <m/>
    <m/>
    <m/>
    <n v="0"/>
    <n v="1750"/>
    <n v="2187.5"/>
    <n v="1093.75"/>
  </r>
  <r>
    <x v="4"/>
    <x v="4"/>
    <x v="10"/>
    <x v="24"/>
    <x v="2"/>
    <x v="7"/>
    <n v="0.25"/>
    <n v="0.5"/>
    <m/>
    <s v="Oui"/>
    <n v="5"/>
    <n v="350"/>
    <n v="1750"/>
    <m/>
    <m/>
    <m/>
    <n v="0"/>
    <n v="1750"/>
    <n v="2187.5"/>
    <n v="1093.75"/>
  </r>
  <r>
    <x v="4"/>
    <x v="4"/>
    <x v="10"/>
    <x v="25"/>
    <x v="2"/>
    <x v="7"/>
    <n v="0.25"/>
    <n v="0.5"/>
    <m/>
    <s v="Oui"/>
    <n v="15"/>
    <n v="350"/>
    <n v="5250"/>
    <s v="Déplacement"/>
    <n v="1"/>
    <n v="150"/>
    <n v="150"/>
    <n v="5400"/>
    <n v="6750"/>
    <n v="3375"/>
  </r>
  <r>
    <x v="4"/>
    <x v="4"/>
    <x v="8"/>
    <x v="21"/>
    <x v="34"/>
    <x v="6"/>
    <n v="0.18"/>
    <n v="0.5"/>
    <s v="PRCE"/>
    <s v="Non"/>
    <n v="5"/>
    <n v="572"/>
    <n v="2860"/>
    <s v="Déplacements"/>
    <n v="5"/>
    <n v="150"/>
    <n v="750"/>
    <n v="3610"/>
    <n v="1399.8"/>
    <n v="699.9"/>
  </r>
  <r>
    <x v="4"/>
    <x v="4"/>
    <x v="8"/>
    <x v="21"/>
    <x v="34"/>
    <x v="6"/>
    <n v="0.18"/>
    <n v="0.5"/>
    <s v="PR1"/>
    <s v="Non"/>
    <n v="5"/>
    <n v="494"/>
    <n v="2470"/>
    <s v="Déplacements"/>
    <n v="5"/>
    <n v="150"/>
    <n v="750"/>
    <n v="3220"/>
    <n v="1329.6"/>
    <n v="664.8"/>
  </r>
  <r>
    <x v="4"/>
    <x v="4"/>
    <x v="8"/>
    <x v="21"/>
    <x v="34"/>
    <x v="6"/>
    <n v="0.18"/>
    <n v="0.5"/>
    <s v="Doctorant"/>
    <s v="Non"/>
    <n v="5"/>
    <n v="119"/>
    <n v="595"/>
    <s v="Déplacements"/>
    <n v="5"/>
    <n v="150"/>
    <n v="750"/>
    <n v="1345"/>
    <n v="992.1"/>
    <n v="496.05"/>
  </r>
  <r>
    <x v="4"/>
    <x v="4"/>
    <x v="9"/>
    <x v="22"/>
    <x v="34"/>
    <x v="6"/>
    <n v="0.18"/>
    <n v="0.5"/>
    <s v="PRCE"/>
    <s v="Non"/>
    <n v="5"/>
    <n v="572"/>
    <n v="2860"/>
    <s v="Déplacements"/>
    <n v="5"/>
    <n v="150"/>
    <n v="750"/>
    <n v="3610"/>
    <n v="1399.8"/>
    <n v="699.9"/>
  </r>
  <r>
    <x v="4"/>
    <x v="4"/>
    <x v="9"/>
    <x v="22"/>
    <x v="34"/>
    <x v="6"/>
    <n v="0.18"/>
    <n v="0.5"/>
    <s v="PR1"/>
    <s v="Non"/>
    <n v="5"/>
    <n v="494"/>
    <n v="2470"/>
    <s v="Déplacements"/>
    <n v="5"/>
    <n v="150"/>
    <n v="750"/>
    <n v="3220"/>
    <n v="1329.6"/>
    <n v="664.8"/>
  </r>
  <r>
    <x v="4"/>
    <x v="4"/>
    <x v="9"/>
    <x v="22"/>
    <x v="34"/>
    <x v="6"/>
    <n v="0.18"/>
    <n v="0.5"/>
    <s v="Doctorant"/>
    <s v="Non"/>
    <n v="5"/>
    <n v="119"/>
    <n v="595"/>
    <s v="Déplacements"/>
    <n v="5"/>
    <n v="150"/>
    <n v="750"/>
    <n v="1345"/>
    <n v="992.1"/>
    <n v="496.05"/>
  </r>
  <r>
    <x v="4"/>
    <x v="4"/>
    <x v="8"/>
    <x v="53"/>
    <x v="35"/>
    <x v="9"/>
    <n v="0.25"/>
    <n v="0.5"/>
    <m/>
    <s v="Oui"/>
    <n v="1"/>
    <n v="350"/>
    <n v="350"/>
    <m/>
    <m/>
    <m/>
    <n v="0"/>
    <n v="350"/>
    <n v="437.5"/>
    <n v="218.75"/>
  </r>
  <r>
    <x v="4"/>
    <x v="4"/>
    <x v="8"/>
    <x v="51"/>
    <x v="2"/>
    <x v="9"/>
    <n v="0.25"/>
    <n v="0.5"/>
    <m/>
    <s v="Oui"/>
    <n v="1"/>
    <n v="350"/>
    <n v="350"/>
    <m/>
    <m/>
    <m/>
    <n v="0"/>
    <n v="350"/>
    <n v="437.5"/>
    <n v="218.75"/>
  </r>
  <r>
    <x v="4"/>
    <x v="4"/>
    <x v="8"/>
    <x v="21"/>
    <x v="36"/>
    <x v="9"/>
    <n v="0.25"/>
    <n v="0.5"/>
    <m/>
    <s v="Oui"/>
    <n v="3"/>
    <n v="350"/>
    <n v="1050"/>
    <s v="Déplacement"/>
    <n v="2"/>
    <n v="150"/>
    <n v="300"/>
    <n v="1350"/>
    <n v="1687.5"/>
    <n v="843.75"/>
  </r>
  <r>
    <x v="4"/>
    <x v="4"/>
    <x v="9"/>
    <x v="22"/>
    <x v="2"/>
    <x v="9"/>
    <n v="0.25"/>
    <n v="0.5"/>
    <m/>
    <s v="Oui"/>
    <n v="5"/>
    <n v="350"/>
    <n v="1750"/>
    <m/>
    <m/>
    <m/>
    <n v="0"/>
    <n v="1750"/>
    <n v="2187.5"/>
    <n v="1093.75"/>
  </r>
  <r>
    <x v="4"/>
    <x v="4"/>
    <x v="9"/>
    <x v="23"/>
    <x v="2"/>
    <x v="9"/>
    <n v="0.25"/>
    <n v="0.5"/>
    <m/>
    <s v="Oui"/>
    <n v="5"/>
    <n v="350"/>
    <n v="1750"/>
    <m/>
    <m/>
    <m/>
    <n v="0"/>
    <n v="1750"/>
    <n v="2187.5"/>
    <n v="1093.75"/>
  </r>
  <r>
    <x v="4"/>
    <x v="4"/>
    <x v="8"/>
    <x v="21"/>
    <x v="2"/>
    <x v="3"/>
    <n v="0.16"/>
    <n v="0.5"/>
    <s v="ITPE Chercheur"/>
    <s v="Non"/>
    <n v="3"/>
    <n v="446"/>
    <n v="1338"/>
    <s v="Déplacement"/>
    <n v="2"/>
    <n v="150"/>
    <n v="300"/>
    <n v="1638"/>
    <n v="562.08000000000004"/>
    <n v="281.04000000000002"/>
  </r>
  <r>
    <x v="4"/>
    <x v="4"/>
    <x v="8"/>
    <x v="21"/>
    <x v="2"/>
    <x v="3"/>
    <n v="0.16"/>
    <n v="0.5"/>
    <s v="Ingénieur"/>
    <s v="Non"/>
    <n v="3"/>
    <n v="275"/>
    <n v="825"/>
    <s v="Déplacement"/>
    <n v="2"/>
    <n v="150"/>
    <n v="300"/>
    <n v="1125"/>
    <n v="480"/>
    <n v="240"/>
  </r>
  <r>
    <x v="4"/>
    <x v="4"/>
    <x v="9"/>
    <x v="22"/>
    <x v="2"/>
    <x v="3"/>
    <n v="0.16"/>
    <n v="0.5"/>
    <s v="ITPE Chercheur"/>
    <s v="Non"/>
    <n v="5"/>
    <n v="446"/>
    <n v="2230"/>
    <s v="Déplacements"/>
    <n v="5"/>
    <n v="150"/>
    <n v="750"/>
    <n v="2980"/>
    <n v="1226.8"/>
    <n v="613.4"/>
  </r>
  <r>
    <x v="4"/>
    <x v="4"/>
    <x v="9"/>
    <x v="22"/>
    <x v="2"/>
    <x v="3"/>
    <n v="0.16"/>
    <n v="0.5"/>
    <s v="Ingénieur"/>
    <s v="Non"/>
    <n v="2"/>
    <n v="275"/>
    <n v="550"/>
    <s v="Déplacements"/>
    <n v="5"/>
    <n v="150"/>
    <n v="750"/>
    <n v="1300"/>
    <n v="958"/>
    <n v="479"/>
  </r>
  <r>
    <x v="4"/>
    <x v="4"/>
    <x v="9"/>
    <x v="23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4"/>
    <x v="4"/>
    <x v="10"/>
    <x v="24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4"/>
    <x v="4"/>
    <x v="10"/>
    <x v="25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4"/>
    <x v="4"/>
    <x v="10"/>
    <x v="25"/>
    <x v="2"/>
    <x v="3"/>
    <n v="0.16"/>
    <n v="0.5"/>
    <s v="Post-doctorant"/>
    <s v="Oui"/>
    <m/>
    <n v="328"/>
    <n v="0"/>
    <m/>
    <m/>
    <m/>
    <n v="0"/>
    <n v="0"/>
    <n v="0"/>
    <n v="0"/>
  </r>
  <r>
    <x v="4"/>
    <x v="4"/>
    <x v="8"/>
    <x v="21"/>
    <x v="2"/>
    <x v="4"/>
    <n v="0.25"/>
    <n v="0.7"/>
    <m/>
    <s v="Oui"/>
    <n v="6"/>
    <n v="422"/>
    <n v="2532"/>
    <s v="Déplacements"/>
    <n v="3"/>
    <n v="150"/>
    <n v="450"/>
    <n v="2982"/>
    <n v="3727.5"/>
    <n v="2609.25"/>
  </r>
  <r>
    <x v="4"/>
    <x v="4"/>
    <x v="8"/>
    <x v="21"/>
    <x v="2"/>
    <x v="10"/>
    <n v="0.25"/>
    <n v="0.7"/>
    <s v="Chargé de projet (ingénieur  R&amp;D)"/>
    <s v="Oui"/>
    <n v="6"/>
    <n v="430"/>
    <n v="2580"/>
    <s v="Déplacements"/>
    <n v="6"/>
    <n v="150"/>
    <n v="900"/>
    <n v="3480"/>
    <n v="4350"/>
    <n v="3045"/>
  </r>
  <r>
    <x v="4"/>
    <x v="4"/>
    <x v="9"/>
    <x v="22"/>
    <x v="2"/>
    <x v="10"/>
    <n v="0.25"/>
    <n v="0.7"/>
    <s v="Chargé de projet (ingénieur  R&amp;D)"/>
    <s v="Oui"/>
    <n v="2"/>
    <n v="430"/>
    <n v="860"/>
    <s v="Déplacements"/>
    <n v="2"/>
    <n v="150"/>
    <n v="300"/>
    <n v="1160"/>
    <n v="1450"/>
    <n v="1015"/>
  </r>
  <r>
    <x v="4"/>
    <x v="4"/>
    <x v="10"/>
    <x v="25"/>
    <x v="2"/>
    <x v="10"/>
    <n v="0.25"/>
    <n v="0.7"/>
    <s v="Chargé de projet (ingénieur  R&amp;D)"/>
    <s v="Oui"/>
    <n v="2"/>
    <n v="430"/>
    <n v="860"/>
    <s v="Déplacements"/>
    <n v="2"/>
    <n v="150"/>
    <n v="300"/>
    <n v="1160"/>
    <n v="1450"/>
    <n v="1015"/>
  </r>
  <r>
    <x v="4"/>
    <x v="4"/>
    <x v="8"/>
    <x v="21"/>
    <x v="2"/>
    <x v="8"/>
    <n v="0.2"/>
    <n v="0.5"/>
    <s v="Chargée de recherche "/>
    <s v="Oui"/>
    <n v="4"/>
    <n v="380"/>
    <n v="1520"/>
    <s v="Déplacements "/>
    <n v="4"/>
    <n v="150"/>
    <n v="600"/>
    <n v="2120"/>
    <n v="2544"/>
    <n v="1272"/>
  </r>
  <r>
    <x v="5"/>
    <x v="5"/>
    <x v="19"/>
    <x v="54"/>
    <x v="8"/>
    <x v="0"/>
    <n v="0.25"/>
    <n v="0.7"/>
    <n v="0"/>
    <s v="Oui"/>
    <n v="6"/>
    <n v="490"/>
    <n v="2940"/>
    <s v="Déplacements"/>
    <n v="6"/>
    <n v="150"/>
    <n v="900"/>
    <n v="3840"/>
    <n v="4800"/>
    <n v="3360"/>
  </r>
  <r>
    <x v="5"/>
    <x v="5"/>
    <x v="19"/>
    <x v="55"/>
    <x v="8"/>
    <x v="0"/>
    <n v="0.25"/>
    <n v="0.7"/>
    <n v="0"/>
    <s v="Oui"/>
    <n v="4"/>
    <n v="490"/>
    <n v="1960"/>
    <s v="Déplacements"/>
    <n v="4"/>
    <n v="150"/>
    <n v="600"/>
    <n v="2560"/>
    <n v="3200"/>
    <n v="2240"/>
  </r>
  <r>
    <x v="5"/>
    <x v="5"/>
    <x v="20"/>
    <x v="56"/>
    <x v="2"/>
    <x v="1"/>
    <n v="0.22"/>
    <n v="0.7"/>
    <s v="Chef de projet"/>
    <s v="Oui"/>
    <n v="1"/>
    <n v="406"/>
    <n v="406"/>
    <s v="Prestataire externe"/>
    <n v="1"/>
    <n v="3500"/>
    <n v="3500"/>
    <n v="3906"/>
    <n v="4765.32"/>
    <n v="3335.7239999999997"/>
  </r>
  <r>
    <x v="5"/>
    <x v="5"/>
    <x v="20"/>
    <x v="56"/>
    <x v="2"/>
    <x v="1"/>
    <n v="0.22"/>
    <n v="0.7"/>
    <s v="Chargé de mission"/>
    <s v="Oui"/>
    <n v="4"/>
    <n v="304"/>
    <n v="1216"/>
    <m/>
    <m/>
    <m/>
    <n v="0"/>
    <n v="1216"/>
    <n v="1483.52"/>
    <n v="1038.4639999999999"/>
  </r>
  <r>
    <x v="5"/>
    <x v="5"/>
    <x v="20"/>
    <x v="57"/>
    <x v="2"/>
    <x v="1"/>
    <n v="0.22"/>
    <n v="0.7"/>
    <s v="Chef de projet"/>
    <s v="Oui"/>
    <n v="4"/>
    <n v="406"/>
    <n v="1624"/>
    <m/>
    <m/>
    <m/>
    <n v="0"/>
    <n v="1624"/>
    <n v="1981.28"/>
    <n v="1386.896"/>
  </r>
  <r>
    <x v="5"/>
    <x v="5"/>
    <x v="20"/>
    <x v="58"/>
    <x v="2"/>
    <x v="1"/>
    <n v="0.22"/>
    <n v="0.7"/>
    <s v="Chargé de mission"/>
    <s v="Oui"/>
    <n v="9"/>
    <n v="304"/>
    <n v="2736"/>
    <m/>
    <m/>
    <m/>
    <n v="0"/>
    <n v="2736"/>
    <n v="3337.92"/>
    <n v="2336.5439999999999"/>
  </r>
  <r>
    <x v="5"/>
    <x v="5"/>
    <x v="21"/>
    <x v="59"/>
    <x v="10"/>
    <x v="1"/>
    <n v="0.22"/>
    <n v="0.7"/>
    <s v="Chef de projet"/>
    <s v="Oui"/>
    <n v="1"/>
    <n v="406"/>
    <n v="406"/>
    <m/>
    <m/>
    <m/>
    <n v="0"/>
    <n v="406"/>
    <n v="495.32"/>
    <n v="346.72399999999999"/>
  </r>
  <r>
    <x v="5"/>
    <x v="5"/>
    <x v="21"/>
    <x v="60"/>
    <x v="2"/>
    <x v="1"/>
    <n v="0.22"/>
    <n v="0.7"/>
    <s v="Chef de projet"/>
    <s v="Oui"/>
    <n v="3"/>
    <n v="406"/>
    <n v="1218"/>
    <m/>
    <m/>
    <m/>
    <n v="0"/>
    <n v="1218"/>
    <n v="1485.96"/>
    <n v="1040.172"/>
  </r>
  <r>
    <x v="5"/>
    <x v="5"/>
    <x v="21"/>
    <x v="60"/>
    <x v="2"/>
    <x v="1"/>
    <n v="0.22"/>
    <n v="0.7"/>
    <s v="Chargé de mission"/>
    <s v="Oui"/>
    <n v="6"/>
    <n v="304"/>
    <n v="1824"/>
    <m/>
    <m/>
    <m/>
    <n v="0"/>
    <n v="1824"/>
    <n v="2225.2800000000002"/>
    <n v="1557.6959999999999"/>
  </r>
  <r>
    <x v="5"/>
    <x v="5"/>
    <x v="21"/>
    <x v="61"/>
    <x v="2"/>
    <x v="1"/>
    <n v="0.22"/>
    <n v="0.7"/>
    <s v="Chef de projet"/>
    <s v="Oui"/>
    <n v="3"/>
    <n v="406"/>
    <n v="1218"/>
    <s v="Déplacements"/>
    <n v="3"/>
    <n v="150"/>
    <n v="450"/>
    <n v="1668"/>
    <n v="2034.96"/>
    <n v="1424.472"/>
  </r>
  <r>
    <x v="5"/>
    <x v="5"/>
    <x v="21"/>
    <x v="61"/>
    <x v="2"/>
    <x v="1"/>
    <n v="0.22"/>
    <n v="0.7"/>
    <s v="Chargé de mission"/>
    <s v="Oui"/>
    <n v="3"/>
    <n v="304"/>
    <n v="912"/>
    <s v="Prestataire externe"/>
    <n v="1"/>
    <n v="7000"/>
    <n v="7000"/>
    <n v="7912"/>
    <n v="9652.64"/>
    <n v="6756.847999999999"/>
  </r>
  <r>
    <x v="5"/>
    <x v="5"/>
    <x v="19"/>
    <x v="54"/>
    <x v="2"/>
    <x v="1"/>
    <n v="0.22"/>
    <n v="0.7"/>
    <s v="Chef de projet"/>
    <s v="Oui"/>
    <n v="3"/>
    <n v="406"/>
    <n v="1218"/>
    <s v="Déplacements"/>
    <n v="2"/>
    <n v="150"/>
    <n v="300"/>
    <n v="1518"/>
    <n v="1851.96"/>
    <n v="1296.3719999999998"/>
  </r>
  <r>
    <x v="5"/>
    <x v="5"/>
    <x v="19"/>
    <x v="54"/>
    <x v="2"/>
    <x v="1"/>
    <n v="0.22"/>
    <n v="0.7"/>
    <s v="Chargé de mission"/>
    <s v="Oui"/>
    <n v="6"/>
    <n v="304"/>
    <n v="1824"/>
    <s v="Déplacements"/>
    <n v="2"/>
    <n v="150"/>
    <n v="300"/>
    <n v="2124"/>
    <n v="2591.2800000000002"/>
    <n v="1813.896"/>
  </r>
  <r>
    <x v="5"/>
    <x v="5"/>
    <x v="19"/>
    <x v="55"/>
    <x v="2"/>
    <x v="1"/>
    <n v="0.22"/>
    <n v="0.7"/>
    <s v="Chef de projet"/>
    <s v="Oui"/>
    <n v="3"/>
    <n v="406"/>
    <n v="1218"/>
    <s v="Déplacements"/>
    <n v="3"/>
    <n v="150"/>
    <n v="450"/>
    <n v="1668"/>
    <n v="2034.96"/>
    <n v="1424.472"/>
  </r>
  <r>
    <x v="5"/>
    <x v="5"/>
    <x v="19"/>
    <x v="55"/>
    <x v="2"/>
    <x v="1"/>
    <n v="0.22"/>
    <n v="0.7"/>
    <s v="Chargé de mission"/>
    <s v="Oui"/>
    <n v="3"/>
    <n v="304"/>
    <n v="912"/>
    <s v="Déplacements"/>
    <n v="3"/>
    <n v="150"/>
    <n v="450"/>
    <n v="1362"/>
    <n v="1661.64"/>
    <n v="1163.1479999999999"/>
  </r>
  <r>
    <x v="5"/>
    <x v="5"/>
    <x v="19"/>
    <x v="62"/>
    <x v="2"/>
    <x v="1"/>
    <n v="0.22"/>
    <n v="0.7"/>
    <s v="Chef de projet"/>
    <s v="Oui"/>
    <n v="2"/>
    <n v="406"/>
    <n v="812"/>
    <m/>
    <m/>
    <m/>
    <n v="0"/>
    <n v="812"/>
    <n v="990.64"/>
    <n v="693.44799999999998"/>
  </r>
  <r>
    <x v="5"/>
    <x v="5"/>
    <x v="21"/>
    <x v="59"/>
    <x v="8"/>
    <x v="2"/>
    <n v="0.25"/>
    <n v="0.5"/>
    <s v="Ingénieur"/>
    <s v="Non"/>
    <n v="10"/>
    <n v="376"/>
    <n v="3760"/>
    <n v="0"/>
    <n v="0"/>
    <n v="0"/>
    <n v="0"/>
    <n v="3760"/>
    <n v="940"/>
    <n v="470"/>
  </r>
  <r>
    <x v="5"/>
    <x v="5"/>
    <x v="21"/>
    <x v="59"/>
    <x v="8"/>
    <x v="2"/>
    <n v="0.25"/>
    <n v="0.5"/>
    <s v="Post-doctorant"/>
    <s v="Oui"/>
    <n v="20"/>
    <n v="277"/>
    <n v="5540"/>
    <n v="0"/>
    <n v="0"/>
    <n v="0"/>
    <n v="0"/>
    <n v="5540"/>
    <n v="6925"/>
    <n v="3462.5"/>
  </r>
  <r>
    <x v="5"/>
    <x v="5"/>
    <x v="21"/>
    <x v="60"/>
    <x v="8"/>
    <x v="2"/>
    <n v="0.25"/>
    <n v="0.5"/>
    <s v="Ingénieur"/>
    <s v="Non"/>
    <n v="5"/>
    <n v="376"/>
    <n v="1880"/>
    <n v="0"/>
    <n v="0"/>
    <n v="0"/>
    <n v="0"/>
    <n v="1880"/>
    <n v="470"/>
    <n v="235"/>
  </r>
  <r>
    <x v="5"/>
    <x v="5"/>
    <x v="21"/>
    <x v="60"/>
    <x v="8"/>
    <x v="2"/>
    <n v="0.25"/>
    <n v="0.5"/>
    <s v="Post-doctorant"/>
    <s v="Oui"/>
    <n v="10"/>
    <n v="277"/>
    <n v="2770"/>
    <n v="0"/>
    <n v="0"/>
    <n v="0"/>
    <n v="0"/>
    <n v="2770"/>
    <n v="3462.5"/>
    <n v="1731.25"/>
  </r>
  <r>
    <x v="5"/>
    <x v="5"/>
    <x v="19"/>
    <x v="54"/>
    <x v="8"/>
    <x v="2"/>
    <n v="0.25"/>
    <n v="0.5"/>
    <s v="Expert"/>
    <s v="Non"/>
    <n v="3"/>
    <n v="792"/>
    <n v="2376"/>
    <s v="Déplacements"/>
    <n v="3"/>
    <n v="150"/>
    <n v="450"/>
    <n v="2826"/>
    <n v="1156.5"/>
    <n v="578.25"/>
  </r>
  <r>
    <x v="5"/>
    <x v="5"/>
    <x v="19"/>
    <x v="54"/>
    <x v="8"/>
    <x v="2"/>
    <n v="0.25"/>
    <n v="0.5"/>
    <s v="Ingénieur"/>
    <s v="Non"/>
    <n v="2"/>
    <n v="376"/>
    <n v="752"/>
    <s v="Déplacements"/>
    <n v="2"/>
    <n v="150"/>
    <n v="300"/>
    <n v="1052"/>
    <n v="563"/>
    <n v="281.5"/>
  </r>
  <r>
    <x v="5"/>
    <x v="5"/>
    <x v="19"/>
    <x v="54"/>
    <x v="8"/>
    <x v="2"/>
    <n v="0.25"/>
    <n v="0.5"/>
    <s v="Post-doctorant"/>
    <s v="Oui"/>
    <n v="2"/>
    <n v="277"/>
    <n v="554"/>
    <s v="Déplacements"/>
    <n v="2"/>
    <n v="150"/>
    <n v="300"/>
    <n v="854"/>
    <n v="1067.5"/>
    <n v="533.75"/>
  </r>
  <r>
    <x v="5"/>
    <x v="5"/>
    <x v="19"/>
    <x v="55"/>
    <x v="8"/>
    <x v="2"/>
    <n v="0.25"/>
    <n v="0.5"/>
    <s v="Expert"/>
    <s v="Non"/>
    <n v="1"/>
    <n v="792"/>
    <n v="792"/>
    <s v="Déplacements"/>
    <n v="1"/>
    <n v="150"/>
    <n v="150"/>
    <n v="942"/>
    <n v="385.5"/>
    <n v="192.75"/>
  </r>
  <r>
    <x v="5"/>
    <x v="5"/>
    <x v="19"/>
    <x v="55"/>
    <x v="8"/>
    <x v="2"/>
    <n v="0.25"/>
    <n v="0.5"/>
    <s v="Ingénieur"/>
    <s v="Non"/>
    <n v="5"/>
    <n v="376"/>
    <n v="1880"/>
    <s v="Déplacements"/>
    <n v="5"/>
    <n v="150"/>
    <n v="750"/>
    <n v="2630"/>
    <n v="1407.5"/>
    <n v="703.75"/>
  </r>
  <r>
    <x v="5"/>
    <x v="5"/>
    <x v="19"/>
    <x v="55"/>
    <x v="8"/>
    <x v="2"/>
    <n v="0.25"/>
    <n v="0.5"/>
    <s v="Post-doctorant"/>
    <s v="Oui"/>
    <n v="5"/>
    <n v="277"/>
    <n v="1385"/>
    <s v="Déplacements"/>
    <n v="5"/>
    <n v="150"/>
    <n v="750"/>
    <n v="2135"/>
    <n v="2668.75"/>
    <n v="1334.375"/>
  </r>
  <r>
    <x v="5"/>
    <x v="5"/>
    <x v="21"/>
    <x v="59"/>
    <x v="2"/>
    <x v="3"/>
    <n v="0.16"/>
    <n v="0.5"/>
    <s v="ITPE Chercheur"/>
    <s v="Non"/>
    <n v="10"/>
    <n v="446"/>
    <n v="4460"/>
    <m/>
    <m/>
    <m/>
    <n v="0"/>
    <n v="4460"/>
    <n v="713.6"/>
    <n v="356.8"/>
  </r>
  <r>
    <x v="5"/>
    <x v="5"/>
    <x v="21"/>
    <x v="59"/>
    <x v="2"/>
    <x v="3"/>
    <n v="0.16"/>
    <n v="0.5"/>
    <s v="Post-doctorant"/>
    <s v="Oui"/>
    <n v="5"/>
    <n v="328"/>
    <n v="1640"/>
    <m/>
    <m/>
    <m/>
    <n v="0"/>
    <n v="1640"/>
    <n v="1902.4"/>
    <n v="951.2"/>
  </r>
  <r>
    <x v="5"/>
    <x v="5"/>
    <x v="21"/>
    <x v="60"/>
    <x v="2"/>
    <x v="3"/>
    <n v="0.16"/>
    <n v="0.5"/>
    <s v="ITPE Chercheur"/>
    <s v="Non"/>
    <n v="2"/>
    <n v="446"/>
    <n v="892"/>
    <m/>
    <m/>
    <m/>
    <n v="0"/>
    <n v="892"/>
    <n v="142.72"/>
    <n v="71.36"/>
  </r>
  <r>
    <x v="5"/>
    <x v="5"/>
    <x v="21"/>
    <x v="60"/>
    <x v="2"/>
    <x v="3"/>
    <n v="0.16"/>
    <n v="0.5"/>
    <s v="Ingénieur"/>
    <s v="Non"/>
    <n v="2"/>
    <n v="275"/>
    <n v="550"/>
    <m/>
    <m/>
    <m/>
    <n v="0"/>
    <n v="550"/>
    <n v="88"/>
    <n v="44"/>
  </r>
  <r>
    <x v="5"/>
    <x v="5"/>
    <x v="21"/>
    <x v="60"/>
    <x v="2"/>
    <x v="3"/>
    <n v="0.16"/>
    <n v="0.5"/>
    <s v="Post-doctorant"/>
    <s v="Oui"/>
    <m/>
    <n v="328"/>
    <n v="0"/>
    <m/>
    <m/>
    <m/>
    <n v="0"/>
    <n v="0"/>
    <n v="0"/>
    <n v="0"/>
  </r>
  <r>
    <x v="5"/>
    <x v="5"/>
    <x v="19"/>
    <x v="54"/>
    <x v="2"/>
    <x v="3"/>
    <n v="0.16"/>
    <n v="0.5"/>
    <s v="ITPE Chercheur"/>
    <s v="Non"/>
    <n v="2"/>
    <n v="446"/>
    <n v="892"/>
    <s v="Déplacements"/>
    <n v="2"/>
    <n v="150"/>
    <n v="300"/>
    <n v="1192"/>
    <n v="490.72"/>
    <n v="245.36"/>
  </r>
  <r>
    <x v="5"/>
    <x v="5"/>
    <x v="19"/>
    <x v="54"/>
    <x v="2"/>
    <x v="3"/>
    <n v="0.16"/>
    <n v="0.5"/>
    <s v="Post-doctorant"/>
    <s v="Oui"/>
    <m/>
    <n v="328"/>
    <n v="0"/>
    <s v="Déplacements"/>
    <n v="2"/>
    <n v="150"/>
    <n v="300"/>
    <n v="300"/>
    <n v="348"/>
    <n v="174"/>
  </r>
  <r>
    <x v="5"/>
    <x v="5"/>
    <x v="19"/>
    <x v="54"/>
    <x v="2"/>
    <x v="3"/>
    <n v="0.16"/>
    <n v="0.5"/>
    <s v="Ingénieur"/>
    <s v="Oui"/>
    <n v="2"/>
    <n v="275"/>
    <n v="550"/>
    <s v="Déplacements"/>
    <n v="2"/>
    <n v="150"/>
    <n v="300"/>
    <n v="850"/>
    <n v="986"/>
    <n v="493"/>
  </r>
  <r>
    <x v="5"/>
    <x v="5"/>
    <x v="19"/>
    <x v="54"/>
    <x v="2"/>
    <x v="4"/>
    <n v="0.25"/>
    <n v="0.7"/>
    <m/>
    <s v="Oui"/>
    <n v="2"/>
    <n v="422"/>
    <n v="844"/>
    <s v="Déplacements"/>
    <n v="2"/>
    <n v="150"/>
    <n v="300"/>
    <n v="1144"/>
    <n v="1430"/>
    <n v="1001"/>
  </r>
  <r>
    <x v="5"/>
    <x v="5"/>
    <x v="19"/>
    <x v="55"/>
    <x v="2"/>
    <x v="4"/>
    <n v="0.25"/>
    <n v="0.7"/>
    <m/>
    <s v="Oui"/>
    <n v="2"/>
    <n v="422"/>
    <n v="844"/>
    <s v="Déplacements"/>
    <n v="2"/>
    <n v="150"/>
    <n v="300"/>
    <n v="1144"/>
    <n v="1430"/>
    <n v="1001"/>
  </r>
  <r>
    <x v="5"/>
    <x v="5"/>
    <x v="20"/>
    <x v="56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5"/>
    <x v="5"/>
    <x v="20"/>
    <x v="57"/>
    <x v="2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5"/>
    <x v="5"/>
    <x v="21"/>
    <x v="59"/>
    <x v="10"/>
    <x v="5"/>
    <n v="0.25"/>
    <n v="0.7"/>
    <m/>
    <s v="Oui"/>
    <m/>
    <m/>
    <n v="0"/>
    <s v="Sous-Traitance"/>
    <n v="1"/>
    <n v="520"/>
    <n v="520"/>
    <n v="520"/>
    <n v="650"/>
    <n v="454.99999999999994"/>
  </r>
  <r>
    <x v="5"/>
    <x v="5"/>
    <x v="21"/>
    <x v="60"/>
    <x v="2"/>
    <x v="5"/>
    <n v="0.25"/>
    <n v="0.7"/>
    <m/>
    <s v="Oui"/>
    <m/>
    <m/>
    <n v="0"/>
    <s v="Sous-Traitance"/>
    <n v="3"/>
    <n v="520"/>
    <n v="1560"/>
    <n v="1560"/>
    <n v="1950"/>
    <n v="1365"/>
  </r>
  <r>
    <x v="5"/>
    <x v="5"/>
    <x v="21"/>
    <x v="61"/>
    <x v="2"/>
    <x v="5"/>
    <n v="0.25"/>
    <n v="0.7"/>
    <m/>
    <s v="Oui"/>
    <m/>
    <m/>
    <n v="0"/>
    <s v="Sous-Traitance"/>
    <n v="1"/>
    <n v="520"/>
    <n v="520"/>
    <n v="520"/>
    <n v="650"/>
    <n v="454.99999999999994"/>
  </r>
  <r>
    <x v="5"/>
    <x v="5"/>
    <x v="21"/>
    <x v="61"/>
    <x v="2"/>
    <x v="5"/>
    <n v="0.25"/>
    <n v="0.7"/>
    <m/>
    <s v="Oui"/>
    <m/>
    <m/>
    <n v="0"/>
    <s v="Déplacements"/>
    <n v="1"/>
    <n v="150"/>
    <n v="150"/>
    <n v="150"/>
    <n v="187.5"/>
    <n v="131.25"/>
  </r>
  <r>
    <x v="5"/>
    <x v="5"/>
    <x v="19"/>
    <x v="54"/>
    <x v="2"/>
    <x v="5"/>
    <n v="0.25"/>
    <n v="0.7"/>
    <m/>
    <s v="Oui"/>
    <m/>
    <m/>
    <n v="0"/>
    <s v="Sous-Traitance"/>
    <n v="3"/>
    <n v="150"/>
    <n v="450"/>
    <n v="450"/>
    <n v="562.5"/>
    <n v="393.75"/>
  </r>
  <r>
    <x v="5"/>
    <x v="5"/>
    <x v="19"/>
    <x v="54"/>
    <x v="2"/>
    <x v="5"/>
    <n v="0.25"/>
    <n v="0.7"/>
    <m/>
    <s v="Oui"/>
    <m/>
    <m/>
    <n v="0"/>
    <s v="Déplacements"/>
    <n v="2"/>
    <n v="150"/>
    <n v="300"/>
    <n v="300"/>
    <n v="375"/>
    <n v="262.5"/>
  </r>
  <r>
    <x v="5"/>
    <x v="5"/>
    <x v="19"/>
    <x v="55"/>
    <x v="2"/>
    <x v="5"/>
    <n v="0.25"/>
    <n v="0.7"/>
    <m/>
    <s v="Oui"/>
    <m/>
    <m/>
    <n v="0"/>
    <s v="Sous-Traitance"/>
    <n v="3"/>
    <n v="150"/>
    <n v="450"/>
    <n v="450"/>
    <n v="562.5"/>
    <n v="393.75"/>
  </r>
  <r>
    <x v="5"/>
    <x v="5"/>
    <x v="19"/>
    <x v="55"/>
    <x v="2"/>
    <x v="5"/>
    <n v="0.25"/>
    <n v="0.7"/>
    <m/>
    <s v="Oui"/>
    <m/>
    <m/>
    <n v="0"/>
    <s v="Déplacements"/>
    <n v="3"/>
    <n v="150"/>
    <n v="450"/>
    <n v="450"/>
    <n v="562.5"/>
    <n v="393.75"/>
  </r>
  <r>
    <x v="5"/>
    <x v="5"/>
    <x v="19"/>
    <x v="62"/>
    <x v="2"/>
    <x v="5"/>
    <n v="0.25"/>
    <n v="0.7"/>
    <m/>
    <s v="Oui"/>
    <m/>
    <m/>
    <n v="0"/>
    <s v="Sous-Traitance"/>
    <n v="2"/>
    <n v="520"/>
    <n v="1040"/>
    <n v="1040"/>
    <n v="1300"/>
    <n v="909.99999999999989"/>
  </r>
  <r>
    <x v="5"/>
    <x v="5"/>
    <x v="21"/>
    <x v="59"/>
    <x v="8"/>
    <x v="6"/>
    <n v="0.18"/>
    <n v="0.5"/>
    <s v="PRCE"/>
    <s v="Non"/>
    <n v="10"/>
    <n v="572"/>
    <n v="5720"/>
    <n v="0"/>
    <n v="0"/>
    <n v="0"/>
    <n v="0"/>
    <n v="5720"/>
    <n v="1029.5999999999999"/>
    <n v="514.79999999999995"/>
  </r>
  <r>
    <x v="5"/>
    <x v="5"/>
    <x v="21"/>
    <x v="59"/>
    <x v="8"/>
    <x v="6"/>
    <n v="0.18"/>
    <n v="0.5"/>
    <s v="PR1"/>
    <s v="Non"/>
    <n v="10"/>
    <n v="494"/>
    <n v="4940"/>
    <n v="0"/>
    <n v="0"/>
    <n v="0"/>
    <n v="0"/>
    <n v="4940"/>
    <n v="889.2"/>
    <n v="444.6"/>
  </r>
  <r>
    <x v="5"/>
    <x v="5"/>
    <x v="21"/>
    <x v="59"/>
    <x v="8"/>
    <x v="6"/>
    <n v="0.18"/>
    <n v="0.5"/>
    <s v="Doctorant"/>
    <s v="Non"/>
    <n v="20"/>
    <n v="119"/>
    <n v="2380"/>
    <n v="0"/>
    <n v="0"/>
    <n v="0"/>
    <n v="0"/>
    <n v="2380"/>
    <n v="428.4"/>
    <n v="214.2"/>
  </r>
  <r>
    <x v="5"/>
    <x v="5"/>
    <x v="21"/>
    <x v="60"/>
    <x v="8"/>
    <x v="6"/>
    <n v="0.18"/>
    <n v="0.5"/>
    <s v="PRCE"/>
    <s v="Non"/>
    <n v="5"/>
    <n v="572"/>
    <n v="2860"/>
    <n v="0"/>
    <n v="0"/>
    <n v="0"/>
    <n v="0"/>
    <n v="2860"/>
    <n v="514.79999999999995"/>
    <n v="257.39999999999998"/>
  </r>
  <r>
    <x v="5"/>
    <x v="5"/>
    <x v="21"/>
    <x v="60"/>
    <x v="8"/>
    <x v="6"/>
    <n v="0.18"/>
    <n v="0.5"/>
    <s v="PR1"/>
    <s v="Non"/>
    <n v="5"/>
    <n v="494"/>
    <n v="2470"/>
    <n v="0"/>
    <n v="0"/>
    <n v="0"/>
    <n v="0"/>
    <n v="2470"/>
    <n v="444.6"/>
    <n v="222.3"/>
  </r>
  <r>
    <x v="5"/>
    <x v="5"/>
    <x v="21"/>
    <x v="60"/>
    <x v="8"/>
    <x v="6"/>
    <n v="0.18"/>
    <n v="0.5"/>
    <s v="Doctorant"/>
    <s v="Non"/>
    <n v="10"/>
    <n v="119"/>
    <n v="1190"/>
    <n v="0"/>
    <n v="0"/>
    <n v="0"/>
    <n v="0"/>
    <n v="1190"/>
    <n v="214.2"/>
    <n v="107.1"/>
  </r>
  <r>
    <x v="5"/>
    <x v="5"/>
    <x v="19"/>
    <x v="54"/>
    <x v="8"/>
    <x v="6"/>
    <n v="0.18"/>
    <n v="0.5"/>
    <s v="PRCE"/>
    <s v="Non"/>
    <n v="5"/>
    <n v="572"/>
    <n v="2860"/>
    <s v="Déplacements"/>
    <n v="5"/>
    <n v="150"/>
    <n v="750"/>
    <n v="3610"/>
    <n v="1399.8"/>
    <n v="699.9"/>
  </r>
  <r>
    <x v="5"/>
    <x v="5"/>
    <x v="19"/>
    <x v="54"/>
    <x v="8"/>
    <x v="6"/>
    <n v="0.18"/>
    <n v="0.5"/>
    <s v="PR1"/>
    <s v="Non"/>
    <n v="5"/>
    <n v="494"/>
    <n v="2470"/>
    <s v="Déplacements"/>
    <n v="5"/>
    <n v="150"/>
    <n v="750"/>
    <n v="3220"/>
    <n v="1329.6"/>
    <n v="664.8"/>
  </r>
  <r>
    <x v="5"/>
    <x v="5"/>
    <x v="19"/>
    <x v="54"/>
    <x v="8"/>
    <x v="6"/>
    <n v="0.18"/>
    <n v="0.5"/>
    <s v="Doctorant"/>
    <s v="Non"/>
    <n v="5"/>
    <n v="119"/>
    <n v="595"/>
    <s v="Déplacements"/>
    <n v="5"/>
    <n v="150"/>
    <n v="750"/>
    <n v="1345"/>
    <n v="992.1"/>
    <n v="496.05"/>
  </r>
  <r>
    <x v="5"/>
    <x v="5"/>
    <x v="19"/>
    <x v="55"/>
    <x v="8"/>
    <x v="6"/>
    <n v="0.18"/>
    <n v="0.5"/>
    <s v="PRCE"/>
    <s v="Non"/>
    <n v="5"/>
    <n v="572"/>
    <n v="2860"/>
    <s v="Déplacements"/>
    <n v="5"/>
    <n v="150"/>
    <n v="750"/>
    <n v="3610"/>
    <n v="1399.8"/>
    <n v="699.9"/>
  </r>
  <r>
    <x v="5"/>
    <x v="5"/>
    <x v="19"/>
    <x v="55"/>
    <x v="8"/>
    <x v="6"/>
    <n v="0.18"/>
    <n v="0.5"/>
    <s v="PR1"/>
    <s v="Non"/>
    <n v="5"/>
    <n v="494"/>
    <n v="2470"/>
    <s v="Déplacements"/>
    <n v="5"/>
    <n v="150"/>
    <n v="750"/>
    <n v="3220"/>
    <n v="1329.6"/>
    <n v="664.8"/>
  </r>
  <r>
    <x v="5"/>
    <x v="5"/>
    <x v="19"/>
    <x v="55"/>
    <x v="8"/>
    <x v="6"/>
    <n v="0.18"/>
    <n v="0.5"/>
    <s v="Doctorant"/>
    <s v="Non"/>
    <n v="5"/>
    <n v="119"/>
    <n v="595"/>
    <s v="Déplacements"/>
    <n v="5"/>
    <n v="150"/>
    <n v="750"/>
    <n v="1345"/>
    <n v="992.1"/>
    <n v="496.05"/>
  </r>
  <r>
    <x v="5"/>
    <x v="5"/>
    <x v="21"/>
    <x v="59"/>
    <x v="2"/>
    <x v="8"/>
    <n v="0.2"/>
    <n v="0.5"/>
    <s v="chargée de recherche"/>
    <s v="Oui"/>
    <n v="7"/>
    <n v="380"/>
    <n v="2660"/>
    <m/>
    <m/>
    <m/>
    <n v="0"/>
    <n v="2660"/>
    <n v="3192"/>
    <n v="1596"/>
  </r>
  <r>
    <x v="5"/>
    <x v="5"/>
    <x v="19"/>
    <x v="55"/>
    <x v="2"/>
    <x v="8"/>
    <n v="0.2"/>
    <n v="0.5"/>
    <s v="chargée de recherche"/>
    <s v="Oui"/>
    <n v="2"/>
    <n v="380"/>
    <n v="760"/>
    <s v="Déplacements"/>
    <n v="3"/>
    <n v="150"/>
    <n v="450"/>
    <n v="1210"/>
    <n v="1452"/>
    <n v="726"/>
  </r>
  <r>
    <x v="5"/>
    <x v="5"/>
    <x v="19"/>
    <x v="54"/>
    <x v="2"/>
    <x v="8"/>
    <n v="0.2"/>
    <n v="0.5"/>
    <s v="chargée de recherche"/>
    <s v="Oui"/>
    <n v="1"/>
    <n v="380"/>
    <n v="380"/>
    <s v="Déplacements"/>
    <n v="1"/>
    <n v="150"/>
    <n v="150"/>
    <n v="530"/>
    <n v="636"/>
    <n v="3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26BA31-4898-40D1-A684-C41D548B98C3}" name="Tableau croisé dynamique2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indent="0" outline="1" outlineData="1" multipleFieldFilters="0" fieldListSortAscending="1">
  <location ref="R2:X70" firstHeaderRow="0" firstDataRow="1" firstDataCol="1"/>
  <pivotFields count="20">
    <pivotField axis="axisRow" showAll="0" insertBlankRow="1" sortType="ascending">
      <items count="7">
        <item x="0"/>
        <item x="1"/>
        <item x="2"/>
        <item x="3"/>
        <item x="4"/>
        <item x="5"/>
        <item t="default"/>
      </items>
    </pivotField>
    <pivotField showAll="0" insertBlankRow="1"/>
    <pivotField showAll="0" insertBlankRow="1" sortType="ascending"/>
    <pivotField showAll="0"/>
    <pivotField showAll="0"/>
    <pivotField axis="axisRow" multipleItemSelectionAllowed="1" showAll="0" sortType="ascending">
      <items count="13">
        <item x="0"/>
        <item x="10"/>
        <item x="1"/>
        <item x="2"/>
        <item m="1" x="1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2">
    <field x="0"/>
    <field x="5"/>
  </rowFields>
  <rowItems count="68">
    <i>
      <x/>
    </i>
    <i r="1">
      <x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blank">
      <x/>
    </i>
    <i>
      <x v="1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blank">
      <x v="1"/>
    </i>
    <i>
      <x v="2"/>
    </i>
    <i r="1">
      <x/>
    </i>
    <i r="1">
      <x v="1"/>
    </i>
    <i r="1">
      <x v="2"/>
    </i>
    <i r="1">
      <x v="3"/>
    </i>
    <i r="1">
      <x v="5"/>
    </i>
    <i r="1">
      <x v="7"/>
    </i>
    <i r="1">
      <x v="8"/>
    </i>
    <i r="1">
      <x v="10"/>
    </i>
    <i t="blank">
      <x v="2"/>
    </i>
    <i>
      <x v="3"/>
    </i>
    <i r="1">
      <x v="1"/>
    </i>
    <i r="1">
      <x v="2"/>
    </i>
    <i r="1">
      <x v="3"/>
    </i>
    <i r="1">
      <x v="5"/>
    </i>
    <i r="1">
      <x v="7"/>
    </i>
    <i r="1">
      <x v="8"/>
    </i>
    <i r="1">
      <x v="10"/>
    </i>
    <i t="blank">
      <x v="3"/>
    </i>
    <i>
      <x v="4"/>
    </i>
    <i r="1"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blank">
      <x v="4"/>
    </i>
    <i>
      <x v="5"/>
    </i>
    <i r="1">
      <x/>
    </i>
    <i r="1">
      <x v="2"/>
    </i>
    <i r="1">
      <x v="3"/>
    </i>
    <i r="1">
      <x v="5"/>
    </i>
    <i r="1">
      <x v="6"/>
    </i>
    <i r="1">
      <x v="7"/>
    </i>
    <i r="1">
      <x v="8"/>
    </i>
    <i r="1">
      <x v="10"/>
    </i>
    <i t="blank">
      <x v="5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Jrs" fld="10" baseField="5" baseItem="1" numFmtId="166"/>
    <dataField name="Personnel" fld="12" baseField="1" baseItem="0" numFmtId="164"/>
    <dataField name="Achat" fld="16" baseField="1" baseItem="0" numFmtId="165"/>
    <dataField name="TOTAL" fld="17" baseField="1" baseItem="0" numFmtId="165"/>
    <dataField name=" Elligible" fld="18" baseField="5" baseItem="2" numFmtId="164"/>
    <dataField name="Subv. Possible" fld="19" baseField="5" baseItem="2" numFmtId="164"/>
  </dataFields>
  <formats count="2">
    <format dxfId="14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4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9F44C2-8B70-44D5-AF0F-11F8821D910D}" name="Tableau croisé dynamique4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indent="0" outline="1" outlineData="1" multipleFieldFilters="0" fieldListSortAscending="1">
  <location ref="A2:G14" firstHeaderRow="0" firstDataRow="1" firstDataCol="1"/>
  <pivotFields count="20">
    <pivotField outline="0" showAll="0" sortType="ascending" defaultSubtotal="0">
      <items count="6">
        <item x="0"/>
        <item x="1"/>
        <item x="2"/>
        <item x="3"/>
        <item x="4"/>
        <item x="5"/>
      </items>
    </pivotField>
    <pivotField showAll="0" insertBlankRow="1"/>
    <pivotField showAll="0" insertBlankRow="1" sortType="ascending"/>
    <pivotField showAll="0"/>
    <pivotField showAll="0"/>
    <pivotField axis="axisRow" multipleItemSelectionAllowed="1" showAll="0" sortType="ascending">
      <items count="13">
        <item x="0"/>
        <item x="10"/>
        <item x="1"/>
        <item x="2"/>
        <item m="1" x="1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1">
    <field x="5"/>
  </rowFields>
  <row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Jrs" fld="10" baseField="5" baseItem="1" numFmtId="166"/>
    <dataField name="Personnel" fld="12" baseField="1" baseItem="0" numFmtId="164"/>
    <dataField name="Achat" fld="16" baseField="1" baseItem="0" numFmtId="165"/>
    <dataField name="TOTAL" fld="17" baseField="1" baseItem="0" numFmtId="165"/>
    <dataField name=" Elligible" fld="18" baseField="5" baseItem="2" numFmtId="164"/>
    <dataField name="Subv. Possible" fld="19" baseField="5" baseItem="2" numFmtId="164"/>
  </dataFields>
  <formats count="2">
    <format dxfId="14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4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F9F28C-B457-49A6-9A9B-C96CCB2DAC47}" name="Tableau croisé dynamique1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indent="0" outline="1" outlineData="1" multipleFieldFilters="0" fieldListSortAscending="1">
  <location ref="I2:P255" firstHeaderRow="0" firstDataRow="1" firstDataCol="2"/>
  <pivotFields count="20">
    <pivotField axis="axisRow" outline="0" showAll="0" insertBlankRow="1" defaultSubtotal="0">
      <items count="6">
        <item x="0"/>
        <item x="1"/>
        <item x="2"/>
        <item x="3"/>
        <item x="4"/>
        <item x="5"/>
      </items>
    </pivotField>
    <pivotField axis="axisRow" showAll="0">
      <items count="8">
        <item x="2"/>
        <item x="5"/>
        <item x="1"/>
        <item m="1" x="6"/>
        <item x="0"/>
        <item x="4"/>
        <item x="3"/>
        <item t="default"/>
      </items>
    </pivotField>
    <pivotField axis="axisRow" showAll="0">
      <items count="25">
        <item h="1" m="1" x="22"/>
        <item x="4"/>
        <item x="14"/>
        <item x="8"/>
        <item m="1" x="23"/>
        <item x="20"/>
        <item x="2"/>
        <item x="11"/>
        <item x="0"/>
        <item x="3"/>
        <item x="16"/>
        <item x="21"/>
        <item x="12"/>
        <item x="9"/>
        <item x="1"/>
        <item x="19"/>
        <item x="5"/>
        <item x="13"/>
        <item x="17"/>
        <item x="10"/>
        <item x="6"/>
        <item x="15"/>
        <item x="7"/>
        <item h="1" x="18"/>
        <item t="default"/>
      </items>
    </pivotField>
    <pivotField showAll="0"/>
    <pivotField showAll="0"/>
    <pivotField axis="axisRow" showAll="0" insertBlankRow="1" sortType="ascending">
      <items count="13">
        <item x="0"/>
        <item x="10"/>
        <item x="1"/>
        <item x="2"/>
        <item h="1" m="1" x="1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4">
    <field x="5"/>
    <field x="0"/>
    <field x="1"/>
    <field x="2"/>
  </rowFields>
  <rowItems count="253">
    <i>
      <x/>
    </i>
    <i r="1">
      <x/>
      <x v="4"/>
    </i>
    <i r="3">
      <x v="6"/>
    </i>
    <i r="3">
      <x v="8"/>
    </i>
    <i r="3">
      <x v="14"/>
    </i>
    <i t="blank" r="1">
      <x/>
    </i>
    <i r="1">
      <x v="1"/>
      <x v="2"/>
    </i>
    <i r="3">
      <x v="9"/>
    </i>
    <i t="blank" r="1">
      <x v="1"/>
    </i>
    <i r="1">
      <x v="2"/>
      <x/>
    </i>
    <i r="3">
      <x v="7"/>
    </i>
    <i t="blank" r="1">
      <x v="2"/>
    </i>
    <i r="1">
      <x v="4"/>
      <x v="5"/>
    </i>
    <i r="3">
      <x v="3"/>
    </i>
    <i r="3">
      <x v="13"/>
    </i>
    <i r="3">
      <x v="19"/>
    </i>
    <i t="blank" r="1">
      <x v="4"/>
    </i>
    <i r="1">
      <x v="5"/>
      <x v="1"/>
    </i>
    <i r="3">
      <x v="15"/>
    </i>
    <i t="blank" r="1">
      <x v="5"/>
    </i>
    <i>
      <x v="1"/>
    </i>
    <i r="1">
      <x v="1"/>
      <x v="2"/>
    </i>
    <i r="3">
      <x v="1"/>
    </i>
    <i r="3">
      <x v="9"/>
    </i>
    <i t="blank" r="1">
      <x v="1"/>
    </i>
    <i r="1">
      <x v="2"/>
      <x/>
    </i>
    <i r="3">
      <x v="17"/>
    </i>
    <i t="blank" r="1">
      <x v="2"/>
    </i>
    <i r="1">
      <x v="3"/>
      <x v="6"/>
    </i>
    <i r="3">
      <x v="2"/>
    </i>
    <i r="3">
      <x v="21"/>
    </i>
    <i t="blank" r="1">
      <x v="3"/>
    </i>
    <i r="1">
      <x v="4"/>
      <x v="5"/>
    </i>
    <i r="3">
      <x v="3"/>
    </i>
    <i r="3">
      <x v="13"/>
    </i>
    <i r="3">
      <x v="19"/>
    </i>
    <i t="blank" r="1">
      <x v="4"/>
    </i>
    <i>
      <x v="2"/>
    </i>
    <i r="1">
      <x/>
      <x v="4"/>
    </i>
    <i r="3">
      <x v="6"/>
    </i>
    <i r="3">
      <x v="8"/>
    </i>
    <i r="3">
      <x v="14"/>
    </i>
    <i t="blank" r="1">
      <x/>
    </i>
    <i r="1">
      <x v="1"/>
      <x v="2"/>
    </i>
    <i r="3">
      <x v="1"/>
    </i>
    <i r="3">
      <x v="9"/>
    </i>
    <i r="3">
      <x v="16"/>
    </i>
    <i r="3">
      <x v="20"/>
    </i>
    <i r="3">
      <x v="22"/>
    </i>
    <i t="blank" r="1">
      <x v="1"/>
    </i>
    <i r="1">
      <x v="2"/>
      <x/>
    </i>
    <i r="3">
      <x v="7"/>
    </i>
    <i r="3">
      <x v="12"/>
    </i>
    <i r="3">
      <x v="17"/>
    </i>
    <i t="blank" r="1">
      <x v="2"/>
    </i>
    <i r="1">
      <x v="3"/>
      <x v="6"/>
    </i>
    <i r="3">
      <x v="2"/>
    </i>
    <i r="3">
      <x v="21"/>
    </i>
    <i t="blank" r="1">
      <x v="3"/>
    </i>
    <i r="1">
      <x v="4"/>
      <x v="5"/>
    </i>
    <i r="3">
      <x v="3"/>
    </i>
    <i r="3">
      <x v="13"/>
    </i>
    <i r="3">
      <x v="19"/>
    </i>
    <i t="blank" r="1">
      <x v="4"/>
    </i>
    <i r="1">
      <x v="5"/>
      <x v="1"/>
    </i>
    <i r="3">
      <x v="5"/>
    </i>
    <i r="3">
      <x v="11"/>
    </i>
    <i r="3">
      <x v="15"/>
    </i>
    <i t="blank" r="1">
      <x v="5"/>
    </i>
    <i>
      <x v="3"/>
    </i>
    <i r="1">
      <x/>
      <x v="4"/>
    </i>
    <i r="3">
      <x v="8"/>
    </i>
    <i r="3">
      <x v="14"/>
    </i>
    <i t="blank" r="1">
      <x/>
    </i>
    <i r="1">
      <x v="1"/>
      <x v="2"/>
    </i>
    <i r="3">
      <x v="1"/>
    </i>
    <i r="3">
      <x v="22"/>
    </i>
    <i t="blank" r="1">
      <x v="1"/>
    </i>
    <i r="1">
      <x v="2"/>
      <x/>
    </i>
    <i r="3">
      <x v="7"/>
    </i>
    <i r="3">
      <x v="12"/>
    </i>
    <i r="3">
      <x v="17"/>
    </i>
    <i t="blank" r="1">
      <x v="2"/>
    </i>
    <i r="1">
      <x v="3"/>
      <x v="6"/>
    </i>
    <i r="3">
      <x v="2"/>
    </i>
    <i r="3">
      <x v="10"/>
    </i>
    <i r="3">
      <x v="18"/>
    </i>
    <i r="3">
      <x v="21"/>
    </i>
    <i t="blank" r="1">
      <x v="3"/>
    </i>
    <i r="1">
      <x v="4"/>
      <x v="5"/>
    </i>
    <i r="3">
      <x v="3"/>
    </i>
    <i r="3">
      <x v="13"/>
    </i>
    <i t="blank" r="1">
      <x v="4"/>
    </i>
    <i r="1">
      <x v="5"/>
      <x v="1"/>
    </i>
    <i r="3">
      <x v="11"/>
    </i>
    <i r="3">
      <x v="15"/>
    </i>
    <i t="blank" r="1">
      <x v="5"/>
    </i>
    <i>
      <x v="5"/>
    </i>
    <i r="1">
      <x/>
      <x v="4"/>
    </i>
    <i r="3">
      <x v="8"/>
    </i>
    <i r="3">
      <x v="14"/>
    </i>
    <i t="blank" r="1">
      <x/>
    </i>
    <i r="1">
      <x v="1"/>
      <x v="2"/>
    </i>
    <i r="3">
      <x v="3"/>
    </i>
    <i r="3">
      <x v="13"/>
    </i>
    <i r="3">
      <x v="19"/>
    </i>
    <i t="blank" r="1">
      <x v="1"/>
    </i>
    <i r="1">
      <x v="2"/>
      <x/>
    </i>
    <i r="3">
      <x v="7"/>
    </i>
    <i r="3">
      <x v="12"/>
    </i>
    <i t="blank" r="1">
      <x v="2"/>
    </i>
    <i r="1">
      <x v="3"/>
      <x v="6"/>
    </i>
    <i r="3">
      <x v="2"/>
    </i>
    <i r="3">
      <x v="10"/>
    </i>
    <i r="3">
      <x v="18"/>
    </i>
    <i t="blank" r="1">
      <x v="3"/>
    </i>
    <i r="1">
      <x v="4"/>
      <x v="5"/>
    </i>
    <i r="3">
      <x v="3"/>
    </i>
    <i r="3">
      <x v="13"/>
    </i>
    <i r="3">
      <x v="19"/>
    </i>
    <i t="blank" r="1">
      <x v="4"/>
    </i>
    <i r="1">
      <x v="5"/>
      <x v="1"/>
    </i>
    <i r="3">
      <x v="11"/>
    </i>
    <i r="3">
      <x v="15"/>
    </i>
    <i t="blank" r="1">
      <x v="5"/>
    </i>
    <i>
      <x v="6"/>
    </i>
    <i r="1">
      <x/>
      <x v="4"/>
    </i>
    <i r="3">
      <x v="8"/>
    </i>
    <i t="blank" r="1">
      <x/>
    </i>
    <i r="1">
      <x v="1"/>
      <x v="2"/>
    </i>
    <i r="3">
      <x v="9"/>
    </i>
    <i r="3">
      <x v="22"/>
    </i>
    <i t="blank" r="1">
      <x v="1"/>
    </i>
    <i r="1">
      <x v="4"/>
      <x v="5"/>
    </i>
    <i r="3">
      <x v="3"/>
    </i>
    <i t="blank" r="1">
      <x v="4"/>
    </i>
    <i r="1">
      <x v="5"/>
      <x v="1"/>
    </i>
    <i r="3">
      <x v="15"/>
    </i>
    <i t="blank" r="1">
      <x v="5"/>
    </i>
    <i>
      <x v="7"/>
    </i>
    <i r="1">
      <x/>
      <x v="4"/>
    </i>
    <i r="3">
      <x v="6"/>
    </i>
    <i r="3">
      <x v="8"/>
    </i>
    <i r="3">
      <x v="14"/>
    </i>
    <i t="blank" r="1">
      <x/>
    </i>
    <i r="1">
      <x v="1"/>
      <x v="2"/>
    </i>
    <i r="3">
      <x v="1"/>
    </i>
    <i r="3">
      <x v="9"/>
    </i>
    <i r="3">
      <x v="16"/>
    </i>
    <i r="3">
      <x v="20"/>
    </i>
    <i r="3">
      <x v="22"/>
    </i>
    <i t="blank" r="1">
      <x v="1"/>
    </i>
    <i r="1">
      <x v="2"/>
      <x/>
    </i>
    <i r="3">
      <x v="7"/>
    </i>
    <i r="3">
      <x v="12"/>
    </i>
    <i r="3">
      <x v="17"/>
    </i>
    <i t="blank" r="1">
      <x v="2"/>
    </i>
    <i r="1">
      <x v="3"/>
      <x v="6"/>
    </i>
    <i r="3">
      <x v="2"/>
    </i>
    <i r="3">
      <x v="21"/>
    </i>
    <i t="blank" r="1">
      <x v="3"/>
    </i>
    <i r="1">
      <x v="4"/>
      <x v="5"/>
    </i>
    <i r="3">
      <x v="3"/>
    </i>
    <i r="3">
      <x v="13"/>
    </i>
    <i r="3">
      <x v="19"/>
    </i>
    <i t="blank" r="1">
      <x v="4"/>
    </i>
    <i r="1">
      <x v="5"/>
      <x v="1"/>
    </i>
    <i r="3">
      <x v="5"/>
    </i>
    <i r="3">
      <x v="11"/>
    </i>
    <i r="3">
      <x v="15"/>
    </i>
    <i t="blank" r="1">
      <x v="5"/>
    </i>
    <i>
      <x v="8"/>
    </i>
    <i r="1">
      <x/>
      <x v="4"/>
    </i>
    <i r="3">
      <x v="8"/>
    </i>
    <i r="3">
      <x v="14"/>
    </i>
    <i t="blank" r="1">
      <x/>
    </i>
    <i r="1">
      <x v="1"/>
      <x v="2"/>
    </i>
    <i r="3">
      <x v="1"/>
    </i>
    <i r="3">
      <x v="22"/>
    </i>
    <i t="blank" r="1">
      <x v="1"/>
    </i>
    <i r="1">
      <x v="2"/>
      <x/>
    </i>
    <i r="3">
      <x v="7"/>
    </i>
    <i r="3">
      <x v="12"/>
    </i>
    <i t="blank" r="1">
      <x v="2"/>
    </i>
    <i r="1">
      <x v="3"/>
      <x v="6"/>
    </i>
    <i r="3">
      <x v="2"/>
    </i>
    <i r="3">
      <x v="10"/>
    </i>
    <i r="3">
      <x v="18"/>
    </i>
    <i t="blank" r="1">
      <x v="3"/>
    </i>
    <i r="1">
      <x v="4"/>
      <x v="5"/>
    </i>
    <i r="3">
      <x v="3"/>
    </i>
    <i r="3">
      <x v="13"/>
    </i>
    <i t="blank" r="1">
      <x v="4"/>
    </i>
    <i r="1">
      <x v="5"/>
      <x v="1"/>
    </i>
    <i r="3">
      <x v="11"/>
    </i>
    <i r="3">
      <x v="15"/>
    </i>
    <i t="blank" r="1">
      <x v="5"/>
    </i>
    <i>
      <x v="9"/>
    </i>
    <i r="1">
      <x/>
      <x v="4"/>
    </i>
    <i r="3">
      <x v="8"/>
    </i>
    <i r="3">
      <x v="14"/>
    </i>
    <i t="blank" r="1">
      <x/>
    </i>
    <i r="1">
      <x v="1"/>
      <x v="2"/>
    </i>
    <i r="3">
      <x v="9"/>
    </i>
    <i r="3">
      <x v="16"/>
    </i>
    <i r="3">
      <x v="20"/>
    </i>
    <i r="3">
      <x v="22"/>
    </i>
    <i t="blank" r="1">
      <x v="1"/>
    </i>
    <i r="1">
      <x v="4"/>
      <x v="5"/>
    </i>
    <i r="3">
      <x v="3"/>
    </i>
    <i r="3">
      <x v="13"/>
    </i>
    <i r="3">
      <x v="19"/>
    </i>
    <i t="blank" r="1">
      <x v="4"/>
    </i>
    <i>
      <x v="10"/>
    </i>
    <i r="1">
      <x/>
      <x v="4"/>
    </i>
    <i r="3">
      <x v="8"/>
    </i>
    <i r="3">
      <x v="14"/>
    </i>
    <i t="blank" r="1">
      <x/>
    </i>
    <i r="1">
      <x v="1"/>
      <x v="2"/>
    </i>
    <i r="3">
      <x v="1"/>
    </i>
    <i r="3">
      <x v="22"/>
    </i>
    <i t="blank" r="1">
      <x v="1"/>
    </i>
    <i r="1">
      <x v="2"/>
      <x/>
    </i>
    <i r="3">
      <x v="7"/>
    </i>
    <i r="3">
      <x v="12"/>
    </i>
    <i r="3">
      <x v="17"/>
    </i>
    <i t="blank" r="1">
      <x v="2"/>
    </i>
    <i r="1">
      <x v="3"/>
      <x v="6"/>
    </i>
    <i r="3">
      <x v="2"/>
    </i>
    <i r="3">
      <x v="10"/>
    </i>
    <i r="3">
      <x v="18"/>
    </i>
    <i t="blank" r="1">
      <x v="3"/>
    </i>
    <i r="1">
      <x v="4"/>
      <x v="5"/>
    </i>
    <i r="3">
      <x v="3"/>
    </i>
    <i t="blank" r="1">
      <x v="4"/>
    </i>
    <i r="1">
      <x v="5"/>
      <x v="1"/>
    </i>
    <i r="3">
      <x v="11"/>
    </i>
    <i r="3">
      <x v="15"/>
    </i>
    <i t="blank" r="1">
      <x v="5"/>
    </i>
    <i>
      <x v="11"/>
    </i>
    <i r="1">
      <x/>
      <x v="4"/>
    </i>
    <i r="3">
      <x v="8"/>
    </i>
    <i r="3">
      <x v="14"/>
    </i>
    <i t="blank" r="1">
      <x/>
    </i>
    <i r="1">
      <x v="1"/>
      <x v="2"/>
    </i>
    <i r="3">
      <x v="20"/>
    </i>
    <i r="3">
      <x v="22"/>
    </i>
    <i t="blank" r="1">
      <x v="1"/>
    </i>
    <i r="1">
      <x v="4"/>
      <x v="5"/>
    </i>
    <i r="3">
      <x v="3"/>
    </i>
    <i r="3">
      <x v="13"/>
    </i>
    <i t="blank" r="1"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Jrs" fld="10" baseField="5" baseItem="2" numFmtId="166"/>
    <dataField name="C Personnel" fld="12" baseField="5" baseItem="2" numFmtId="166"/>
    <dataField name="Charges diverses" fld="16" baseField="5" baseItem="2" numFmtId="166"/>
    <dataField name="TOTAL" fld="17" baseField="5" baseItem="2" numFmtId="166"/>
    <dataField name="Elligible" fld="18" baseField="5" baseItem="2" numFmtId="166"/>
    <dataField name="Subv Possible" fld="19" baseField="5" baseItem="2" numFmtId="166"/>
  </dataFields>
  <formats count="3">
    <format dxfId="15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5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9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E64919-0A6B-43DE-82CE-0AC9299A62D8}" name="Tableau croisé dynamique3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indent="0" outline="1" outlineData="1" multipleFieldFilters="0" fieldListSortAscending="1">
  <location ref="AA2:AH185" firstHeaderRow="0" firstDataRow="1" firstDataCol="2"/>
  <pivotFields count="20">
    <pivotField axis="axisRow" outline="0" showAll="0" insertBlankRow="1" sortType="ascending" defaultSubtotal="0">
      <items count="6">
        <item x="0"/>
        <item x="1"/>
        <item x="2"/>
        <item x="3"/>
        <item x="4"/>
        <item x="5"/>
      </items>
    </pivotField>
    <pivotField showAll="0" insertBlankRow="1"/>
    <pivotField axis="axisRow" showAll="0" insertBlankRow="1" sortType="ascending">
      <items count="25">
        <item m="1" x="22"/>
        <item x="4"/>
        <item x="14"/>
        <item x="8"/>
        <item m="1" x="23"/>
        <item x="20"/>
        <item x="2"/>
        <item x="11"/>
        <item x="0"/>
        <item x="3"/>
        <item x="16"/>
        <item x="21"/>
        <item x="12"/>
        <item x="9"/>
        <item x="1"/>
        <item x="19"/>
        <item x="5"/>
        <item x="13"/>
        <item x="17"/>
        <item x="10"/>
        <item x="6"/>
        <item x="15"/>
        <item x="7"/>
        <item x="18"/>
        <item t="default"/>
      </items>
    </pivotField>
    <pivotField showAll="0"/>
    <pivotField showAll="0"/>
    <pivotField axis="axisRow" multipleItemSelectionAllowed="1" showAll="0" sortType="ascending">
      <items count="13">
        <item x="0"/>
        <item x="10"/>
        <item x="1"/>
        <item x="2"/>
        <item m="1" x="1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3">
    <field x="0"/>
    <field x="2"/>
    <field x="5"/>
  </rowFields>
  <rowItems count="183">
    <i>
      <x/>
      <x v="6"/>
    </i>
    <i r="2">
      <x/>
    </i>
    <i r="2">
      <x v="2"/>
    </i>
    <i r="2">
      <x v="7"/>
    </i>
    <i t="blank" r="1">
      <x v="6"/>
    </i>
    <i r="1">
      <x v="8"/>
    </i>
    <i r="2">
      <x/>
    </i>
    <i r="2">
      <x v="2"/>
    </i>
    <i r="2">
      <x v="3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t="blank" r="1">
      <x v="8"/>
    </i>
    <i r="1">
      <x v="14"/>
    </i>
    <i r="2">
      <x/>
    </i>
    <i r="2">
      <x v="2"/>
    </i>
    <i r="2">
      <x v="3"/>
    </i>
    <i r="2">
      <x v="5"/>
    </i>
    <i r="2">
      <x v="7"/>
    </i>
    <i r="2">
      <x v="8"/>
    </i>
    <i r="2">
      <x v="9"/>
    </i>
    <i r="2">
      <x v="10"/>
    </i>
    <i r="2">
      <x v="11"/>
    </i>
    <i t="blank" r="1">
      <x v="14"/>
    </i>
    <i>
      <x v="1"/>
      <x v="1"/>
    </i>
    <i r="2">
      <x v="1"/>
    </i>
    <i r="2">
      <x v="2"/>
    </i>
    <i r="2">
      <x v="3"/>
    </i>
    <i r="2">
      <x v="7"/>
    </i>
    <i r="2">
      <x v="8"/>
    </i>
    <i r="2">
      <x v="10"/>
    </i>
    <i t="blank" r="1">
      <x v="1"/>
    </i>
    <i r="1">
      <x v="3"/>
    </i>
    <i r="2">
      <x v="5"/>
    </i>
    <i t="blank" r="1">
      <x v="3"/>
    </i>
    <i r="1">
      <x v="9"/>
    </i>
    <i r="2">
      <x/>
    </i>
    <i r="2">
      <x v="1"/>
    </i>
    <i r="2">
      <x v="2"/>
    </i>
    <i r="2">
      <x v="6"/>
    </i>
    <i r="2">
      <x v="7"/>
    </i>
    <i r="2">
      <x v="9"/>
    </i>
    <i t="blank" r="1">
      <x v="9"/>
    </i>
    <i r="1">
      <x v="13"/>
    </i>
    <i r="2">
      <x v="5"/>
    </i>
    <i t="blank" r="1">
      <x v="13"/>
    </i>
    <i r="1">
      <x v="16"/>
    </i>
    <i r="2">
      <x v="2"/>
    </i>
    <i r="2">
      <x v="7"/>
    </i>
    <i r="2">
      <x v="9"/>
    </i>
    <i t="blank" r="1">
      <x v="16"/>
    </i>
    <i r="1">
      <x v="19"/>
    </i>
    <i r="2">
      <x v="5"/>
    </i>
    <i t="blank" r="1">
      <x v="19"/>
    </i>
    <i r="1">
      <x v="20"/>
    </i>
    <i r="2">
      <x v="2"/>
    </i>
    <i r="2">
      <x v="7"/>
    </i>
    <i r="2">
      <x v="9"/>
    </i>
    <i r="2">
      <x v="11"/>
    </i>
    <i t="blank" r="1">
      <x v="20"/>
    </i>
    <i r="1">
      <x v="22"/>
    </i>
    <i r="2">
      <x v="2"/>
    </i>
    <i r="2">
      <x v="3"/>
    </i>
    <i r="2">
      <x v="6"/>
    </i>
    <i r="2">
      <x v="7"/>
    </i>
    <i r="2">
      <x v="8"/>
    </i>
    <i r="2">
      <x v="9"/>
    </i>
    <i r="2">
      <x v="10"/>
    </i>
    <i r="2">
      <x v="11"/>
    </i>
    <i t="blank" r="1">
      <x v="22"/>
    </i>
    <i>
      <x v="2"/>
      <x v="7"/>
    </i>
    <i r="2">
      <x/>
    </i>
    <i r="2">
      <x v="2"/>
    </i>
    <i r="2">
      <x v="3"/>
    </i>
    <i r="2">
      <x v="5"/>
    </i>
    <i r="2">
      <x v="7"/>
    </i>
    <i r="2">
      <x v="8"/>
    </i>
    <i r="2">
      <x v="10"/>
    </i>
    <i t="blank" r="1">
      <x v="7"/>
    </i>
    <i r="1">
      <x v="12"/>
    </i>
    <i r="2">
      <x v="2"/>
    </i>
    <i r="2">
      <x v="3"/>
    </i>
    <i r="2">
      <x v="5"/>
    </i>
    <i r="2">
      <x v="7"/>
    </i>
    <i r="2">
      <x v="8"/>
    </i>
    <i r="2">
      <x v="10"/>
    </i>
    <i t="blank" r="1">
      <x v="12"/>
    </i>
    <i r="1">
      <x v="17"/>
    </i>
    <i r="2">
      <x v="1"/>
    </i>
    <i r="2">
      <x v="2"/>
    </i>
    <i r="2">
      <x v="3"/>
    </i>
    <i r="2">
      <x v="7"/>
    </i>
    <i r="2">
      <x v="10"/>
    </i>
    <i t="blank" r="1">
      <x v="17"/>
    </i>
    <i>
      <x v="3"/>
      <x v="2"/>
    </i>
    <i r="2">
      <x v="1"/>
    </i>
    <i r="2">
      <x v="2"/>
    </i>
    <i r="2">
      <x v="3"/>
    </i>
    <i r="2">
      <x v="5"/>
    </i>
    <i r="2">
      <x v="7"/>
    </i>
    <i r="2">
      <x v="8"/>
    </i>
    <i r="2">
      <x v="10"/>
    </i>
    <i t="blank" r="1">
      <x v="2"/>
    </i>
    <i r="1">
      <x v="10"/>
    </i>
    <i r="2">
      <x v="3"/>
    </i>
    <i r="2">
      <x v="5"/>
    </i>
    <i r="2">
      <x v="8"/>
    </i>
    <i r="2">
      <x v="10"/>
    </i>
    <i t="blank" r="1">
      <x v="10"/>
    </i>
    <i r="1">
      <x v="18"/>
    </i>
    <i r="2">
      <x v="3"/>
    </i>
    <i r="2">
      <x v="5"/>
    </i>
    <i r="2">
      <x v="8"/>
    </i>
    <i r="2">
      <x v="10"/>
    </i>
    <i t="blank" r="1">
      <x v="18"/>
    </i>
    <i r="1">
      <x v="21"/>
    </i>
    <i r="2">
      <x v="1"/>
    </i>
    <i r="2">
      <x v="2"/>
    </i>
    <i r="2">
      <x v="3"/>
    </i>
    <i r="2">
      <x v="7"/>
    </i>
    <i t="blank" r="1">
      <x v="21"/>
    </i>
    <i r="1">
      <x v="23"/>
    </i>
    <i r="2">
      <x v="5"/>
    </i>
    <i t="blank" r="1">
      <x v="23"/>
    </i>
    <i>
      <x v="4"/>
      <x v="3"/>
    </i>
    <i r="2">
      <x/>
    </i>
    <i r="2">
      <x v="1"/>
    </i>
    <i r="2">
      <x v="2"/>
    </i>
    <i r="2">
      <x v="3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t="blank" r="1">
      <x v="3"/>
    </i>
    <i r="1">
      <x v="13"/>
    </i>
    <i r="2">
      <x/>
    </i>
    <i r="2">
      <x v="1"/>
    </i>
    <i r="2">
      <x v="2"/>
    </i>
    <i r="2">
      <x v="3"/>
    </i>
    <i r="2">
      <x v="5"/>
    </i>
    <i r="2">
      <x v="7"/>
    </i>
    <i r="2">
      <x v="8"/>
    </i>
    <i r="2">
      <x v="9"/>
    </i>
    <i r="2">
      <x v="11"/>
    </i>
    <i t="blank" r="1">
      <x v="13"/>
    </i>
    <i r="1">
      <x v="19"/>
    </i>
    <i r="2">
      <x/>
    </i>
    <i r="2">
      <x v="1"/>
    </i>
    <i r="2">
      <x v="2"/>
    </i>
    <i r="2">
      <x v="5"/>
    </i>
    <i r="2">
      <x v="7"/>
    </i>
    <i r="2">
      <x v="9"/>
    </i>
    <i t="blank" r="1">
      <x v="19"/>
    </i>
    <i>
      <x v="5"/>
      <x v="5"/>
    </i>
    <i r="2">
      <x v="2"/>
    </i>
    <i r="2">
      <x v="7"/>
    </i>
    <i t="blank" r="1">
      <x v="5"/>
    </i>
    <i r="1">
      <x v="11"/>
    </i>
    <i r="2">
      <x v="2"/>
    </i>
    <i r="2">
      <x v="3"/>
    </i>
    <i r="2">
      <x v="5"/>
    </i>
    <i r="2">
      <x v="7"/>
    </i>
    <i r="2">
      <x v="8"/>
    </i>
    <i r="2">
      <x v="10"/>
    </i>
    <i t="blank" r="1">
      <x v="11"/>
    </i>
    <i r="1">
      <x v="15"/>
    </i>
    <i r="2">
      <x/>
    </i>
    <i r="2">
      <x v="2"/>
    </i>
    <i r="2">
      <x v="3"/>
    </i>
    <i r="2">
      <x v="5"/>
    </i>
    <i r="2">
      <x v="6"/>
    </i>
    <i r="2">
      <x v="7"/>
    </i>
    <i r="2">
      <x v="8"/>
    </i>
    <i r="2">
      <x v="10"/>
    </i>
    <i t="blank" r="1">
      <x v="15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Jrs" fld="10" baseField="5" baseItem="1" numFmtId="166"/>
    <dataField name="Personnel" fld="12" baseField="1" baseItem="0" numFmtId="164"/>
    <dataField name="Achat" fld="16" baseField="1" baseItem="0" numFmtId="165"/>
    <dataField name="TOTAL" fld="17" baseField="1" baseItem="0" numFmtId="165"/>
    <dataField name=" Elligible" fld="18" baseField="5" baseItem="2" numFmtId="164"/>
    <dataField name="Subv. Possible" fld="19" baseField="5" baseItem="2" numFmtId="164"/>
  </dataFields>
  <formats count="2">
    <format dxfId="153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5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997335-E390-41DA-8B7A-43042BF3EFC5}" name="Tableau croisé dynamique3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indent="0" outline="1" outlineData="1" multipleFieldFilters="0" rowHeaderCaption="N°" fieldListSortAscending="1">
  <location ref="A2:H40" firstHeaderRow="0" firstDataRow="1" firstDataCol="2"/>
  <pivotFields count="20">
    <pivotField axis="axisRow" outline="0" showAll="0" sortType="ascending" defaultSubtotal="0">
      <items count="6">
        <item x="0"/>
        <item x="1"/>
        <item x="2"/>
        <item x="3"/>
        <item x="4"/>
        <item x="5"/>
      </items>
    </pivotField>
    <pivotField axis="axisRow" showAll="0" insertBlankRow="1">
      <items count="8">
        <item x="2"/>
        <item x="0"/>
        <item x="1"/>
        <item x="3"/>
        <item x="4"/>
        <item x="5"/>
        <item m="1" x="6"/>
        <item t="default"/>
      </items>
    </pivotField>
    <pivotField axis="axisRow" showAll="0" insertBlankRow="1" sortType="ascending">
      <items count="25">
        <item m="1" x="22"/>
        <item x="4"/>
        <item x="14"/>
        <item x="8"/>
        <item m="1" x="23"/>
        <item x="20"/>
        <item x="2"/>
        <item x="11"/>
        <item x="0"/>
        <item x="3"/>
        <item x="16"/>
        <item x="21"/>
        <item x="12"/>
        <item x="9"/>
        <item x="1"/>
        <item x="19"/>
        <item x="5"/>
        <item x="13"/>
        <item x="17"/>
        <item x="10"/>
        <item x="6"/>
        <item x="15"/>
        <item x="7"/>
        <item x="18"/>
        <item t="default"/>
      </items>
    </pivotField>
    <pivotField showAll="0"/>
    <pivotField showAll="0"/>
    <pivotField multipleItemSelectionAllowed="1" showAll="0" sortType="ascending">
      <items count="13">
        <item x="0"/>
        <item x="10"/>
        <item x="1"/>
        <item x="2"/>
        <item m="1" x="1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3">
    <field x="0"/>
    <field x="1"/>
    <field x="2"/>
  </rowFields>
  <rowItems count="38">
    <i>
      <x/>
      <x v="1"/>
    </i>
    <i r="2">
      <x v="6"/>
    </i>
    <i r="2">
      <x v="8"/>
    </i>
    <i r="2">
      <x v="14"/>
    </i>
    <i t="blank" r="1">
      <x v="1"/>
    </i>
    <i>
      <x v="1"/>
      <x v="2"/>
    </i>
    <i r="2">
      <x v="1"/>
    </i>
    <i r="2">
      <x v="3"/>
    </i>
    <i r="2">
      <x v="9"/>
    </i>
    <i r="2">
      <x v="13"/>
    </i>
    <i r="2">
      <x v="16"/>
    </i>
    <i r="2">
      <x v="19"/>
    </i>
    <i r="2">
      <x v="20"/>
    </i>
    <i r="2">
      <x v="22"/>
    </i>
    <i t="blank" r="1">
      <x v="2"/>
    </i>
    <i>
      <x v="2"/>
      <x/>
    </i>
    <i r="2">
      <x v="7"/>
    </i>
    <i r="2">
      <x v="12"/>
    </i>
    <i r="2">
      <x v="17"/>
    </i>
    <i t="blank" r="1">
      <x/>
    </i>
    <i>
      <x v="3"/>
      <x v="3"/>
    </i>
    <i r="2">
      <x v="2"/>
    </i>
    <i r="2">
      <x v="10"/>
    </i>
    <i r="2">
      <x v="18"/>
    </i>
    <i r="2">
      <x v="21"/>
    </i>
    <i r="2">
      <x v="23"/>
    </i>
    <i t="blank" r="1">
      <x v="3"/>
    </i>
    <i>
      <x v="4"/>
      <x v="4"/>
    </i>
    <i r="2">
      <x v="3"/>
    </i>
    <i r="2">
      <x v="13"/>
    </i>
    <i r="2">
      <x v="19"/>
    </i>
    <i t="blank" r="1">
      <x v="4"/>
    </i>
    <i>
      <x v="5"/>
      <x v="5"/>
    </i>
    <i r="2">
      <x v="5"/>
    </i>
    <i r="2">
      <x v="11"/>
    </i>
    <i r="2">
      <x v="15"/>
    </i>
    <i t="blank" r="1">
      <x v="5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NB Jrs" fld="10" baseField="0" baseItem="0"/>
    <dataField name="Personnel" fld="12" baseField="1" baseItem="0" numFmtId="164"/>
    <dataField name="Achat" fld="16" baseField="1" baseItem="0" numFmtId="165"/>
    <dataField name="TOTAL" fld="17" baseField="1" baseItem="0" numFmtId="165"/>
    <dataField name=" Elligible" fld="18" baseField="5" baseItem="2" numFmtId="164"/>
    <dataField name="Subv. Possible" fld="19" baseField="5" baseItem="2" numFmtId="164"/>
  </dataFields>
  <formats count="3">
    <format dxfId="121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2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9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BB08F0-154C-4017-98F7-1D56B9C5D8FC}" name="Tableau croisé dynamique1" cacheId="441" applyNumberFormats="0" applyBorderFormats="0" applyFontFormats="0" applyPatternFormats="0" applyAlignmentFormats="0" applyWidthHeightFormats="1" dataCaption="Valeurs" updatedVersion="6" minRefreshableVersion="3" itemPrintTitles="1" mergeItem="1" createdVersion="6" outline="1" outlineData="1" multipleFieldFilters="0" rowHeaderCaption="N°" fieldListSortAscending="1">
  <location ref="J2:R379" firstHeaderRow="0" firstDataRow="1" firstDataCol="3"/>
  <pivotFields count="20">
    <pivotField axis="axisRow" outline="0" showAll="0" sortType="ascending" defaultSubtotal="0">
      <items count="6">
        <item x="0"/>
        <item x="1"/>
        <item x="2"/>
        <item x="3"/>
        <item x="4"/>
        <item x="5"/>
      </items>
    </pivotField>
    <pivotField axis="axisRow" showAll="0" insertBlankRow="1">
      <items count="8">
        <item x="2"/>
        <item x="0"/>
        <item x="1"/>
        <item x="3"/>
        <item x="4"/>
        <item x="5"/>
        <item m="1" x="6"/>
        <item t="default"/>
      </items>
    </pivotField>
    <pivotField axis="axisRow" showAll="0" insertBlankRow="1" sortType="ascending">
      <items count="25">
        <item m="1" x="22"/>
        <item x="4"/>
        <item x="14"/>
        <item x="8"/>
        <item m="1" x="23"/>
        <item x="20"/>
        <item x="2"/>
        <item x="11"/>
        <item x="0"/>
        <item x="3"/>
        <item x="16"/>
        <item x="21"/>
        <item x="12"/>
        <item x="9"/>
        <item x="1"/>
        <item x="19"/>
        <item x="5"/>
        <item x="13"/>
        <item x="17"/>
        <item x="10"/>
        <item x="6"/>
        <item x="15"/>
        <item x="7"/>
        <item x="18"/>
        <item t="default"/>
      </items>
    </pivotField>
    <pivotField axis="axisRow" showAll="0" sortType="ascending">
      <items count="67">
        <item m="1" x="63"/>
        <item x="53"/>
        <item x="45"/>
        <item x="2"/>
        <item x="4"/>
        <item x="59"/>
        <item x="47"/>
        <item x="56"/>
        <item x="48"/>
        <item x="5"/>
        <item x="46"/>
        <item x="54"/>
        <item m="1" x="64"/>
        <item x="1"/>
        <item x="60"/>
        <item x="57"/>
        <item x="3"/>
        <item x="42"/>
        <item x="58"/>
        <item x="55"/>
        <item x="0"/>
        <item x="41"/>
        <item x="61"/>
        <item x="11"/>
        <item x="9"/>
        <item x="39"/>
        <item x="36"/>
        <item x="31"/>
        <item x="13"/>
        <item x="20"/>
        <item x="43"/>
        <item x="6"/>
        <item x="22"/>
        <item x="15"/>
        <item m="1" x="65"/>
        <item x="24"/>
        <item x="62"/>
        <item x="33"/>
        <item x="26"/>
        <item x="49"/>
        <item x="30"/>
        <item x="44"/>
        <item x="34"/>
        <item x="7"/>
        <item x="18"/>
        <item x="50"/>
        <item x="16"/>
        <item x="25"/>
        <item x="23"/>
        <item x="14"/>
        <item x="12"/>
        <item x="27"/>
        <item x="32"/>
        <item x="37"/>
        <item x="17"/>
        <item x="8"/>
        <item x="35"/>
        <item x="19"/>
        <item x="28"/>
        <item x="51"/>
        <item x="40"/>
        <item x="38"/>
        <item x="21"/>
        <item x="29"/>
        <item x="10"/>
        <item x="52"/>
        <item t="default"/>
      </items>
    </pivotField>
    <pivotField axis="axisRow" showAll="0">
      <items count="38">
        <item x="3"/>
        <item x="4"/>
        <item x="6"/>
        <item x="10"/>
        <item x="11"/>
        <item x="14"/>
        <item x="12"/>
        <item x="32"/>
        <item x="33"/>
        <item x="2"/>
        <item x="0"/>
        <item x="1"/>
        <item x="18"/>
        <item x="19"/>
        <item x="25"/>
        <item x="21"/>
        <item x="22"/>
        <item x="15"/>
        <item x="16"/>
        <item x="23"/>
        <item x="24"/>
        <item x="28"/>
        <item x="26"/>
        <item x="27"/>
        <item x="29"/>
        <item x="30"/>
        <item x="34"/>
        <item x="5"/>
        <item x="13"/>
        <item x="20"/>
        <item x="8"/>
        <item x="17"/>
        <item x="35"/>
        <item x="36"/>
        <item x="9"/>
        <item x="31"/>
        <item x="7"/>
        <item t="default"/>
      </items>
    </pivotField>
    <pivotField axis="axisRow" outline="0" showAll="0" sortType="ascending" defaultSubtotal="0">
      <items count="12">
        <item x="0"/>
        <item x="10"/>
        <item x="1"/>
        <item x="2"/>
        <item m="1" x="11"/>
        <item x="3"/>
        <item x="4"/>
        <item x="5"/>
        <item x="6"/>
        <item x="7"/>
        <item x="8"/>
        <item x="9"/>
      </items>
    </pivotField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</pivotFields>
  <rowFields count="6">
    <field x="0"/>
    <field x="1"/>
    <field x="2"/>
    <field x="3"/>
    <field x="5"/>
    <field x="4"/>
  </rowFields>
  <rowItems count="377">
    <i>
      <x/>
      <x v="1"/>
    </i>
    <i r="2">
      <x v="6"/>
    </i>
    <i r="3">
      <x v="3"/>
    </i>
    <i r="4">
      <x/>
      <x v="36"/>
    </i>
    <i r="4">
      <x v="2"/>
      <x v="9"/>
    </i>
    <i r="4">
      <x v="7"/>
      <x v="9"/>
    </i>
    <i r="3">
      <x v="16"/>
    </i>
    <i r="4">
      <x v="2"/>
      <x v="9"/>
    </i>
    <i r="4">
      <x v="7"/>
      <x v="9"/>
    </i>
    <i t="blank" r="2">
      <x v="6"/>
    </i>
    <i r="2">
      <x v="8"/>
    </i>
    <i r="3">
      <x v="4"/>
    </i>
    <i r="4">
      <x v="2"/>
      <x/>
    </i>
    <i r="3">
      <x v="9"/>
    </i>
    <i r="4">
      <x v="2"/>
      <x v="9"/>
    </i>
    <i r="3">
      <x v="20"/>
    </i>
    <i r="4">
      <x/>
      <x v="10"/>
    </i>
    <i r="4">
      <x v="2"/>
      <x/>
    </i>
    <i r="4">
      <x v="3"/>
      <x v="10"/>
    </i>
    <i r="4">
      <x v="5"/>
      <x/>
    </i>
    <i r="4">
      <x v="6"/>
      <x v="10"/>
    </i>
    <i r="4">
      <x v="7"/>
      <x/>
    </i>
    <i r="4">
      <x v="8"/>
      <x v="10"/>
    </i>
    <i r="4">
      <x v="9"/>
      <x v="10"/>
    </i>
    <i r="4">
      <x v="10"/>
      <x v="10"/>
    </i>
    <i r="4">
      <x v="11"/>
      <x v="10"/>
    </i>
    <i t="blank" r="2">
      <x v="8"/>
    </i>
    <i r="2">
      <x v="14"/>
    </i>
    <i r="3">
      <x v="13"/>
    </i>
    <i r="4">
      <x/>
      <x v="11"/>
    </i>
    <i r="4">
      <x v="2"/>
      <x v="1"/>
    </i>
    <i r="4">
      <x v="3"/>
      <x v="27"/>
    </i>
    <i r="4">
      <x v="5"/>
      <x v="1"/>
    </i>
    <i r="4">
      <x v="7"/>
      <x v="1"/>
    </i>
    <i r="5">
      <x v="2"/>
    </i>
    <i r="4">
      <x v="8"/>
      <x v="11"/>
    </i>
    <i r="4">
      <x v="9"/>
      <x v="11"/>
    </i>
    <i r="4">
      <x v="10"/>
      <x v="11"/>
    </i>
    <i r="4">
      <x v="11"/>
      <x v="11"/>
    </i>
    <i t="blank" r="2">
      <x v="14"/>
    </i>
    <i>
      <x v="1"/>
      <x v="2"/>
    </i>
    <i r="2">
      <x v="1"/>
    </i>
    <i r="3">
      <x v="23"/>
    </i>
    <i r="4">
      <x v="2"/>
      <x v="3"/>
    </i>
    <i r="4">
      <x v="7"/>
      <x v="3"/>
    </i>
    <i r="3">
      <x v="24"/>
    </i>
    <i r="4">
      <x v="1"/>
      <x v="34"/>
    </i>
    <i r="4">
      <x v="3"/>
      <x v="30"/>
    </i>
    <i r="4">
      <x v="8"/>
      <x v="30"/>
    </i>
    <i r="4">
      <x v="10"/>
      <x v="9"/>
    </i>
    <i r="3">
      <x v="44"/>
    </i>
    <i r="4">
      <x v="3"/>
      <x v="27"/>
    </i>
    <i r="4">
      <x v="8"/>
      <x v="17"/>
    </i>
    <i r="4">
      <x v="10"/>
      <x v="9"/>
    </i>
    <i r="3">
      <x v="57"/>
    </i>
    <i r="4">
      <x v="3"/>
      <x v="30"/>
    </i>
    <i r="4">
      <x v="8"/>
      <x v="30"/>
    </i>
    <i r="4">
      <x v="10"/>
      <x v="9"/>
    </i>
    <i t="blank" r="2">
      <x v="1"/>
    </i>
    <i r="2">
      <x v="3"/>
    </i>
    <i r="3">
      <x v="62"/>
    </i>
    <i r="4">
      <x v="5"/>
      <x v="9"/>
    </i>
    <i t="blank" r="2">
      <x v="3"/>
    </i>
    <i r="2">
      <x v="9"/>
    </i>
    <i r="3">
      <x v="31"/>
    </i>
    <i r="4">
      <x/>
      <x v="30"/>
    </i>
    <i r="4">
      <x v="1"/>
      <x v="9"/>
    </i>
    <i r="4">
      <x v="2"/>
      <x v="9"/>
    </i>
    <i r="4">
      <x v="6"/>
      <x v="9"/>
    </i>
    <i r="3">
      <x v="43"/>
    </i>
    <i r="4">
      <x/>
      <x v="30"/>
    </i>
    <i r="4">
      <x v="2"/>
      <x v="9"/>
    </i>
    <i r="4">
      <x v="9"/>
      <x v="9"/>
    </i>
    <i r="3">
      <x v="55"/>
    </i>
    <i r="4">
      <x/>
      <x v="30"/>
    </i>
    <i r="4">
      <x v="1"/>
      <x v="9"/>
    </i>
    <i r="4">
      <x v="2"/>
      <x v="9"/>
    </i>
    <i r="4">
      <x v="6"/>
      <x v="9"/>
    </i>
    <i r="3">
      <x v="64"/>
    </i>
    <i r="4">
      <x v="1"/>
      <x v="9"/>
    </i>
    <i r="4">
      <x v="2"/>
      <x v="9"/>
    </i>
    <i r="4">
      <x v="6"/>
      <x v="9"/>
    </i>
    <i r="4">
      <x v="7"/>
      <x v="9"/>
    </i>
    <i t="blank" r="2">
      <x v="9"/>
    </i>
    <i r="2">
      <x v="13"/>
    </i>
    <i r="3">
      <x v="32"/>
    </i>
    <i r="4">
      <x v="5"/>
      <x v="9"/>
    </i>
    <i r="3">
      <x v="48"/>
    </i>
    <i r="4">
      <x v="5"/>
      <x v="9"/>
    </i>
    <i t="blank" r="2">
      <x v="13"/>
    </i>
    <i r="2">
      <x v="16"/>
    </i>
    <i r="3">
      <x v="29"/>
    </i>
    <i r="4">
      <x v="9"/>
      <x v="9"/>
    </i>
    <i r="3">
      <x v="50"/>
    </i>
    <i r="4">
      <x v="2"/>
      <x v="4"/>
    </i>
    <i r="4">
      <x v="7"/>
      <x v="4"/>
    </i>
    <i t="blank" r="2">
      <x v="16"/>
    </i>
    <i r="2">
      <x v="19"/>
    </i>
    <i r="3">
      <x v="35"/>
    </i>
    <i r="4">
      <x v="5"/>
      <x v="9"/>
    </i>
    <i r="3">
      <x v="47"/>
    </i>
    <i r="4">
      <x v="5"/>
      <x v="9"/>
    </i>
    <i t="blank" r="2">
      <x v="19"/>
    </i>
    <i r="2">
      <x v="20"/>
    </i>
    <i r="3">
      <x v="28"/>
    </i>
    <i r="4">
      <x v="2"/>
      <x v="9"/>
    </i>
    <i r="4">
      <x v="7"/>
      <x v="9"/>
    </i>
    <i r="3">
      <x v="49"/>
    </i>
    <i r="4">
      <x v="2"/>
      <x v="9"/>
    </i>
    <i r="4">
      <x v="7"/>
      <x v="9"/>
    </i>
    <i r="3">
      <x v="55"/>
    </i>
    <i r="4">
      <x v="9"/>
      <x v="9"/>
    </i>
    <i r="3">
      <x v="64"/>
    </i>
    <i r="4">
      <x v="11"/>
      <x v="9"/>
    </i>
    <i t="blank" r="2">
      <x v="20"/>
    </i>
    <i r="2">
      <x v="22"/>
    </i>
    <i r="3">
      <x v="33"/>
    </i>
    <i r="4">
      <x v="2"/>
      <x v="6"/>
    </i>
    <i r="4">
      <x v="7"/>
      <x v="5"/>
    </i>
    <i r="3">
      <x v="46"/>
    </i>
    <i r="4">
      <x v="2"/>
      <x v="9"/>
    </i>
    <i r="4">
      <x v="3"/>
      <x v="28"/>
    </i>
    <i r="4">
      <x v="6"/>
      <x v="9"/>
    </i>
    <i r="4">
      <x v="7"/>
      <x v="9"/>
    </i>
    <i r="4">
      <x v="8"/>
      <x v="18"/>
    </i>
    <i r="4">
      <x v="9"/>
      <x v="31"/>
    </i>
    <i r="4">
      <x v="11"/>
      <x v="31"/>
    </i>
    <i r="3">
      <x v="54"/>
    </i>
    <i r="4">
      <x v="2"/>
      <x v="9"/>
    </i>
    <i r="4">
      <x v="7"/>
      <x v="3"/>
    </i>
    <i r="4">
      <x v="10"/>
      <x v="9"/>
    </i>
    <i t="blank" r="2">
      <x v="22"/>
    </i>
    <i>
      <x v="2"/>
      <x/>
    </i>
    <i r="2">
      <x v="7"/>
    </i>
    <i r="3">
      <x v="38"/>
    </i>
    <i r="4">
      <x/>
      <x v="30"/>
    </i>
    <i r="4">
      <x v="2"/>
      <x v="9"/>
    </i>
    <i r="4">
      <x v="3"/>
      <x v="12"/>
    </i>
    <i r="4">
      <x v="5"/>
      <x v="12"/>
    </i>
    <i r="4">
      <x v="7"/>
      <x v="9"/>
    </i>
    <i r="4">
      <x v="8"/>
      <x v="12"/>
    </i>
    <i r="4">
      <x v="10"/>
      <x v="12"/>
    </i>
    <i r="3">
      <x v="51"/>
    </i>
    <i r="4">
      <x/>
      <x v="30"/>
    </i>
    <i r="4">
      <x v="2"/>
      <x v="9"/>
    </i>
    <i r="4">
      <x v="3"/>
      <x v="13"/>
    </i>
    <i r="4">
      <x v="5"/>
      <x v="13"/>
    </i>
    <i r="4">
      <x v="7"/>
      <x v="9"/>
    </i>
    <i r="4">
      <x v="8"/>
      <x v="13"/>
    </i>
    <i r="4">
      <x v="10"/>
      <x v="12"/>
    </i>
    <i r="3">
      <x v="58"/>
    </i>
    <i r="4">
      <x v="2"/>
      <x v="3"/>
    </i>
    <i r="4">
      <x v="3"/>
      <x v="30"/>
    </i>
    <i r="4">
      <x v="5"/>
      <x v="3"/>
    </i>
    <i r="4">
      <x v="7"/>
      <x v="3"/>
    </i>
    <i r="4">
      <x v="8"/>
      <x v="30"/>
    </i>
    <i r="4">
      <x v="10"/>
      <x v="13"/>
    </i>
    <i t="blank" r="2">
      <x v="7"/>
    </i>
    <i r="2">
      <x v="12"/>
    </i>
    <i r="3">
      <x v="26"/>
    </i>
    <i r="4">
      <x v="10"/>
      <x v="14"/>
    </i>
    <i r="3">
      <x v="37"/>
    </i>
    <i r="4">
      <x v="3"/>
      <x v="29"/>
    </i>
    <i r="4">
      <x v="5"/>
      <x v="17"/>
    </i>
    <i r="4">
      <x v="8"/>
      <x v="19"/>
    </i>
    <i r="4">
      <x v="10"/>
      <x v="13"/>
    </i>
    <i r="3">
      <x v="42"/>
    </i>
    <i r="4">
      <x v="3"/>
      <x v="15"/>
    </i>
    <i r="4">
      <x v="5"/>
      <x v="9"/>
    </i>
    <i r="4">
      <x v="8"/>
      <x v="30"/>
    </i>
    <i r="3">
      <x v="53"/>
    </i>
    <i r="4">
      <x v="10"/>
      <x v="15"/>
    </i>
    <i r="3">
      <x v="56"/>
    </i>
    <i r="4">
      <x v="3"/>
      <x v="16"/>
    </i>
    <i r="4">
      <x v="5"/>
      <x v="9"/>
    </i>
    <i r="4">
      <x v="8"/>
      <x v="20"/>
    </i>
    <i r="3">
      <x v="61"/>
    </i>
    <i r="4">
      <x v="10"/>
      <x v="16"/>
    </i>
    <i r="3">
      <x v="63"/>
    </i>
    <i r="4">
      <x v="2"/>
      <x v="3"/>
    </i>
    <i r="4">
      <x v="3"/>
      <x v="30"/>
    </i>
    <i r="4">
      <x v="5"/>
      <x v="9"/>
    </i>
    <i r="4">
      <x v="7"/>
      <x v="3"/>
    </i>
    <i r="4">
      <x v="8"/>
      <x v="30"/>
    </i>
    <i t="blank" r="2">
      <x v="12"/>
    </i>
    <i r="2">
      <x v="17"/>
    </i>
    <i r="3">
      <x v="25"/>
    </i>
    <i r="4">
      <x v="10"/>
      <x v="9"/>
    </i>
    <i r="3">
      <x v="27"/>
    </i>
    <i r="4">
      <x v="1"/>
      <x v="9"/>
    </i>
    <i r="4">
      <x v="2"/>
      <x v="9"/>
    </i>
    <i r="4">
      <x v="3"/>
      <x v="30"/>
    </i>
    <i r="4">
      <x v="7"/>
      <x v="9"/>
    </i>
    <i r="3">
      <x v="40"/>
    </i>
    <i r="4">
      <x v="2"/>
      <x v="9"/>
    </i>
    <i r="4">
      <x v="10"/>
      <x v="9"/>
    </i>
    <i r="3">
      <x v="52"/>
    </i>
    <i r="4">
      <x v="1"/>
      <x v="9"/>
    </i>
    <i r="4">
      <x v="2"/>
      <x v="9"/>
    </i>
    <i r="4">
      <x v="3"/>
      <x v="30"/>
    </i>
    <i r="4">
      <x v="7"/>
      <x v="9"/>
    </i>
    <i r="3">
      <x v="60"/>
    </i>
    <i r="4">
      <x v="10"/>
      <x v="9"/>
    </i>
    <i t="blank" r="2">
      <x v="17"/>
    </i>
    <i>
      <x v="3"/>
      <x v="3"/>
    </i>
    <i r="2">
      <x v="2"/>
    </i>
    <i r="3">
      <x v="8"/>
    </i>
    <i r="4">
      <x v="10"/>
      <x v="9"/>
    </i>
    <i r="3">
      <x v="17"/>
    </i>
    <i r="4">
      <x v="1"/>
      <x v="35"/>
    </i>
    <i r="4">
      <x v="3"/>
      <x v="30"/>
    </i>
    <i r="4">
      <x v="5"/>
      <x v="9"/>
    </i>
    <i r="4">
      <x v="8"/>
      <x v="22"/>
    </i>
    <i r="4">
      <x v="10"/>
      <x v="9"/>
    </i>
    <i r="3">
      <x v="21"/>
    </i>
    <i r="4">
      <x v="2"/>
      <x v="3"/>
    </i>
    <i r="4">
      <x v="3"/>
      <x v="30"/>
    </i>
    <i r="4">
      <x v="5"/>
      <x v="9"/>
    </i>
    <i r="4">
      <x v="7"/>
      <x v="3"/>
    </i>
    <i r="4">
      <x v="8"/>
      <x v="23"/>
    </i>
    <i r="4">
      <x v="10"/>
      <x v="9"/>
    </i>
    <i t="blank" r="2">
      <x v="2"/>
    </i>
    <i r="2">
      <x v="10"/>
    </i>
    <i r="3">
      <x v="2"/>
    </i>
    <i r="4">
      <x v="3"/>
      <x v="30"/>
    </i>
    <i r="4">
      <x v="5"/>
      <x v="9"/>
    </i>
    <i r="4">
      <x v="8"/>
      <x v="24"/>
    </i>
    <i r="4">
      <x v="10"/>
      <x v="9"/>
    </i>
    <i r="3">
      <x v="8"/>
    </i>
    <i r="4">
      <x v="8"/>
      <x v="21"/>
    </i>
    <i r="3">
      <x v="10"/>
    </i>
    <i r="4">
      <x v="3"/>
      <x v="30"/>
    </i>
    <i r="4">
      <x v="5"/>
      <x v="9"/>
    </i>
    <i r="4">
      <x v="8"/>
      <x v="24"/>
    </i>
    <i r="4">
      <x v="10"/>
      <x v="9"/>
    </i>
    <i t="blank" r="2">
      <x v="10"/>
    </i>
    <i r="2">
      <x v="18"/>
    </i>
    <i r="3">
      <x v="6"/>
    </i>
    <i r="4">
      <x v="3"/>
      <x v="30"/>
    </i>
    <i r="4">
      <x v="5"/>
      <x v="9"/>
    </i>
    <i r="4">
      <x v="8"/>
      <x v="25"/>
    </i>
    <i r="4">
      <x v="10"/>
      <x v="9"/>
    </i>
    <i t="blank" r="2">
      <x v="18"/>
    </i>
    <i r="2">
      <x v="21"/>
    </i>
    <i r="3">
      <x v="30"/>
    </i>
    <i r="4">
      <x v="1"/>
      <x v="9"/>
    </i>
    <i r="4">
      <x v="2"/>
      <x v="9"/>
    </i>
    <i r="4">
      <x v="3"/>
      <x v="30"/>
    </i>
    <i r="3">
      <x v="41"/>
    </i>
    <i r="4">
      <x v="1"/>
      <x v="9"/>
    </i>
    <i r="4">
      <x v="2"/>
      <x v="9"/>
    </i>
    <i r="4">
      <x v="3"/>
      <x v="30"/>
    </i>
    <i r="4">
      <x v="7"/>
      <x v="9"/>
    </i>
    <i t="blank" r="2">
      <x v="21"/>
    </i>
    <i r="2">
      <x v="23"/>
    </i>
    <i r="3">
      <x v="21"/>
    </i>
    <i r="4">
      <x v="5"/>
      <x v="9"/>
    </i>
    <i t="blank" r="2">
      <x v="23"/>
    </i>
    <i>
      <x v="4"/>
      <x v="4"/>
    </i>
    <i r="2">
      <x v="3"/>
    </i>
    <i r="3">
      <x v="1"/>
    </i>
    <i r="4">
      <x v="11"/>
      <x v="32"/>
    </i>
    <i r="3">
      <x v="39"/>
    </i>
    <i r="4">
      <x/>
      <x v="30"/>
    </i>
    <i r="4">
      <x v="2"/>
      <x v="9"/>
    </i>
    <i r="4">
      <x v="7"/>
      <x v="9"/>
    </i>
    <i r="3">
      <x v="45"/>
    </i>
    <i r="4">
      <x/>
      <x v="30"/>
    </i>
    <i r="4">
      <x v="2"/>
      <x v="9"/>
    </i>
    <i r="4">
      <x v="7"/>
      <x v="9"/>
    </i>
    <i r="3">
      <x v="59"/>
    </i>
    <i r="4">
      <x v="2"/>
      <x v="7"/>
    </i>
    <i r="4">
      <x v="7"/>
      <x v="7"/>
    </i>
    <i r="4">
      <x v="11"/>
      <x v="9"/>
    </i>
    <i r="3">
      <x v="62"/>
    </i>
    <i r="4">
      <x/>
      <x v="30"/>
    </i>
    <i r="4">
      <x v="1"/>
      <x v="9"/>
    </i>
    <i r="4">
      <x v="2"/>
      <x v="7"/>
    </i>
    <i r="4">
      <x v="3"/>
      <x v="30"/>
    </i>
    <i r="4">
      <x v="5"/>
      <x v="9"/>
    </i>
    <i r="4">
      <x v="6"/>
      <x v="9"/>
    </i>
    <i r="4">
      <x v="7"/>
      <x v="7"/>
    </i>
    <i r="5">
      <x v="8"/>
    </i>
    <i r="4">
      <x v="8"/>
      <x v="26"/>
    </i>
    <i r="4">
      <x v="9"/>
      <x v="7"/>
    </i>
    <i r="4">
      <x v="10"/>
      <x v="9"/>
    </i>
    <i r="4">
      <x v="11"/>
      <x v="33"/>
    </i>
    <i r="3">
      <x v="65"/>
    </i>
    <i r="4">
      <x v="2"/>
      <x v="9"/>
    </i>
    <i r="4">
      <x v="7"/>
      <x v="7"/>
    </i>
    <i t="blank" r="2">
      <x v="3"/>
    </i>
    <i r="2">
      <x v="13"/>
    </i>
    <i r="3">
      <x v="32"/>
    </i>
    <i r="4">
      <x/>
      <x v="30"/>
    </i>
    <i r="4">
      <x v="1"/>
      <x v="9"/>
    </i>
    <i r="4">
      <x v="2"/>
      <x v="9"/>
    </i>
    <i r="4">
      <x v="3"/>
      <x v="30"/>
    </i>
    <i r="4">
      <x v="5"/>
      <x v="9"/>
    </i>
    <i r="4">
      <x v="7"/>
      <x v="9"/>
    </i>
    <i r="4">
      <x v="8"/>
      <x v="26"/>
    </i>
    <i r="4">
      <x v="9"/>
      <x v="9"/>
    </i>
    <i r="4">
      <x v="11"/>
      <x v="9"/>
    </i>
    <i r="3">
      <x v="48"/>
    </i>
    <i r="4">
      <x v="2"/>
      <x v="9"/>
    </i>
    <i r="4">
      <x v="3"/>
      <x v="30"/>
    </i>
    <i r="4">
      <x v="5"/>
      <x v="9"/>
    </i>
    <i r="4">
      <x v="7"/>
      <x v="9"/>
    </i>
    <i r="4">
      <x v="9"/>
      <x v="9"/>
    </i>
    <i r="4">
      <x v="11"/>
      <x v="9"/>
    </i>
    <i t="blank" r="2">
      <x v="13"/>
    </i>
    <i r="2">
      <x v="19"/>
    </i>
    <i r="3">
      <x v="35"/>
    </i>
    <i r="4">
      <x/>
      <x v="30"/>
    </i>
    <i r="4">
      <x v="2"/>
      <x v="9"/>
    </i>
    <i r="4">
      <x v="5"/>
      <x v="9"/>
    </i>
    <i r="4">
      <x v="7"/>
      <x v="9"/>
    </i>
    <i r="4">
      <x v="9"/>
      <x v="9"/>
    </i>
    <i r="3">
      <x v="47"/>
    </i>
    <i r="4">
      <x/>
      <x v="30"/>
    </i>
    <i r="4">
      <x v="1"/>
      <x v="9"/>
    </i>
    <i r="4">
      <x v="2"/>
      <x v="9"/>
    </i>
    <i r="4">
      <x v="5"/>
      <x v="9"/>
    </i>
    <i r="4">
      <x v="7"/>
      <x v="9"/>
    </i>
    <i r="4">
      <x v="9"/>
      <x v="9"/>
    </i>
    <i t="blank" r="2">
      <x v="19"/>
    </i>
    <i>
      <x v="5"/>
      <x v="5"/>
    </i>
    <i r="2">
      <x v="5"/>
    </i>
    <i r="3">
      <x v="7"/>
    </i>
    <i r="4">
      <x v="2"/>
      <x v="9"/>
    </i>
    <i r="4">
      <x v="7"/>
      <x v="9"/>
    </i>
    <i r="3">
      <x v="15"/>
    </i>
    <i r="4">
      <x v="2"/>
      <x v="9"/>
    </i>
    <i r="4">
      <x v="7"/>
      <x v="9"/>
    </i>
    <i r="3">
      <x v="18"/>
    </i>
    <i r="4">
      <x v="2"/>
      <x v="9"/>
    </i>
    <i t="blank" r="2">
      <x v="5"/>
    </i>
    <i r="2">
      <x v="11"/>
    </i>
    <i r="3">
      <x v="5"/>
    </i>
    <i r="4">
      <x v="2"/>
      <x v="3"/>
    </i>
    <i r="4">
      <x v="3"/>
      <x v="30"/>
    </i>
    <i r="4">
      <x v="5"/>
      <x v="9"/>
    </i>
    <i r="4">
      <x v="7"/>
      <x v="3"/>
    </i>
    <i r="4">
      <x v="8"/>
      <x v="30"/>
    </i>
    <i r="4">
      <x v="10"/>
      <x v="9"/>
    </i>
    <i r="3">
      <x v="14"/>
    </i>
    <i r="4">
      <x v="2"/>
      <x v="9"/>
    </i>
    <i r="4">
      <x v="3"/>
      <x v="30"/>
    </i>
    <i r="4">
      <x v="5"/>
      <x v="9"/>
    </i>
    <i r="4">
      <x v="7"/>
      <x v="9"/>
    </i>
    <i r="4">
      <x v="8"/>
      <x v="30"/>
    </i>
    <i r="3">
      <x v="22"/>
    </i>
    <i r="4">
      <x v="2"/>
      <x v="9"/>
    </i>
    <i r="4">
      <x v="7"/>
      <x v="9"/>
    </i>
    <i t="blank" r="2">
      <x v="11"/>
    </i>
    <i r="2">
      <x v="15"/>
    </i>
    <i r="3">
      <x v="11"/>
    </i>
    <i r="4">
      <x/>
      <x v="30"/>
    </i>
    <i r="4">
      <x v="2"/>
      <x v="9"/>
    </i>
    <i r="4">
      <x v="3"/>
      <x v="30"/>
    </i>
    <i r="4">
      <x v="5"/>
      <x v="9"/>
    </i>
    <i r="4">
      <x v="6"/>
      <x v="9"/>
    </i>
    <i r="4">
      <x v="7"/>
      <x v="9"/>
    </i>
    <i r="4">
      <x v="8"/>
      <x v="30"/>
    </i>
    <i r="4">
      <x v="10"/>
      <x v="9"/>
    </i>
    <i r="3">
      <x v="19"/>
    </i>
    <i r="4">
      <x/>
      <x v="30"/>
    </i>
    <i r="4">
      <x v="2"/>
      <x v="9"/>
    </i>
    <i r="4">
      <x v="3"/>
      <x v="30"/>
    </i>
    <i r="4">
      <x v="6"/>
      <x v="9"/>
    </i>
    <i r="4">
      <x v="7"/>
      <x v="9"/>
    </i>
    <i r="4">
      <x v="8"/>
      <x v="30"/>
    </i>
    <i r="4">
      <x v="10"/>
      <x v="9"/>
    </i>
    <i r="3">
      <x v="36"/>
    </i>
    <i r="4">
      <x v="2"/>
      <x v="9"/>
    </i>
    <i r="4">
      <x v="7"/>
      <x v="9"/>
    </i>
    <i t="blank" r="2">
      <x v="15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Jrs" fld="10" baseField="0" baseItem="0"/>
    <dataField name="Personnel" fld="12" baseField="1" baseItem="0" numFmtId="164"/>
    <dataField name="Achat" fld="16" baseField="1" baseItem="0" numFmtId="165"/>
    <dataField name="TOTAL" fld="17" baseField="1" baseItem="0" numFmtId="165"/>
    <dataField name="Elligible" fld="18" baseField="2" baseItem="2" numFmtId="165"/>
    <dataField name="Sub. Possible" fld="19" baseField="2" baseItem="2" numFmtId="165"/>
  </dataFields>
  <formats count="23">
    <format dxfId="144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43">
      <pivotArea dataOnly="0" labelOnly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42">
      <pivotArea collapsedLevelsAreSubtotals="1" fieldPosition="0">
        <references count="1">
          <reference field="0" count="1">
            <x v="0"/>
          </reference>
        </references>
      </pivotArea>
    </format>
    <format dxfId="141">
      <pivotArea collapsedLevelsAreSubtotals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40">
      <pivotArea dataOnly="0" labelOnly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39">
      <pivotArea collapsedLevelsAreSubtotals="1" fieldPosition="0">
        <references count="1">
          <reference field="0" count="1">
            <x v="0"/>
          </reference>
        </references>
      </pivotArea>
    </format>
    <format dxfId="138">
      <pivotArea collapsedLevelsAreSubtotals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37">
      <pivotArea dataOnly="0" labelOnly="1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36">
      <pivotArea outline="0" collapsedLevelsAreSubtotals="1" fieldPosition="0"/>
    </format>
    <format dxfId="135">
      <pivotArea dataOnly="0" labelOnly="1" fieldPosition="0">
        <references count="1">
          <reference field="0" count="6">
            <x v="0"/>
            <x v="1"/>
            <x v="2"/>
            <x v="3"/>
            <x v="4"/>
            <x v="5"/>
          </reference>
        </references>
      </pivotArea>
    </format>
    <format dxfId="134">
      <pivotArea dataOnly="0" labelOnly="1" grandRow="1" outline="0" fieldPosition="0"/>
    </format>
    <format dxfId="133">
      <pivotArea outline="0" collapsedLevelsAreSubtotals="1" fieldPosition="0"/>
    </format>
    <format dxfId="132">
      <pivotArea dataOnly="0" labelOnly="1" fieldPosition="0">
        <references count="1">
          <reference field="0" count="6">
            <x v="0"/>
            <x v="1"/>
            <x v="2"/>
            <x v="3"/>
            <x v="4"/>
            <x v="5"/>
          </reference>
        </references>
      </pivotArea>
    </format>
    <format dxfId="131">
      <pivotArea dataOnly="0" labelOnly="1" grandRow="1" outline="0" fieldPosition="0"/>
    </format>
    <format dxfId="130">
      <pivotArea outline="0" collapsedLevelsAreSubtotals="1" fieldPosition="0"/>
    </format>
    <format dxfId="129">
      <pivotArea dataOnly="0" labelOnly="1" fieldPosition="0">
        <references count="1">
          <reference field="0" count="6">
            <x v="0"/>
            <x v="1"/>
            <x v="2"/>
            <x v="3"/>
            <x v="4"/>
            <x v="5"/>
          </reference>
        </references>
      </pivotArea>
    </format>
    <format dxfId="128">
      <pivotArea dataOnly="0" labelOnly="1" grandRow="1" outline="0" fieldPosition="0"/>
    </format>
    <format dxfId="127">
      <pivotArea outline="0" collapsedLevelsAreSubtotals="1" fieldPosition="0"/>
    </format>
    <format dxfId="126">
      <pivotArea dataOnly="0" labelOnly="1" fieldPosition="0">
        <references count="1">
          <reference field="0" count="6">
            <x v="0"/>
            <x v="1"/>
            <x v="2"/>
            <x v="3"/>
            <x v="4"/>
            <x v="5"/>
          </reference>
        </references>
      </pivotArea>
    </format>
    <format dxfId="125">
      <pivotArea dataOnly="0" labelOnly="1" grandRow="1" outline="0" fieldPosition="0"/>
    </format>
    <format dxfId="124">
      <pivotArea outline="0" collapsedLevelsAreSubtotals="1" fieldPosition="0"/>
    </format>
    <format dxfId="123">
      <pivotArea dataOnly="0" labelOnly="1" fieldPosition="0">
        <references count="1">
          <reference field="0" count="6">
            <x v="0"/>
            <x v="1"/>
            <x v="2"/>
            <x v="3"/>
            <x v="4"/>
            <x v="5"/>
          </reference>
        </references>
      </pivotArea>
    </format>
    <format dxfId="122">
      <pivotArea collapsedLevelsAreSubtotals="1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</formats>
  <pivotTableStyleInfo name="PivotStyleMedium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42E45FF1-DCBF-4E80-9EF5-97D9B68EF32D}" autoFormatId="16" applyNumberFormats="0" applyBorderFormats="0" applyFontFormats="0" applyPatternFormats="0" applyAlignmentFormats="0" applyWidthHeightFormats="0">
  <queryTableRefresh nextId="21">
    <queryTableFields count="20">
      <queryTableField id="1" name="N° Lot" tableColumnId="1"/>
      <queryTableField id="2" name="Lot" tableColumnId="2"/>
      <queryTableField id="3" name="Tâche" tableColumnId="3"/>
      <queryTableField id="4" name="S/Tâche" tableColumnId="4"/>
      <queryTableField id="5" name="Observations" tableColumnId="5"/>
      <queryTableField id="6" name="Partenaires" tableColumnId="6"/>
      <queryTableField id="7" name="Tx Charge Connexe" tableColumnId="7"/>
      <queryTableField id="8" name="Tx Sub" tableColumnId="8"/>
      <queryTableField id="9" name="P Type" tableColumnId="9"/>
      <queryTableField id="10" name="Eligible" tableColumnId="10"/>
      <queryTableField id="11" name="P Qu" tableColumnId="11"/>
      <queryTableField id="12" name="P PU" tableColumnId="12"/>
      <queryTableField id="13" name="P CT" tableColumnId="13"/>
      <queryTableField id="14" name="ACh Type" tableColumnId="14"/>
      <queryTableField id="15" name="ACh Qu" tableColumnId="15"/>
      <queryTableField id="16" name="ACh PU" tableColumnId="16"/>
      <queryTableField id="17" name="ACh CT" tableColumnId="17"/>
      <queryTableField id="18" name="Ct TOTAL" tableColumnId="18"/>
      <queryTableField id="19" name="Mt Elligible" tableColumnId="19"/>
      <queryTableField id="20" name="Sub Possible" tableColumnId="2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Lot" xr10:uid="{8CF41508-442E-42F2-A676-3F8EEA998244}" sourceName="N° Lot">
  <pivotTables>
    <pivotTable tabId="16" name="Tableau croisé dynamique1"/>
  </pivotTables>
  <data>
    <tabular pivotCacheId="353517954">
      <items count="6">
        <i x="0" s="1"/>
        <i x="1" s="1"/>
        <i x="2" s="1"/>
        <i x="3" s="1"/>
        <i x="4" s="1"/>
        <i x="5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enaires" xr10:uid="{29AD9E24-9DF1-4083-97F0-9957B9D0129D}" sourceName="Partenaires">
  <pivotTables>
    <pivotTable tabId="16" name="Tableau croisé dynamique1"/>
  </pivotTables>
  <data>
    <tabular pivotCacheId="353517954">
      <items count="12">
        <i x="0" s="1"/>
        <i x="10" s="1"/>
        <i x="1" s="1"/>
        <i x="2" s="1"/>
        <i x="3" s="1"/>
        <i x="4" s="1"/>
        <i x="5" s="1"/>
        <i x="6" s="1"/>
        <i x="7" s="1"/>
        <i x="8" s="1"/>
        <i x="9" s="1"/>
        <i x="1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enaires1" xr10:uid="{0506AC50-6776-4E75-BA27-D031BFBACA41}" sourceName="Partenaires">
  <pivotTables>
    <pivotTable tabId="15" name="Tableau croisé dynamique1"/>
  </pivotTables>
  <data>
    <tabular pivotCacheId="353517954">
      <items count="12">
        <i x="0" s="1"/>
        <i x="10" s="1"/>
        <i x="1" s="1"/>
        <i x="2" s="1"/>
        <i x="3" s="1"/>
        <i x="4" s="1"/>
        <i x="5" s="1"/>
        <i x="6" s="1"/>
        <i x="7" s="1"/>
        <i x="8" s="1"/>
        <i x="9" s="1"/>
        <i x="11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tenaires2" xr10:uid="{250DD338-5018-42BD-8234-52BE2F881944}" sourceName="Partenaires">
  <pivotTables>
    <pivotTable tabId="15" name="Tableau croisé dynamique3"/>
  </pivotTables>
  <data>
    <tabular pivotCacheId="353517954">
      <items count="12">
        <i x="0" s="1"/>
        <i x="10" s="1"/>
        <i x="1" s="1"/>
        <i x="2" s="1"/>
        <i x="3" s="1"/>
        <i x="4" s="1"/>
        <i x="5" s="1"/>
        <i x="6" s="1"/>
        <i x="7" s="1"/>
        <i x="8" s="1"/>
        <i x="9" s="1"/>
        <i x="11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Lot1" xr10:uid="{E4A548CB-F731-41F9-A3B1-176111A93D5E}" sourceName="N° Lot">
  <pivotTables>
    <pivotTable tabId="15" name="Tableau croisé dynamique1"/>
  </pivotTables>
  <data>
    <tabular pivotCacheId="353517954">
      <items count="6">
        <i x="0" s="1"/>
        <i x="1" s="1"/>
        <i x="2" s="1"/>
        <i x="3" s="1"/>
        <i x="4" s="1"/>
        <i x="5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Lot2" xr10:uid="{C09814A1-6058-40D0-A82B-42987239303F}" sourceName="N° Lot">
  <pivotTables>
    <pivotTable tabId="16" name="Tableau croisé dynamique4"/>
  </pivotTables>
  <data>
    <tabular pivotCacheId="353517954">
      <items count="6">
        <i x="0" s="1"/>
        <i x="1" s="1"/>
        <i x="2" s="1"/>
        <i x="3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° Lot" xr10:uid="{216C8742-02F8-42A6-A70D-B91CE7FD3312}" cache="Segment_N°_Lot" caption="N° Lot" columnCount="3" style="SlicerStyleLight4" rowHeight="241300"/>
  <slicer name="Partenaires" xr10:uid="{D9552DCB-9CC0-46C7-8E45-2A31D380E767}" cache="Segment_Partenaires" caption="Partenaires" columnCount="5" style="SlicerStyleLight2" rowHeight="241300"/>
  <slicer name="N° Lot 2" xr10:uid="{8FD469C6-B925-45CC-93D9-AE5637D91589}" cache="Segment_N°_Lot2" caption="N° Lot" columnCount="3" style="SlicerStyleLight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tenaires 1" xr10:uid="{4CA5FA2F-4E38-434D-90B2-9A5C36FD3282}" cache="Segment_Partenaires1" caption="Partenaires" columnCount="5" style="SlicerStyleLight2" rowHeight="241300"/>
  <slicer name="Partenaires 2" xr10:uid="{0FD33435-F2C0-4C05-9A40-61A38BCC9115}" cache="Segment_Partenaires2" caption="Partenaires" columnCount="6" style="SlicerStyleLight2" rowHeight="241300"/>
  <slicer name="N° Lot 1" xr10:uid="{6BC24BA5-53C0-42C1-9593-3BC491E66EC6}" cache="Segment_N°_Lot1" caption="N° Lot" columnCount="3" style="SlicerStyleLight4" rowHeight="241300"/>
</slicer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AFDB3E9-315D-4083-8F47-99952D407476}" name="T_1" displayName="T_1" ref="A2:T40" totalsRowShown="0" headerRowDxfId="325" dataDxfId="324">
  <autoFilter ref="A2:T40" xr:uid="{00000000-0009-0000-0100-00000C000000}"/>
  <sortState xmlns:xlrd2="http://schemas.microsoft.com/office/spreadsheetml/2017/richdata2" ref="A3:T39">
    <sortCondition ref="F2:F39"/>
  </sortState>
  <tableColumns count="20">
    <tableColumn id="1" xr3:uid="{7EEABAD1-0766-4156-804E-3B95BDA9215D}" name="N° Lot" dataDxfId="323">
      <calculatedColumnFormula>A$1</calculatedColumnFormula>
    </tableColumn>
    <tableColumn id="2" xr3:uid="{1B4FF0A3-6A50-45CE-BB93-A94B715FE729}" name="Lot" dataDxfId="322">
      <calculatedColumnFormula>_xlfn.XLOOKUP(T_1[[#This Row],[N° Lot]],Tableau4[NoLot],Tableau4[Lot])</calculatedColumnFormula>
    </tableColumn>
    <tableColumn id="3" xr3:uid="{BA2B6F43-8652-439E-BBA5-53C9FEC38F69}" name="Tâche" dataDxfId="321"/>
    <tableColumn id="4" xr3:uid="{2ABFFDD3-48AF-4027-8E11-7D63F3F67270}" name="S/Tâche" dataDxfId="320"/>
    <tableColumn id="5" xr3:uid="{3C63165E-ECDC-49FD-8F54-C459F9A43A53}" name="Observations" dataDxfId="319"/>
    <tableColumn id="6" xr3:uid="{656CC699-9887-42B3-B933-EDEBEAEC7717}" name="Partenaires" dataDxfId="318"/>
    <tableColumn id="16" xr3:uid="{9504A847-54E7-4F4A-BC00-B347EAF11A8D}" name="Tx Charge Connexe" dataDxfId="317" dataCellStyle="Pourcentage">
      <calculatedColumnFormula>_xlfn.XLOOKUP(T_1[[#This Row],[Partenaires]],Partenaires2[Partenaire],Partenaires2[Tx Ch Connexe])</calculatedColumnFormula>
    </tableColumn>
    <tableColumn id="18" xr3:uid="{2DC9E388-12BD-4D95-81FD-F8821C4CD04C}" name="Tx Sub" dataDxfId="316" dataCellStyle="Pourcentage">
      <calculatedColumnFormula>_xlfn.XLOOKUP(T_1[[#This Row],[Partenaires]],Partenaires2[Partenaire],Partenaires2[Tx Sub])</calculatedColumnFormula>
    </tableColumn>
    <tableColumn id="7" xr3:uid="{F15B39EF-1315-4DC4-BE97-175978CD5B65}" name="P Type" dataDxfId="315"/>
    <tableColumn id="17" xr3:uid="{600655A5-273D-4DBE-A8A7-2AC35342C86D}" name="Eligible" dataDxfId="314"/>
    <tableColumn id="8" xr3:uid="{F9D4C9CC-D84B-4EB1-A264-C31A969C5E2B}" name="P Qu" dataDxfId="313" dataCellStyle="Milliers"/>
    <tableColumn id="9" xr3:uid="{D6C930BC-888C-46F9-B202-8F8930802B47}" name="P PU" dataDxfId="312" dataCellStyle="Monétaire"/>
    <tableColumn id="10" xr3:uid="{547FEB5A-8910-453E-98BA-369157C3A6E9}" name="P CT" dataDxfId="311" dataCellStyle="Monétaire">
      <calculatedColumnFormula>T_1[[#This Row],[P Qu]]*T_1[[#This Row],[P PU]]</calculatedColumnFormula>
    </tableColumn>
    <tableColumn id="11" xr3:uid="{E039C245-0CA0-4423-A0DA-817F479D9CF3}" name="ACh Type" dataDxfId="310"/>
    <tableColumn id="12" xr3:uid="{4127473B-E8EC-4A10-BB5A-7CAE80EE3784}" name="ACh Qu" dataDxfId="309" dataCellStyle="Milliers"/>
    <tableColumn id="13" xr3:uid="{94FC0FFF-32F4-40AD-BFCB-39653014EF33}" name="ACh PU" dataDxfId="308" dataCellStyle="Milliers"/>
    <tableColumn id="14" xr3:uid="{A6BF6E8C-77BB-47BB-99D6-E51881B95E32}" name="ACh CT" dataDxfId="307" dataCellStyle="Monétaire">
      <calculatedColumnFormula>T_1[[#This Row],[ACh Qu]]*T_1[[#This Row],[ACh PU]]</calculatedColumnFormula>
    </tableColumn>
    <tableColumn id="15" xr3:uid="{04B867F6-AC2D-4C94-AAAF-597B95865FD5}" name="Ct TOTAL" dataDxfId="306" dataCellStyle="Monétaire">
      <calculatedColumnFormula>T_1[[#This Row],[P CT]]+T_1[[#This Row],[ACh CT]]</calculatedColumnFormula>
    </tableColumn>
    <tableColumn id="19" xr3:uid="{41930121-695B-43B7-ADF9-B428A6B4A1B0}" name="Mt Elligible" dataDxfId="305" dataCellStyle="Monétaire">
      <calculatedColumnFormula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calculatedColumnFormula>
    </tableColumn>
    <tableColumn id="20" xr3:uid="{1D3247D5-745C-4F63-B0C2-3B5AA9B85B68}" name="Sub Possible" dataDxfId="304" dataCellStyle="Monétaire">
      <calculatedColumnFormula>T_1[[#This Row],[Mt Elligible]]*T_1[[#This Row],[Tx Sub]]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0000000}" name="T_2" displayName="T_2" ref="A2:T80" totalsRowShown="0" headerRowDxfId="303" dataDxfId="302">
  <autoFilter ref="A2:T80" xr:uid="{00000000-0009-0000-0100-00000C000000}"/>
  <sortState xmlns:xlrd2="http://schemas.microsoft.com/office/spreadsheetml/2017/richdata2" ref="A3:T73">
    <sortCondition ref="F2:F73"/>
  </sortState>
  <tableColumns count="20">
    <tableColumn id="1" xr3:uid="{00000000-0010-0000-0000-000001000000}" name="N° Lot" dataDxfId="301">
      <calculatedColumnFormula>A$1</calculatedColumnFormula>
    </tableColumn>
    <tableColumn id="2" xr3:uid="{00000000-0010-0000-0000-000002000000}" name="Lot" dataDxfId="300">
      <calculatedColumnFormula>_xlfn.XLOOKUP(T_2[[#This Row],[N° Lot]],Tableau4[NoLot],Tableau4[Lot])</calculatedColumnFormula>
    </tableColumn>
    <tableColumn id="3" xr3:uid="{00000000-0010-0000-0000-000003000000}" name="Tâche" dataDxfId="299"/>
    <tableColumn id="4" xr3:uid="{00000000-0010-0000-0000-000004000000}" name="S/Tâche" dataDxfId="298"/>
    <tableColumn id="5" xr3:uid="{00000000-0010-0000-0000-000005000000}" name="Observations" dataDxfId="297"/>
    <tableColumn id="6" xr3:uid="{00000000-0010-0000-0000-000006000000}" name="Partenaires" dataDxfId="296"/>
    <tableColumn id="17" xr3:uid="{D908DB5A-83A2-4F3D-94AB-6668A3C6812A}" name="Tx Charge Connexe" dataDxfId="295">
      <calculatedColumnFormula>_xlfn.XLOOKUP(T_2[[#This Row],[Partenaires]],Partenaires2[Partenaire],Partenaires2[Tx Ch Connexe])</calculatedColumnFormula>
    </tableColumn>
    <tableColumn id="16" xr3:uid="{ECA07387-77FC-4D00-8D4D-A9E2A638EAFD}" name="Tx Sub" dataDxfId="294">
      <calculatedColumnFormula>_xlfn.XLOOKUP(T_2[[#This Row],[Partenaires]],Partenaires2[Partenaire],Partenaires2[Tx Sub])</calculatedColumnFormula>
    </tableColumn>
    <tableColumn id="7" xr3:uid="{00000000-0010-0000-0000-000007000000}" name="P Type" dataDxfId="293"/>
    <tableColumn id="18" xr3:uid="{BBEC1CEA-C552-4C43-A76D-989A94E859C7}" name="Eligible" dataDxfId="292"/>
    <tableColumn id="8" xr3:uid="{00000000-0010-0000-0000-000008000000}" name="P Qu" dataDxfId="291" dataCellStyle="Milliers"/>
    <tableColumn id="9" xr3:uid="{00000000-0010-0000-0000-000009000000}" name="P PU" dataDxfId="290" dataCellStyle="Monétaire"/>
    <tableColumn id="10" xr3:uid="{00000000-0010-0000-0000-00000A000000}" name="P CT" dataDxfId="289" dataCellStyle="Monétaire">
      <calculatedColumnFormula>T_2[[#This Row],[P Qu]]*T_2[[#This Row],[P PU]]</calculatedColumnFormula>
    </tableColumn>
    <tableColumn id="11" xr3:uid="{00000000-0010-0000-0000-00000B000000}" name="ACh Type" dataDxfId="288"/>
    <tableColumn id="12" xr3:uid="{00000000-0010-0000-0000-00000C000000}" name="ACh Qu" dataDxfId="287" dataCellStyle="Milliers"/>
    <tableColumn id="13" xr3:uid="{00000000-0010-0000-0000-00000D000000}" name="ACh PU" dataDxfId="286" dataCellStyle="Monétaire"/>
    <tableColumn id="14" xr3:uid="{00000000-0010-0000-0000-00000E000000}" name="ACh CT" dataDxfId="285" dataCellStyle="Monétaire">
      <calculatedColumnFormula>T_2[[#This Row],[ACh Qu]]*T_2[[#This Row],[ACh PU]]</calculatedColumnFormula>
    </tableColumn>
    <tableColumn id="15" xr3:uid="{00000000-0010-0000-0000-00000F000000}" name="Ct TOTAL" dataDxfId="284" dataCellStyle="Monétaire">
      <calculatedColumnFormula>T_2[[#This Row],[P CT]]+T_2[[#This Row],[ACh CT]]</calculatedColumnFormula>
    </tableColumn>
    <tableColumn id="19" xr3:uid="{A5550A73-00F7-4F03-B76B-E33919926396}" name="Mt Elligible" dataDxfId="283">
      <calculatedColumnFormula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calculatedColumnFormula>
    </tableColumn>
    <tableColumn id="20" xr3:uid="{FCA91458-C5A5-462B-9988-C3455642C0BF}" name="Sub Possible" dataDxfId="282">
      <calculatedColumnFormula>T_2[[#This Row],[Mt Elligible]]*T_2[[#This Row],[Tx Sub]]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3" displayName="T_3" ref="A2:T87" headerRowDxfId="281" dataDxfId="280" totalsRowDxfId="279">
  <autoFilter ref="A2:T87" xr:uid="{00000000-0009-0000-0100-000001000000}">
    <filterColumn colId="5">
      <filters>
        <filter val="BioBuild Concept"/>
        <filter val="UniLaSalle"/>
      </filters>
    </filterColumn>
  </autoFilter>
  <sortState xmlns:xlrd2="http://schemas.microsoft.com/office/spreadsheetml/2017/richdata2" ref="A4:T38">
    <sortCondition ref="F2:F77"/>
  </sortState>
  <tableColumns count="20">
    <tableColumn id="1" xr3:uid="{00000000-0010-0000-0100-000001000000}" name="N° Lot" totalsRowLabel="Total" dataDxfId="278" totalsRowDxfId="277">
      <calculatedColumnFormula>A$1</calculatedColumnFormula>
    </tableColumn>
    <tableColumn id="2" xr3:uid="{00000000-0010-0000-0100-000002000000}" name="Lot" dataDxfId="276" totalsRowDxfId="275">
      <calculatedColumnFormula>_xlfn.XLOOKUP(T_3[[#This Row],[N° Lot]],Tableau4[NoLot],Tableau4[Lot])</calculatedColumnFormula>
    </tableColumn>
    <tableColumn id="3" xr3:uid="{00000000-0010-0000-0100-000003000000}" name="Tâche" dataDxfId="274" totalsRowDxfId="273"/>
    <tableColumn id="4" xr3:uid="{00000000-0010-0000-0100-000004000000}" name="S/Tâche" dataDxfId="272" totalsRowDxfId="271"/>
    <tableColumn id="5" xr3:uid="{00000000-0010-0000-0100-000005000000}" name="Observations" dataDxfId="270" totalsRowDxfId="269"/>
    <tableColumn id="6" xr3:uid="{00000000-0010-0000-0100-000006000000}" name="Partenaires" dataDxfId="268" totalsRowDxfId="267"/>
    <tableColumn id="17" xr3:uid="{A25D5674-C446-4676-B328-DD0034D5AA6C}" name="Tx Charge Connexe" dataDxfId="266">
      <calculatedColumnFormula>_xlfn.XLOOKUP(T_3[[#This Row],[Partenaires]],Partenaires2[Partenaire],Partenaires2[Tx Ch Connexe])</calculatedColumnFormula>
    </tableColumn>
    <tableColumn id="16" xr3:uid="{E75F8F5C-894B-4149-ABD6-870ECDD1FFCE}" name="Tx Sub" dataDxfId="265" totalsRowDxfId="264">
      <calculatedColumnFormula>_xlfn.XLOOKUP(T_3[[#This Row],[Partenaires]],Partenaires2[Partenaire],Partenaires2[Tx Sub])</calculatedColumnFormula>
    </tableColumn>
    <tableColumn id="7" xr3:uid="{00000000-0010-0000-0100-000007000000}" name="P Type" dataDxfId="263" totalsRowDxfId="262"/>
    <tableColumn id="21" xr3:uid="{8FD55206-9392-4515-9A40-F7582E05B5B9}" name="Eligible" dataDxfId="261" totalsRowDxfId="260"/>
    <tableColumn id="8" xr3:uid="{00000000-0010-0000-0100-000008000000}" name="P Qu" dataDxfId="259" totalsRowDxfId="258" dataCellStyle="Milliers"/>
    <tableColumn id="9" xr3:uid="{00000000-0010-0000-0100-000009000000}" name="P PU" dataDxfId="257" totalsRowDxfId="256" dataCellStyle="Monétaire"/>
    <tableColumn id="10" xr3:uid="{00000000-0010-0000-0100-00000A000000}" name="P CT" totalsRowFunction="sum" dataDxfId="255" totalsRowDxfId="254" dataCellStyle="Monétaire">
      <calculatedColumnFormula>T_3[[#This Row],[P Qu]]*T_3[[#This Row],[P PU]]</calculatedColumnFormula>
    </tableColumn>
    <tableColumn id="11" xr3:uid="{00000000-0010-0000-0100-00000B000000}" name="ACh Type" dataDxfId="253" totalsRowDxfId="252"/>
    <tableColumn id="12" xr3:uid="{00000000-0010-0000-0100-00000C000000}" name="ACh Qu" dataDxfId="251" totalsRowDxfId="250" dataCellStyle="Milliers"/>
    <tableColumn id="13" xr3:uid="{00000000-0010-0000-0100-00000D000000}" name="ACh PU" dataDxfId="249" totalsRowDxfId="248" dataCellStyle="Monétaire"/>
    <tableColumn id="14" xr3:uid="{00000000-0010-0000-0100-00000E000000}" name="ACh CT" totalsRowFunction="sum" dataDxfId="247" totalsRowDxfId="246" dataCellStyle="Monétaire">
      <calculatedColumnFormula>T_3[[#This Row],[ACh Qu]]*T_3[[#This Row],[ACh PU]]</calculatedColumnFormula>
    </tableColumn>
    <tableColumn id="15" xr3:uid="{00000000-0010-0000-0100-00000F000000}" name="Ct TOTAL" totalsRowFunction="sum" dataDxfId="245" totalsRowDxfId="244" dataCellStyle="Monétaire">
      <calculatedColumnFormula>T_3[[#This Row],[P CT]]+T_3[[#This Row],[ACh CT]]</calculatedColumnFormula>
    </tableColumn>
    <tableColumn id="19" xr3:uid="{C0AB9AC8-416E-436B-B16A-1059B40D5963}" name="Mt Elligible" dataDxfId="243" totalsRowDxfId="242">
      <calculatedColumnFormula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calculatedColumnFormula>
    </tableColumn>
    <tableColumn id="20" xr3:uid="{4EE53CDA-2705-4796-80D3-C37695301A52}" name="Sub Possible" dataDxfId="241" totalsRowDxfId="240">
      <calculatedColumnFormula>T_3[[#This Row],[Mt Elligible]]*T_3[[#This Row],[Tx Sub]]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1481F5A-6072-4C03-A9E5-B912E0743F11}" name="T_4" displayName="T_4" ref="A2:T69" headerRowDxfId="239" dataDxfId="238">
  <autoFilter ref="A2:T69" xr:uid="{00000000-0009-0000-0100-00000C000000}">
    <filterColumn colId="5">
      <filters>
        <filter val="IP-UCA"/>
      </filters>
    </filterColumn>
  </autoFilter>
  <sortState xmlns:xlrd2="http://schemas.microsoft.com/office/spreadsheetml/2017/richdata2" ref="A3:T22">
    <sortCondition ref="F2:F62"/>
  </sortState>
  <tableColumns count="20">
    <tableColumn id="1" xr3:uid="{B85A997C-78E3-4507-AA9B-8376F2B8CD83}" name="N° Lot" dataDxfId="237" totalsRowDxfId="236">
      <calculatedColumnFormula>A$1</calculatedColumnFormula>
    </tableColumn>
    <tableColumn id="2" xr3:uid="{0CFA7448-79D3-47B3-BAB1-B1B37008821F}" name="Lot" dataDxfId="235" totalsRowDxfId="234">
      <calculatedColumnFormula>_xlfn.XLOOKUP(T_4[[#This Row],[N° Lot]],Tableau4[NoLot],Tableau4[Lot])</calculatedColumnFormula>
    </tableColumn>
    <tableColumn id="3" xr3:uid="{6EBBC537-E08B-426D-9E89-1E746A7A053A}" name="Tâche" dataDxfId="233" totalsRowDxfId="232"/>
    <tableColumn id="4" xr3:uid="{B83F24D3-41AA-4BD8-9608-0E2E1EE0493A}" name="S/Tâche" dataDxfId="231" totalsRowDxfId="230"/>
    <tableColumn id="5" xr3:uid="{EC9A3456-E157-4565-A319-FF0EE793B8DE}" name="Observations" dataDxfId="229" totalsRowDxfId="228"/>
    <tableColumn id="6" xr3:uid="{5BD73BD6-5180-44E0-947F-8EF6C0129187}" name="Partenaires" dataDxfId="227" totalsRowDxfId="226"/>
    <tableColumn id="17" xr3:uid="{D827D4D1-60D2-4EC8-9681-39B18BC2AE7C}" name="Tx Charge Connexe" dataDxfId="225" totalsRowDxfId="224">
      <calculatedColumnFormula>_xlfn.XLOOKUP(T_4[[#This Row],[Partenaires]],Partenaires2[Partenaire],Partenaires2[Tx Ch Connexe])</calculatedColumnFormula>
    </tableColumn>
    <tableColumn id="16" xr3:uid="{DBE824A3-0413-42C4-88F8-D66C32397971}" name="Tx Sub" dataDxfId="223" totalsRowDxfId="222">
      <calculatedColumnFormula>_xlfn.XLOOKUP(T_4[[#This Row],[Partenaires]],Partenaires2[Partenaire],Partenaires2[Tx Sub])</calculatedColumnFormula>
    </tableColumn>
    <tableColumn id="7" xr3:uid="{37700576-A607-40CC-92CF-69C48E947FF8}" name="P Type" dataDxfId="221" totalsRowDxfId="220"/>
    <tableColumn id="18" xr3:uid="{99D0C9A2-B485-4DBE-B89C-17F61CF06392}" name="Eligible" dataDxfId="219" totalsRowDxfId="218"/>
    <tableColumn id="8" xr3:uid="{3FCFE0FA-0EE0-4787-8AA0-D7D0525BDD6B}" name="P Qu" dataDxfId="217" totalsRowDxfId="216" dataCellStyle="Milliers" totalsRowCellStyle="Milliers"/>
    <tableColumn id="9" xr3:uid="{BEAEEBCE-BC5D-4592-8875-E312EB820192}" name="P PU" dataDxfId="215" totalsRowDxfId="214" dataCellStyle="Monétaire" totalsRowCellStyle="Monétaire"/>
    <tableColumn id="10" xr3:uid="{87409BC1-B729-471B-A192-F9CBE727CF0E}" name="P CT" dataDxfId="213" totalsRowDxfId="212" dataCellStyle="Monétaire" totalsRowCellStyle="Monétaire">
      <calculatedColumnFormula>T_4[[#This Row],[P Qu]]*T_4[[#This Row],[P PU]]</calculatedColumnFormula>
    </tableColumn>
    <tableColumn id="11" xr3:uid="{B805A07E-13B7-4E60-AA95-74EFDC424E39}" name="ACh Type" dataDxfId="211" totalsRowDxfId="210"/>
    <tableColumn id="12" xr3:uid="{1F36A4F0-5288-4794-9C4D-6DA039EA020E}" name="ACh Qu" dataDxfId="209" totalsRowDxfId="208" dataCellStyle="Milliers" totalsRowCellStyle="Milliers"/>
    <tableColumn id="13" xr3:uid="{131E75F2-9007-4141-93C2-F0E801D111CA}" name="ACh PU" dataDxfId="207" totalsRowDxfId="206" dataCellStyle="Monétaire" totalsRowCellStyle="Monétaire"/>
    <tableColumn id="14" xr3:uid="{AFFB5766-E949-444C-A624-E703D48C5575}" name="ACh CT" dataDxfId="205" totalsRowDxfId="204" dataCellStyle="Monétaire" totalsRowCellStyle="Monétaire">
      <calculatedColumnFormula>T_4[[#This Row],[ACh Qu]]*T_4[[#This Row],[ACh PU]]</calculatedColumnFormula>
    </tableColumn>
    <tableColumn id="15" xr3:uid="{48998DCF-76E7-465C-AA00-4B3C56D09538}" name="Ct TOTAL" totalsRowFunction="sum" dataDxfId="203" totalsRowDxfId="202" dataCellStyle="Monétaire" totalsRowCellStyle="Monétaire">
      <calculatedColumnFormula>T_4[[#This Row],[P CT]]+T_4[[#This Row],[ACh CT]]</calculatedColumnFormula>
    </tableColumn>
    <tableColumn id="19" xr3:uid="{9358CA37-BD43-40AA-A223-21F9D809DD8F}" name="Mt Elligible" dataDxfId="201" totalsRowDxfId="200">
      <calculatedColumnFormula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calculatedColumnFormula>
    </tableColumn>
    <tableColumn id="20" xr3:uid="{30462DE4-AD80-44A9-BE4A-1D0EC46F4C87}" name="Sub Possible" dataDxfId="199" totalsRowDxfId="198">
      <calculatedColumnFormula>T_4[[#This Row],[Mt Elligible]]*T_4[[#This Row],[Tx Sub]]</calculatedColumnFormula>
    </tableColumn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949C1D6-15D9-4DD6-9360-B7434789206B}" name="T_5" displayName="T_5" ref="A2:T65" totalsRowShown="0" headerRowDxfId="197" dataDxfId="196">
  <autoFilter ref="A2:T65" xr:uid="{00000000-0009-0000-0100-00000C000000}">
    <filterColumn colId="5">
      <filters>
        <filter val="AKTA"/>
        <filter val="UniLaSalle"/>
      </filters>
    </filterColumn>
  </autoFilter>
  <sortState xmlns:xlrd2="http://schemas.microsoft.com/office/spreadsheetml/2017/richdata2" ref="A3:T34">
    <sortCondition ref="F2:F64"/>
  </sortState>
  <tableColumns count="20">
    <tableColumn id="1" xr3:uid="{1A06BC1B-1728-4E4B-A47D-CE836219D5AE}" name="N° Lot" dataDxfId="195">
      <calculatedColumnFormula>A$1</calculatedColumnFormula>
    </tableColumn>
    <tableColumn id="2" xr3:uid="{6DDA5131-B262-4A6F-BE43-AA3B4FFBC0C6}" name="Lot" dataDxfId="194">
      <calculatedColumnFormula>_xlfn.XLOOKUP(T_5[[#This Row],[N° Lot]],Tableau4[NoLot],Tableau4[Lot])</calculatedColumnFormula>
    </tableColumn>
    <tableColumn id="3" xr3:uid="{06AA299E-A927-4EA3-9031-A0A4AF2E2436}" name="Tâche" dataDxfId="193"/>
    <tableColumn id="4" xr3:uid="{D771F2B1-9A03-4076-B125-A92FA491AED0}" name="S/Tâche" dataDxfId="192"/>
    <tableColumn id="5" xr3:uid="{D8065F98-AA3D-473A-8910-671A4D176DFF}" name="Observations" dataDxfId="191"/>
    <tableColumn id="6" xr3:uid="{81FCBB44-BFF7-47A0-9E5C-528070F9A511}" name="Partenaires" dataDxfId="190"/>
    <tableColumn id="17" xr3:uid="{1634D40E-995A-432B-9365-770D1DEFC74E}" name="Tx Charge Connexe" dataDxfId="189">
      <calculatedColumnFormula>_xlfn.XLOOKUP(T_5[[#This Row],[Partenaires]],Partenaires2[Partenaire],Partenaires2[Tx Ch Connexe])</calculatedColumnFormula>
    </tableColumn>
    <tableColumn id="16" xr3:uid="{42C4E43B-0E31-4DB2-A110-F2CC6AA48BF5}" name="Tx Sub" dataDxfId="188">
      <calculatedColumnFormula>_xlfn.XLOOKUP(T_5[[#This Row],[Partenaires]],Partenaires2[Partenaire],Partenaires2[Tx Sub])</calculatedColumnFormula>
    </tableColumn>
    <tableColumn id="7" xr3:uid="{917DCC83-658C-4ED9-B57C-2096923475FD}" name="P Type" dataDxfId="187"/>
    <tableColumn id="18" xr3:uid="{66C74E88-8DC1-4C14-BBA1-E1E9563ECEB5}" name="Eligible" dataDxfId="186"/>
    <tableColumn id="8" xr3:uid="{429D6892-349C-47D1-852E-CE104D739BBB}" name="P Qu" dataDxfId="185" dataCellStyle="Milliers"/>
    <tableColumn id="9" xr3:uid="{2E66D7B8-FCD7-450E-88B3-6DCC3D22D5AB}" name="P PU" dataDxfId="184" dataCellStyle="Monétaire"/>
    <tableColumn id="10" xr3:uid="{6CC231D1-8F70-417C-8907-48D915EDBE9D}" name="P CT" dataDxfId="183" dataCellStyle="Monétaire">
      <calculatedColumnFormula>T_5[[#This Row],[P Qu]]*T_5[[#This Row],[P PU]]</calculatedColumnFormula>
    </tableColumn>
    <tableColumn id="11" xr3:uid="{DFECE92E-E669-4338-A01E-130A04C7D7B6}" name="ACh Type" dataDxfId="182"/>
    <tableColumn id="12" xr3:uid="{C2A56E52-B994-41F3-8171-C450548F3B2B}" name="ACh Qu" dataDxfId="181" dataCellStyle="Milliers"/>
    <tableColumn id="13" xr3:uid="{6153DFDF-0DF6-478A-8CC8-AF27E4F63FB4}" name="ACh PU" dataDxfId="180" dataCellStyle="Monétaire"/>
    <tableColumn id="14" xr3:uid="{A5FB56ED-01C1-4B22-A5C2-E981D1A45AFC}" name="ACh CT" dataDxfId="179" dataCellStyle="Monétaire">
      <calculatedColumnFormula>T_5[[#This Row],[ACh Qu]]*T_5[[#This Row],[ACh PU]]</calculatedColumnFormula>
    </tableColumn>
    <tableColumn id="15" xr3:uid="{D181CBBF-3050-49C5-8DB1-787F0484B7C9}" name="Ct TOTAL" dataDxfId="178" dataCellStyle="Monétaire">
      <calculatedColumnFormula>T_5[[#This Row],[P CT]]+T_5[[#This Row],[ACh CT]]</calculatedColumnFormula>
    </tableColumn>
    <tableColumn id="19" xr3:uid="{E8B09B67-B194-4B38-9845-C0C717470173}" name="Mt Elligible" dataDxfId="177">
      <calculatedColumnFormula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calculatedColumnFormula>
    </tableColumn>
    <tableColumn id="20" xr3:uid="{8F670B4D-FB2F-4AA3-ADE0-5A7257A0700D}" name="Sub Possible" dataDxfId="176">
      <calculatedColumnFormula>T_5[[#This Row],[Mt Elligible]]*T_5[[#This Row],[Tx Sub]]</calculatedColumnFormula>
    </tableColumn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F63963B-133F-4ED1-B22A-288DEFE9B708}" name="T_6" displayName="T_6" ref="A2:T64" totalsRowShown="0" headerRowDxfId="175" dataDxfId="174">
  <autoFilter ref="A2:T64" xr:uid="{00000000-0009-0000-0100-00000C000000}"/>
  <sortState xmlns:xlrd2="http://schemas.microsoft.com/office/spreadsheetml/2017/richdata2" ref="A3:T64">
    <sortCondition ref="F2:F64"/>
  </sortState>
  <tableColumns count="20">
    <tableColumn id="1" xr3:uid="{680FEF7B-6D3E-4E24-BE94-0A5B78412DB3}" name="N° Lot" dataDxfId="173">
      <calculatedColumnFormula>A$1</calculatedColumnFormula>
    </tableColumn>
    <tableColumn id="2" xr3:uid="{C3AA3DFF-2C91-4040-A993-32B41864113D}" name="Lot" dataDxfId="172">
      <calculatedColumnFormula>_xlfn.XLOOKUP(T_6[[#This Row],[N° Lot]],Tableau4[NoLot],Tableau4[Lot])</calculatedColumnFormula>
    </tableColumn>
    <tableColumn id="3" xr3:uid="{B7E7EB2A-353C-424B-9E03-71CB841B78C8}" name="Tâche" dataDxfId="171"/>
    <tableColumn id="4" xr3:uid="{490FAFEA-D896-4496-8EAD-EDEB244FE990}" name="S/Tâche" dataDxfId="170"/>
    <tableColumn id="5" xr3:uid="{74312344-98CF-469B-BF10-1A9A67B5655B}" name="Observations" dataDxfId="169"/>
    <tableColumn id="6" xr3:uid="{8849A48C-B9EA-4A90-B5B3-416717CE4DB9}" name="Partenaires" dataDxfId="168"/>
    <tableColumn id="17" xr3:uid="{E66AEC1A-1BFA-45E0-BE0C-015E6E62D2F4}" name="Tx Charge Connexe" dataDxfId="167">
      <calculatedColumnFormula>_xlfn.XLOOKUP(T_6[[#This Row],[Partenaires]],Partenaires2[Partenaire],Partenaires2[Tx Ch Connexe])</calculatedColumnFormula>
    </tableColumn>
    <tableColumn id="16" xr3:uid="{9D40152A-C168-4967-B820-15C21D6EEAD9}" name="Tx Sub" dataDxfId="166">
      <calculatedColumnFormula>_xlfn.XLOOKUP(T_6[[#This Row],[Partenaires]],Partenaires2[Partenaire],Partenaires2[Tx Sub])</calculatedColumnFormula>
    </tableColumn>
    <tableColumn id="7" xr3:uid="{A955DA4A-9D87-44C9-9DF7-760538261B36}" name="P Type" dataDxfId="165"/>
    <tableColumn id="18" xr3:uid="{369DE9D3-7A20-41EF-9ACC-2DFBC42B15AD}" name="Eligible" dataDxfId="164"/>
    <tableColumn id="8" xr3:uid="{9EE681A3-CF70-4AA7-88DA-69B32F9815E7}" name="P Qu" dataDxfId="163" dataCellStyle="Milliers"/>
    <tableColumn id="9" xr3:uid="{A000790D-0670-456D-A595-7E617AFABA90}" name="P PU" dataDxfId="162" dataCellStyle="Monétaire"/>
    <tableColumn id="10" xr3:uid="{ABD17B91-D315-49E1-BB96-C9435D373C37}" name="P CT" dataDxfId="161" dataCellStyle="Monétaire">
      <calculatedColumnFormula>T_6[[#This Row],[P Qu]]*T_6[[#This Row],[P PU]]</calculatedColumnFormula>
    </tableColumn>
    <tableColumn id="11" xr3:uid="{750E2528-A124-4E96-92C1-5D3E086D8FB4}" name="ACh Type" dataDxfId="160"/>
    <tableColumn id="12" xr3:uid="{14EB0A5C-B88C-43D6-948C-DE267AB1E955}" name="ACh Qu" dataDxfId="159" dataCellStyle="Milliers"/>
    <tableColumn id="13" xr3:uid="{13D5553F-176D-4218-8EA4-7979ADE9122D}" name="ACh PU" dataDxfId="158" dataCellStyle="Monétaire"/>
    <tableColumn id="14" xr3:uid="{044ABC99-E551-4A4D-898C-D15F5A22D1A6}" name="ACh CT" dataDxfId="157" dataCellStyle="Monétaire">
      <calculatedColumnFormula>T_6[[#This Row],[ACh Qu]]*T_6[[#This Row],[ACh PU]]</calculatedColumnFormula>
    </tableColumn>
    <tableColumn id="15" xr3:uid="{E1907360-5E83-4A46-9782-E5C83002BF41}" name="Ct TOTAL" dataDxfId="156" dataCellStyle="Monétaire">
      <calculatedColumnFormula>T_6[[#This Row],[P CT]]+T_6[[#This Row],[ACh CT]]</calculatedColumnFormula>
    </tableColumn>
    <tableColumn id="19" xr3:uid="{621B1925-620E-403A-A448-7DF3EB4007A1}" name="Mt Elligible" dataDxfId="155">
      <calculatedColumnFormula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calculatedColumnFormula>
    </tableColumn>
    <tableColumn id="20" xr3:uid="{1E4BC3FD-7609-47B2-ABE2-562877ECAB80}" name="Sub Possible" dataDxfId="154">
      <calculatedColumnFormula>T_6[[#This Row],[Mt Elligible]]*T_6[[#This Row],[Tx Sub]]</calculatedColumnFormula>
    </tableColumn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A3E0659-EB0B-41BF-8248-F8D3842984D0}" name="Consolidation" displayName="Consolidation" ref="A1:T394" tableType="queryTable" totalsRowShown="0">
  <autoFilter ref="A1:T394" xr:uid="{F0609EF3-E373-4229-8881-4E9DB005090F}"/>
  <tableColumns count="20">
    <tableColumn id="1" xr3:uid="{1D3BA7B9-C7A9-4F6C-83C9-6736C5956118}" uniqueName="1" name="N° Lot" queryTableFieldId="1" dataDxfId="3"/>
    <tableColumn id="2" xr3:uid="{47FD3908-96F8-492B-AA96-3484AA98DA61}" uniqueName="2" name="Lot" queryTableFieldId="2" dataDxfId="2"/>
    <tableColumn id="3" xr3:uid="{1A0ABFDF-F62F-4AD8-8BA5-F4D2D82D6EF0}" uniqueName="3" name="Tâche" queryTableFieldId="3" dataDxfId="1"/>
    <tableColumn id="4" xr3:uid="{DFB2A726-49B4-43B4-88D2-6927C9826B67}" uniqueName="4" name="S/Tâche" queryTableFieldId="4" dataDxfId="0"/>
    <tableColumn id="5" xr3:uid="{B0069248-E11D-429A-B7CC-2DD7C13AC915}" uniqueName="5" name="Observations" queryTableFieldId="5"/>
    <tableColumn id="6" xr3:uid="{50EE19E9-8CDF-4CB0-945C-82FC823F1EBB}" uniqueName="6" name="Partenaires" queryTableFieldId="6"/>
    <tableColumn id="7" xr3:uid="{B8252B2A-A269-4E7E-A6B6-AAF53F66C5EA}" uniqueName="7" name="Tx Charge Connexe" queryTableFieldId="7"/>
    <tableColumn id="8" xr3:uid="{3D76303A-9262-41FD-BA58-1CA6862467C2}" uniqueName="8" name="Tx Sub" queryTableFieldId="8"/>
    <tableColumn id="9" xr3:uid="{D3FFBC9D-B25E-4BFD-9A78-E65CBBEDFEDC}" uniqueName="9" name="P Type" queryTableFieldId="9"/>
    <tableColumn id="10" xr3:uid="{2A2D8DCC-035C-4AF5-BB0B-6BB5446CBBBD}" uniqueName="10" name="Eligible" queryTableFieldId="10"/>
    <tableColumn id="11" xr3:uid="{9B458057-18C3-418C-B1B5-721B89F488AE}" uniqueName="11" name="P Qu" queryTableFieldId="11"/>
    <tableColumn id="12" xr3:uid="{429A8EEE-1DF0-483D-929B-BBBC1A2A5C7A}" uniqueName="12" name="P PU" queryTableFieldId="12"/>
    <tableColumn id="13" xr3:uid="{FE5CBDA5-4548-495F-93F3-50FF7B19D13A}" uniqueName="13" name="P CT" queryTableFieldId="13"/>
    <tableColumn id="14" xr3:uid="{975D8E00-3DCA-4956-BBE2-73CFB1FED049}" uniqueName="14" name="ACh Type" queryTableFieldId="14"/>
    <tableColumn id="15" xr3:uid="{1529B12C-6EF8-45D1-9C6D-85A1624F2D0B}" uniqueName="15" name="ACh Qu" queryTableFieldId="15"/>
    <tableColumn id="16" xr3:uid="{193BB22B-DF75-45DB-81FA-3059E4E917A6}" uniqueName="16" name="ACh PU" queryTableFieldId="16"/>
    <tableColumn id="17" xr3:uid="{B692A71E-2C19-46BD-81C7-99E35A065DCC}" uniqueName="17" name="ACh CT" queryTableFieldId="17"/>
    <tableColumn id="18" xr3:uid="{332FE263-C592-45E2-AADF-8FA5D8429918}" uniqueName="18" name="Ct TOTAL" queryTableFieldId="18"/>
    <tableColumn id="19" xr3:uid="{91058778-C2FF-4C60-843D-8D1CC28C9B34}" uniqueName="19" name="Mt Elligible" queryTableFieldId="19"/>
    <tableColumn id="20" xr3:uid="{0EE6CB27-D5A5-4179-B2A3-44F16E963801}" uniqueName="20" name="Sub Possible" queryTableFieldId="2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Partenaires2" displayName="Partenaires2" ref="D2:F14" totalsRowShown="0" headerRowDxfId="118" dataDxfId="117">
  <autoFilter ref="D2:F14" xr:uid="{00000000-0009-0000-0100-000002000000}"/>
  <tableColumns count="3">
    <tableColumn id="1" xr3:uid="{00000000-0010-0000-0200-000001000000}" name="Partenaire" dataDxfId="116"/>
    <tableColumn id="2" xr3:uid="{37133C39-BC0B-47C9-8729-7FD0D2753219}" name="Tx Ch Connexe" dataDxfId="115" dataCellStyle="Pourcentage"/>
    <tableColumn id="3" xr3:uid="{EBC74F0D-40C8-4631-8901-21C82543C42F}" name="Tx Sub" dataDxfId="114" dataCellStyle="Pourcentag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2:B8" totalsRowShown="0" headerRowDxfId="113" dataDxfId="112" tableBorderDxfId="111">
  <autoFilter ref="A2:B8" xr:uid="{00000000-0009-0000-0100-000004000000}"/>
  <tableColumns count="2">
    <tableColumn id="1" xr3:uid="{00000000-0010-0000-0300-000001000000}" name="NoLot" dataDxfId="110"/>
    <tableColumn id="2" xr3:uid="{00000000-0010-0000-0300-000002000000}" name="Lot" dataDxfId="109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Tableau6" displayName="Tableau6" ref="J2:J6" totalsRowShown="0" headerRowDxfId="108" dataDxfId="107" tableBorderDxfId="106">
  <autoFilter ref="J2:J6" xr:uid="{00000000-0009-0000-0100-000006000000}"/>
  <tableColumns count="1">
    <tableColumn id="1" xr3:uid="{00000000-0010-0000-0400-000001000000}" name="Lot_1" dataDxfId="105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K2:K8" totalsRowShown="0" headerRowDxfId="104" dataDxfId="103" tableBorderDxfId="102">
  <autoFilter ref="K2:K8" xr:uid="{00000000-0009-0000-0100-000007000000}"/>
  <tableColumns count="1">
    <tableColumn id="1" xr3:uid="{00000000-0010-0000-0500-000001000000}" name="Lot_2" dataDxfId="101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au8" displayName="Tableau8" ref="L2:L6" totalsRowShown="0" headerRowDxfId="100" dataDxfId="99" tableBorderDxfId="98">
  <autoFilter ref="L2:L6" xr:uid="{00000000-0009-0000-0100-000008000000}"/>
  <tableColumns count="1">
    <tableColumn id="1" xr3:uid="{00000000-0010-0000-0600-000001000000}" name="Lot_3" dataDxfId="97"/>
  </tableColumns>
  <tableStyleInfo name="TableStyleLight3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au9" displayName="Tableau9" ref="M2:M7" totalsRowShown="0" headerRowDxfId="96" dataDxfId="95" tableBorderDxfId="94">
  <autoFilter ref="M2:M7" xr:uid="{00000000-0009-0000-0100-000009000000}"/>
  <tableColumns count="1">
    <tableColumn id="1" xr3:uid="{00000000-0010-0000-0700-000001000000}" name="Lot_4" dataDxfId="93"/>
  </tableColumns>
  <tableStyleInfo name="TableStyleLight4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au10" displayName="Tableau10" ref="N2:N6" totalsRowShown="0" headerRowDxfId="92" dataDxfId="91" tableBorderDxfId="90">
  <autoFilter ref="N2:N6" xr:uid="{00000000-0009-0000-0100-00000A000000}"/>
  <tableColumns count="1">
    <tableColumn id="1" xr3:uid="{00000000-0010-0000-0800-000001000000}" name="Lot_5" dataDxfId="89"/>
  </tableColumns>
  <tableStyleInfo name="TableStyleLight5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au11" displayName="Tableau11" ref="O2:O6" totalsRowShown="0" headerRowDxfId="88" dataDxfId="86" headerRowBorderDxfId="87" tableBorderDxfId="85">
  <autoFilter ref="O2:O6" xr:uid="{00000000-0009-0000-0100-00000B000000}"/>
  <tableColumns count="1">
    <tableColumn id="1" xr3:uid="{00000000-0010-0000-0900-000001000000}" name="Lot_6" dataDxfId="84"/>
  </tableColumns>
  <tableStyleInfo name="TableStyleLight7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8EBBEAC-DE70-4EE4-8F72-42B3539C739F}" name="ST_11" displayName="ST_11" ref="R2:R5" totalsRowShown="0" headerRowDxfId="83" dataDxfId="82">
  <autoFilter ref="R2:R5" xr:uid="{EC254EAA-A383-427C-A69F-776FEFFC44BA}"/>
  <tableColumns count="1">
    <tableColumn id="1" xr3:uid="{D4952573-C655-4466-9717-A6E915A9AED2}" name="T1_Suivi_administratif_et_financier" dataDxfId="81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E7B44B6-233B-4810-8118-AF14E377F25D}" name="ST_12" displayName="ST_12" ref="S2:S6" totalsRowShown="0" headerRowDxfId="80" dataDxfId="79">
  <autoFilter ref="S2:S6" xr:uid="{DAA4C2E2-B3F8-4AB2-91E4-3A44D77EC943}"/>
  <tableColumns count="1">
    <tableColumn id="1" xr3:uid="{E868AC44-9CD1-4066-8E81-AF8DE61E2E5C}" name="T2_Comité_de_pilotage_et_de_suivi" dataDxfId="78"/>
  </tableColumns>
  <tableStyleInfo name="TableStyleLight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7EF29D29-1FB3-4D25-8CA4-69D760D64DC8}" name="ST_13" displayName="ST_13" ref="T2:T5" totalsRowShown="0" headerRowDxfId="77" dataDxfId="76">
  <autoFilter ref="T2:T5" xr:uid="{2A24690B-25EE-4B39-9D43-F39520F1862F}"/>
  <tableColumns count="1">
    <tableColumn id="1" xr3:uid="{2580C0AF-5B98-4C3A-94FE-C40AA1C747C0}" name="T3_Comité_scientifique_et_technique" dataDxfId="75"/>
  </tableColumns>
  <tableStyleInfo name="TableStyleLight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C1F93388-94FF-4FA7-A3C9-86BC342CB22B}" name="ST_21" displayName="ST_21" ref="U2:U6" totalsRowShown="0" headerRowDxfId="74" dataDxfId="73">
  <autoFilter ref="U2:U6" xr:uid="{5098C19B-3172-469B-B883-ABCD32FD7E99}"/>
  <tableColumns count="1">
    <tableColumn id="1" xr3:uid="{F9F2A222-43CA-40CD-8C2B-B71AE145AE41}" name="T1_Bibliographie_et_synthèse" dataDxfId="72"/>
  </tableColumns>
  <tableStyleInfo name="TableStyleLight4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BA5362B-9448-49F6-8474-8C1F8B632D00}" name="ST_22" displayName="ST_22" ref="V2:V7" totalsRowShown="0" headerRowDxfId="71" dataDxfId="70">
  <autoFilter ref="V2:V7" xr:uid="{90974BBF-50FC-4CA7-936C-552ACEF2E64A}"/>
  <tableColumns count="1">
    <tableColumn id="1" xr3:uid="{89D1D859-26AE-4B7D-AD75-18C44AA7C491}" name="T2_Consultation_des_acteurs" dataDxfId="69"/>
  </tableColumns>
  <tableStyleInfo name="TableStyleLight5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43D8C183-B576-4891-9272-D4E1388F7B22}" name="ST_23" displayName="ST_23" ref="W2:W6" totalsRowShown="0" headerRowDxfId="68" dataDxfId="67">
  <autoFilter ref="W2:W6" xr:uid="{BB42EA01-880B-4813-A285-48C874AC564B}"/>
  <tableColumns count="1">
    <tableColumn id="1" xr3:uid="{E559AFD3-A894-4793-8B1E-7C289964B877}" name="T3_Consultation_des_organes_de_normalisation" dataDxfId="66"/>
  </tableColumns>
  <tableStyleInfo name="TableStyleLight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939ABB75-ABD0-4198-A8CA-C5BA905064F9}" name="ST_24" displayName="ST_24" ref="X2:X7" totalsRowShown="0" headerRowDxfId="65" dataDxfId="64">
  <autoFilter ref="X2:X7" xr:uid="{AD8F5723-13C3-42C5-990D-9C465A79C076}"/>
  <tableColumns count="1">
    <tableColumn id="1" xr3:uid="{6D5FEF3A-8200-4D0E-92D2-15B8836512F8}" name="T4_Analyse_de_la_nomenclature_des_normes_positionnement_de_la_future_norme" dataDxfId="63"/>
  </tableColumns>
  <tableStyleInfo name="TableStyleLight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DB2BC271-6BEB-45E7-897D-03DCDA08D06D}" name="Tableau24" displayName="Tableau24" ref="Q2:Q3" totalsRowShown="0" headerRowDxfId="62" dataDxfId="61">
  <autoFilter ref="Q2:Q3" xr:uid="{90782055-829A-4C1B-B511-E462F0B85483}"/>
  <tableColumns count="1">
    <tableColumn id="1" xr3:uid="{3407DE12-46D0-42DB-BD4D-B74D69887835}" name="CHOISIR_DANS_LA_LISTE" dataDxfId="60"/>
  </tableColumns>
  <tableStyleInfo name="TableStyleLight7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48EE814-3320-49E4-B88E-108E56C14876}" name="Tableau25" displayName="Tableau25" ref="Y2:Y6" totalsRowShown="0" headerRowDxfId="59" dataDxfId="58" tableBorderDxfId="57">
  <autoFilter ref="Y2:Y6" xr:uid="{4EB83866-DF4B-4B7E-B8E8-9BF8614262D1}"/>
  <tableColumns count="1">
    <tableColumn id="1" xr3:uid="{B6A39B2C-0FC2-43D0-B991-C66188E0256F}" name="T5_Atelier_de_concertation" dataDxfId="56"/>
  </tableColumns>
  <tableStyleInfo name="TableStyleLight1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DAE0CE97-6741-480B-A597-8BEC5FD00620}" name="Tableau26" displayName="Tableau26" ref="Z2:Z6" totalsRowShown="0" headerRowDxfId="55" dataDxfId="54" tableBorderDxfId="53">
  <autoFilter ref="Z2:Z6" xr:uid="{9C15449E-7A65-4985-BB7A-BE32056FBC7D}"/>
  <tableColumns count="1">
    <tableColumn id="1" xr3:uid="{CFC162B1-F8C8-4291-B69B-71438DCE01B3}" name="T1_Validation_des_caractéristiques_pertinentes" dataDxfId="52"/>
  </tableColumns>
  <tableStyleInfo name="TableStyleLight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1DCA31D1-B939-4D09-BA93-4658D19187DF}" name="Tableau27" displayName="Tableau27" ref="AA2:AA7" totalsRowShown="0" headerRowDxfId="51" dataDxfId="50" tableBorderDxfId="49">
  <autoFilter ref="AA2:AA7" xr:uid="{F7AE947D-0B6A-4D1C-9F6E-9913A6960F5F}"/>
  <tableColumns count="1">
    <tableColumn id="1" xr3:uid="{98FB0BDB-CA74-4EE0-BDF7-B3E82E60CFCA}" name="T2_Rédaction_des_protocoles_de_caractérisation" dataDxfId="48"/>
  </tableColumns>
  <tableStyleInfo name="TableStyleLight3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EF35B07E-0D29-4D92-9727-BF4B9789AD42}" name="Tableau28" displayName="Tableau28" ref="AB2:AB6" totalsRowShown="0" headerRowDxfId="47" dataDxfId="46" tableBorderDxfId="45">
  <autoFilter ref="AB2:AB6" xr:uid="{C3EADCC8-05FA-4FEF-A9EE-7EFDD235D383}"/>
  <tableColumns count="1">
    <tableColumn id="1" xr3:uid="{5C61B2F0-F240-425E-9E63-B4EF16FC0D71}" name="T3_Identification_des_indicateurs_environnementaux " dataDxfId="44"/>
  </tableColumns>
  <tableStyleInfo name="TableStyleLight4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978C08E0-2C30-483F-B177-7F98307D4DDD}" name="Tableau29" displayName="Tableau29" ref="AC2:AC6" totalsRowShown="0" headerRowDxfId="43" dataDxfId="42" tableBorderDxfId="41">
  <autoFilter ref="AC2:AC6" xr:uid="{58836888-FD1C-4C8E-86C8-7EA1ECEE974E}"/>
  <tableColumns count="1">
    <tableColumn id="1" xr3:uid="{9A4F88BC-DED0-4614-B8AE-7C368F35D50C}" name="T1_Caractérisation_matières_premières" dataDxfId="40"/>
  </tableColumns>
  <tableStyleInfo name="TableStyleLight5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8EAA34A9-6750-497B-9B62-098F2E2DAA4D}" name="Tableau30" displayName="Tableau30" ref="AD2:AE6" totalsRowShown="0" headerRowDxfId="39" dataDxfId="38" tableBorderDxfId="37">
  <autoFilter ref="AD2:AE6" xr:uid="{68FBBEA1-B605-4CDA-BC8F-5F470BD20422}"/>
  <tableColumns count="2">
    <tableColumn id="1" xr3:uid="{CB7AE34D-6F0A-44FC-9727-3CA404642CEF}" name="T2_Définition_des_gammes_de_variations_acceptables" dataDxfId="36"/>
    <tableColumn id="2" xr3:uid="{74EF1146-E4C5-4618-8EDF-8D1A55AE20B3}" name="T3_Rédaction_des_Cartes_Identité_des_granulats" dataDxfId="35"/>
  </tableColumns>
  <tableStyleInfo name="TableStyleLight6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B7F29770-614C-4823-BC56-3BF35F86F466}" name="Tableau31" displayName="Tableau31" ref="AF2:AF6" totalsRowShown="0" headerRowDxfId="34" dataDxfId="33" tableBorderDxfId="32">
  <autoFilter ref="AF2:AF6" xr:uid="{9D5069F3-5544-4868-8F25-BB99C4A235D8}"/>
  <tableColumns count="1">
    <tableColumn id="1" xr3:uid="{BCA4B363-48A3-4FF0-A763-A9613864F260}" name="T4_Evaluation_impacts_environnementaux " dataDxfId="31"/>
  </tableColumns>
  <tableStyleInfo name="TableStyleLight7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4877412-87F8-4429-8E7F-4B2E4CF1092A}" name="Tableau32" displayName="Tableau32" ref="AG2:AG8" totalsRowShown="0" headerRowDxfId="30" dataDxfId="29" tableBorderDxfId="28">
  <autoFilter ref="AG2:AG8" xr:uid="{84077569-1267-4A41-8EB2-5207368E7A4B}"/>
  <tableColumns count="1">
    <tableColumn id="1" xr3:uid="{EFFC3D4C-D3A3-440D-8491-2E4497E99B72}" name="T1_Commission_prénormalisation" dataDxfId="27"/>
  </tableColumns>
  <tableStyleInfo name="TableStyleLight1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EB625BA5-6E78-4B82-A082-36AB3C130333}" name="Tableau33" displayName="Tableau33" ref="AH2:AH6" totalsRowShown="0" headerRowDxfId="26" dataDxfId="25" tableBorderDxfId="24">
  <autoFilter ref="AH2:AH6" xr:uid="{534C65E4-ABD2-4C39-A57C-22D4B0AE265E}"/>
  <tableColumns count="1">
    <tableColumn id="1" xr3:uid="{6E21237C-4B07-4176-966B-094D65B31ACE}" name="T2_Vocabulaire_définition_termes_utilisés" dataDxfId="23"/>
  </tableColumns>
  <tableStyleInfo name="TableStyleLight2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DE159FF4-93A8-4D8F-903D-9421FF079B23}" name="Tableau34" displayName="Tableau34" ref="AI2:AI6" totalsRowShown="0" headerRowDxfId="22" dataDxfId="21" tableBorderDxfId="20">
  <autoFilter ref="AI2:AI6" xr:uid="{E9CC10CD-654B-4632-ADAE-8090606C3A1E}"/>
  <tableColumns count="1">
    <tableColumn id="1" xr3:uid="{61E99562-CB6F-4383-879D-DABF80C8FF79}" name="T3_Rédaction_proposition_prénorme" dataDxfId="19"/>
  </tableColumns>
  <tableStyleInfo name="TableStyleLight7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A7238946-E14C-4EA2-8797-84B83A8B9267}" name="Tableau35" displayName="Tableau35" ref="AJ2:AJ6" totalsRowShown="0" headerRowDxfId="18" dataDxfId="17" tableBorderDxfId="16">
  <autoFilter ref="AJ2:AJ6" xr:uid="{1AFB2C9E-6531-49AC-ADCB-83E4B63E0740}"/>
  <tableColumns count="1">
    <tableColumn id="1" xr3:uid="{E682E24F-EBD5-41BB-A2EF-845216212A5E}" name="T1_Site_Internet" dataDxfId="15"/>
  </tableColumns>
  <tableStyleInfo name="TableStyleLight3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9AB29991-8A86-4F03-87A6-46649D134088}" name="Tableau36" displayName="Tableau36" ref="AK2:AK6" totalsRowShown="0" headerRowDxfId="14" dataDxfId="13" tableBorderDxfId="12">
  <autoFilter ref="AK2:AK6" xr:uid="{A68799DD-3F40-4EC0-A03A-78EBFC667364}"/>
  <tableColumns count="1">
    <tableColumn id="1" xr3:uid="{B9351229-6DB5-44C4-A302-615FC457AB2D}" name="T2_Publications" dataDxfId="11"/>
  </tableColumns>
  <tableStyleInfo name="TableStyleLight5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22994FC1-A047-4B4F-8F8F-4F9EC671E45F}" name="Tableau37" displayName="Tableau37" ref="AL2:AL6" totalsRowShown="0" headerRowDxfId="10" dataDxfId="9" tableBorderDxfId="8">
  <autoFilter ref="AL2:AL6" xr:uid="{AFE92630-C897-4099-8415-3B484B98984A}"/>
  <tableColumns count="1">
    <tableColumn id="1" xr3:uid="{884713A8-A3E7-442C-B8DB-1E9B93F08C2A}" name="T3_Conférences_Séminaires" dataDxfId="7"/>
  </tableColumns>
  <tableStyleInfo name="TableStyleLight7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8D10B48F-01F5-4FEB-A6B8-93A0DF24C326}" name="OuiNon" displayName="OuiNon" ref="H2:H4" totalsRowShown="0" headerRowDxfId="6" dataDxfId="5">
  <autoFilter ref="H2:H4" xr:uid="{7C798D26-2440-4B95-A42B-EEDACA7902C0}"/>
  <tableColumns count="1">
    <tableColumn id="1" xr3:uid="{8AEBD837-814E-4D59-9573-68BD6C5B6BF9}" name="OuiNon" dataDxfId="4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6.bin"/><Relationship Id="rId10" Type="http://schemas.microsoft.com/office/2007/relationships/slicer" Target="../slicers/slicer1.xml"/><Relationship Id="rId4" Type="http://schemas.openxmlformats.org/officeDocument/2006/relationships/pivotTable" Target="../pivotTables/pivotTable4.xml"/><Relationship Id="rId9" Type="http://schemas.openxmlformats.org/officeDocument/2006/relationships/ctrlProp" Target="../ctrlProps/ctrlProp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5" Type="http://schemas.microsoft.com/office/2007/relationships/slicer" Target="../slicers/slicer2.xml"/><Relationship Id="rId4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13" Type="http://schemas.openxmlformats.org/officeDocument/2006/relationships/table" Target="../tables/table19.xml"/><Relationship Id="rId18" Type="http://schemas.openxmlformats.org/officeDocument/2006/relationships/table" Target="../tables/table24.xml"/><Relationship Id="rId26" Type="http://schemas.openxmlformats.org/officeDocument/2006/relationships/table" Target="../tables/table32.xml"/><Relationship Id="rId3" Type="http://schemas.openxmlformats.org/officeDocument/2006/relationships/table" Target="../tables/table9.xml"/><Relationship Id="rId21" Type="http://schemas.openxmlformats.org/officeDocument/2006/relationships/table" Target="../tables/table27.xml"/><Relationship Id="rId7" Type="http://schemas.openxmlformats.org/officeDocument/2006/relationships/table" Target="../tables/table13.xml"/><Relationship Id="rId12" Type="http://schemas.openxmlformats.org/officeDocument/2006/relationships/table" Target="../tables/table18.xml"/><Relationship Id="rId17" Type="http://schemas.openxmlformats.org/officeDocument/2006/relationships/table" Target="../tables/table23.xml"/><Relationship Id="rId25" Type="http://schemas.openxmlformats.org/officeDocument/2006/relationships/table" Target="../tables/table31.xml"/><Relationship Id="rId2" Type="http://schemas.openxmlformats.org/officeDocument/2006/relationships/table" Target="../tables/table8.xml"/><Relationship Id="rId16" Type="http://schemas.openxmlformats.org/officeDocument/2006/relationships/table" Target="../tables/table22.xml"/><Relationship Id="rId20" Type="http://schemas.openxmlformats.org/officeDocument/2006/relationships/table" Target="../tables/table26.xml"/><Relationship Id="rId29" Type="http://schemas.openxmlformats.org/officeDocument/2006/relationships/table" Target="../tables/table35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12.xml"/><Relationship Id="rId11" Type="http://schemas.openxmlformats.org/officeDocument/2006/relationships/table" Target="../tables/table17.xml"/><Relationship Id="rId24" Type="http://schemas.openxmlformats.org/officeDocument/2006/relationships/table" Target="../tables/table30.xml"/><Relationship Id="rId5" Type="http://schemas.openxmlformats.org/officeDocument/2006/relationships/table" Target="../tables/table11.xml"/><Relationship Id="rId15" Type="http://schemas.openxmlformats.org/officeDocument/2006/relationships/table" Target="../tables/table21.xml"/><Relationship Id="rId23" Type="http://schemas.openxmlformats.org/officeDocument/2006/relationships/table" Target="../tables/table29.xml"/><Relationship Id="rId28" Type="http://schemas.openxmlformats.org/officeDocument/2006/relationships/table" Target="../tables/table34.xml"/><Relationship Id="rId10" Type="http://schemas.openxmlformats.org/officeDocument/2006/relationships/table" Target="../tables/table16.xml"/><Relationship Id="rId19" Type="http://schemas.openxmlformats.org/officeDocument/2006/relationships/table" Target="../tables/table25.xml"/><Relationship Id="rId31" Type="http://schemas.openxmlformats.org/officeDocument/2006/relationships/table" Target="../tables/table37.xml"/><Relationship Id="rId4" Type="http://schemas.openxmlformats.org/officeDocument/2006/relationships/table" Target="../tables/table10.xml"/><Relationship Id="rId9" Type="http://schemas.openxmlformats.org/officeDocument/2006/relationships/table" Target="../tables/table15.xml"/><Relationship Id="rId14" Type="http://schemas.openxmlformats.org/officeDocument/2006/relationships/table" Target="../tables/table20.xml"/><Relationship Id="rId22" Type="http://schemas.openxmlformats.org/officeDocument/2006/relationships/table" Target="../tables/table28.xml"/><Relationship Id="rId27" Type="http://schemas.openxmlformats.org/officeDocument/2006/relationships/table" Target="../tables/table33.xml"/><Relationship Id="rId30" Type="http://schemas.openxmlformats.org/officeDocument/2006/relationships/table" Target="../tables/table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96779-03F6-4DCE-924D-AD2C26F7B0B9}">
  <sheetPr codeName="Feuil1">
    <tabColor rgb="FFFF0000"/>
  </sheetPr>
  <dimension ref="A3:D103"/>
  <sheetViews>
    <sheetView zoomScale="115" zoomScaleNormal="115" workbookViewId="0">
      <pane ySplit="2" topLeftCell="A72" activePane="bottomLeft" state="frozenSplit"/>
      <selection pane="bottomLeft" activeCell="I8" sqref="I8"/>
    </sheetView>
  </sheetViews>
  <sheetFormatPr baseColWidth="10" defaultRowHeight="26.25"/>
  <cols>
    <col min="1" max="1" width="3.7109375" style="117" customWidth="1"/>
    <col min="2" max="2" width="5.140625" style="116" customWidth="1"/>
    <col min="3" max="3" width="65.5703125" style="115" customWidth="1"/>
    <col min="4" max="4" width="30.7109375" style="115" customWidth="1"/>
    <col min="5" max="5" width="26.7109375" style="114" customWidth="1"/>
    <col min="6" max="16384" width="11.42578125" style="114"/>
  </cols>
  <sheetData>
    <row r="3" spans="1:4" s="159" customFormat="1">
      <c r="A3" s="162" t="s">
        <v>197</v>
      </c>
      <c r="B3" s="161"/>
      <c r="C3" s="160"/>
      <c r="D3" s="160"/>
    </row>
    <row r="4" spans="1:4">
      <c r="A4" s="158"/>
      <c r="B4" s="157" t="s">
        <v>50</v>
      </c>
      <c r="C4" s="156"/>
      <c r="D4" s="156"/>
    </row>
    <row r="5" spans="1:4">
      <c r="A5" s="120"/>
      <c r="B5" s="119"/>
      <c r="C5" s="118" t="s">
        <v>106</v>
      </c>
      <c r="D5" s="118"/>
    </row>
    <row r="6" spans="1:4">
      <c r="A6" s="120"/>
      <c r="B6" s="119"/>
      <c r="C6" s="118" t="s">
        <v>107</v>
      </c>
      <c r="D6" s="118"/>
    </row>
    <row r="7" spans="1:4">
      <c r="A7" s="120"/>
      <c r="B7" s="119"/>
      <c r="C7" s="118"/>
      <c r="D7" s="118"/>
    </row>
    <row r="8" spans="1:4">
      <c r="A8" s="158"/>
      <c r="B8" s="157" t="s">
        <v>51</v>
      </c>
      <c r="C8" s="156"/>
      <c r="D8" s="156"/>
    </row>
    <row r="9" spans="1:4">
      <c r="A9" s="120"/>
      <c r="B9" s="119"/>
      <c r="C9" s="118" t="s">
        <v>103</v>
      </c>
      <c r="D9" s="118"/>
    </row>
    <row r="10" spans="1:4">
      <c r="A10" s="120"/>
      <c r="B10" s="119"/>
      <c r="C10" s="118" t="s">
        <v>196</v>
      </c>
      <c r="D10" s="118"/>
    </row>
    <row r="11" spans="1:4">
      <c r="A11" s="120"/>
      <c r="B11" s="119"/>
      <c r="C11" s="118" t="s">
        <v>105</v>
      </c>
      <c r="D11" s="118"/>
    </row>
    <row r="12" spans="1:4">
      <c r="A12" s="120"/>
      <c r="B12" s="119"/>
      <c r="C12" s="118"/>
      <c r="D12" s="118"/>
    </row>
    <row r="13" spans="1:4">
      <c r="A13" s="158"/>
      <c r="B13" s="157" t="s">
        <v>52</v>
      </c>
      <c r="C13" s="156"/>
      <c r="D13" s="156"/>
    </row>
    <row r="14" spans="1:4">
      <c r="A14" s="120"/>
      <c r="B14" s="119"/>
      <c r="C14" s="118" t="s">
        <v>87</v>
      </c>
      <c r="D14" s="118"/>
    </row>
    <row r="15" spans="1:4">
      <c r="A15" s="120"/>
      <c r="B15" s="119"/>
      <c r="C15" s="118" t="s">
        <v>88</v>
      </c>
      <c r="D15" s="118"/>
    </row>
    <row r="16" spans="1:4">
      <c r="A16" s="120"/>
      <c r="B16" s="119"/>
      <c r="C16" s="118"/>
      <c r="D16" s="118"/>
    </row>
    <row r="17" spans="1:4">
      <c r="A17" s="155" t="s">
        <v>194</v>
      </c>
      <c r="B17" s="154"/>
      <c r="C17" s="153"/>
      <c r="D17" s="153"/>
    </row>
    <row r="18" spans="1:4">
      <c r="A18" s="151"/>
      <c r="B18" s="150" t="s">
        <v>53</v>
      </c>
      <c r="C18" s="149"/>
      <c r="D18" s="149"/>
    </row>
    <row r="19" spans="1:4" ht="141.75">
      <c r="A19" s="120"/>
      <c r="B19" s="119"/>
      <c r="C19" s="118" t="s">
        <v>108</v>
      </c>
      <c r="D19" s="152" t="s">
        <v>193</v>
      </c>
    </row>
    <row r="20" spans="1:4" ht="31.5">
      <c r="A20" s="120"/>
      <c r="B20" s="119"/>
      <c r="C20" s="118" t="s">
        <v>109</v>
      </c>
      <c r="D20" s="118"/>
    </row>
    <row r="21" spans="1:4">
      <c r="A21" s="120"/>
      <c r="B21" s="119"/>
      <c r="C21" s="118" t="s">
        <v>110</v>
      </c>
      <c r="D21" s="118"/>
    </row>
    <row r="22" spans="1:4">
      <c r="A22" s="120"/>
      <c r="B22" s="119"/>
      <c r="C22" s="118"/>
      <c r="D22" s="118"/>
    </row>
    <row r="23" spans="1:4">
      <c r="A23" s="151"/>
      <c r="B23" s="150" t="s">
        <v>54</v>
      </c>
      <c r="C23" s="149"/>
      <c r="D23" s="149"/>
    </row>
    <row r="24" spans="1:4" ht="63">
      <c r="A24" s="120"/>
      <c r="B24" s="119"/>
      <c r="C24" s="118" t="s">
        <v>111</v>
      </c>
      <c r="D24" s="127" t="s">
        <v>192</v>
      </c>
    </row>
    <row r="25" spans="1:4" ht="47.25">
      <c r="A25" s="120"/>
      <c r="B25" s="119"/>
      <c r="C25" s="118" t="s">
        <v>191</v>
      </c>
      <c r="D25" s="127" t="s">
        <v>190</v>
      </c>
    </row>
    <row r="26" spans="1:4" ht="47.25">
      <c r="A26" s="120"/>
      <c r="B26" s="119"/>
      <c r="C26" s="118" t="s">
        <v>113</v>
      </c>
      <c r="D26" s="152" t="s">
        <v>189</v>
      </c>
    </row>
    <row r="27" spans="1:4" ht="31.5">
      <c r="A27" s="120"/>
      <c r="B27" s="119"/>
      <c r="C27" s="118" t="s">
        <v>114</v>
      </c>
      <c r="D27" s="118"/>
    </row>
    <row r="28" spans="1:4">
      <c r="A28" s="120"/>
      <c r="B28" s="119"/>
      <c r="C28" s="118"/>
      <c r="D28" s="118"/>
    </row>
    <row r="29" spans="1:4">
      <c r="A29" s="151"/>
      <c r="B29" s="150" t="s">
        <v>57</v>
      </c>
      <c r="C29" s="149"/>
      <c r="D29" s="149"/>
    </row>
    <row r="30" spans="1:4" ht="31.5">
      <c r="A30" s="120"/>
      <c r="B30" s="119"/>
      <c r="C30" s="118" t="s">
        <v>115</v>
      </c>
      <c r="D30" s="152" t="s">
        <v>188</v>
      </c>
    </row>
    <row r="31" spans="1:4">
      <c r="A31" s="120"/>
      <c r="B31" s="119"/>
      <c r="C31" s="118" t="s">
        <v>116</v>
      </c>
      <c r="D31" s="118"/>
    </row>
    <row r="32" spans="1:4">
      <c r="A32" s="120"/>
      <c r="B32" s="119"/>
      <c r="C32" s="118"/>
      <c r="D32" s="118"/>
    </row>
    <row r="33" spans="1:4">
      <c r="A33" s="151"/>
      <c r="B33" s="150" t="s">
        <v>55</v>
      </c>
      <c r="C33" s="149"/>
      <c r="D33" s="149"/>
    </row>
    <row r="34" spans="1:4">
      <c r="A34" s="120"/>
      <c r="B34" s="119"/>
      <c r="C34" s="118" t="s">
        <v>117</v>
      </c>
      <c r="D34" s="118"/>
    </row>
    <row r="35" spans="1:4" ht="31.5">
      <c r="A35" s="120"/>
      <c r="B35" s="119"/>
      <c r="C35" s="118" t="s">
        <v>118</v>
      </c>
      <c r="D35" s="118"/>
    </row>
    <row r="36" spans="1:4">
      <c r="A36" s="120"/>
      <c r="B36" s="119"/>
      <c r="C36" s="118"/>
      <c r="D36" s="118"/>
    </row>
    <row r="37" spans="1:4">
      <c r="A37" s="151"/>
      <c r="B37" s="150" t="s">
        <v>56</v>
      </c>
      <c r="C37" s="149"/>
      <c r="D37" s="149"/>
    </row>
    <row r="38" spans="1:4">
      <c r="A38" s="120"/>
      <c r="B38" s="119"/>
      <c r="C38" s="118" t="s">
        <v>119</v>
      </c>
      <c r="D38" s="118"/>
    </row>
    <row r="39" spans="1:4">
      <c r="A39" s="120"/>
      <c r="B39" s="119"/>
      <c r="C39" s="118" t="s">
        <v>120</v>
      </c>
      <c r="D39" s="118"/>
    </row>
    <row r="40" spans="1:4">
      <c r="A40" s="120"/>
      <c r="B40" s="119"/>
      <c r="C40" s="118" t="s">
        <v>121</v>
      </c>
      <c r="D40" s="118"/>
    </row>
    <row r="41" spans="1:4">
      <c r="A41" s="120"/>
      <c r="B41" s="119"/>
      <c r="C41" s="118"/>
      <c r="D41" s="118"/>
    </row>
    <row r="42" spans="1:4">
      <c r="A42" s="148" t="s">
        <v>187</v>
      </c>
      <c r="B42" s="147"/>
      <c r="C42" s="146"/>
      <c r="D42" s="146"/>
    </row>
    <row r="43" spans="1:4">
      <c r="A43" s="145"/>
      <c r="B43" s="142" t="s">
        <v>60</v>
      </c>
      <c r="C43" s="141"/>
      <c r="D43" s="141"/>
    </row>
    <row r="44" spans="1:4" ht="31.5">
      <c r="A44" s="120"/>
      <c r="B44" s="119"/>
      <c r="C44" s="118" t="s">
        <v>123</v>
      </c>
      <c r="D44" s="143" t="s">
        <v>186</v>
      </c>
    </row>
    <row r="45" spans="1:4">
      <c r="A45" s="120"/>
      <c r="B45" s="119"/>
      <c r="C45" s="118" t="s">
        <v>124</v>
      </c>
      <c r="D45" s="143" t="s">
        <v>185</v>
      </c>
    </row>
    <row r="46" spans="1:4" ht="47.25">
      <c r="A46" s="120"/>
      <c r="B46" s="119"/>
      <c r="C46" s="118" t="s">
        <v>125</v>
      </c>
      <c r="D46" s="143" t="s">
        <v>184</v>
      </c>
    </row>
    <row r="47" spans="1:4">
      <c r="A47" s="120"/>
      <c r="B47" s="119"/>
      <c r="C47" s="118"/>
      <c r="D47" s="118"/>
    </row>
    <row r="48" spans="1:4">
      <c r="A48" s="145"/>
      <c r="B48" s="142" t="s">
        <v>61</v>
      </c>
      <c r="C48" s="141"/>
      <c r="D48" s="144"/>
    </row>
    <row r="49" spans="1:4" ht="78.75">
      <c r="A49" s="120"/>
      <c r="B49" s="119"/>
      <c r="C49" s="118" t="s">
        <v>139</v>
      </c>
      <c r="D49" s="143" t="s">
        <v>183</v>
      </c>
    </row>
    <row r="50" spans="1:4" ht="47.25">
      <c r="A50" s="120"/>
      <c r="B50" s="119"/>
      <c r="C50" s="118" t="s">
        <v>140</v>
      </c>
      <c r="D50" s="143" t="s">
        <v>182</v>
      </c>
    </row>
    <row r="51" spans="1:4" ht="31.5">
      <c r="A51" s="120"/>
      <c r="B51" s="119"/>
      <c r="C51" s="118" t="s">
        <v>141</v>
      </c>
      <c r="D51" s="143" t="s">
        <v>181</v>
      </c>
    </row>
    <row r="52" spans="1:4">
      <c r="A52" s="120"/>
      <c r="B52" s="119"/>
      <c r="C52" s="118" t="s">
        <v>142</v>
      </c>
      <c r="D52" s="118"/>
    </row>
    <row r="53" spans="1:4">
      <c r="A53" s="120"/>
      <c r="B53" s="119"/>
      <c r="C53" s="118"/>
      <c r="D53" s="118"/>
    </row>
    <row r="54" spans="1:4">
      <c r="A54" s="120"/>
      <c r="B54" s="142" t="s">
        <v>62</v>
      </c>
      <c r="C54" s="141"/>
      <c r="D54" s="141"/>
    </row>
    <row r="55" spans="1:4">
      <c r="A55" s="120"/>
      <c r="B55" s="119"/>
      <c r="C55" s="118" t="s">
        <v>143</v>
      </c>
      <c r="D55" s="118"/>
    </row>
    <row r="56" spans="1:4">
      <c r="A56" s="120"/>
      <c r="B56" s="119"/>
      <c r="C56" s="118" t="s">
        <v>180</v>
      </c>
      <c r="D56" s="118"/>
    </row>
    <row r="57" spans="1:4">
      <c r="A57" s="120"/>
      <c r="B57" s="119"/>
      <c r="C57" s="118"/>
      <c r="D57" s="118"/>
    </row>
    <row r="58" spans="1:4">
      <c r="A58" s="140" t="s">
        <v>179</v>
      </c>
      <c r="B58" s="139"/>
      <c r="C58" s="138"/>
      <c r="D58" s="138"/>
    </row>
    <row r="59" spans="1:4">
      <c r="A59" s="136"/>
      <c r="B59" s="135" t="s">
        <v>151</v>
      </c>
      <c r="C59" s="134"/>
      <c r="D59" s="134"/>
    </row>
    <row r="60" spans="1:4" ht="31.5">
      <c r="A60" s="120"/>
      <c r="B60" s="119"/>
      <c r="C60" s="118" t="s">
        <v>122</v>
      </c>
      <c r="D60" s="118"/>
    </row>
    <row r="61" spans="1:4" ht="189">
      <c r="A61" s="120"/>
      <c r="B61" s="119"/>
      <c r="C61" s="118" t="s">
        <v>145</v>
      </c>
      <c r="D61" s="137" t="s">
        <v>178</v>
      </c>
    </row>
    <row r="62" spans="1:4" ht="31.5">
      <c r="A62" s="120"/>
      <c r="B62" s="119"/>
      <c r="C62" s="118" t="s">
        <v>146</v>
      </c>
      <c r="D62" s="118"/>
    </row>
    <row r="63" spans="1:4">
      <c r="A63" s="136"/>
      <c r="B63" s="135" t="s">
        <v>147</v>
      </c>
      <c r="C63" s="134"/>
      <c r="D63" s="134"/>
    </row>
    <row r="64" spans="1:4">
      <c r="A64" s="120"/>
      <c r="B64" s="119"/>
      <c r="C64" s="118" t="s">
        <v>148</v>
      </c>
      <c r="D64" s="118"/>
    </row>
    <row r="65" spans="1:4">
      <c r="A65" s="120"/>
      <c r="B65" s="119"/>
      <c r="C65" s="118" t="s">
        <v>149</v>
      </c>
      <c r="D65" s="118"/>
    </row>
    <row r="66" spans="1:4">
      <c r="A66" s="136"/>
      <c r="B66" s="135" t="s">
        <v>152</v>
      </c>
      <c r="C66" s="134"/>
      <c r="D66" s="134"/>
    </row>
    <row r="67" spans="1:4" ht="63">
      <c r="A67" s="120"/>
      <c r="B67" s="119"/>
      <c r="C67" s="118" t="s">
        <v>150</v>
      </c>
      <c r="D67" s="118"/>
    </row>
    <row r="68" spans="1:4">
      <c r="A68" s="120"/>
      <c r="B68" s="119"/>
      <c r="C68" s="118"/>
      <c r="D68" s="118"/>
    </row>
    <row r="69" spans="1:4">
      <c r="A69" s="136"/>
      <c r="B69" s="135" t="s">
        <v>153</v>
      </c>
      <c r="C69" s="134"/>
      <c r="D69" s="134"/>
    </row>
    <row r="70" spans="1:4">
      <c r="A70" s="120"/>
      <c r="B70" s="119"/>
      <c r="C70" s="118" t="s">
        <v>177</v>
      </c>
      <c r="D70" s="118"/>
    </row>
    <row r="71" spans="1:4" ht="31.5">
      <c r="A71" s="120"/>
      <c r="B71" s="119"/>
      <c r="C71" s="118" t="s">
        <v>138</v>
      </c>
      <c r="D71" s="118"/>
    </row>
    <row r="72" spans="1:4">
      <c r="A72" s="120"/>
      <c r="B72" s="119"/>
      <c r="C72" s="118"/>
      <c r="D72" s="118"/>
    </row>
    <row r="73" spans="1:4">
      <c r="A73" s="133" t="s">
        <v>176</v>
      </c>
      <c r="B73" s="132"/>
      <c r="C73" s="131"/>
      <c r="D73" s="131"/>
    </row>
    <row r="74" spans="1:4">
      <c r="A74" s="130"/>
      <c r="B74" s="129" t="s">
        <v>63</v>
      </c>
      <c r="C74" s="128"/>
      <c r="D74" s="128"/>
    </row>
    <row r="75" spans="1:4" ht="173.25">
      <c r="A75" s="120"/>
      <c r="B75" s="119"/>
      <c r="C75" s="118" t="s">
        <v>126</v>
      </c>
      <c r="D75" s="127" t="s">
        <v>175</v>
      </c>
    </row>
    <row r="76" spans="1:4" ht="63">
      <c r="A76" s="120"/>
      <c r="B76" s="119"/>
      <c r="C76" s="118" t="s">
        <v>127</v>
      </c>
      <c r="D76" s="127" t="s">
        <v>174</v>
      </c>
    </row>
    <row r="77" spans="1:4" ht="78.75">
      <c r="A77" s="120"/>
      <c r="B77" s="119"/>
      <c r="C77" s="118" t="s">
        <v>128</v>
      </c>
      <c r="D77" s="127" t="s">
        <v>173</v>
      </c>
    </row>
    <row r="78" spans="1:4" ht="78.75">
      <c r="A78" s="120"/>
      <c r="B78" s="119"/>
      <c r="C78" s="118" t="s">
        <v>129</v>
      </c>
      <c r="D78" s="127" t="s">
        <v>173</v>
      </c>
    </row>
    <row r="79" spans="1:4" ht="31.5">
      <c r="A79" s="120"/>
      <c r="B79" s="119"/>
      <c r="C79" s="118" t="s">
        <v>130</v>
      </c>
      <c r="D79" s="127" t="s">
        <v>172</v>
      </c>
    </row>
    <row r="80" spans="1:4">
      <c r="A80" s="120"/>
      <c r="B80" s="119"/>
      <c r="C80" s="118"/>
      <c r="D80" s="118"/>
    </row>
    <row r="81" spans="1:4">
      <c r="A81" s="130"/>
      <c r="B81" s="129" t="s">
        <v>64</v>
      </c>
      <c r="C81" s="128"/>
      <c r="D81" s="128"/>
    </row>
    <row r="82" spans="1:4" ht="126">
      <c r="A82" s="120"/>
      <c r="B82" s="119"/>
      <c r="C82" s="118" t="s">
        <v>131</v>
      </c>
      <c r="D82" s="127" t="s">
        <v>171</v>
      </c>
    </row>
    <row r="83" spans="1:4" ht="126">
      <c r="A83" s="120"/>
      <c r="B83" s="119"/>
      <c r="C83" s="118" t="s">
        <v>132</v>
      </c>
      <c r="D83" s="127" t="s">
        <v>170</v>
      </c>
    </row>
    <row r="84" spans="1:4">
      <c r="A84" s="120"/>
      <c r="B84" s="119"/>
      <c r="C84" s="118"/>
      <c r="D84" s="118"/>
    </row>
    <row r="85" spans="1:4">
      <c r="A85" s="130"/>
      <c r="B85" s="129" t="s">
        <v>65</v>
      </c>
      <c r="C85" s="128"/>
      <c r="D85" s="128"/>
    </row>
    <row r="86" spans="1:4" ht="141.75">
      <c r="A86" s="120"/>
      <c r="B86" s="119"/>
      <c r="C86" s="118" t="s">
        <v>133</v>
      </c>
      <c r="D86" s="127" t="s">
        <v>169</v>
      </c>
    </row>
    <row r="87" spans="1:4" ht="157.5">
      <c r="A87" s="120"/>
      <c r="B87" s="119"/>
      <c r="C87" s="118" t="s">
        <v>134</v>
      </c>
      <c r="D87" s="127" t="s">
        <v>168</v>
      </c>
    </row>
    <row r="88" spans="1:4">
      <c r="A88" s="120"/>
      <c r="B88" s="119"/>
      <c r="C88" s="118"/>
      <c r="D88" s="118"/>
    </row>
    <row r="89" spans="1:4">
      <c r="A89" s="126" t="s">
        <v>167</v>
      </c>
      <c r="B89" s="125"/>
      <c r="C89" s="124"/>
      <c r="D89" s="124"/>
    </row>
    <row r="90" spans="1:4">
      <c r="A90" s="123"/>
      <c r="B90" s="122" t="s">
        <v>66</v>
      </c>
      <c r="C90" s="121"/>
      <c r="D90" s="121"/>
    </row>
    <row r="91" spans="1:4">
      <c r="A91" s="120"/>
      <c r="B91" s="119"/>
      <c r="C91" s="118" t="s">
        <v>95</v>
      </c>
      <c r="D91" s="118"/>
    </row>
    <row r="92" spans="1:4">
      <c r="A92" s="120"/>
      <c r="B92" s="119"/>
      <c r="C92" s="118" t="s">
        <v>102</v>
      </c>
      <c r="D92" s="118"/>
    </row>
    <row r="93" spans="1:4">
      <c r="A93" s="120"/>
      <c r="B93" s="119"/>
      <c r="C93" s="118" t="s">
        <v>94</v>
      </c>
      <c r="D93" s="118"/>
    </row>
    <row r="94" spans="1:4">
      <c r="A94" s="120"/>
      <c r="B94" s="119"/>
      <c r="C94" s="118"/>
      <c r="D94" s="118"/>
    </row>
    <row r="95" spans="1:4">
      <c r="A95" s="123"/>
      <c r="B95" s="122" t="s">
        <v>67</v>
      </c>
      <c r="C95" s="121"/>
      <c r="D95" s="121"/>
    </row>
    <row r="96" spans="1:4">
      <c r="A96" s="120"/>
      <c r="B96" s="119"/>
      <c r="C96" s="118" t="s">
        <v>96</v>
      </c>
      <c r="D96" s="118"/>
    </row>
    <row r="97" spans="1:4">
      <c r="A97" s="120"/>
      <c r="B97" s="119"/>
      <c r="C97" s="118" t="s">
        <v>97</v>
      </c>
      <c r="D97" s="118"/>
    </row>
    <row r="98" spans="1:4">
      <c r="A98" s="120"/>
      <c r="B98" s="119"/>
      <c r="C98" s="118" t="s">
        <v>98</v>
      </c>
      <c r="D98" s="118"/>
    </row>
    <row r="99" spans="1:4">
      <c r="A99" s="120"/>
      <c r="B99" s="119"/>
      <c r="C99" s="118"/>
      <c r="D99" s="118"/>
    </row>
    <row r="100" spans="1:4">
      <c r="A100" s="123"/>
      <c r="B100" s="122" t="s">
        <v>68</v>
      </c>
      <c r="C100" s="121"/>
      <c r="D100" s="121"/>
    </row>
    <row r="101" spans="1:4">
      <c r="A101" s="120"/>
      <c r="B101" s="119"/>
      <c r="C101" s="118" t="s">
        <v>99</v>
      </c>
      <c r="D101" s="118"/>
    </row>
    <row r="102" spans="1:4">
      <c r="A102" s="120"/>
      <c r="B102" s="119"/>
      <c r="C102" s="118" t="s">
        <v>100</v>
      </c>
      <c r="D102" s="118"/>
    </row>
    <row r="103" spans="1:4">
      <c r="A103" s="120"/>
      <c r="B103" s="119"/>
      <c r="C103" s="118" t="s">
        <v>101</v>
      </c>
      <c r="D103" s="118"/>
    </row>
  </sheetData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205DE-1567-4A0D-A248-DE386C3633C2}">
  <sheetPr codeName="Feuil2">
    <tabColor theme="9" tint="0.39997558519241921"/>
  </sheetPr>
  <dimension ref="A1:T40"/>
  <sheetViews>
    <sheetView zoomScale="98" zoomScaleNormal="98" workbookViewId="0">
      <pane ySplit="2" topLeftCell="A15" activePane="bottomLeft" state="frozenSplit"/>
      <selection activeCell="D14" sqref="D14"/>
      <selection pane="bottomLeft" activeCell="I42" sqref="I42"/>
    </sheetView>
  </sheetViews>
  <sheetFormatPr baseColWidth="10" defaultRowHeight="15"/>
  <cols>
    <col min="1" max="1" width="8.140625" style="3" customWidth="1"/>
    <col min="2" max="2" width="6" style="3" customWidth="1"/>
    <col min="3" max="3" width="24.42578125" style="178" customWidth="1"/>
    <col min="4" max="4" width="12.85546875" style="178" customWidth="1"/>
    <col min="5" max="5" width="19.28515625" style="178" customWidth="1"/>
    <col min="6" max="6" width="23.5703125" style="1" customWidth="1"/>
    <col min="7" max="7" width="6.85546875" style="38" customWidth="1"/>
    <col min="8" max="8" width="6.42578125" style="38" customWidth="1"/>
    <col min="9" max="9" width="17.42578125" style="1" customWidth="1"/>
    <col min="10" max="10" width="11" style="1" customWidth="1"/>
    <col min="11" max="11" width="10.140625" style="1" customWidth="1"/>
    <col min="12" max="12" width="11.42578125" style="46"/>
    <col min="13" max="13" width="15.28515625" style="47" customWidth="1"/>
    <col min="14" max="14" width="14.42578125" style="1" customWidth="1"/>
    <col min="15" max="15" width="11.42578125" style="5"/>
    <col min="16" max="16" width="7.5703125" style="60" customWidth="1"/>
    <col min="17" max="17" width="13.28515625" style="47" customWidth="1"/>
    <col min="18" max="18" width="10.5703125" style="47" customWidth="1"/>
    <col min="19" max="19" width="12.140625" style="44" customWidth="1"/>
    <col min="20" max="20" width="11.5703125" style="44" customWidth="1"/>
    <col min="21" max="16384" width="11.42578125" style="1"/>
  </cols>
  <sheetData>
    <row r="1" spans="1:20" s="10" customFormat="1" ht="36.75" customHeight="1">
      <c r="A1" s="33" t="s">
        <v>30</v>
      </c>
      <c r="G1" s="37"/>
      <c r="H1" s="37"/>
      <c r="I1" s="239" t="s">
        <v>47</v>
      </c>
      <c r="J1" s="239"/>
      <c r="K1" s="239"/>
      <c r="L1" s="240"/>
      <c r="M1" s="240"/>
      <c r="N1" s="15" t="s">
        <v>4</v>
      </c>
      <c r="O1" s="15"/>
      <c r="P1" s="57"/>
      <c r="Q1" s="48"/>
      <c r="R1" s="42"/>
      <c r="S1" s="49"/>
      <c r="T1" s="49"/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0" t="s">
        <v>37</v>
      </c>
      <c r="F2" s="10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42" t="s">
        <v>11</v>
      </c>
      <c r="M2" s="43" t="s">
        <v>12</v>
      </c>
      <c r="N2" s="10" t="s">
        <v>5</v>
      </c>
      <c r="O2" s="12" t="s">
        <v>6</v>
      </c>
      <c r="P2" s="58" t="s">
        <v>7</v>
      </c>
      <c r="Q2" s="43" t="s">
        <v>8</v>
      </c>
      <c r="R2" s="43" t="s">
        <v>13</v>
      </c>
      <c r="S2" s="50" t="s">
        <v>83</v>
      </c>
      <c r="T2" s="50" t="s">
        <v>84</v>
      </c>
    </row>
    <row r="3" spans="1:20">
      <c r="A3" s="110" t="str">
        <f>'[1]Lot 1'!A12</f>
        <v>Lot_1</v>
      </c>
      <c r="B3" s="110" t="str">
        <f>'[1]Lot 1'!B12</f>
        <v>Gouvernance et suivi du programme</v>
      </c>
      <c r="C3" s="166" t="str">
        <f>'[1]Lot 1'!C12</f>
        <v>T2_Comité_de_pilotage_et_de_suivi</v>
      </c>
      <c r="D3" s="186" t="str">
        <f>'[1]Lot 1'!D12</f>
        <v>ST 3 Participation aux réunions du COPIL</v>
      </c>
      <c r="E3" s="178" t="str">
        <f>'[1]Lot 1'!E12</f>
        <v>4 réunions en présentiel, 3 réunions dématérialisées</v>
      </c>
      <c r="F3" s="106" t="str">
        <f>'[1]Lot 1'!F12</f>
        <v>AKTA</v>
      </c>
      <c r="G3" s="111">
        <f>_xlfn.XLOOKUP(T_1[[#This Row],[Partenaires]],Partenaires2[Partenaire],Partenaires2[Tx Ch Connexe])</f>
        <v>0.25</v>
      </c>
      <c r="H3" s="111">
        <f>_xlfn.XLOOKUP(T_1[[#This Row],[Partenaires]],Partenaires2[Partenaire],Partenaires2[Tx Sub])</f>
        <v>0.7</v>
      </c>
      <c r="I3" s="1">
        <f>'[1]Lot 1'!I12</f>
        <v>0</v>
      </c>
      <c r="J3" s="107" t="str">
        <f>'[1]Lot 1'!J12</f>
        <v>Oui</v>
      </c>
      <c r="K3" s="5">
        <f>'[1]Lot 1'!K12</f>
        <v>5.5</v>
      </c>
      <c r="L3" s="44">
        <f>'[1]Lot 1'!L12</f>
        <v>490</v>
      </c>
      <c r="M3" s="45">
        <f>T_1[[#This Row],[P Qu]]*T_1[[#This Row],[P PU]]</f>
        <v>2695</v>
      </c>
      <c r="N3" s="6" t="str">
        <f>'[1]Lot 1'!N12</f>
        <v>Déplacements</v>
      </c>
      <c r="O3" s="7">
        <f>'[1]Lot 1'!O12</f>
        <v>4</v>
      </c>
      <c r="P3" s="59">
        <f>'[1]Lot 1'!P12</f>
        <v>150</v>
      </c>
      <c r="Q3" s="45">
        <f>T_1[[#This Row],[ACh Qu]]*T_1[[#This Row],[ACh PU]]</f>
        <v>600</v>
      </c>
      <c r="R3" s="51">
        <f>T_1[[#This Row],[P CT]]+T_1[[#This Row],[ACh CT]]</f>
        <v>3295</v>
      </c>
      <c r="S3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4118.75</v>
      </c>
      <c r="T3" s="52">
        <f>T_1[[#This Row],[Mt Elligible]]*T_1[[#This Row],[Tx Sub]]</f>
        <v>2883.125</v>
      </c>
    </row>
    <row r="4" spans="1:20">
      <c r="A4" s="110" t="str">
        <f>'[1]Lot 1'!A13</f>
        <v>Lot_1</v>
      </c>
      <c r="B4" s="110" t="str">
        <f>'[1]Lot 1'!B13</f>
        <v>Gouvernance et suivi du programme</v>
      </c>
      <c r="C4" s="166" t="str">
        <f>'[1]Lot 1'!C13</f>
        <v>T3_Comité_scientifique_et_technique</v>
      </c>
      <c r="D4" s="186" t="str">
        <f>'[1]Lot 1'!D13</f>
        <v>ST 2 Participation aux réunions du CST</v>
      </c>
      <c r="E4" s="178" t="str">
        <f>'[1]Lot 1'!E13</f>
        <v>2 réunions presentiel</v>
      </c>
      <c r="F4" s="166" t="str">
        <f>'[1]Lot 1'!F13</f>
        <v>AKTA</v>
      </c>
      <c r="G4" s="111">
        <f>_xlfn.XLOOKUP(T_1[[#This Row],[Partenaires]],Partenaires2[Partenaire],Partenaires2[Tx Ch Connexe])</f>
        <v>0.25</v>
      </c>
      <c r="H4" s="111">
        <f>_xlfn.XLOOKUP(T_1[[#This Row],[Partenaires]],Partenaires2[Partenaire],Partenaires2[Tx Sub])</f>
        <v>0.7</v>
      </c>
      <c r="I4" s="1">
        <f>'[1]Lot 1'!I13</f>
        <v>0</v>
      </c>
      <c r="J4" s="107" t="str">
        <f>'[1]Lot 1'!J13</f>
        <v>Oui</v>
      </c>
      <c r="K4" s="5">
        <f>'[1]Lot 1'!K13</f>
        <v>2</v>
      </c>
      <c r="L4" s="44">
        <f>'[1]Lot 1'!L13</f>
        <v>490</v>
      </c>
      <c r="M4" s="45">
        <f>T_1[[#This Row],[P Qu]]*T_1[[#This Row],[P PU]]</f>
        <v>980</v>
      </c>
      <c r="N4" s="6" t="str">
        <f>'[1]Lot 1'!N13</f>
        <v>Déplacements</v>
      </c>
      <c r="O4" s="7">
        <f>'[1]Lot 1'!O13</f>
        <v>2</v>
      </c>
      <c r="P4" s="59">
        <f>'[1]Lot 1'!P13</f>
        <v>150</v>
      </c>
      <c r="Q4" s="45">
        <f>T_1[[#This Row],[ACh Qu]]*T_1[[#This Row],[ACh PU]]</f>
        <v>300</v>
      </c>
      <c r="R4" s="51">
        <f>T_1[[#This Row],[P CT]]+T_1[[#This Row],[ACh CT]]</f>
        <v>1280</v>
      </c>
      <c r="S4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1600</v>
      </c>
      <c r="T4" s="52">
        <f>T_1[[#This Row],[Mt Elligible]]*T_1[[#This Row],[Tx Sub]]</f>
        <v>1120</v>
      </c>
    </row>
    <row r="5" spans="1:20">
      <c r="A5" s="17" t="str">
        <f t="shared" ref="A5:A13" si="0">A$1</f>
        <v>Lot_1</v>
      </c>
      <c r="B5" s="110" t="str">
        <f>_xlfn.XLOOKUP(T_1[[#This Row],[N° Lot]],Tableau4[NoLot],Tableau4[Lot])</f>
        <v>Gouvernance et suivi du programme</v>
      </c>
      <c r="C5" s="166" t="s">
        <v>50</v>
      </c>
      <c r="D5" s="186" t="s">
        <v>106</v>
      </c>
      <c r="F5" s="166" t="s">
        <v>38</v>
      </c>
      <c r="G5" s="41">
        <f>_xlfn.XLOOKUP(T_1[[#This Row],[Partenaires]],Partenaires2[Partenaire],Partenaires2[Tx Ch Connexe])</f>
        <v>0.22</v>
      </c>
      <c r="H5" s="41">
        <f>_xlfn.XLOOKUP(T_1[[#This Row],[Partenaires]],Partenaires2[Partenaire],Partenaires2[Tx Sub])</f>
        <v>0.7</v>
      </c>
      <c r="I5" s="1" t="s">
        <v>46</v>
      </c>
      <c r="J5" s="107" t="s">
        <v>82</v>
      </c>
      <c r="K5" s="5">
        <v>6</v>
      </c>
      <c r="L5" s="44">
        <v>406</v>
      </c>
      <c r="M5" s="45">
        <f>T_1[[#This Row],[P Qu]]*T_1[[#This Row],[P PU]]</f>
        <v>2436</v>
      </c>
      <c r="N5" s="6"/>
      <c r="O5" s="7"/>
      <c r="P5" s="59"/>
      <c r="Q5" s="45">
        <f>T_1[[#This Row],[ACh Qu]]*T_1[[#This Row],[ACh PU]]</f>
        <v>0</v>
      </c>
      <c r="R5" s="51">
        <f>T_1[[#This Row],[P CT]]+T_1[[#This Row],[ACh CT]]</f>
        <v>2436</v>
      </c>
      <c r="S5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2971.92</v>
      </c>
      <c r="T5" s="52">
        <f>T_1[[#This Row],[Mt Elligible]]*T_1[[#This Row],[Tx Sub]]</f>
        <v>2080.3440000000001</v>
      </c>
    </row>
    <row r="6" spans="1:20">
      <c r="A6" s="17" t="str">
        <f t="shared" si="0"/>
        <v>Lot_1</v>
      </c>
      <c r="B6" s="110" t="str">
        <f>_xlfn.XLOOKUP(T_1[[#This Row],[N° Lot]],Tableau4[NoLot],Tableau4[Lot])</f>
        <v>Gouvernance et suivi du programme</v>
      </c>
      <c r="C6" s="166" t="s">
        <v>50</v>
      </c>
      <c r="D6" s="186" t="s">
        <v>106</v>
      </c>
      <c r="F6" s="166" t="s">
        <v>38</v>
      </c>
      <c r="G6" s="41">
        <f>_xlfn.XLOOKUP(T_1[[#This Row],[Partenaires]],Partenaires2[Partenaire],Partenaires2[Tx Ch Connexe])</f>
        <v>0.22</v>
      </c>
      <c r="H6" s="41">
        <f>_xlfn.XLOOKUP(T_1[[#This Row],[Partenaires]],Partenaires2[Partenaire],Partenaires2[Tx Sub])</f>
        <v>0.7</v>
      </c>
      <c r="I6" s="1" t="s">
        <v>155</v>
      </c>
      <c r="J6" s="107" t="s">
        <v>82</v>
      </c>
      <c r="K6" s="5">
        <v>12</v>
      </c>
      <c r="L6" s="44">
        <v>304</v>
      </c>
      <c r="M6" s="45">
        <f>T_1[[#This Row],[P Qu]]*T_1[[#This Row],[P PU]]</f>
        <v>3648</v>
      </c>
      <c r="N6" s="6"/>
      <c r="O6" s="7"/>
      <c r="P6" s="59"/>
      <c r="Q6" s="45">
        <f>T_1[[#This Row],[ACh Qu]]*T_1[[#This Row],[ACh PU]]</f>
        <v>0</v>
      </c>
      <c r="R6" s="51">
        <f>T_1[[#This Row],[P CT]]+T_1[[#This Row],[ACh CT]]</f>
        <v>3648</v>
      </c>
      <c r="S6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4450.5600000000004</v>
      </c>
      <c r="T6" s="52">
        <f>T_1[[#This Row],[Mt Elligible]]*T_1[[#This Row],[Tx Sub]]</f>
        <v>3115.3920000000003</v>
      </c>
    </row>
    <row r="7" spans="1:20">
      <c r="A7" s="17" t="str">
        <f t="shared" si="0"/>
        <v>Lot_1</v>
      </c>
      <c r="B7" s="110" t="str">
        <f>_xlfn.XLOOKUP(T_1[[#This Row],[N° Lot]],Tableau4[NoLot],Tableau4[Lot])</f>
        <v>Gouvernance et suivi du programme</v>
      </c>
      <c r="C7" s="166" t="s">
        <v>50</v>
      </c>
      <c r="D7" s="186" t="s">
        <v>107</v>
      </c>
      <c r="F7" s="166" t="s">
        <v>38</v>
      </c>
      <c r="G7" s="41">
        <f>_xlfn.XLOOKUP(T_1[[#This Row],[Partenaires]],Partenaires2[Partenaire],Partenaires2[Tx Ch Connexe])</f>
        <v>0.22</v>
      </c>
      <c r="H7" s="41">
        <f>_xlfn.XLOOKUP(T_1[[#This Row],[Partenaires]],Partenaires2[Partenaire],Partenaires2[Tx Sub])</f>
        <v>0.7</v>
      </c>
      <c r="I7" s="1" t="s">
        <v>46</v>
      </c>
      <c r="J7" s="107" t="s">
        <v>82</v>
      </c>
      <c r="K7" s="5">
        <v>3</v>
      </c>
      <c r="L7" s="44">
        <v>406</v>
      </c>
      <c r="M7" s="45">
        <f>T_1[[#This Row],[P Qu]]*T_1[[#This Row],[P PU]]</f>
        <v>1218</v>
      </c>
      <c r="N7" s="6"/>
      <c r="O7" s="7"/>
      <c r="P7" s="59"/>
      <c r="Q7" s="45">
        <f>T_1[[#This Row],[ACh Qu]]*T_1[[#This Row],[ACh PU]]</f>
        <v>0</v>
      </c>
      <c r="R7" s="51">
        <f>T_1[[#This Row],[P CT]]+T_1[[#This Row],[ACh CT]]</f>
        <v>1218</v>
      </c>
      <c r="S7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1485.96</v>
      </c>
      <c r="T7" s="52">
        <f>T_1[[#This Row],[Mt Elligible]]*T_1[[#This Row],[Tx Sub]]</f>
        <v>1040.172</v>
      </c>
    </row>
    <row r="8" spans="1:20">
      <c r="A8" s="17" t="str">
        <f t="shared" si="0"/>
        <v>Lot_1</v>
      </c>
      <c r="B8" s="110" t="str">
        <f>_xlfn.XLOOKUP(T_1[[#This Row],[N° Lot]],Tableau4[NoLot],Tableau4[Lot])</f>
        <v>Gouvernance et suivi du programme</v>
      </c>
      <c r="C8" s="166" t="s">
        <v>50</v>
      </c>
      <c r="D8" s="186" t="s">
        <v>107</v>
      </c>
      <c r="F8" s="166" t="s">
        <v>38</v>
      </c>
      <c r="G8" s="41">
        <f>_xlfn.XLOOKUP(T_1[[#This Row],[Partenaires]],Partenaires2[Partenaire],Partenaires2[Tx Ch Connexe])</f>
        <v>0.22</v>
      </c>
      <c r="H8" s="41">
        <f>_xlfn.XLOOKUP(T_1[[#This Row],[Partenaires]],Partenaires2[Partenaire],Partenaires2[Tx Sub])</f>
        <v>0.7</v>
      </c>
      <c r="I8" s="1" t="s">
        <v>155</v>
      </c>
      <c r="J8" s="107" t="s">
        <v>82</v>
      </c>
      <c r="K8" s="5">
        <v>7.5</v>
      </c>
      <c r="L8" s="44">
        <v>304</v>
      </c>
      <c r="M8" s="45">
        <f>T_1[[#This Row],[P Qu]]*T_1[[#This Row],[P PU]]</f>
        <v>2280</v>
      </c>
      <c r="N8" s="6"/>
      <c r="O8" s="7"/>
      <c r="P8" s="59"/>
      <c r="Q8" s="45">
        <f>T_1[[#This Row],[ACh Qu]]*T_1[[#This Row],[ACh PU]]</f>
        <v>0</v>
      </c>
      <c r="R8" s="51">
        <f>T_1[[#This Row],[P CT]]+T_1[[#This Row],[ACh CT]]</f>
        <v>2280</v>
      </c>
      <c r="S8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2781.6</v>
      </c>
      <c r="T8" s="52">
        <f>T_1[[#This Row],[Mt Elligible]]*T_1[[#This Row],[Tx Sub]]</f>
        <v>1947.12</v>
      </c>
    </row>
    <row r="9" spans="1:20" s="178" customFormat="1">
      <c r="A9" s="17" t="str">
        <f t="shared" si="0"/>
        <v>Lot_1</v>
      </c>
      <c r="B9" s="110" t="str">
        <f>_xlfn.XLOOKUP(T_1[[#This Row],[N° Lot]],Tableau4[NoLot],Tableau4[Lot])</f>
        <v>Gouvernance et suivi du programme</v>
      </c>
      <c r="C9" s="166" t="s">
        <v>51</v>
      </c>
      <c r="D9" s="186" t="s">
        <v>104</v>
      </c>
      <c r="E9" s="178" t="s">
        <v>154</v>
      </c>
      <c r="F9" s="166" t="s">
        <v>38</v>
      </c>
      <c r="G9" s="41">
        <f>_xlfn.XLOOKUP(T_1[[#This Row],[Partenaires]],Partenaires2[Partenaire],Partenaires2[Tx Ch Connexe])</f>
        <v>0.22</v>
      </c>
      <c r="H9" s="41">
        <f>_xlfn.XLOOKUP(T_1[[#This Row],[Partenaires]],Partenaires2[Partenaire],Partenaires2[Tx Sub])</f>
        <v>0.7</v>
      </c>
      <c r="I9" s="178" t="s">
        <v>46</v>
      </c>
      <c r="J9" s="186" t="s">
        <v>82</v>
      </c>
      <c r="K9" s="5">
        <v>3.5</v>
      </c>
      <c r="L9" s="44">
        <v>406</v>
      </c>
      <c r="M9" s="45">
        <f>T_1[[#This Row],[P Qu]]*T_1[[#This Row],[P PU]]</f>
        <v>1421</v>
      </c>
      <c r="N9" s="180"/>
      <c r="O9" s="7"/>
      <c r="P9" s="59"/>
      <c r="Q9" s="45">
        <f>T_1[[#This Row],[ACh Qu]]*T_1[[#This Row],[ACh PU]]</f>
        <v>0</v>
      </c>
      <c r="R9" s="51">
        <f>T_1[[#This Row],[P CT]]+T_1[[#This Row],[ACh CT]]</f>
        <v>1421</v>
      </c>
      <c r="S9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1733.62</v>
      </c>
      <c r="T9" s="52">
        <f>T_1[[#This Row],[Mt Elligible]]*T_1[[#This Row],[Tx Sub]]</f>
        <v>1213.5339999999999</v>
      </c>
    </row>
    <row r="10" spans="1:20">
      <c r="A10" s="17" t="str">
        <f t="shared" si="0"/>
        <v>Lot_1</v>
      </c>
      <c r="B10" s="110" t="str">
        <f>_xlfn.XLOOKUP(T_1[[#This Row],[N° Lot]],Tableau4[NoLot],Tableau4[Lot])</f>
        <v>Gouvernance et suivi du programme</v>
      </c>
      <c r="C10" s="166" t="s">
        <v>51</v>
      </c>
      <c r="D10" s="186" t="s">
        <v>104</v>
      </c>
      <c r="E10" s="178" t="s">
        <v>154</v>
      </c>
      <c r="F10" s="166" t="s">
        <v>38</v>
      </c>
      <c r="G10" s="41">
        <f>_xlfn.XLOOKUP(T_1[[#This Row],[Partenaires]],Partenaires2[Partenaire],Partenaires2[Tx Ch Connexe])</f>
        <v>0.22</v>
      </c>
      <c r="H10" s="41">
        <f>_xlfn.XLOOKUP(T_1[[#This Row],[Partenaires]],Partenaires2[Partenaire],Partenaires2[Tx Sub])</f>
        <v>0.7</v>
      </c>
      <c r="I10" s="1" t="s">
        <v>155</v>
      </c>
      <c r="J10" s="107" t="s">
        <v>82</v>
      </c>
      <c r="K10" s="5">
        <v>7</v>
      </c>
      <c r="L10" s="44">
        <v>304</v>
      </c>
      <c r="M10" s="45">
        <f>T_1[[#This Row],[P Qu]]*T_1[[#This Row],[P PU]]</f>
        <v>2128</v>
      </c>
      <c r="N10" s="6"/>
      <c r="O10" s="7"/>
      <c r="P10" s="59"/>
      <c r="Q10" s="45">
        <f>T_1[[#This Row],[ACh Qu]]*T_1[[#This Row],[ACh PU]]</f>
        <v>0</v>
      </c>
      <c r="R10" s="51">
        <f>T_1[[#This Row],[P CT]]+T_1[[#This Row],[ACh CT]]</f>
        <v>2128</v>
      </c>
      <c r="S10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2596.16</v>
      </c>
      <c r="T10" s="52">
        <f>T_1[[#This Row],[Mt Elligible]]*T_1[[#This Row],[Tx Sub]]</f>
        <v>1817.3119999999997</v>
      </c>
    </row>
    <row r="11" spans="1:20">
      <c r="A11" s="17" t="str">
        <f t="shared" si="0"/>
        <v>Lot_1</v>
      </c>
      <c r="B11" s="110" t="str">
        <f>_xlfn.XLOOKUP(T_1[[#This Row],[N° Lot]],Tableau4[NoLot],Tableau4[Lot])</f>
        <v>Gouvernance et suivi du programme</v>
      </c>
      <c r="C11" s="166" t="s">
        <v>51</v>
      </c>
      <c r="D11" s="186" t="s">
        <v>103</v>
      </c>
      <c r="F11" s="166" t="s">
        <v>38</v>
      </c>
      <c r="G11" s="41">
        <f>_xlfn.XLOOKUP(T_1[[#This Row],[Partenaires]],Partenaires2[Partenaire],Partenaires2[Tx Ch Connexe])</f>
        <v>0.22</v>
      </c>
      <c r="H11" s="41">
        <f>_xlfn.XLOOKUP(T_1[[#This Row],[Partenaires]],Partenaires2[Partenaire],Partenaires2[Tx Sub])</f>
        <v>0.7</v>
      </c>
      <c r="I11" s="1" t="s">
        <v>46</v>
      </c>
      <c r="J11" s="107" t="s">
        <v>82</v>
      </c>
      <c r="K11" s="5">
        <v>3</v>
      </c>
      <c r="L11" s="44">
        <v>406</v>
      </c>
      <c r="M11" s="45">
        <f>T_1[[#This Row],[P Qu]]*T_1[[#This Row],[P PU]]</f>
        <v>1218</v>
      </c>
      <c r="N11" s="6"/>
      <c r="O11" s="7"/>
      <c r="P11" s="59"/>
      <c r="Q11" s="45">
        <f>T_1[[#This Row],[ACh Qu]]*T_1[[#This Row],[ACh PU]]</f>
        <v>0</v>
      </c>
      <c r="R11" s="51">
        <f>T_1[[#This Row],[P CT]]+T_1[[#This Row],[ACh CT]]</f>
        <v>1218</v>
      </c>
      <c r="S11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1485.96</v>
      </c>
      <c r="T11" s="52">
        <f>T_1[[#This Row],[Mt Elligible]]*T_1[[#This Row],[Tx Sub]]</f>
        <v>1040.172</v>
      </c>
    </row>
    <row r="12" spans="1:20">
      <c r="A12" s="17" t="str">
        <f t="shared" si="0"/>
        <v>Lot_1</v>
      </c>
      <c r="B12" s="110" t="str">
        <f>_xlfn.XLOOKUP(T_1[[#This Row],[N° Lot]],Tableau4[NoLot],Tableau4[Lot])</f>
        <v>Gouvernance et suivi du programme</v>
      </c>
      <c r="C12" s="166" t="s">
        <v>51</v>
      </c>
      <c r="D12" s="186" t="s">
        <v>103</v>
      </c>
      <c r="F12" s="166" t="s">
        <v>38</v>
      </c>
      <c r="G12" s="41">
        <f>_xlfn.XLOOKUP(T_1[[#This Row],[Partenaires]],Partenaires2[Partenaire],Partenaires2[Tx Ch Connexe])</f>
        <v>0.22</v>
      </c>
      <c r="H12" s="41">
        <f>_xlfn.XLOOKUP(T_1[[#This Row],[Partenaires]],Partenaires2[Partenaire],Partenaires2[Tx Sub])</f>
        <v>0.7</v>
      </c>
      <c r="I12" s="1" t="s">
        <v>155</v>
      </c>
      <c r="J12" s="107" t="s">
        <v>82</v>
      </c>
      <c r="K12" s="5">
        <v>6</v>
      </c>
      <c r="L12" s="44">
        <v>304</v>
      </c>
      <c r="M12" s="45">
        <f>T_1[[#This Row],[P Qu]]*T_1[[#This Row],[P PU]]</f>
        <v>1824</v>
      </c>
      <c r="N12" s="6"/>
      <c r="O12" s="7"/>
      <c r="P12" s="59"/>
      <c r="Q12" s="45">
        <f>T_1[[#This Row],[ACh Qu]]*T_1[[#This Row],[ACh PU]]</f>
        <v>0</v>
      </c>
      <c r="R12" s="51">
        <f>T_1[[#This Row],[P CT]]+T_1[[#This Row],[ACh CT]]</f>
        <v>1824</v>
      </c>
      <c r="S12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2225.2800000000002</v>
      </c>
      <c r="T12" s="52">
        <f>T_1[[#This Row],[Mt Elligible]]*T_1[[#This Row],[Tx Sub]]</f>
        <v>1557.6960000000001</v>
      </c>
    </row>
    <row r="13" spans="1:20">
      <c r="A13" s="110" t="str">
        <f t="shared" si="0"/>
        <v>Lot_1</v>
      </c>
      <c r="B13" s="110" t="str">
        <f>_xlfn.XLOOKUP(T_1[[#This Row],[N° Lot]],Tableau4[NoLot],Tableau4[Lot])</f>
        <v>Gouvernance et suivi du programme</v>
      </c>
      <c r="C13" s="166" t="s">
        <v>51</v>
      </c>
      <c r="D13" s="186" t="s">
        <v>105</v>
      </c>
      <c r="E13" s="178" t="s">
        <v>154</v>
      </c>
      <c r="F13" s="166" t="s">
        <v>38</v>
      </c>
      <c r="G13" s="111">
        <f>_xlfn.XLOOKUP(T_1[[#This Row],[Partenaires]],Partenaires2[Partenaire],Partenaires2[Tx Ch Connexe])</f>
        <v>0.22</v>
      </c>
      <c r="H13" s="111">
        <f>_xlfn.XLOOKUP(T_1[[#This Row],[Partenaires]],Partenaires2[Partenaire],Partenaires2[Tx Sub])</f>
        <v>0.7</v>
      </c>
      <c r="I13" s="1" t="s">
        <v>46</v>
      </c>
      <c r="J13" s="107" t="s">
        <v>82</v>
      </c>
      <c r="K13" s="5">
        <v>5.5</v>
      </c>
      <c r="L13" s="44">
        <v>406</v>
      </c>
      <c r="M13" s="45">
        <f>T_1[[#This Row],[P Qu]]*T_1[[#This Row],[P PU]]</f>
        <v>2233</v>
      </c>
      <c r="N13" s="6" t="s">
        <v>45</v>
      </c>
      <c r="O13" s="7">
        <v>4</v>
      </c>
      <c r="P13" s="59">
        <v>150</v>
      </c>
      <c r="Q13" s="45">
        <f>T_1[[#This Row],[ACh Qu]]*T_1[[#This Row],[ACh PU]]</f>
        <v>600</v>
      </c>
      <c r="R13" s="51">
        <f>T_1[[#This Row],[P CT]]+T_1[[#This Row],[ACh CT]]</f>
        <v>2833</v>
      </c>
      <c r="S13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3456.26</v>
      </c>
      <c r="T13" s="52">
        <f>T_1[[#This Row],[Mt Elligible]]*T_1[[#This Row],[Tx Sub]]</f>
        <v>2419.3820000000001</v>
      </c>
    </row>
    <row r="14" spans="1:20">
      <c r="A14" s="110" t="s">
        <v>30</v>
      </c>
      <c r="B14" s="110" t="str">
        <f>_xlfn.XLOOKUP(T_1[[#This Row],[N° Lot]],Tableau4[NoLot],Tableau4[Lot])</f>
        <v>Gouvernance et suivi du programme</v>
      </c>
      <c r="C14" s="166" t="s">
        <v>52</v>
      </c>
      <c r="D14" s="186" t="s">
        <v>88</v>
      </c>
      <c r="E14" s="178" t="s">
        <v>156</v>
      </c>
      <c r="F14" s="166" t="s">
        <v>38</v>
      </c>
      <c r="G14" s="111">
        <f>_xlfn.XLOOKUP(T_1[[#This Row],[Partenaires]],Partenaires2[Partenaire],Partenaires2[Tx Ch Connexe])</f>
        <v>0.22</v>
      </c>
      <c r="H14" s="111">
        <f>_xlfn.XLOOKUP(T_1[[#This Row],[Partenaires]],Partenaires2[Partenaire],Partenaires2[Tx Sub])</f>
        <v>0.7</v>
      </c>
      <c r="I14" s="1" t="s">
        <v>46</v>
      </c>
      <c r="J14" s="107" t="s">
        <v>82</v>
      </c>
      <c r="K14" s="5">
        <v>2</v>
      </c>
      <c r="L14" s="44">
        <v>406</v>
      </c>
      <c r="M14" s="45">
        <f>T_1[[#This Row],[P Qu]]*T_1[[#This Row],[P PU]]</f>
        <v>812</v>
      </c>
      <c r="N14" s="6" t="s">
        <v>45</v>
      </c>
      <c r="O14" s="7">
        <v>2</v>
      </c>
      <c r="P14" s="59">
        <v>150</v>
      </c>
      <c r="Q14" s="45">
        <f>T_1[[#This Row],[ACh Qu]]*T_1[[#This Row],[ACh PU]]</f>
        <v>300</v>
      </c>
      <c r="R14" s="51">
        <f>T_1[[#This Row],[P CT]]+T_1[[#This Row],[ACh CT]]</f>
        <v>1112</v>
      </c>
      <c r="S14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1356.64</v>
      </c>
      <c r="T14" s="52">
        <f>T_1[[#This Row],[Mt Elligible]]*T_1[[#This Row],[Tx Sub]]</f>
        <v>949.64800000000002</v>
      </c>
    </row>
    <row r="15" spans="1:20">
      <c r="A15" s="110" t="str">
        <f t="shared" ref="A15:A25" si="1">A$1</f>
        <v>Lot_1</v>
      </c>
      <c r="B15" s="110" t="str">
        <f>_xlfn.XLOOKUP(T_1[[#This Row],[N° Lot]],Tableau4[NoLot],Tableau4[Lot])</f>
        <v>Gouvernance et suivi du programme</v>
      </c>
      <c r="C15" s="166" t="str">
        <f>'[2]Lot 1'!C12</f>
        <v>T2_Comité_de_pilotage_et_de_suivi</v>
      </c>
      <c r="D15" s="186" t="str">
        <f>'[2]Lot 1'!D12</f>
        <v>ST 3 Participation aux réunions du COPIL</v>
      </c>
      <c r="E15" s="178" t="str">
        <f>'[2]Lot 1'!E12</f>
        <v>4 réunions en présentiel, 3 réunions dématérialisées</v>
      </c>
      <c r="F15" s="166" t="str">
        <f>'[2]Lot 1'!F12</f>
        <v>CEREMA</v>
      </c>
      <c r="G15" s="111">
        <f>_xlfn.XLOOKUP(T_1[[#This Row],[Partenaires]],Partenaires2[Partenaire],Partenaires2[Tx Ch Connexe])</f>
        <v>0.25</v>
      </c>
      <c r="H15" s="111">
        <f>_xlfn.XLOOKUP(T_1[[#This Row],[Partenaires]],Partenaires2[Partenaire],Partenaires2[Tx Sub])</f>
        <v>0.5</v>
      </c>
      <c r="I15" s="1" t="str">
        <f>'[2]Lot 1'!I12</f>
        <v>Expert</v>
      </c>
      <c r="J15" s="107" t="str">
        <f>'[2]Lot 1'!J12</f>
        <v>Non</v>
      </c>
      <c r="K15" s="5">
        <v>5.5</v>
      </c>
      <c r="L15" s="44">
        <f>'[2]Lot 1'!L12</f>
        <v>792</v>
      </c>
      <c r="M15" s="45">
        <f>T_1[[#This Row],[P Qu]]*T_1[[#This Row],[P PU]]</f>
        <v>4356</v>
      </c>
      <c r="N15" s="6" t="str">
        <f>'[2]Lot 1'!N12</f>
        <v>Déplacements</v>
      </c>
      <c r="O15" s="7">
        <f>'[2]Lot 1'!O12</f>
        <v>4</v>
      </c>
      <c r="P15" s="59">
        <f>'[2]Lot 1'!P12</f>
        <v>150</v>
      </c>
      <c r="Q15" s="45">
        <f>T_1[[#This Row],[ACh Qu]]*T_1[[#This Row],[ACh PU]]</f>
        <v>600</v>
      </c>
      <c r="R15" s="51">
        <f>T_1[[#This Row],[P CT]]+T_1[[#This Row],[ACh CT]]</f>
        <v>4956</v>
      </c>
      <c r="S15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1839</v>
      </c>
      <c r="T15" s="52">
        <f>T_1[[#This Row],[Mt Elligible]]*T_1[[#This Row],[Tx Sub]]</f>
        <v>919.5</v>
      </c>
    </row>
    <row r="16" spans="1:20">
      <c r="A16" s="110" t="str">
        <f t="shared" si="1"/>
        <v>Lot_1</v>
      </c>
      <c r="B16" s="110" t="str">
        <f>_xlfn.XLOOKUP(T_1[[#This Row],[N° Lot]],Tableau4[NoLot],Tableau4[Lot])</f>
        <v>Gouvernance et suivi du programme</v>
      </c>
      <c r="C16" s="166" t="str">
        <f>'[2]Lot 1'!C14</f>
        <v>T3_Comité_scientifique_et_technique</v>
      </c>
      <c r="D16" s="186" t="str">
        <f>'[2]Lot 1'!D14</f>
        <v>ST 2 Participation aux réunions du CST</v>
      </c>
      <c r="E16" s="178" t="str">
        <f>'[2]Lot 1'!E14</f>
        <v>2 réunions en présentiel</v>
      </c>
      <c r="F16" s="166" t="str">
        <f>'[2]Lot 1'!F14</f>
        <v>CEREMA</v>
      </c>
      <c r="G16" s="111">
        <f>_xlfn.XLOOKUP(T_1[[#This Row],[Partenaires]],Partenaires2[Partenaire],Partenaires2[Tx Ch Connexe])</f>
        <v>0.25</v>
      </c>
      <c r="H16" s="111">
        <f>_xlfn.XLOOKUP(T_1[[#This Row],[Partenaires]],Partenaires2[Partenaire],Partenaires2[Tx Sub])</f>
        <v>0.5</v>
      </c>
      <c r="I16" s="1" t="str">
        <f>'[2]Lot 1'!I14</f>
        <v>Expert</v>
      </c>
      <c r="J16" s="107" t="str">
        <f>'[2]Lot 1'!J14</f>
        <v>Non</v>
      </c>
      <c r="K16" s="5">
        <f>'[2]Lot 1'!K14</f>
        <v>2</v>
      </c>
      <c r="L16" s="44">
        <f>'[2]Lot 1'!L14</f>
        <v>792</v>
      </c>
      <c r="M16" s="45">
        <f>T_1[[#This Row],[P Qu]]*T_1[[#This Row],[P PU]]</f>
        <v>1584</v>
      </c>
      <c r="N16" s="6" t="str">
        <f>'[2]Lot 1'!N14</f>
        <v>Déplacements</v>
      </c>
      <c r="O16" s="7">
        <f>'[2]Lot 1'!O14</f>
        <v>2</v>
      </c>
      <c r="P16" s="59">
        <f>'[2]Lot 1'!P14</f>
        <v>150</v>
      </c>
      <c r="Q16" s="45">
        <f>T_1[[#This Row],[ACh Qu]]*T_1[[#This Row],[ACh PU]]</f>
        <v>300</v>
      </c>
      <c r="R16" s="51">
        <f>T_1[[#This Row],[P CT]]+T_1[[#This Row],[ACh CT]]</f>
        <v>1884</v>
      </c>
      <c r="S16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771</v>
      </c>
      <c r="T16" s="52">
        <f>T_1[[#This Row],[Mt Elligible]]*T_1[[#This Row],[Tx Sub]]</f>
        <v>385.5</v>
      </c>
    </row>
    <row r="17" spans="1:20">
      <c r="A17" s="110" t="str">
        <f t="shared" si="1"/>
        <v>Lot_1</v>
      </c>
      <c r="B17" s="110" t="str">
        <f>_xlfn.XLOOKUP(T_1[[#This Row],[N° Lot]],Tableau4[NoLot],Tableau4[Lot])</f>
        <v>Gouvernance et suivi du programme</v>
      </c>
      <c r="C17" s="166" t="s">
        <v>51</v>
      </c>
      <c r="D17" s="186" t="s">
        <v>105</v>
      </c>
      <c r="E17" s="178" t="s">
        <v>154</v>
      </c>
      <c r="F17" s="166" t="s">
        <v>79</v>
      </c>
      <c r="G17" s="111">
        <f>_xlfn.XLOOKUP(T_1[[#This Row],[Partenaires]],Partenaires2[Partenaire],Partenaires2[Tx Ch Connexe])</f>
        <v>0.16</v>
      </c>
      <c r="H17" s="111">
        <f>_xlfn.XLOOKUP(T_1[[#This Row],[Partenaires]],Partenaires2[Partenaire],Partenaires2[Tx Sub])</f>
        <v>0.5</v>
      </c>
      <c r="I17" s="1" t="s">
        <v>238</v>
      </c>
      <c r="J17" s="107" t="s">
        <v>81</v>
      </c>
      <c r="K17" s="5">
        <v>5.5</v>
      </c>
      <c r="L17" s="44">
        <v>446</v>
      </c>
      <c r="M17" s="45">
        <f>T_1[[#This Row],[P Qu]]*T_1[[#This Row],[P PU]]</f>
        <v>2453</v>
      </c>
      <c r="N17" s="6" t="s">
        <v>45</v>
      </c>
      <c r="O17" s="7">
        <v>4</v>
      </c>
      <c r="P17" s="59">
        <v>150</v>
      </c>
      <c r="Q17" s="45">
        <f>T_1[[#This Row],[ACh Qu]]*T_1[[#This Row],[ACh PU]]</f>
        <v>600</v>
      </c>
      <c r="R17" s="51">
        <f>T_1[[#This Row],[P CT]]+T_1[[#This Row],[ACh CT]]</f>
        <v>3053</v>
      </c>
      <c r="S17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1088.48</v>
      </c>
      <c r="T17" s="44">
        <f>T_1[[#This Row],[Mt Elligible]]*T_1[[#This Row],[Tx Sub]]</f>
        <v>544.24</v>
      </c>
    </row>
    <row r="18" spans="1:20">
      <c r="A18" s="110" t="str">
        <f t="shared" si="1"/>
        <v>Lot_1</v>
      </c>
      <c r="B18" s="110" t="str">
        <f>_xlfn.XLOOKUP(T_1[[#This Row],[N° Lot]],Tableau4[NoLot],Tableau4[Lot])</f>
        <v>Gouvernance et suivi du programme</v>
      </c>
      <c r="C18" s="166" t="s">
        <v>51</v>
      </c>
      <c r="D18" s="186" t="s">
        <v>105</v>
      </c>
      <c r="E18" s="178" t="s">
        <v>154</v>
      </c>
      <c r="F18" s="166" t="s">
        <v>79</v>
      </c>
      <c r="G18" s="111">
        <f>_xlfn.XLOOKUP(T_1[[#This Row],[Partenaires]],Partenaires2[Partenaire],Partenaires2[Tx Ch Connexe])</f>
        <v>0.16</v>
      </c>
      <c r="H18" s="111">
        <f>_xlfn.XLOOKUP(T_1[[#This Row],[Partenaires]],Partenaires2[Partenaire],Partenaires2[Tx Sub])</f>
        <v>0.5</v>
      </c>
      <c r="I18" s="1" t="s">
        <v>241</v>
      </c>
      <c r="J18" s="107" t="s">
        <v>81</v>
      </c>
      <c r="K18" s="5">
        <v>5.5</v>
      </c>
      <c r="L18" s="44">
        <v>275</v>
      </c>
      <c r="M18" s="45">
        <f>T_1[[#This Row],[P Qu]]*T_1[[#This Row],[P PU]]</f>
        <v>1512.5</v>
      </c>
      <c r="N18" s="6" t="s">
        <v>45</v>
      </c>
      <c r="O18" s="7">
        <v>4</v>
      </c>
      <c r="P18" s="59">
        <v>150</v>
      </c>
      <c r="Q18" s="45">
        <f>T_1[[#This Row],[ACh Qu]]*T_1[[#This Row],[ACh PU]]</f>
        <v>600</v>
      </c>
      <c r="R18" s="51">
        <f>T_1[[#This Row],[P CT]]+T_1[[#This Row],[ACh CT]]</f>
        <v>2112.5</v>
      </c>
      <c r="S18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938</v>
      </c>
      <c r="T18" s="44">
        <f>T_1[[#This Row],[Mt Elligible]]*T_1[[#This Row],[Tx Sub]]</f>
        <v>469</v>
      </c>
    </row>
    <row r="19" spans="1:20">
      <c r="A19" s="110" t="str">
        <f t="shared" si="1"/>
        <v>Lot_1</v>
      </c>
      <c r="B19" s="110" t="str">
        <f>_xlfn.XLOOKUP(T_1[[#This Row],[N° Lot]],Tableau4[NoLot],Tableau4[Lot])</f>
        <v>Gouvernance et suivi du programme</v>
      </c>
      <c r="C19" s="166" t="s">
        <v>52</v>
      </c>
      <c r="D19" s="186" t="s">
        <v>88</v>
      </c>
      <c r="E19" s="178" t="s">
        <v>156</v>
      </c>
      <c r="F19" s="166" t="s">
        <v>79</v>
      </c>
      <c r="G19" s="111">
        <f>_xlfn.XLOOKUP(T_1[[#This Row],[Partenaires]],Partenaires2[Partenaire],Partenaires2[Tx Ch Connexe])</f>
        <v>0.16</v>
      </c>
      <c r="H19" s="111">
        <f>_xlfn.XLOOKUP(T_1[[#This Row],[Partenaires]],Partenaires2[Partenaire],Partenaires2[Tx Sub])</f>
        <v>0.5</v>
      </c>
      <c r="I19" s="1" t="s">
        <v>238</v>
      </c>
      <c r="J19" s="107" t="s">
        <v>81</v>
      </c>
      <c r="K19" s="5">
        <v>2</v>
      </c>
      <c r="L19" s="44">
        <v>446</v>
      </c>
      <c r="M19" s="45">
        <f>T_1[[#This Row],[P Qu]]*T_1[[#This Row],[P PU]]</f>
        <v>892</v>
      </c>
      <c r="N19" s="6" t="s">
        <v>45</v>
      </c>
      <c r="O19" s="7">
        <v>2</v>
      </c>
      <c r="P19" s="59">
        <v>150</v>
      </c>
      <c r="Q19" s="45">
        <f>T_1[[#This Row],[ACh Qu]]*T_1[[#This Row],[ACh PU]]</f>
        <v>300</v>
      </c>
      <c r="R19" s="51">
        <f>T_1[[#This Row],[P CT]]+T_1[[#This Row],[ACh CT]]</f>
        <v>1192</v>
      </c>
      <c r="S19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490.72</v>
      </c>
      <c r="T19" s="44">
        <f>T_1[[#This Row],[Mt Elligible]]*T_1[[#This Row],[Tx Sub]]</f>
        <v>245.36</v>
      </c>
    </row>
    <row r="20" spans="1:20">
      <c r="A20" s="110" t="str">
        <f t="shared" si="1"/>
        <v>Lot_1</v>
      </c>
      <c r="B20" s="110" t="str">
        <f>_xlfn.XLOOKUP(T_1[[#This Row],[N° Lot]],Tableau4[NoLot],Tableau4[Lot])</f>
        <v>Gouvernance et suivi du programme</v>
      </c>
      <c r="C20" s="166" t="s">
        <v>52</v>
      </c>
      <c r="D20" s="186" t="s">
        <v>88</v>
      </c>
      <c r="E20" s="178" t="s">
        <v>156</v>
      </c>
      <c r="F20" s="166" t="s">
        <v>79</v>
      </c>
      <c r="G20" s="111">
        <f>_xlfn.XLOOKUP(T_1[[#This Row],[Partenaires]],Partenaires2[Partenaire],Partenaires2[Tx Ch Connexe])</f>
        <v>0.16</v>
      </c>
      <c r="H20" s="111">
        <f>_xlfn.XLOOKUP(T_1[[#This Row],[Partenaires]],Partenaires2[Partenaire],Partenaires2[Tx Sub])</f>
        <v>0.5</v>
      </c>
      <c r="I20" s="1" t="s">
        <v>241</v>
      </c>
      <c r="J20" s="107" t="s">
        <v>81</v>
      </c>
      <c r="K20" s="5">
        <v>2</v>
      </c>
      <c r="L20" s="44">
        <v>275</v>
      </c>
      <c r="M20" s="45">
        <f>T_1[[#This Row],[P Qu]]*T_1[[#This Row],[P PU]]</f>
        <v>550</v>
      </c>
      <c r="N20" s="6" t="s">
        <v>136</v>
      </c>
      <c r="O20" s="7">
        <v>2</v>
      </c>
      <c r="P20" s="59">
        <v>150</v>
      </c>
      <c r="Q20" s="45">
        <f>T_1[[#This Row],[ACh Qu]]*T_1[[#This Row],[ACh PU]]</f>
        <v>300</v>
      </c>
      <c r="R20" s="51">
        <f>T_1[[#This Row],[P CT]]+T_1[[#This Row],[ACh CT]]</f>
        <v>850</v>
      </c>
      <c r="S20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436</v>
      </c>
      <c r="T20" s="44">
        <f>T_1[[#This Row],[Mt Elligible]]*T_1[[#This Row],[Tx Sub]]</f>
        <v>218</v>
      </c>
    </row>
    <row r="21" spans="1:20">
      <c r="A21" s="110" t="str">
        <f t="shared" si="1"/>
        <v>Lot_1</v>
      </c>
      <c r="B21" s="110" t="str">
        <f>_xlfn.XLOOKUP(T_1[[#This Row],[N° Lot]],Tableau4[NoLot],Tableau4[Lot])</f>
        <v>Gouvernance et suivi du programme</v>
      </c>
      <c r="C21" s="166" t="s">
        <v>51</v>
      </c>
      <c r="D21" s="186" t="s">
        <v>105</v>
      </c>
      <c r="E21" s="178" t="s">
        <v>199</v>
      </c>
      <c r="F21" s="166" t="s">
        <v>135</v>
      </c>
      <c r="G21" s="111">
        <f>_xlfn.XLOOKUP(T_1[[#This Row],[Partenaires]],Partenaires2[Partenaire],Partenaires2[Tx Ch Connexe])</f>
        <v>0.25</v>
      </c>
      <c r="H21" s="111">
        <f>_xlfn.XLOOKUP(T_1[[#This Row],[Partenaires]],Partenaires2[Partenaire],Partenaires2[Tx Sub])</f>
        <v>0.7</v>
      </c>
      <c r="J21" s="107" t="s">
        <v>82</v>
      </c>
      <c r="K21" s="5">
        <v>5.5</v>
      </c>
      <c r="L21" s="44">
        <v>422</v>
      </c>
      <c r="M21" s="45">
        <f>T_1[[#This Row],[P Qu]]*T_1[[#This Row],[P PU]]</f>
        <v>2321</v>
      </c>
      <c r="N21" s="178" t="s">
        <v>45</v>
      </c>
      <c r="O21" s="7">
        <v>4</v>
      </c>
      <c r="P21" s="59">
        <v>150</v>
      </c>
      <c r="Q21" s="45">
        <f>T_1[[#This Row],[ACh Qu]]*T_1[[#This Row],[ACh PU]]</f>
        <v>600</v>
      </c>
      <c r="R21" s="51">
        <f>T_1[[#This Row],[P CT]]+T_1[[#This Row],[ACh CT]]</f>
        <v>2921</v>
      </c>
      <c r="S21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3651.25</v>
      </c>
      <c r="T21" s="44">
        <f>T_1[[#This Row],[Mt Elligible]]*T_1[[#This Row],[Tx Sub]]</f>
        <v>2555.875</v>
      </c>
    </row>
    <row r="22" spans="1:20">
      <c r="A22" s="17" t="str">
        <f t="shared" si="1"/>
        <v>Lot_1</v>
      </c>
      <c r="B22" s="110" t="str">
        <f>_xlfn.XLOOKUP(T_1[[#This Row],[N° Lot]],Tableau4[NoLot],Tableau4[Lot])</f>
        <v>Gouvernance et suivi du programme</v>
      </c>
      <c r="C22" s="166" t="s">
        <v>50</v>
      </c>
      <c r="D22" s="186" t="s">
        <v>106</v>
      </c>
      <c r="F22" s="166" t="s">
        <v>16</v>
      </c>
      <c r="G22" s="41">
        <f>_xlfn.XLOOKUP(T_1[[#This Row],[Partenaires]],Partenaires2[Partenaire],Partenaires2[Tx Ch Connexe])</f>
        <v>0.25</v>
      </c>
      <c r="H22" s="41">
        <f>_xlfn.XLOOKUP(T_1[[#This Row],[Partenaires]],Partenaires2[Partenaire],Partenaires2[Tx Sub])</f>
        <v>0.7</v>
      </c>
      <c r="J22" s="107" t="s">
        <v>82</v>
      </c>
      <c r="K22" s="5"/>
      <c r="L22" s="44"/>
      <c r="M22" s="45">
        <f>T_1[[#This Row],[P Qu]]*T_1[[#This Row],[P PU]]</f>
        <v>0</v>
      </c>
      <c r="N22" s="6" t="s">
        <v>136</v>
      </c>
      <c r="O22" s="7">
        <v>6</v>
      </c>
      <c r="P22" s="59">
        <v>520</v>
      </c>
      <c r="Q22" s="45">
        <f>T_1[[#This Row],[ACh Qu]]*T_1[[#This Row],[ACh PU]]</f>
        <v>3120</v>
      </c>
      <c r="R22" s="51">
        <f>T_1[[#This Row],[P CT]]+T_1[[#This Row],[ACh CT]]</f>
        <v>3120</v>
      </c>
      <c r="S22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3900</v>
      </c>
      <c r="T22" s="52">
        <f>T_1[[#This Row],[Mt Elligible]]*T_1[[#This Row],[Tx Sub]]</f>
        <v>2730</v>
      </c>
    </row>
    <row r="23" spans="1:20">
      <c r="A23" s="17" t="str">
        <f t="shared" si="1"/>
        <v>Lot_1</v>
      </c>
      <c r="B23" s="110" t="str">
        <f>_xlfn.XLOOKUP(T_1[[#This Row],[N° Lot]],Tableau4[NoLot],Tableau4[Lot])</f>
        <v>Gouvernance et suivi du programme</v>
      </c>
      <c r="C23" s="166" t="s">
        <v>50</v>
      </c>
      <c r="D23" s="186" t="s">
        <v>107</v>
      </c>
      <c r="F23" s="166" t="s">
        <v>16</v>
      </c>
      <c r="G23" s="41">
        <f>_xlfn.XLOOKUP(T_1[[#This Row],[Partenaires]],Partenaires2[Partenaire],Partenaires2[Tx Ch Connexe])</f>
        <v>0.25</v>
      </c>
      <c r="H23" s="41">
        <f>_xlfn.XLOOKUP(T_1[[#This Row],[Partenaires]],Partenaires2[Partenaire],Partenaires2[Tx Sub])</f>
        <v>0.7</v>
      </c>
      <c r="I23" s="178"/>
      <c r="J23" s="186" t="s">
        <v>82</v>
      </c>
      <c r="K23" s="5"/>
      <c r="L23" s="44"/>
      <c r="M23" s="45">
        <f>T_1[[#This Row],[P Qu]]*T_1[[#This Row],[P PU]]</f>
        <v>0</v>
      </c>
      <c r="N23" s="180" t="s">
        <v>136</v>
      </c>
      <c r="O23" s="7">
        <v>3</v>
      </c>
      <c r="P23" s="59">
        <v>520</v>
      </c>
      <c r="Q23" s="45">
        <f>T_1[[#This Row],[ACh Qu]]*T_1[[#This Row],[ACh PU]]</f>
        <v>1560</v>
      </c>
      <c r="R23" s="51">
        <f>T_1[[#This Row],[P CT]]+T_1[[#This Row],[ACh CT]]</f>
        <v>1560</v>
      </c>
      <c r="S23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1950</v>
      </c>
      <c r="T23" s="52">
        <f>T_1[[#This Row],[Mt Elligible]]*T_1[[#This Row],[Tx Sub]]</f>
        <v>1365</v>
      </c>
    </row>
    <row r="24" spans="1:20">
      <c r="A24" s="110" t="str">
        <f t="shared" si="1"/>
        <v>Lot_1</v>
      </c>
      <c r="B24" s="110" t="str">
        <f>_xlfn.XLOOKUP(T_1[[#This Row],[N° Lot]],Tableau4[NoLot],Tableau4[Lot])</f>
        <v>Gouvernance et suivi du programme</v>
      </c>
      <c r="C24" s="166" t="s">
        <v>51</v>
      </c>
      <c r="D24" s="186" t="s">
        <v>105</v>
      </c>
      <c r="E24" s="178" t="s">
        <v>154</v>
      </c>
      <c r="F24" s="166" t="s">
        <v>16</v>
      </c>
      <c r="G24" s="41">
        <f>_xlfn.XLOOKUP(T_1[[#This Row],[Partenaires]],Partenaires2[Partenaire],Partenaires2[Tx Ch Connexe])</f>
        <v>0.25</v>
      </c>
      <c r="H24" s="41">
        <f>_xlfn.XLOOKUP(T_1[[#This Row],[Partenaires]],Partenaires2[Partenaire],Partenaires2[Tx Sub])</f>
        <v>0.7</v>
      </c>
      <c r="I24" s="178"/>
      <c r="J24" s="186" t="s">
        <v>82</v>
      </c>
      <c r="K24" s="5"/>
      <c r="L24" s="44"/>
      <c r="M24" s="45">
        <f>T_1[[#This Row],[P Qu]]*T_1[[#This Row],[P PU]]</f>
        <v>0</v>
      </c>
      <c r="N24" s="180" t="s">
        <v>136</v>
      </c>
      <c r="O24" s="7">
        <v>5.5</v>
      </c>
      <c r="P24" s="59">
        <v>520</v>
      </c>
      <c r="Q24" s="45">
        <f>T_1[[#This Row],[ACh Qu]]*T_1[[#This Row],[ACh PU]]</f>
        <v>2860</v>
      </c>
      <c r="R24" s="51">
        <f>T_1[[#This Row],[P CT]]+T_1[[#This Row],[ACh CT]]</f>
        <v>2860</v>
      </c>
      <c r="S24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3575</v>
      </c>
      <c r="T24" s="52">
        <f>T_1[[#This Row],[Mt Elligible]]*T_1[[#This Row],[Tx Sub]]</f>
        <v>2502.5</v>
      </c>
    </row>
    <row r="25" spans="1:20">
      <c r="A25" s="110" t="str">
        <f t="shared" si="1"/>
        <v>Lot_1</v>
      </c>
      <c r="B25" s="110" t="str">
        <f>_xlfn.XLOOKUP(T_1[[#This Row],[N° Lot]],Tableau4[NoLot],Tableau4[Lot])</f>
        <v>Gouvernance et suivi du programme</v>
      </c>
      <c r="C25" s="166" t="s">
        <v>51</v>
      </c>
      <c r="D25" s="186" t="s">
        <v>105</v>
      </c>
      <c r="E25" s="178" t="s">
        <v>154</v>
      </c>
      <c r="F25" s="166" t="s">
        <v>16</v>
      </c>
      <c r="G25" s="111">
        <f>_xlfn.XLOOKUP(T_1[[#This Row],[Partenaires]],Partenaires2[Partenaire],Partenaires2[Tx Ch Connexe])</f>
        <v>0.25</v>
      </c>
      <c r="H25" s="111">
        <f>_xlfn.XLOOKUP(T_1[[#This Row],[Partenaires]],Partenaires2[Partenaire],Partenaires2[Tx Sub])</f>
        <v>0.7</v>
      </c>
      <c r="I25" s="178"/>
      <c r="J25" s="186" t="s">
        <v>82</v>
      </c>
      <c r="K25" s="5"/>
      <c r="L25" s="44"/>
      <c r="M25" s="45">
        <f>T_1[[#This Row],[P Qu]]*T_1[[#This Row],[P PU]]</f>
        <v>0</v>
      </c>
      <c r="N25" s="180" t="s">
        <v>45</v>
      </c>
      <c r="O25" s="7">
        <v>4</v>
      </c>
      <c r="P25" s="59">
        <v>150</v>
      </c>
      <c r="Q25" s="45">
        <f>T_1[[#This Row],[ACh Qu]]*T_1[[#This Row],[ACh PU]]</f>
        <v>600</v>
      </c>
      <c r="R25" s="51">
        <f>T_1[[#This Row],[P CT]]+T_1[[#This Row],[ACh CT]]</f>
        <v>600</v>
      </c>
      <c r="S25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750</v>
      </c>
      <c r="T25" s="52">
        <f>T_1[[#This Row],[Mt Elligible]]*T_1[[#This Row],[Tx Sub]]</f>
        <v>525</v>
      </c>
    </row>
    <row r="26" spans="1:20">
      <c r="A26" s="110" t="s">
        <v>30</v>
      </c>
      <c r="B26" s="110" t="str">
        <f>_xlfn.XLOOKUP(T_1[[#This Row],[N° Lot]],Tableau4[NoLot],Tableau4[Lot])</f>
        <v>Gouvernance et suivi du programme</v>
      </c>
      <c r="C26" s="166" t="s">
        <v>52</v>
      </c>
      <c r="D26" s="186" t="s">
        <v>88</v>
      </c>
      <c r="E26" s="178" t="s">
        <v>156</v>
      </c>
      <c r="F26" s="166" t="s">
        <v>16</v>
      </c>
      <c r="G26" s="111">
        <f>_xlfn.XLOOKUP(T_1[[#This Row],[Partenaires]],Partenaires2[Partenaire],Partenaires2[Tx Ch Connexe])</f>
        <v>0.25</v>
      </c>
      <c r="H26" s="111">
        <f>_xlfn.XLOOKUP(T_1[[#This Row],[Partenaires]],Partenaires2[Partenaire],Partenaires2[Tx Sub])</f>
        <v>0.7</v>
      </c>
      <c r="I26" s="178"/>
      <c r="J26" s="186" t="s">
        <v>82</v>
      </c>
      <c r="K26" s="5"/>
      <c r="L26" s="44"/>
      <c r="M26" s="45">
        <f>T_1[[#This Row],[P Qu]]*T_1[[#This Row],[P PU]]</f>
        <v>0</v>
      </c>
      <c r="N26" s="180" t="s">
        <v>136</v>
      </c>
      <c r="O26" s="7">
        <v>2</v>
      </c>
      <c r="P26" s="59">
        <v>520</v>
      </c>
      <c r="Q26" s="45">
        <f>T_1[[#This Row],[ACh Qu]]*T_1[[#This Row],[ACh PU]]</f>
        <v>1040</v>
      </c>
      <c r="R26" s="51">
        <f>T_1[[#This Row],[P CT]]+T_1[[#This Row],[ACh CT]]</f>
        <v>1040</v>
      </c>
      <c r="S26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1300</v>
      </c>
      <c r="T26" s="52">
        <f>T_1[[#This Row],[Mt Elligible]]*T_1[[#This Row],[Tx Sub]]</f>
        <v>909.99999999999989</v>
      </c>
    </row>
    <row r="27" spans="1:20">
      <c r="A27" s="110" t="str">
        <f>A$1</f>
        <v>Lot_1</v>
      </c>
      <c r="B27" s="110" t="str">
        <f>_xlfn.XLOOKUP(T_1[[#This Row],[N° Lot]],Tableau4[NoLot],Tableau4[Lot])</f>
        <v>Gouvernance et suivi du programme</v>
      </c>
      <c r="C27" s="166" t="s">
        <v>52</v>
      </c>
      <c r="D27" s="186" t="s">
        <v>88</v>
      </c>
      <c r="E27" s="178" t="s">
        <v>157</v>
      </c>
      <c r="F27" s="166" t="s">
        <v>16</v>
      </c>
      <c r="G27" s="111">
        <f>_xlfn.XLOOKUP(T_1[[#This Row],[Partenaires]],Partenaires2[Partenaire],Partenaires2[Tx Ch Connexe])</f>
        <v>0.25</v>
      </c>
      <c r="H27" s="111">
        <f>_xlfn.XLOOKUP(T_1[[#This Row],[Partenaires]],Partenaires2[Partenaire],Partenaires2[Tx Sub])</f>
        <v>0.7</v>
      </c>
      <c r="I27" s="178"/>
      <c r="J27" s="186" t="s">
        <v>82</v>
      </c>
      <c r="K27" s="5"/>
      <c r="L27" s="44"/>
      <c r="M27" s="45">
        <f>T_1[[#This Row],[P Qu]]*T_1[[#This Row],[P PU]]</f>
        <v>0</v>
      </c>
      <c r="N27" s="180" t="s">
        <v>45</v>
      </c>
      <c r="O27" s="7">
        <v>2</v>
      </c>
      <c r="P27" s="59">
        <v>150</v>
      </c>
      <c r="Q27" s="45">
        <f>T_1[[#This Row],[ACh Qu]]*T_1[[#This Row],[ACh PU]]</f>
        <v>300</v>
      </c>
      <c r="R27" s="51">
        <f>T_1[[#This Row],[P CT]]+T_1[[#This Row],[ACh CT]]</f>
        <v>300</v>
      </c>
      <c r="S27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375</v>
      </c>
      <c r="T27" s="52">
        <f>T_1[[#This Row],[Mt Elligible]]*T_1[[#This Row],[Tx Sub]]</f>
        <v>262.5</v>
      </c>
    </row>
    <row r="28" spans="1:20">
      <c r="A28" s="110" t="s">
        <v>30</v>
      </c>
      <c r="B28" s="110" t="str">
        <f>_xlfn.XLOOKUP(T_1[[#This Row],[N° Lot]],Tableau4[NoLot],Tableau4[Lot])</f>
        <v>Gouvernance et suivi du programme</v>
      </c>
      <c r="C28" s="166" t="s">
        <v>51</v>
      </c>
      <c r="D28" s="186" t="s">
        <v>105</v>
      </c>
      <c r="E28" s="178" t="s">
        <v>199</v>
      </c>
      <c r="F28" s="166" t="s">
        <v>17</v>
      </c>
      <c r="G28" s="111">
        <f>_xlfn.XLOOKUP(T_1[[#This Row],[Partenaires]],Partenaires2[Partenaire],Partenaires2[Tx Ch Connexe])</f>
        <v>0.18</v>
      </c>
      <c r="H28" s="111">
        <f>_xlfn.XLOOKUP(T_1[[#This Row],[Partenaires]],Partenaires2[Partenaire],Partenaires2[Tx Sub])</f>
        <v>0.5</v>
      </c>
      <c r="I28" s="178" t="s">
        <v>219</v>
      </c>
      <c r="J28" s="186" t="s">
        <v>81</v>
      </c>
      <c r="K28" s="5">
        <v>7</v>
      </c>
      <c r="L28" s="44">
        <v>572</v>
      </c>
      <c r="M28" s="45">
        <f>T_1[[#This Row],[P Qu]]*T_1[[#This Row],[P PU]]</f>
        <v>4004</v>
      </c>
      <c r="N28" s="180" t="s">
        <v>45</v>
      </c>
      <c r="O28" s="7">
        <v>4</v>
      </c>
      <c r="P28" s="59">
        <v>150</v>
      </c>
      <c r="Q28" s="45">
        <f>T_1[[#This Row],[ACh Qu]]*T_1[[#This Row],[ACh PU]]</f>
        <v>600</v>
      </c>
      <c r="R28" s="51">
        <f>T_1[[#This Row],[P CT]]+T_1[[#This Row],[ACh CT]]</f>
        <v>4604</v>
      </c>
      <c r="S28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1428.72</v>
      </c>
      <c r="T28" s="44">
        <f>T_1[[#This Row],[Mt Elligible]]*T_1[[#This Row],[Tx Sub]]</f>
        <v>714.36</v>
      </c>
    </row>
    <row r="29" spans="1:20">
      <c r="A29" s="110" t="str">
        <f>A$1</f>
        <v>Lot_1</v>
      </c>
      <c r="B29" s="110" t="str">
        <f>_xlfn.XLOOKUP(T_1[[#This Row],[N° Lot]],Tableau4[NoLot],Tableau4[Lot])</f>
        <v>Gouvernance et suivi du programme</v>
      </c>
      <c r="C29" s="166" t="s">
        <v>51</v>
      </c>
      <c r="D29" s="186" t="s">
        <v>105</v>
      </c>
      <c r="E29" s="178" t="s">
        <v>199</v>
      </c>
      <c r="F29" s="166" t="s">
        <v>17</v>
      </c>
      <c r="G29" s="111">
        <f>_xlfn.XLOOKUP(T_1[[#This Row],[Partenaires]],Partenaires2[Partenaire],Partenaires2[Tx Ch Connexe])</f>
        <v>0.18</v>
      </c>
      <c r="H29" s="111">
        <f>_xlfn.XLOOKUP(T_1[[#This Row],[Partenaires]],Partenaires2[Partenaire],Partenaires2[Tx Sub])</f>
        <v>0.5</v>
      </c>
      <c r="I29" s="178" t="s">
        <v>220</v>
      </c>
      <c r="J29" s="186" t="s">
        <v>81</v>
      </c>
      <c r="K29" s="5">
        <v>7</v>
      </c>
      <c r="L29" s="44">
        <v>494</v>
      </c>
      <c r="M29" s="45">
        <f>T_1[[#This Row],[P Qu]]*T_1[[#This Row],[P PU]]</f>
        <v>3458</v>
      </c>
      <c r="N29" s="180" t="s">
        <v>45</v>
      </c>
      <c r="O29" s="7">
        <v>4</v>
      </c>
      <c r="P29" s="59">
        <v>150</v>
      </c>
      <c r="Q29" s="45">
        <f>T_1[[#This Row],[ACh Qu]]*T_1[[#This Row],[ACh PU]]</f>
        <v>600</v>
      </c>
      <c r="R29" s="51">
        <f>T_1[[#This Row],[P CT]]+T_1[[#This Row],[ACh CT]]</f>
        <v>4058</v>
      </c>
      <c r="S29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1330.44</v>
      </c>
      <c r="T29" s="44">
        <f>T_1[[#This Row],[Mt Elligible]]*T_1[[#This Row],[Tx Sub]]</f>
        <v>665.22</v>
      </c>
    </row>
    <row r="30" spans="1:20">
      <c r="A30" s="110" t="str">
        <f>A$1</f>
        <v>Lot_1</v>
      </c>
      <c r="B30" s="110" t="str">
        <f>_xlfn.XLOOKUP(T_1[[#This Row],[N° Lot]],Tableau4[NoLot],Tableau4[Lot])</f>
        <v>Gouvernance et suivi du programme</v>
      </c>
      <c r="C30" s="166" t="s">
        <v>51</v>
      </c>
      <c r="D30" s="186" t="s">
        <v>105</v>
      </c>
      <c r="E30" s="178" t="s">
        <v>199</v>
      </c>
      <c r="F30" s="166" t="s">
        <v>17</v>
      </c>
      <c r="G30" s="111">
        <f>_xlfn.XLOOKUP(T_1[[#This Row],[Partenaires]],Partenaires2[Partenaire],Partenaires2[Tx Ch Connexe])</f>
        <v>0.18</v>
      </c>
      <c r="H30" s="111">
        <f>_xlfn.XLOOKUP(T_1[[#This Row],[Partenaires]],Partenaires2[Partenaire],Partenaires2[Tx Sub])</f>
        <v>0.5</v>
      </c>
      <c r="I30" s="178" t="s">
        <v>221</v>
      </c>
      <c r="J30" s="186" t="s">
        <v>82</v>
      </c>
      <c r="K30" s="5">
        <v>7</v>
      </c>
      <c r="L30" s="44">
        <v>119</v>
      </c>
      <c r="M30" s="45">
        <f>T_1[[#This Row],[P Qu]]*T_1[[#This Row],[P PU]]</f>
        <v>833</v>
      </c>
      <c r="N30" s="180" t="s">
        <v>45</v>
      </c>
      <c r="O30" s="7">
        <v>4</v>
      </c>
      <c r="P30" s="59">
        <v>150</v>
      </c>
      <c r="Q30" s="45">
        <f>T_1[[#This Row],[ACh Qu]]*T_1[[#This Row],[ACh PU]]</f>
        <v>600</v>
      </c>
      <c r="R30" s="51">
        <f>T_1[[#This Row],[P CT]]+T_1[[#This Row],[ACh CT]]</f>
        <v>1433</v>
      </c>
      <c r="S30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1690.94</v>
      </c>
      <c r="T30" s="44">
        <f>T_1[[#This Row],[Mt Elligible]]*T_1[[#This Row],[Tx Sub]]</f>
        <v>845.47</v>
      </c>
    </row>
    <row r="31" spans="1:20">
      <c r="A31" s="110" t="str">
        <f>A$1</f>
        <v>Lot_1</v>
      </c>
      <c r="B31" s="110" t="str">
        <f>_xlfn.XLOOKUP(T_1[[#This Row],[N° Lot]],Tableau4[NoLot],Tableau4[Lot])</f>
        <v>Gouvernance et suivi du programme</v>
      </c>
      <c r="C31" s="166" t="s">
        <v>52</v>
      </c>
      <c r="D31" s="186" t="s">
        <v>88</v>
      </c>
      <c r="E31" s="178" t="s">
        <v>200</v>
      </c>
      <c r="F31" s="166" t="s">
        <v>17</v>
      </c>
      <c r="G31" s="111">
        <f>_xlfn.XLOOKUP(T_1[[#This Row],[Partenaires]],Partenaires2[Partenaire],Partenaires2[Tx Ch Connexe])</f>
        <v>0.18</v>
      </c>
      <c r="H31" s="111">
        <f>_xlfn.XLOOKUP(T_1[[#This Row],[Partenaires]],Partenaires2[Partenaire],Partenaires2[Tx Sub])</f>
        <v>0.5</v>
      </c>
      <c r="I31" s="178" t="s">
        <v>219</v>
      </c>
      <c r="J31" s="186" t="s">
        <v>81</v>
      </c>
      <c r="K31" s="5">
        <v>2</v>
      </c>
      <c r="L31" s="44">
        <v>572</v>
      </c>
      <c r="M31" s="45">
        <f>T_1[[#This Row],[P Qu]]*T_1[[#This Row],[P PU]]</f>
        <v>1144</v>
      </c>
      <c r="N31" s="180" t="s">
        <v>45</v>
      </c>
      <c r="O31" s="7">
        <v>2</v>
      </c>
      <c r="P31" s="59">
        <v>150</v>
      </c>
      <c r="Q31" s="45">
        <f>T_1[[#This Row],[ACh Qu]]*T_1[[#This Row],[ACh PU]]</f>
        <v>300</v>
      </c>
      <c r="R31" s="51">
        <f>T_1[[#This Row],[P CT]]+T_1[[#This Row],[ACh CT]]</f>
        <v>1444</v>
      </c>
      <c r="S31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559.91999999999996</v>
      </c>
      <c r="T31" s="44">
        <f>T_1[[#This Row],[Mt Elligible]]*T_1[[#This Row],[Tx Sub]]</f>
        <v>279.95999999999998</v>
      </c>
    </row>
    <row r="32" spans="1:20">
      <c r="A32" s="110" t="str">
        <f>A$1</f>
        <v>Lot_1</v>
      </c>
      <c r="B32" s="110" t="str">
        <f>_xlfn.XLOOKUP(T_1[[#This Row],[N° Lot]],Tableau4[NoLot],Tableau4[Lot])</f>
        <v>Gouvernance et suivi du programme</v>
      </c>
      <c r="C32" s="166" t="s">
        <v>52</v>
      </c>
      <c r="D32" s="186" t="s">
        <v>88</v>
      </c>
      <c r="E32" s="178" t="s">
        <v>200</v>
      </c>
      <c r="F32" s="166" t="s">
        <v>17</v>
      </c>
      <c r="G32" s="111">
        <f>_xlfn.XLOOKUP(T_1[[#This Row],[Partenaires]],Partenaires2[Partenaire],Partenaires2[Tx Ch Connexe])</f>
        <v>0.18</v>
      </c>
      <c r="H32" s="111">
        <f>_xlfn.XLOOKUP(T_1[[#This Row],[Partenaires]],Partenaires2[Partenaire],Partenaires2[Tx Sub])</f>
        <v>0.5</v>
      </c>
      <c r="I32" s="178" t="s">
        <v>220</v>
      </c>
      <c r="J32" s="186" t="s">
        <v>81</v>
      </c>
      <c r="K32" s="5">
        <v>2</v>
      </c>
      <c r="L32" s="44">
        <v>494</v>
      </c>
      <c r="M32" s="45">
        <f>T_1[[#This Row],[P Qu]]*T_1[[#This Row],[P PU]]</f>
        <v>988</v>
      </c>
      <c r="N32" s="180" t="s">
        <v>45</v>
      </c>
      <c r="O32" s="7">
        <v>2</v>
      </c>
      <c r="P32" s="59">
        <v>150</v>
      </c>
      <c r="Q32" s="45">
        <f>T_1[[#This Row],[ACh Qu]]*T_1[[#This Row],[ACh PU]]</f>
        <v>300</v>
      </c>
      <c r="R32" s="51">
        <f>T_1[[#This Row],[P CT]]+T_1[[#This Row],[ACh CT]]</f>
        <v>1288</v>
      </c>
      <c r="S32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531.84</v>
      </c>
      <c r="T32" s="44">
        <f>T_1[[#This Row],[Mt Elligible]]*T_1[[#This Row],[Tx Sub]]</f>
        <v>265.92</v>
      </c>
    </row>
    <row r="33" spans="1:20">
      <c r="A33" s="110" t="str">
        <f>A$1</f>
        <v>Lot_1</v>
      </c>
      <c r="B33" s="110" t="str">
        <f>_xlfn.XLOOKUP(T_1[[#This Row],[N° Lot]],Tableau4[NoLot],Tableau4[Lot])</f>
        <v>Gouvernance et suivi du programme</v>
      </c>
      <c r="C33" s="166" t="s">
        <v>52</v>
      </c>
      <c r="D33" s="186" t="s">
        <v>88</v>
      </c>
      <c r="E33" s="178" t="s">
        <v>200</v>
      </c>
      <c r="F33" s="166" t="s">
        <v>17</v>
      </c>
      <c r="G33" s="111">
        <f>_xlfn.XLOOKUP(T_1[[#This Row],[Partenaires]],Partenaires2[Partenaire],Partenaires2[Tx Ch Connexe])</f>
        <v>0.18</v>
      </c>
      <c r="H33" s="111">
        <f>_xlfn.XLOOKUP(T_1[[#This Row],[Partenaires]],Partenaires2[Partenaire],Partenaires2[Tx Sub])</f>
        <v>0.5</v>
      </c>
      <c r="I33" s="178" t="s">
        <v>221</v>
      </c>
      <c r="J33" s="186" t="s">
        <v>82</v>
      </c>
      <c r="K33" s="5">
        <v>2</v>
      </c>
      <c r="L33" s="44">
        <v>119</v>
      </c>
      <c r="M33" s="45">
        <f>T_1[[#This Row],[P Qu]]*T_1[[#This Row],[P PU]]</f>
        <v>238</v>
      </c>
      <c r="N33" s="180" t="s">
        <v>45</v>
      </c>
      <c r="O33" s="7">
        <v>2</v>
      </c>
      <c r="P33" s="59">
        <v>150</v>
      </c>
      <c r="Q33" s="45">
        <f>T_1[[#This Row],[ACh Qu]]*T_1[[#This Row],[ACh PU]]</f>
        <v>300</v>
      </c>
      <c r="R33" s="51">
        <f>T_1[[#This Row],[P CT]]+T_1[[#This Row],[ACh CT]]</f>
        <v>538</v>
      </c>
      <c r="S33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634.84</v>
      </c>
      <c r="T33" s="44">
        <f>T_1[[#This Row],[Mt Elligible]]*T_1[[#This Row],[Tx Sub]]</f>
        <v>317.42</v>
      </c>
    </row>
    <row r="34" spans="1:20">
      <c r="A34" s="110" t="s">
        <v>30</v>
      </c>
      <c r="B34" s="110" t="str">
        <f>_xlfn.XLOOKUP(T_1[[#This Row],[N° Lot]],Tableau4[NoLot],Tableau4[Lot])</f>
        <v>Gouvernance et suivi du programme</v>
      </c>
      <c r="C34" s="166" t="s">
        <v>51</v>
      </c>
      <c r="D34" s="186" t="s">
        <v>105</v>
      </c>
      <c r="E34" s="178" t="s">
        <v>199</v>
      </c>
      <c r="F34" s="166" t="s">
        <v>19</v>
      </c>
      <c r="G34" s="111">
        <f>_xlfn.XLOOKUP(T_1[[#This Row],[Partenaires]],Partenaires2[Partenaire],Partenaires2[Tx Ch Connexe])</f>
        <v>0.25</v>
      </c>
      <c r="H34" s="111">
        <f>_xlfn.XLOOKUP(T_1[[#This Row],[Partenaires]],Partenaires2[Partenaire],Partenaires2[Tx Sub])</f>
        <v>0.5</v>
      </c>
      <c r="I34" s="178"/>
      <c r="J34" s="186" t="s">
        <v>82</v>
      </c>
      <c r="K34" s="5">
        <v>5.5</v>
      </c>
      <c r="L34" s="44">
        <v>350</v>
      </c>
      <c r="M34" s="45">
        <f>T_1[[#This Row],[P Qu]]*T_1[[#This Row],[P PU]]</f>
        <v>1925</v>
      </c>
      <c r="N34" s="214" t="s">
        <v>45</v>
      </c>
      <c r="O34" s="7">
        <v>4</v>
      </c>
      <c r="P34" s="59">
        <v>150</v>
      </c>
      <c r="Q34" s="45">
        <f>T_1[[#This Row],[ACh Qu]]*T_1[[#This Row],[ACh PU]]</f>
        <v>600</v>
      </c>
      <c r="R34" s="51">
        <f>T_1[[#This Row],[P CT]]+T_1[[#This Row],[ACh CT]]</f>
        <v>2525</v>
      </c>
      <c r="S34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3156.25</v>
      </c>
      <c r="T34" s="44">
        <f>T_1[[#This Row],[Mt Elligible]]*T_1[[#This Row],[Tx Sub]]</f>
        <v>1578.125</v>
      </c>
    </row>
    <row r="35" spans="1:20">
      <c r="A35" s="110" t="str">
        <f>A$1</f>
        <v>Lot_1</v>
      </c>
      <c r="B35" s="110" t="str">
        <f>_xlfn.XLOOKUP(T_1[[#This Row],[N° Lot]],Tableau4[NoLot],Tableau4[Lot])</f>
        <v>Gouvernance et suivi du programme</v>
      </c>
      <c r="C35" s="166" t="s">
        <v>52</v>
      </c>
      <c r="D35" s="186" t="s">
        <v>88</v>
      </c>
      <c r="E35" s="178" t="s">
        <v>200</v>
      </c>
      <c r="F35" s="166" t="s">
        <v>19</v>
      </c>
      <c r="G35" s="111">
        <f>_xlfn.XLOOKUP(T_1[[#This Row],[Partenaires]],Partenaires2[Partenaire],Partenaires2[Tx Ch Connexe])</f>
        <v>0.25</v>
      </c>
      <c r="H35" s="111">
        <f>_xlfn.XLOOKUP(T_1[[#This Row],[Partenaires]],Partenaires2[Partenaire],Partenaires2[Tx Sub])</f>
        <v>0.5</v>
      </c>
      <c r="I35" s="178"/>
      <c r="J35" s="186" t="s">
        <v>82</v>
      </c>
      <c r="K35" s="5">
        <v>2</v>
      </c>
      <c r="L35" s="44">
        <v>350</v>
      </c>
      <c r="M35" s="45">
        <f>T_1[[#This Row],[P Qu]]*T_1[[#This Row],[P PU]]</f>
        <v>700</v>
      </c>
      <c r="N35" s="214" t="s">
        <v>45</v>
      </c>
      <c r="O35" s="7">
        <v>2</v>
      </c>
      <c r="P35" s="59">
        <v>150</v>
      </c>
      <c r="Q35" s="45">
        <f>T_1[[#This Row],[ACh Qu]]*T_1[[#This Row],[ACh PU]]</f>
        <v>300</v>
      </c>
      <c r="R35" s="51">
        <f>T_1[[#This Row],[P CT]]+T_1[[#This Row],[ACh CT]]</f>
        <v>1000</v>
      </c>
      <c r="S35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1250</v>
      </c>
      <c r="T35" s="44">
        <f>T_1[[#This Row],[Mt Elligible]]*T_1[[#This Row],[Tx Sub]]</f>
        <v>625</v>
      </c>
    </row>
    <row r="36" spans="1:20">
      <c r="A36" s="110" t="str">
        <f>A$1</f>
        <v>Lot_1</v>
      </c>
      <c r="B36" s="110" t="str">
        <f>_xlfn.XLOOKUP(T_1[[#This Row],[N° Lot]],Tableau4[NoLot],Tableau4[Lot])</f>
        <v>Gouvernance et suivi du programme</v>
      </c>
      <c r="C36" s="166" t="s">
        <v>51</v>
      </c>
      <c r="D36" s="186" t="s">
        <v>105</v>
      </c>
      <c r="E36" s="178" t="s">
        <v>199</v>
      </c>
      <c r="F36" s="166" t="s">
        <v>22</v>
      </c>
      <c r="G36" s="111">
        <f>_xlfn.XLOOKUP(T_1[[#This Row],[Partenaires]],Partenaires2[Partenaire],Partenaires2[Tx Ch Connexe])</f>
        <v>0.2</v>
      </c>
      <c r="H36" s="111">
        <f>_xlfn.XLOOKUP(T_1[[#This Row],[Partenaires]],Partenaires2[Partenaire],Partenaires2[Tx Sub])</f>
        <v>0.5</v>
      </c>
      <c r="I36" s="178" t="s">
        <v>202</v>
      </c>
      <c r="J36" s="186" t="s">
        <v>82</v>
      </c>
      <c r="K36" s="5">
        <v>5.5</v>
      </c>
      <c r="L36" s="44">
        <v>380</v>
      </c>
      <c r="M36" s="45">
        <f>T_1[[#This Row],[P Qu]]*T_1[[#This Row],[P PU]]</f>
        <v>2090</v>
      </c>
      <c r="N36" s="180" t="s">
        <v>45</v>
      </c>
      <c r="O36" s="7">
        <v>4</v>
      </c>
      <c r="P36" s="59">
        <v>150</v>
      </c>
      <c r="Q36" s="45">
        <f>T_1[[#This Row],[ACh Qu]]*T_1[[#This Row],[ACh PU]]</f>
        <v>600</v>
      </c>
      <c r="R36" s="51">
        <f>T_1[[#This Row],[P CT]]+T_1[[#This Row],[ACh CT]]</f>
        <v>2690</v>
      </c>
      <c r="S36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3228</v>
      </c>
      <c r="T36" s="52">
        <f>T_1[[#This Row],[Mt Elligible]]*T_1[[#This Row],[Tx Sub]]</f>
        <v>1614</v>
      </c>
    </row>
    <row r="37" spans="1:20">
      <c r="A37" s="110" t="str">
        <f>A$1</f>
        <v>Lot_1</v>
      </c>
      <c r="B37" s="110" t="str">
        <f>_xlfn.XLOOKUP(T_1[[#This Row],[N° Lot]],Tableau4[NoLot],Tableau4[Lot])</f>
        <v>Gouvernance et suivi du programme</v>
      </c>
      <c r="C37" s="166" t="s">
        <v>52</v>
      </c>
      <c r="D37" s="186" t="s">
        <v>88</v>
      </c>
      <c r="E37" s="178" t="s">
        <v>200</v>
      </c>
      <c r="F37" s="166" t="s">
        <v>22</v>
      </c>
      <c r="G37" s="111">
        <f>_xlfn.XLOOKUP(T_1[[#This Row],[Partenaires]],Partenaires2[Partenaire],Partenaires2[Tx Ch Connexe])</f>
        <v>0.2</v>
      </c>
      <c r="H37" s="111">
        <f>_xlfn.XLOOKUP(T_1[[#This Row],[Partenaires]],Partenaires2[Partenaire],Partenaires2[Tx Sub])</f>
        <v>0.5</v>
      </c>
      <c r="I37" s="178" t="s">
        <v>202</v>
      </c>
      <c r="J37" s="186" t="s">
        <v>82</v>
      </c>
      <c r="K37" s="5">
        <v>2</v>
      </c>
      <c r="L37" s="44">
        <v>380</v>
      </c>
      <c r="M37" s="45">
        <f>T_1[[#This Row],[P Qu]]*T_1[[#This Row],[P PU]]</f>
        <v>760</v>
      </c>
      <c r="N37" s="180" t="s">
        <v>45</v>
      </c>
      <c r="O37" s="7">
        <v>2</v>
      </c>
      <c r="P37" s="59">
        <v>150</v>
      </c>
      <c r="Q37" s="45">
        <f>T_1[[#This Row],[ACh Qu]]*T_1[[#This Row],[ACh PU]]</f>
        <v>300</v>
      </c>
      <c r="R37" s="51">
        <f>T_1[[#This Row],[P CT]]+T_1[[#This Row],[ACh CT]]</f>
        <v>1060</v>
      </c>
      <c r="S37" s="52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1272</v>
      </c>
      <c r="T37" s="52">
        <f>T_1[[#This Row],[Mt Elligible]]*T_1[[#This Row],[Tx Sub]]</f>
        <v>636</v>
      </c>
    </row>
    <row r="38" spans="1:20">
      <c r="A38" s="110" t="str">
        <f>A$1</f>
        <v>Lot_1</v>
      </c>
      <c r="B38" s="110" t="str">
        <f>_xlfn.XLOOKUP(T_1[[#This Row],[N° Lot]],Tableau4[NoLot],Tableau4[Lot])</f>
        <v>Gouvernance et suivi du programme</v>
      </c>
      <c r="C38" s="166" t="s">
        <v>51</v>
      </c>
      <c r="D38" s="186" t="s">
        <v>105</v>
      </c>
      <c r="E38" s="178" t="s">
        <v>199</v>
      </c>
      <c r="F38" s="166" t="s">
        <v>20</v>
      </c>
      <c r="G38" s="111">
        <f>_xlfn.XLOOKUP(T_1[[#This Row],[Partenaires]],Partenaires2[Partenaire],Partenaires2[Tx Ch Connexe])</f>
        <v>0.25</v>
      </c>
      <c r="H38" s="111">
        <f>_xlfn.XLOOKUP(T_1[[#This Row],[Partenaires]],Partenaires2[Partenaire],Partenaires2[Tx Sub])</f>
        <v>0.5</v>
      </c>
      <c r="I38" s="178"/>
      <c r="J38" s="186" t="s">
        <v>82</v>
      </c>
      <c r="K38" s="5">
        <v>5.5</v>
      </c>
      <c r="L38" s="44">
        <v>350</v>
      </c>
      <c r="M38" s="45">
        <f>T_1[[#This Row],[P Qu]]*T_1[[#This Row],[P PU]]</f>
        <v>1925</v>
      </c>
      <c r="N38" s="214" t="s">
        <v>45</v>
      </c>
      <c r="O38" s="7">
        <v>4</v>
      </c>
      <c r="P38" s="59">
        <v>150</v>
      </c>
      <c r="Q38" s="45">
        <f>T_1[[#This Row],[ACh Qu]]*T_1[[#This Row],[ACh PU]]</f>
        <v>600</v>
      </c>
      <c r="R38" s="51">
        <f>T_1[[#This Row],[P CT]]+T_1[[#This Row],[ACh CT]]</f>
        <v>2525</v>
      </c>
      <c r="S38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3156.25</v>
      </c>
      <c r="T38" s="44">
        <f>T_1[[#This Row],[Mt Elligible]]*T_1[[#This Row],[Tx Sub]]</f>
        <v>1578.125</v>
      </c>
    </row>
    <row r="39" spans="1:20">
      <c r="A39" s="110" t="str">
        <f>A$1</f>
        <v>Lot_1</v>
      </c>
      <c r="B39" s="110" t="str">
        <f>_xlfn.XLOOKUP(T_1[[#This Row],[N° Lot]],Tableau4[NoLot],Tableau4[Lot])</f>
        <v>Gouvernance et suivi du programme</v>
      </c>
      <c r="C39" s="166" t="s">
        <v>52</v>
      </c>
      <c r="D39" s="186" t="s">
        <v>88</v>
      </c>
      <c r="E39" s="178" t="s">
        <v>200</v>
      </c>
      <c r="F39" s="166" t="s">
        <v>20</v>
      </c>
      <c r="G39" s="111">
        <f>_xlfn.XLOOKUP(T_1[[#This Row],[Partenaires]],Partenaires2[Partenaire],Partenaires2[Tx Ch Connexe])</f>
        <v>0.25</v>
      </c>
      <c r="H39" s="111">
        <f>_xlfn.XLOOKUP(T_1[[#This Row],[Partenaires]],Partenaires2[Partenaire],Partenaires2[Tx Sub])</f>
        <v>0.5</v>
      </c>
      <c r="I39" s="178"/>
      <c r="J39" s="186" t="s">
        <v>82</v>
      </c>
      <c r="K39" s="5">
        <v>2</v>
      </c>
      <c r="L39" s="44">
        <v>350</v>
      </c>
      <c r="M39" s="45">
        <f>T_1[[#This Row],[P Qu]]*T_1[[#This Row],[P PU]]</f>
        <v>700</v>
      </c>
      <c r="N39" s="214" t="s">
        <v>45</v>
      </c>
      <c r="O39" s="7">
        <v>2</v>
      </c>
      <c r="P39" s="59">
        <v>150</v>
      </c>
      <c r="Q39" s="45">
        <f>T_1[[#This Row],[ACh Qu]]*T_1[[#This Row],[ACh PU]]</f>
        <v>300</v>
      </c>
      <c r="R39" s="51">
        <f>T_1[[#This Row],[P CT]]+T_1[[#This Row],[ACh CT]]</f>
        <v>1000</v>
      </c>
      <c r="S39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1250</v>
      </c>
      <c r="T39" s="44">
        <f>T_1[[#This Row],[Mt Elligible]]*T_1[[#This Row],[Tx Sub]]</f>
        <v>625</v>
      </c>
    </row>
    <row r="40" spans="1:20">
      <c r="A40" s="110" t="s">
        <v>30</v>
      </c>
      <c r="B40" s="110" t="str">
        <f>_xlfn.XLOOKUP(T_1[[#This Row],[N° Lot]],Tableau4[NoLot],Tableau4[Lot])</f>
        <v>Gouvernance et suivi du programme</v>
      </c>
      <c r="C40" s="166" t="s">
        <v>50</v>
      </c>
      <c r="D40" s="186" t="s">
        <v>106</v>
      </c>
      <c r="E40" s="214" t="s">
        <v>262</v>
      </c>
      <c r="F40" s="166" t="s">
        <v>18</v>
      </c>
      <c r="G40" s="111">
        <f>_xlfn.XLOOKUP(T_1[[#This Row],[Partenaires]],Partenaires2[Partenaire],Partenaires2[Tx Ch Connexe])</f>
        <v>0.25</v>
      </c>
      <c r="H40" s="111">
        <f>_xlfn.XLOOKUP(T_1[[#This Row],[Partenaires]],Partenaires2[Partenaire],Partenaires2[Tx Sub])</f>
        <v>0.7</v>
      </c>
      <c r="I40" s="214" t="s">
        <v>263</v>
      </c>
      <c r="J40" s="186" t="s">
        <v>82</v>
      </c>
      <c r="K40" s="5">
        <v>0</v>
      </c>
      <c r="L40" s="44">
        <v>100000</v>
      </c>
      <c r="M40" s="45">
        <f>T_1[[#This Row],[P Qu]]*T_1[[#This Row],[P PU]]</f>
        <v>0</v>
      </c>
      <c r="N40" s="180"/>
      <c r="O40" s="7"/>
      <c r="P40" s="59"/>
      <c r="Q40" s="45">
        <f>T_1[[#This Row],[ACh Qu]]*T_1[[#This Row],[ACh PU]]</f>
        <v>0</v>
      </c>
      <c r="R40" s="51">
        <f>T_1[[#This Row],[P CT]]+T_1[[#This Row],[ACh CT]]</f>
        <v>0</v>
      </c>
      <c r="S40" s="44">
        <f>IF(T_1[[#This Row],[Eligible]]="Oui",T_1[[#This Row],[Ct TOTAL]]+T_1[[#This Row],[Ct TOTAL]]*T_1[[#This Row],[Tx Charge Connexe]],T_1[[#This Row],[P CT]]*T_1[[#This Row],[Tx Charge Connexe]]+T_1[[#This Row],[ACh CT]]+T_1[[#This Row],[ACh CT]]*T_1[[#This Row],[Tx Charge Connexe]])</f>
        <v>0</v>
      </c>
      <c r="T40" s="44">
        <f>T_1[[#This Row],[Mt Elligible]]*T_1[[#This Row],[Tx Sub]]</f>
        <v>0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F3:F40" xr:uid="{A78237D3-869D-4AFC-A17C-BCD3C94C3F32}">
      <formula1>Partenaires</formula1>
    </dataValidation>
    <dataValidation type="list" allowBlank="1" showInputMessage="1" showErrorMessage="1" sqref="A3:A40" xr:uid="{7F161DE4-FB09-4CD8-8672-7D39F2392658}">
      <formula1>NoLot</formula1>
    </dataValidation>
    <dataValidation type="list" allowBlank="1" showInputMessage="1" showErrorMessage="1" sqref="C3:C40" xr:uid="{852733B6-8712-4C25-B17F-A95D12A5659F}">
      <formula1>INDIRECT(A3)</formula1>
    </dataValidation>
    <dataValidation type="list" allowBlank="1" showInputMessage="1" showErrorMessage="1" sqref="D3:D40" xr:uid="{3DAB7F96-EC3A-4BE4-93C8-9AA5025F72AF}">
      <formula1>INDIRECT(C3)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37C2132-0D3E-4BFE-AC4A-C37292C52A62}">
          <x14:formula1>
            <xm:f>Liste!$H$3:$H$4</xm:f>
          </x14:formula1>
          <xm:sqref>J3:J40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9" tint="0.39997558519241921"/>
  </sheetPr>
  <dimension ref="A1:T80"/>
  <sheetViews>
    <sheetView zoomScaleNormal="100" workbookViewId="0">
      <pane ySplit="2" topLeftCell="A51" activePane="bottomLeft" state="frozenSplit"/>
      <selection activeCell="G7" sqref="G7"/>
      <selection pane="bottomLeft" activeCell="E63" sqref="E63"/>
    </sheetView>
  </sheetViews>
  <sheetFormatPr baseColWidth="10" defaultRowHeight="15"/>
  <cols>
    <col min="1" max="1" width="6.7109375" style="1" customWidth="1"/>
    <col min="2" max="2" width="7.28515625" style="3" customWidth="1"/>
    <col min="3" max="3" width="17.7109375" style="178" customWidth="1"/>
    <col min="4" max="4" width="29.7109375" style="178" customWidth="1"/>
    <col min="5" max="5" width="15.85546875" style="178" customWidth="1"/>
    <col min="6" max="6" width="12.5703125" style="1" customWidth="1"/>
    <col min="7" max="8" width="11.5703125" style="190" customWidth="1"/>
    <col min="9" max="9" width="11.140625" style="1" customWidth="1"/>
    <col min="10" max="10" width="6.5703125" style="1" customWidth="1"/>
    <col min="11" max="11" width="8.28515625" style="1" customWidth="1"/>
    <col min="12" max="12" width="11.42578125" style="1"/>
    <col min="13" max="13" width="15.28515625" style="3" customWidth="1"/>
    <col min="14" max="14" width="22.140625" style="1" customWidth="1"/>
    <col min="15" max="15" width="10.28515625" style="5" customWidth="1"/>
    <col min="16" max="16" width="10.5703125" style="3" customWidth="1"/>
    <col min="17" max="17" width="13" style="3" customWidth="1"/>
    <col min="18" max="18" width="14" style="1" customWidth="1"/>
    <col min="19" max="16384" width="11.42578125" style="1"/>
  </cols>
  <sheetData>
    <row r="1" spans="1:20" s="10" customFormat="1" ht="36.75" customHeight="1">
      <c r="A1" s="33" t="s">
        <v>31</v>
      </c>
      <c r="G1" s="188"/>
      <c r="H1" s="188"/>
      <c r="I1" s="239" t="s">
        <v>47</v>
      </c>
      <c r="J1" s="239"/>
      <c r="K1" s="239"/>
      <c r="L1" s="239"/>
      <c r="M1" s="239"/>
      <c r="N1" s="20" t="s">
        <v>4</v>
      </c>
      <c r="O1" s="20"/>
      <c r="P1" s="20"/>
      <c r="Q1" s="20"/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0" t="s">
        <v>37</v>
      </c>
      <c r="F2" s="10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10" t="s">
        <v>11</v>
      </c>
      <c r="M2" s="40" t="s">
        <v>12</v>
      </c>
      <c r="N2" s="10" t="s">
        <v>5</v>
      </c>
      <c r="O2" s="12" t="s">
        <v>6</v>
      </c>
      <c r="P2" s="10" t="s">
        <v>7</v>
      </c>
      <c r="Q2" s="40" t="s">
        <v>8</v>
      </c>
      <c r="R2" s="40" t="s">
        <v>13</v>
      </c>
      <c r="S2" s="50" t="s">
        <v>83</v>
      </c>
      <c r="T2" s="50" t="s">
        <v>84</v>
      </c>
    </row>
    <row r="3" spans="1:20">
      <c r="A3" s="19" t="str">
        <f t="shared" ref="A3:A34" si="0">A$1</f>
        <v>Lot_2</v>
      </c>
      <c r="B3" s="110" t="str">
        <f>_xlfn.XLOOKUP(T_2[[#This Row],[N° Lot]],Tableau4[NoLot],Tableau4[Lot])</f>
        <v>État de l’art, concertation et positionnent de la norme</v>
      </c>
      <c r="C3" s="167" t="str">
        <f>'[1]Lot 2'!C3</f>
        <v>T2_Consultation_des_acteurs</v>
      </c>
      <c r="D3" s="178" t="str">
        <f>'[1]Lot 2'!D3</f>
        <v>ST1 Identification des acteurs, annuaire et schéma de filière</v>
      </c>
      <c r="E3" s="178">
        <f>'[1]Lot 2'!E3</f>
        <v>0</v>
      </c>
      <c r="F3" s="167" t="str">
        <f>'[1]Lot 2'!F3</f>
        <v>AKTA</v>
      </c>
      <c r="G3" s="189">
        <f>_xlfn.XLOOKUP(T_2[[#This Row],[Partenaires]],Partenaires2[Partenaire],Partenaires2[Tx Ch Connexe])</f>
        <v>0.25</v>
      </c>
      <c r="H3" s="189">
        <f>_xlfn.XLOOKUP(T_2[[#This Row],[Partenaires]],Partenaires2[Partenaire],Partenaires2[Tx Sub])</f>
        <v>0.7</v>
      </c>
      <c r="I3" s="1">
        <f>'[1]Lot 2'!I3</f>
        <v>0</v>
      </c>
      <c r="J3" s="1" t="str">
        <f>'[1]Lot 2'!J3</f>
        <v>Oui</v>
      </c>
      <c r="K3" s="5">
        <f>'[1]Lot 2'!K3</f>
        <v>1</v>
      </c>
      <c r="L3" s="4">
        <f>'[1]Lot 2'!L3</f>
        <v>490</v>
      </c>
      <c r="M3" s="18">
        <f>T_2[[#This Row],[P Qu]]*T_2[[#This Row],[P PU]]</f>
        <v>490</v>
      </c>
      <c r="N3" s="6" t="str">
        <f>'[1]Lot 2'!N3</f>
        <v>déplacements</v>
      </c>
      <c r="O3" s="7">
        <f>'[1]Lot 2'!O3</f>
        <v>1</v>
      </c>
      <c r="P3" s="9">
        <f>'[1]Lot 2'!P3</f>
        <v>150</v>
      </c>
      <c r="Q3" s="18">
        <f>T_2[[#This Row],[ACh Qu]]*T_2[[#This Row],[ACh PU]]</f>
        <v>150</v>
      </c>
      <c r="R3" s="21">
        <f>T_2[[#This Row],[P CT]]+T_2[[#This Row],[ACh CT]]</f>
        <v>640</v>
      </c>
      <c r="S3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800</v>
      </c>
      <c r="T3" s="52">
        <f>T_2[[#This Row],[Mt Elligible]]*T_2[[#This Row],[Tx Sub]]</f>
        <v>560</v>
      </c>
    </row>
    <row r="4" spans="1:20">
      <c r="A4" s="19" t="str">
        <f t="shared" si="0"/>
        <v>Lot_2</v>
      </c>
      <c r="B4" s="110" t="str">
        <f>_xlfn.XLOOKUP(T_2[[#This Row],[N° Lot]],Tableau4[NoLot],Tableau4[Lot])</f>
        <v>État de l’art, concertation et positionnent de la norme</v>
      </c>
      <c r="C4" s="167" t="str">
        <f>'[1]Lot 2'!C4</f>
        <v>T2_Consultation_des_acteurs</v>
      </c>
      <c r="D4" s="178" t="str">
        <f>'[1]Lot 2'!D4</f>
        <v>ST2 Concertation pour receuillir les points de vigilances : entretiens perosnnalisés</v>
      </c>
      <c r="E4" s="178">
        <f>'[1]Lot 2'!E4</f>
        <v>0</v>
      </c>
      <c r="F4" s="167" t="str">
        <f>'[1]Lot 2'!F4</f>
        <v>AKTA</v>
      </c>
      <c r="G4" s="189">
        <f>_xlfn.XLOOKUP(T_2[[#This Row],[Partenaires]],Partenaires2[Partenaire],Partenaires2[Tx Ch Connexe])</f>
        <v>0.25</v>
      </c>
      <c r="H4" s="189">
        <f>_xlfn.XLOOKUP(T_2[[#This Row],[Partenaires]],Partenaires2[Partenaire],Partenaires2[Tx Sub])</f>
        <v>0.7</v>
      </c>
      <c r="I4" s="1">
        <f>'[1]Lot 2'!I4</f>
        <v>0</v>
      </c>
      <c r="J4" s="1" t="str">
        <f>'[1]Lot 2'!J4</f>
        <v>Oui</v>
      </c>
      <c r="K4" s="5">
        <f>'[1]Lot 2'!K4</f>
        <v>4</v>
      </c>
      <c r="L4" s="4">
        <f>'[1]Lot 2'!L4</f>
        <v>490</v>
      </c>
      <c r="M4" s="18">
        <f>T_2[[#This Row],[P Qu]]*T_2[[#This Row],[P PU]]</f>
        <v>1960</v>
      </c>
      <c r="N4" s="6" t="str">
        <f>'[1]Lot 2'!N4</f>
        <v>Déplacements</v>
      </c>
      <c r="O4" s="7">
        <f>'[1]Lot 2'!O4</f>
        <v>3</v>
      </c>
      <c r="P4" s="9">
        <f>'[1]Lot 2'!P4</f>
        <v>150</v>
      </c>
      <c r="Q4" s="18">
        <f>T_2[[#This Row],[ACh Qu]]*T_2[[#This Row],[ACh PU]]</f>
        <v>450</v>
      </c>
      <c r="R4" s="21">
        <f>T_2[[#This Row],[P CT]]+T_2[[#This Row],[ACh CT]]</f>
        <v>2410</v>
      </c>
      <c r="S4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3012.5</v>
      </c>
      <c r="T4" s="52">
        <f>T_2[[#This Row],[Mt Elligible]]*T_2[[#This Row],[Tx Sub]]</f>
        <v>2108.75</v>
      </c>
    </row>
    <row r="5" spans="1:20">
      <c r="A5" s="181" t="str">
        <f t="shared" si="0"/>
        <v>Lot_2</v>
      </c>
      <c r="B5" s="110" t="str">
        <f>_xlfn.XLOOKUP(T_2[[#This Row],[N° Lot]],Tableau4[NoLot],Tableau4[Lot])</f>
        <v>État de l’art, concertation et positionnent de la norme</v>
      </c>
      <c r="C5" s="167" t="str">
        <f>'[1]Lot 2'!C5</f>
        <v>T2_Consultation_des_acteurs</v>
      </c>
      <c r="D5" s="178" t="str">
        <f>'[1]Lot 2'!D5</f>
        <v>ST3 Concertation pour receuillir les points de vigilances : ateliers par typologies d'acteurs</v>
      </c>
      <c r="E5" s="178">
        <f>'[1]Lot 2'!E5</f>
        <v>0</v>
      </c>
      <c r="F5" s="167" t="str">
        <f>'[1]Lot 2'!F5</f>
        <v>AKTA</v>
      </c>
      <c r="G5" s="189">
        <f>_xlfn.XLOOKUP(T_2[[#This Row],[Partenaires]],Partenaires2[Partenaire],Partenaires2[Tx Ch Connexe])</f>
        <v>0.25</v>
      </c>
      <c r="H5" s="189">
        <f>_xlfn.XLOOKUP(T_2[[#This Row],[Partenaires]],Partenaires2[Partenaire],Partenaires2[Tx Sub])</f>
        <v>0.7</v>
      </c>
      <c r="I5" s="1">
        <f>'[1]Lot 2'!I5</f>
        <v>0</v>
      </c>
      <c r="J5" s="1" t="str">
        <f>'[1]Lot 2'!J5</f>
        <v>Oui</v>
      </c>
      <c r="K5" s="5">
        <f>'[1]Lot 2'!K5</f>
        <v>2</v>
      </c>
      <c r="L5" s="4">
        <f>'[1]Lot 2'!L5</f>
        <v>490</v>
      </c>
      <c r="M5" s="18">
        <f>T_2[[#This Row],[P Qu]]*T_2[[#This Row],[P PU]]</f>
        <v>980</v>
      </c>
      <c r="N5" s="6" t="str">
        <f>'[1]Lot 2'!N5</f>
        <v>Déplacements</v>
      </c>
      <c r="O5" s="7">
        <f>'[1]Lot 2'!O5</f>
        <v>2</v>
      </c>
      <c r="P5" s="9">
        <f>'[1]Lot 2'!P5</f>
        <v>150</v>
      </c>
      <c r="Q5" s="18">
        <f>T_2[[#This Row],[ACh Qu]]*T_2[[#This Row],[ACh PU]]</f>
        <v>300</v>
      </c>
      <c r="R5" s="21">
        <f>T_2[[#This Row],[P CT]]+T_2[[#This Row],[ACh CT]]</f>
        <v>1280</v>
      </c>
      <c r="S5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1600</v>
      </c>
      <c r="T5" s="52">
        <f>T_2[[#This Row],[Mt Elligible]]*T_2[[#This Row],[Tx Sub]]</f>
        <v>1120</v>
      </c>
    </row>
    <row r="6" spans="1:20">
      <c r="A6" s="187" t="str">
        <f t="shared" si="0"/>
        <v>Lot_2</v>
      </c>
      <c r="B6" s="110" t="str">
        <f>_xlfn.XLOOKUP(T_2[[#This Row],[N° Lot]],Tableau4[NoLot],Tableau4[Lot])</f>
        <v>État de l’art, concertation et positionnent de la norme</v>
      </c>
      <c r="C6" s="167" t="s">
        <v>53</v>
      </c>
      <c r="D6" s="178" t="s">
        <v>108</v>
      </c>
      <c r="E6" s="178" t="s">
        <v>258</v>
      </c>
      <c r="F6" s="167" t="s">
        <v>21</v>
      </c>
      <c r="G6" s="189">
        <f>_xlfn.XLOOKUP(T_2[[#This Row],[Partenaires]],Partenaires2[Partenaire],Partenaires2[Tx Ch Connexe])</f>
        <v>0.25</v>
      </c>
      <c r="H6" s="189">
        <f>_xlfn.XLOOKUP(T_2[[#This Row],[Partenaires]],Partenaires2[Partenaire],Partenaires2[Tx Sub])</f>
        <v>0.7</v>
      </c>
      <c r="I6" s="1" t="s">
        <v>259</v>
      </c>
      <c r="J6" s="178" t="s">
        <v>82</v>
      </c>
      <c r="K6" s="5">
        <v>16</v>
      </c>
      <c r="L6" s="4">
        <v>430</v>
      </c>
      <c r="M6" s="18">
        <f>T_2[[#This Row],[P Qu]]*T_2[[#This Row],[P PU]]</f>
        <v>6880</v>
      </c>
      <c r="N6" s="6"/>
      <c r="O6" s="7"/>
      <c r="P6" s="9"/>
      <c r="Q6" s="18">
        <f>T_2[[#This Row],[ACh Qu]]*T_2[[#This Row],[ACh PU]]</f>
        <v>0</v>
      </c>
      <c r="R6" s="21">
        <f>T_2[[#This Row],[P CT]]+T_2[[#This Row],[ACh CT]]</f>
        <v>6880</v>
      </c>
      <c r="S6" s="211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8600</v>
      </c>
      <c r="T6" s="211">
        <f>T_2[[#This Row],[Mt Elligible]]*T_2[[#This Row],[Tx Sub]]</f>
        <v>6020</v>
      </c>
    </row>
    <row r="7" spans="1:20">
      <c r="A7" s="187" t="str">
        <f t="shared" si="0"/>
        <v>Lot_2</v>
      </c>
      <c r="B7" s="110" t="str">
        <f>_xlfn.XLOOKUP(T_2[[#This Row],[N° Lot]],Tableau4[NoLot],Tableau4[Lot])</f>
        <v>État de l’art, concertation et positionnent de la norme</v>
      </c>
      <c r="C7" s="167" t="s">
        <v>54</v>
      </c>
      <c r="D7" s="178" t="s">
        <v>111</v>
      </c>
      <c r="F7" s="167" t="s">
        <v>21</v>
      </c>
      <c r="G7" s="189">
        <f>_xlfn.XLOOKUP(T_2[[#This Row],[Partenaires]],Partenaires2[Partenaire],Partenaires2[Tx Ch Connexe])</f>
        <v>0.25</v>
      </c>
      <c r="H7" s="189">
        <f>_xlfn.XLOOKUP(T_2[[#This Row],[Partenaires]],Partenaires2[Partenaire],Partenaires2[Tx Sub])</f>
        <v>0.7</v>
      </c>
      <c r="I7" s="1" t="s">
        <v>259</v>
      </c>
      <c r="J7" s="1" t="s">
        <v>82</v>
      </c>
      <c r="K7" s="5">
        <v>2</v>
      </c>
      <c r="L7" s="4">
        <v>430</v>
      </c>
      <c r="M7" s="18">
        <f>T_2[[#This Row],[P Qu]]*T_2[[#This Row],[P PU]]</f>
        <v>860</v>
      </c>
      <c r="N7" s="6"/>
      <c r="O7" s="7"/>
      <c r="P7" s="9"/>
      <c r="Q7" s="18">
        <f>T_2[[#This Row],[ACh Qu]]*T_2[[#This Row],[ACh PU]]</f>
        <v>0</v>
      </c>
      <c r="R7" s="21">
        <f>T_2[[#This Row],[P CT]]+T_2[[#This Row],[ACh CT]]</f>
        <v>860</v>
      </c>
      <c r="S7" s="211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1075</v>
      </c>
      <c r="T7" s="211">
        <f>T_2[[#This Row],[Mt Elligible]]*T_2[[#This Row],[Tx Sub]]</f>
        <v>752.5</v>
      </c>
    </row>
    <row r="8" spans="1:20">
      <c r="A8" s="187" t="str">
        <f t="shared" si="0"/>
        <v>Lot_2</v>
      </c>
      <c r="B8" s="110" t="str">
        <f>_xlfn.XLOOKUP(T_2[[#This Row],[N° Lot]],Tableau4[NoLot],Tableau4[Lot])</f>
        <v>État de l’art, concertation et positionnent de la norme</v>
      </c>
      <c r="C8" s="167" t="s">
        <v>54</v>
      </c>
      <c r="D8" s="178" t="s">
        <v>113</v>
      </c>
      <c r="F8" s="167" t="s">
        <v>21</v>
      </c>
      <c r="G8" s="189">
        <f>_xlfn.XLOOKUP(T_2[[#This Row],[Partenaires]],Partenaires2[Partenaire],Partenaires2[Tx Ch Connexe])</f>
        <v>0.25</v>
      </c>
      <c r="H8" s="189">
        <f>_xlfn.XLOOKUP(T_2[[#This Row],[Partenaires]],Partenaires2[Partenaire],Partenaires2[Tx Sub])</f>
        <v>0.7</v>
      </c>
      <c r="I8" s="1" t="s">
        <v>259</v>
      </c>
      <c r="J8" s="178" t="s">
        <v>82</v>
      </c>
      <c r="K8" s="5">
        <v>2</v>
      </c>
      <c r="L8" s="4">
        <v>430</v>
      </c>
      <c r="M8" s="18">
        <f>T_2[[#This Row],[P Qu]]*T_2[[#This Row],[P PU]]</f>
        <v>860</v>
      </c>
      <c r="N8" s="6" t="s">
        <v>45</v>
      </c>
      <c r="O8" s="7">
        <v>2</v>
      </c>
      <c r="P8" s="9">
        <v>150</v>
      </c>
      <c r="Q8" s="18">
        <f>T_2[[#This Row],[ACh Qu]]*T_2[[#This Row],[ACh PU]]</f>
        <v>300</v>
      </c>
      <c r="R8" s="21">
        <f>T_2[[#This Row],[P CT]]+T_2[[#This Row],[ACh CT]]</f>
        <v>1160</v>
      </c>
      <c r="S8" s="211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1450</v>
      </c>
      <c r="T8" s="211">
        <f>T_2[[#This Row],[Mt Elligible]]*T_2[[#This Row],[Tx Sub]]</f>
        <v>1014.9999999999999</v>
      </c>
    </row>
    <row r="9" spans="1:20">
      <c r="A9" s="187" t="str">
        <f t="shared" si="0"/>
        <v>Lot_2</v>
      </c>
      <c r="B9" s="110" t="str">
        <f>_xlfn.XLOOKUP(T_2[[#This Row],[N° Lot]],Tableau4[NoLot],Tableau4[Lot])</f>
        <v>État de l’art, concertation et positionnent de la norme</v>
      </c>
      <c r="C9" s="167" t="s">
        <v>54</v>
      </c>
      <c r="D9" s="178" t="s">
        <v>114</v>
      </c>
      <c r="F9" s="167" t="s">
        <v>21</v>
      </c>
      <c r="G9" s="189">
        <f>_xlfn.XLOOKUP(T_2[[#This Row],[Partenaires]],Partenaires2[Partenaire],Partenaires2[Tx Ch Connexe])</f>
        <v>0.25</v>
      </c>
      <c r="H9" s="189">
        <f>_xlfn.XLOOKUP(T_2[[#This Row],[Partenaires]],Partenaires2[Partenaire],Partenaires2[Tx Sub])</f>
        <v>0.7</v>
      </c>
      <c r="I9" s="1" t="s">
        <v>259</v>
      </c>
      <c r="J9" s="1" t="s">
        <v>82</v>
      </c>
      <c r="K9" s="5">
        <v>2</v>
      </c>
      <c r="L9" s="4">
        <v>430</v>
      </c>
      <c r="M9" s="18">
        <f>T_2[[#This Row],[P Qu]]*T_2[[#This Row],[P PU]]</f>
        <v>860</v>
      </c>
      <c r="N9" s="6" t="s">
        <v>45</v>
      </c>
      <c r="O9" s="7"/>
      <c r="P9" s="9"/>
      <c r="Q9" s="18">
        <f>T_2[[#This Row],[ACh Qu]]*T_2[[#This Row],[ACh PU]]</f>
        <v>0</v>
      </c>
      <c r="R9" s="21">
        <f>T_2[[#This Row],[P CT]]+T_2[[#This Row],[ACh CT]]</f>
        <v>860</v>
      </c>
      <c r="S9" s="211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1075</v>
      </c>
      <c r="T9" s="211">
        <f>T_2[[#This Row],[Mt Elligible]]*T_2[[#This Row],[Tx Sub]]</f>
        <v>752.5</v>
      </c>
    </row>
    <row r="10" spans="1:20">
      <c r="A10" s="181" t="str">
        <f t="shared" si="0"/>
        <v>Lot_2</v>
      </c>
      <c r="B10" s="110" t="str">
        <f>_xlfn.XLOOKUP(T_2[[#This Row],[N° Lot]],Tableau4[NoLot],Tableau4[Lot])</f>
        <v>État de l’art, concertation et positionnent de la norme</v>
      </c>
      <c r="C10" s="35" t="s">
        <v>53</v>
      </c>
      <c r="D10" s="178" t="s">
        <v>59</v>
      </c>
      <c r="E10" s="178" t="s">
        <v>158</v>
      </c>
      <c r="F10" s="35" t="s">
        <v>38</v>
      </c>
      <c r="G10" s="189">
        <f>_xlfn.XLOOKUP(T_2[[#This Row],[Partenaires]],Partenaires2[Partenaire],Partenaires2[Tx Ch Connexe])</f>
        <v>0.22</v>
      </c>
      <c r="H10" s="189">
        <f>_xlfn.XLOOKUP(T_2[[#This Row],[Partenaires]],Partenaires2[Partenaire],Partenaires2[Tx Sub])</f>
        <v>0.7</v>
      </c>
      <c r="I10" s="1" t="s">
        <v>46</v>
      </c>
      <c r="J10" s="178" t="s">
        <v>82</v>
      </c>
      <c r="K10" s="5">
        <v>1</v>
      </c>
      <c r="L10" s="4">
        <v>406</v>
      </c>
      <c r="M10" s="18">
        <f>T_2[[#This Row],[P Qu]]*T_2[[#This Row],[P PU]]</f>
        <v>406</v>
      </c>
      <c r="N10" s="6"/>
      <c r="O10" s="7"/>
      <c r="P10" s="9"/>
      <c r="Q10" s="18">
        <f>T_2[[#This Row],[ACh Qu]]*T_2[[#This Row],[ACh PU]]</f>
        <v>0</v>
      </c>
      <c r="R10" s="21">
        <f>T_2[[#This Row],[P CT]]+T_2[[#This Row],[ACh CT]]</f>
        <v>406</v>
      </c>
      <c r="S10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10" s="52">
        <f>T_2[[#This Row],[Mt Elligible]]*T_2[[#This Row],[Tx Sub]]</f>
        <v>346.72399999999999</v>
      </c>
    </row>
    <row r="11" spans="1:20">
      <c r="A11" s="181" t="str">
        <f t="shared" si="0"/>
        <v>Lot_2</v>
      </c>
      <c r="B11" s="110" t="str">
        <f>_xlfn.XLOOKUP(T_2[[#This Row],[N° Lot]],Tableau4[NoLot],Tableau4[Lot])</f>
        <v>État de l’art, concertation et positionnent de la norme</v>
      </c>
      <c r="C11" s="35" t="s">
        <v>54</v>
      </c>
      <c r="D11" s="178" t="s">
        <v>111</v>
      </c>
      <c r="F11" s="35" t="s">
        <v>38</v>
      </c>
      <c r="G11" s="189">
        <f>_xlfn.XLOOKUP(T_2[[#This Row],[Partenaires]],Partenaires2[Partenaire],Partenaires2[Tx Ch Connexe])</f>
        <v>0.22</v>
      </c>
      <c r="H11" s="189">
        <f>_xlfn.XLOOKUP(T_2[[#This Row],[Partenaires]],Partenaires2[Partenaire],Partenaires2[Tx Sub])</f>
        <v>0.7</v>
      </c>
      <c r="I11" s="1" t="s">
        <v>46</v>
      </c>
      <c r="J11" s="178" t="s">
        <v>82</v>
      </c>
      <c r="K11" s="5">
        <v>1</v>
      </c>
      <c r="L11" s="4">
        <v>406</v>
      </c>
      <c r="M11" s="18">
        <f>T_2[[#This Row],[P Qu]]*T_2[[#This Row],[P PU]]</f>
        <v>406</v>
      </c>
      <c r="N11" s="6"/>
      <c r="O11" s="7"/>
      <c r="P11" s="9"/>
      <c r="Q11" s="18">
        <f>T_2[[#This Row],[ACh Qu]]*T_2[[#This Row],[ACh PU]]</f>
        <v>0</v>
      </c>
      <c r="R11" s="21">
        <f>T_2[[#This Row],[P CT]]+T_2[[#This Row],[ACh CT]]</f>
        <v>406</v>
      </c>
      <c r="S11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11" s="52">
        <f>T_2[[#This Row],[Mt Elligible]]*T_2[[#This Row],[Tx Sub]]</f>
        <v>346.72399999999999</v>
      </c>
    </row>
    <row r="12" spans="1:20">
      <c r="A12" s="181" t="str">
        <f t="shared" si="0"/>
        <v>Lot_2</v>
      </c>
      <c r="B12" s="110" t="str">
        <f>_xlfn.XLOOKUP(T_2[[#This Row],[N° Lot]],Tableau4[NoLot],Tableau4[Lot])</f>
        <v>État de l’art, concertation et positionnent de la norme</v>
      </c>
      <c r="C12" s="35" t="s">
        <v>54</v>
      </c>
      <c r="D12" s="178" t="s">
        <v>111</v>
      </c>
      <c r="F12" s="35" t="s">
        <v>38</v>
      </c>
      <c r="G12" s="189">
        <f>_xlfn.XLOOKUP(T_2[[#This Row],[Partenaires]],Partenaires2[Partenaire],Partenaires2[Tx Ch Connexe])</f>
        <v>0.22</v>
      </c>
      <c r="H12" s="189">
        <f>_xlfn.XLOOKUP(T_2[[#This Row],[Partenaires]],Partenaires2[Partenaire],Partenaires2[Tx Sub])</f>
        <v>0.7</v>
      </c>
      <c r="I12" s="1" t="s">
        <v>155</v>
      </c>
      <c r="J12" s="180" t="s">
        <v>82</v>
      </c>
      <c r="K12" s="5">
        <v>3</v>
      </c>
      <c r="L12" s="4">
        <v>304</v>
      </c>
      <c r="M12" s="18">
        <f>T_2[[#This Row],[P Qu]]*T_2[[#This Row],[P PU]]</f>
        <v>912</v>
      </c>
      <c r="N12" s="6"/>
      <c r="O12" s="7"/>
      <c r="P12" s="9"/>
      <c r="Q12" s="18">
        <f>T_2[[#This Row],[ACh Qu]]*T_2[[#This Row],[ACh PU]]</f>
        <v>0</v>
      </c>
      <c r="R12" s="21">
        <f>T_2[[#This Row],[P CT]]+T_2[[#This Row],[ACh CT]]</f>
        <v>912</v>
      </c>
      <c r="S12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1112.6400000000001</v>
      </c>
      <c r="T12" s="52">
        <f>T_2[[#This Row],[Mt Elligible]]*T_2[[#This Row],[Tx Sub]]</f>
        <v>778.84800000000007</v>
      </c>
    </row>
    <row r="13" spans="1:20">
      <c r="A13" s="181" t="str">
        <f t="shared" si="0"/>
        <v>Lot_2</v>
      </c>
      <c r="B13" s="110" t="str">
        <f>_xlfn.XLOOKUP(T_2[[#This Row],[N° Lot]],Tableau4[NoLot],Tableau4[Lot])</f>
        <v>État de l’art, concertation et positionnent de la norme</v>
      </c>
      <c r="C13" s="169" t="s">
        <v>54</v>
      </c>
      <c r="D13" s="180" t="s">
        <v>112</v>
      </c>
      <c r="E13" s="180"/>
      <c r="F13" s="169" t="s">
        <v>38</v>
      </c>
      <c r="G13" s="189">
        <f>_xlfn.XLOOKUP(T_2[[#This Row],[Partenaires]],Partenaires2[Partenaire],Partenaires2[Tx Ch Connexe])</f>
        <v>0.22</v>
      </c>
      <c r="H13" s="189">
        <f>_xlfn.XLOOKUP(T_2[[#This Row],[Partenaires]],Partenaires2[Partenaire],Partenaires2[Tx Sub])</f>
        <v>0.7</v>
      </c>
      <c r="I13" s="1" t="s">
        <v>46</v>
      </c>
      <c r="J13" s="180" t="s">
        <v>82</v>
      </c>
      <c r="K13" s="5">
        <v>0.5</v>
      </c>
      <c r="L13" s="4">
        <v>406</v>
      </c>
      <c r="M13" s="18">
        <f>T_2[[#This Row],[P Qu]]*T_2[[#This Row],[P PU]]</f>
        <v>203</v>
      </c>
      <c r="N13" s="6"/>
      <c r="O13" s="7"/>
      <c r="P13" s="9"/>
      <c r="Q13" s="18">
        <f>T_2[[#This Row],[ACh Qu]]*T_2[[#This Row],[ACh PU]]</f>
        <v>0</v>
      </c>
      <c r="R13" s="21">
        <f>T_2[[#This Row],[P CT]]+T_2[[#This Row],[ACh CT]]</f>
        <v>203</v>
      </c>
      <c r="S13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247.66</v>
      </c>
      <c r="T13" s="52">
        <f>T_2[[#This Row],[Mt Elligible]]*T_2[[#This Row],[Tx Sub]]</f>
        <v>173.36199999999999</v>
      </c>
    </row>
    <row r="14" spans="1:20">
      <c r="A14" s="181" t="str">
        <f t="shared" si="0"/>
        <v>Lot_2</v>
      </c>
      <c r="B14" s="110" t="str">
        <f>_xlfn.XLOOKUP(T_2[[#This Row],[N° Lot]],Tableau4[NoLot],Tableau4[Lot])</f>
        <v>État de l’art, concertation et positionnent de la norme</v>
      </c>
      <c r="C14" s="169" t="s">
        <v>54</v>
      </c>
      <c r="D14" s="180" t="s">
        <v>112</v>
      </c>
      <c r="E14" s="180"/>
      <c r="F14" s="169" t="s">
        <v>38</v>
      </c>
      <c r="G14" s="189">
        <f>_xlfn.XLOOKUP(T_2[[#This Row],[Partenaires]],Partenaires2[Partenaire],Partenaires2[Tx Ch Connexe])</f>
        <v>0.22</v>
      </c>
      <c r="H14" s="189">
        <f>_xlfn.XLOOKUP(T_2[[#This Row],[Partenaires]],Partenaires2[Partenaire],Partenaires2[Tx Sub])</f>
        <v>0.7</v>
      </c>
      <c r="I14" s="1" t="s">
        <v>155</v>
      </c>
      <c r="J14" s="180" t="s">
        <v>82</v>
      </c>
      <c r="K14" s="5">
        <v>3.5</v>
      </c>
      <c r="L14" s="4">
        <v>304</v>
      </c>
      <c r="M14" s="18">
        <f>T_2[[#This Row],[P Qu]]*T_2[[#This Row],[P PU]]</f>
        <v>1064</v>
      </c>
      <c r="N14" s="6"/>
      <c r="O14" s="7"/>
      <c r="P14" s="9"/>
      <c r="Q14" s="18">
        <f>T_2[[#This Row],[ACh Qu]]*T_2[[#This Row],[ACh PU]]</f>
        <v>0</v>
      </c>
      <c r="R14" s="21">
        <f>T_2[[#This Row],[P CT]]+T_2[[#This Row],[ACh CT]]</f>
        <v>1064</v>
      </c>
      <c r="S14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1298.08</v>
      </c>
      <c r="T14" s="52">
        <f>T_2[[#This Row],[Mt Elligible]]*T_2[[#This Row],[Tx Sub]]</f>
        <v>908.65599999999984</v>
      </c>
    </row>
    <row r="15" spans="1:20">
      <c r="A15" s="181" t="str">
        <f t="shared" si="0"/>
        <v>Lot_2</v>
      </c>
      <c r="B15" s="110" t="str">
        <f>_xlfn.XLOOKUP(T_2[[#This Row],[N° Lot]],Tableau4[NoLot],Tableau4[Lot])</f>
        <v>État de l’art, concertation et positionnent de la norme</v>
      </c>
      <c r="C15" s="169" t="s">
        <v>54</v>
      </c>
      <c r="D15" s="180" t="s">
        <v>113</v>
      </c>
      <c r="E15" s="180"/>
      <c r="F15" s="169" t="s">
        <v>38</v>
      </c>
      <c r="G15" s="189">
        <f>_xlfn.XLOOKUP(T_2[[#This Row],[Partenaires]],Partenaires2[Partenaire],Partenaires2[Tx Ch Connexe])</f>
        <v>0.22</v>
      </c>
      <c r="H15" s="189">
        <f>_xlfn.XLOOKUP(T_2[[#This Row],[Partenaires]],Partenaires2[Partenaire],Partenaires2[Tx Sub])</f>
        <v>0.7</v>
      </c>
      <c r="I15" s="1" t="s">
        <v>46</v>
      </c>
      <c r="J15" s="180" t="s">
        <v>82</v>
      </c>
      <c r="K15" s="5">
        <v>2</v>
      </c>
      <c r="L15" s="4">
        <v>406</v>
      </c>
      <c r="M15" s="18">
        <f>T_2[[#This Row],[P Qu]]*T_2[[#This Row],[P PU]]</f>
        <v>812</v>
      </c>
      <c r="N15" s="6" t="s">
        <v>45</v>
      </c>
      <c r="O15" s="7">
        <v>2</v>
      </c>
      <c r="P15" s="9">
        <v>150</v>
      </c>
      <c r="Q15" s="18">
        <f>T_2[[#This Row],[ACh Qu]]*T_2[[#This Row],[ACh PU]]</f>
        <v>300</v>
      </c>
      <c r="R15" s="21">
        <f>T_2[[#This Row],[P CT]]+T_2[[#This Row],[ACh CT]]</f>
        <v>1112</v>
      </c>
      <c r="S15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1356.64</v>
      </c>
      <c r="T15" s="52">
        <f>T_2[[#This Row],[Mt Elligible]]*T_2[[#This Row],[Tx Sub]]</f>
        <v>949.64800000000002</v>
      </c>
    </row>
    <row r="16" spans="1:20">
      <c r="A16" s="181" t="str">
        <f t="shared" si="0"/>
        <v>Lot_2</v>
      </c>
      <c r="B16" s="110" t="str">
        <f>_xlfn.XLOOKUP(T_2[[#This Row],[N° Lot]],Tableau4[NoLot],Tableau4[Lot])</f>
        <v>État de l’art, concertation et positionnent de la norme</v>
      </c>
      <c r="C16" s="169" t="s">
        <v>54</v>
      </c>
      <c r="D16" s="180" t="s">
        <v>113</v>
      </c>
      <c r="E16" s="180"/>
      <c r="F16" s="169" t="s">
        <v>38</v>
      </c>
      <c r="G16" s="189">
        <f>_xlfn.XLOOKUP(T_2[[#This Row],[Partenaires]],Partenaires2[Partenaire],Partenaires2[Tx Ch Connexe])</f>
        <v>0.22</v>
      </c>
      <c r="H16" s="189">
        <f>_xlfn.XLOOKUP(T_2[[#This Row],[Partenaires]],Partenaires2[Partenaire],Partenaires2[Tx Sub])</f>
        <v>0.7</v>
      </c>
      <c r="I16" s="1" t="s">
        <v>155</v>
      </c>
      <c r="J16" s="180" t="s">
        <v>82</v>
      </c>
      <c r="K16" s="5">
        <v>2</v>
      </c>
      <c r="L16" s="4">
        <v>304</v>
      </c>
      <c r="M16" s="18">
        <f>T_2[[#This Row],[P Qu]]*T_2[[#This Row],[P PU]]</f>
        <v>608</v>
      </c>
      <c r="N16" s="6"/>
      <c r="O16" s="7"/>
      <c r="P16" s="9"/>
      <c r="Q16" s="18">
        <f>T_2[[#This Row],[ACh Qu]]*T_2[[#This Row],[ACh PU]]</f>
        <v>0</v>
      </c>
      <c r="R16" s="21">
        <f>T_2[[#This Row],[P CT]]+T_2[[#This Row],[ACh CT]]</f>
        <v>608</v>
      </c>
      <c r="S16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741.76</v>
      </c>
      <c r="T16" s="52">
        <f>T_2[[#This Row],[Mt Elligible]]*T_2[[#This Row],[Tx Sub]]</f>
        <v>519.23199999999997</v>
      </c>
    </row>
    <row r="17" spans="1:20">
      <c r="A17" s="181" t="str">
        <f t="shared" si="0"/>
        <v>Lot_2</v>
      </c>
      <c r="B17" s="110" t="str">
        <f>_xlfn.XLOOKUP(T_2[[#This Row],[N° Lot]],Tableau4[NoLot],Tableau4[Lot])</f>
        <v>État de l’art, concertation et positionnent de la norme</v>
      </c>
      <c r="C17" s="169" t="s">
        <v>54</v>
      </c>
      <c r="D17" s="180" t="s">
        <v>114</v>
      </c>
      <c r="E17" s="180"/>
      <c r="F17" s="169" t="s">
        <v>38</v>
      </c>
      <c r="G17" s="189">
        <f>_xlfn.XLOOKUP(T_2[[#This Row],[Partenaires]],Partenaires2[Partenaire],Partenaires2[Tx Ch Connexe])</f>
        <v>0.22</v>
      </c>
      <c r="H17" s="189">
        <f>_xlfn.XLOOKUP(T_2[[#This Row],[Partenaires]],Partenaires2[Partenaire],Partenaires2[Tx Sub])</f>
        <v>0.7</v>
      </c>
      <c r="I17" s="1" t="s">
        <v>46</v>
      </c>
      <c r="J17" s="180" t="s">
        <v>82</v>
      </c>
      <c r="K17" s="5">
        <v>1</v>
      </c>
      <c r="L17" s="4">
        <v>406</v>
      </c>
      <c r="M17" s="18">
        <f>T_2[[#This Row],[P Qu]]*T_2[[#This Row],[P PU]]</f>
        <v>406</v>
      </c>
      <c r="N17" s="6"/>
      <c r="O17" s="7"/>
      <c r="P17" s="9"/>
      <c r="Q17" s="18">
        <f>T_2[[#This Row],[ACh Qu]]*T_2[[#This Row],[ACh PU]]</f>
        <v>0</v>
      </c>
      <c r="R17" s="21">
        <f>T_2[[#This Row],[P CT]]+T_2[[#This Row],[ACh CT]]</f>
        <v>406</v>
      </c>
      <c r="S17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17" s="52">
        <f>T_2[[#This Row],[Mt Elligible]]*T_2[[#This Row],[Tx Sub]]</f>
        <v>346.72399999999999</v>
      </c>
    </row>
    <row r="18" spans="1:20">
      <c r="A18" s="181" t="str">
        <f t="shared" si="0"/>
        <v>Lot_2</v>
      </c>
      <c r="B18" s="110" t="str">
        <f>_xlfn.XLOOKUP(T_2[[#This Row],[N° Lot]],Tableau4[NoLot],Tableau4[Lot])</f>
        <v>État de l’art, concertation et positionnent de la norme</v>
      </c>
      <c r="C18" s="169" t="s">
        <v>54</v>
      </c>
      <c r="D18" s="180" t="s">
        <v>114</v>
      </c>
      <c r="E18" s="180"/>
      <c r="F18" s="169" t="s">
        <v>38</v>
      </c>
      <c r="G18" s="189">
        <f>_xlfn.XLOOKUP(T_2[[#This Row],[Partenaires]],Partenaires2[Partenaire],Partenaires2[Tx Ch Connexe])</f>
        <v>0.22</v>
      </c>
      <c r="H18" s="189">
        <f>_xlfn.XLOOKUP(T_2[[#This Row],[Partenaires]],Partenaires2[Partenaire],Partenaires2[Tx Sub])</f>
        <v>0.7</v>
      </c>
      <c r="I18" s="1" t="s">
        <v>155</v>
      </c>
      <c r="J18" s="180" t="s">
        <v>82</v>
      </c>
      <c r="K18" s="5">
        <v>3</v>
      </c>
      <c r="L18" s="4">
        <v>304</v>
      </c>
      <c r="M18" s="18">
        <f>T_2[[#This Row],[P Qu]]*T_2[[#This Row],[P PU]]</f>
        <v>912</v>
      </c>
      <c r="N18" s="6"/>
      <c r="O18" s="7"/>
      <c r="P18" s="9"/>
      <c r="Q18" s="18">
        <f>T_2[[#This Row],[ACh Qu]]*T_2[[#This Row],[ACh PU]]</f>
        <v>0</v>
      </c>
      <c r="R18" s="21">
        <f>T_2[[#This Row],[P CT]]+T_2[[#This Row],[ACh CT]]</f>
        <v>912</v>
      </c>
      <c r="S18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1112.6400000000001</v>
      </c>
      <c r="T18" s="52">
        <f>T_2[[#This Row],[Mt Elligible]]*T_2[[#This Row],[Tx Sub]]</f>
        <v>778.84800000000007</v>
      </c>
    </row>
    <row r="19" spans="1:20">
      <c r="A19" s="181" t="str">
        <f t="shared" si="0"/>
        <v>Lot_2</v>
      </c>
      <c r="B19" s="110" t="str">
        <f>_xlfn.XLOOKUP(T_2[[#This Row],[N° Lot]],Tableau4[NoLot],Tableau4[Lot])</f>
        <v>État de l’art, concertation et positionnent de la norme</v>
      </c>
      <c r="C19" s="34" t="s">
        <v>57</v>
      </c>
      <c r="D19" s="180" t="s">
        <v>116</v>
      </c>
      <c r="E19" s="180" t="s">
        <v>160</v>
      </c>
      <c r="F19" s="169" t="s">
        <v>38</v>
      </c>
      <c r="G19" s="189">
        <f>_xlfn.XLOOKUP(T_2[[#This Row],[Partenaires]],Partenaires2[Partenaire],Partenaires2[Tx Ch Connexe])</f>
        <v>0.22</v>
      </c>
      <c r="H19" s="189">
        <f>_xlfn.XLOOKUP(T_2[[#This Row],[Partenaires]],Partenaires2[Partenaire],Partenaires2[Tx Sub])</f>
        <v>0.7</v>
      </c>
      <c r="I19" s="1" t="s">
        <v>46</v>
      </c>
      <c r="J19" s="1" t="s">
        <v>82</v>
      </c>
      <c r="K19" s="5">
        <v>1</v>
      </c>
      <c r="L19" s="4">
        <v>406</v>
      </c>
      <c r="M19" s="18">
        <f>T_2[[#This Row],[P Qu]]*T_2[[#This Row],[P PU]]</f>
        <v>406</v>
      </c>
      <c r="N19" s="6"/>
      <c r="O19" s="7"/>
      <c r="P19" s="9"/>
      <c r="Q19" s="18">
        <f>T_2[[#This Row],[ACh Qu]]*T_2[[#This Row],[ACh PU]]</f>
        <v>0</v>
      </c>
      <c r="R19" s="21">
        <f>T_2[[#This Row],[P CT]]+T_2[[#This Row],[ACh CT]]</f>
        <v>406</v>
      </c>
      <c r="S19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19" s="52">
        <f>T_2[[#This Row],[Mt Elligible]]*T_2[[#This Row],[Tx Sub]]</f>
        <v>346.72399999999999</v>
      </c>
    </row>
    <row r="20" spans="1:20">
      <c r="A20" s="181" t="str">
        <f t="shared" si="0"/>
        <v>Lot_2</v>
      </c>
      <c r="B20" s="110" t="str">
        <f>_xlfn.XLOOKUP(T_2[[#This Row],[N° Lot]],Tableau4[NoLot],Tableau4[Lot])</f>
        <v>État de l’art, concertation et positionnent de la norme</v>
      </c>
      <c r="C20" s="34" t="s">
        <v>55</v>
      </c>
      <c r="D20" s="180" t="s">
        <v>117</v>
      </c>
      <c r="E20" s="180"/>
      <c r="F20" s="169" t="s">
        <v>38</v>
      </c>
      <c r="G20" s="189">
        <f>_xlfn.XLOOKUP(T_2[[#This Row],[Partenaires]],Partenaires2[Partenaire],Partenaires2[Tx Ch Connexe])</f>
        <v>0.22</v>
      </c>
      <c r="H20" s="189">
        <f>_xlfn.XLOOKUP(T_2[[#This Row],[Partenaires]],Partenaires2[Partenaire],Partenaires2[Tx Sub])</f>
        <v>0.7</v>
      </c>
      <c r="I20" s="1" t="s">
        <v>46</v>
      </c>
      <c r="J20" s="1" t="s">
        <v>82</v>
      </c>
      <c r="K20" s="5">
        <v>1</v>
      </c>
      <c r="L20" s="4">
        <v>406</v>
      </c>
      <c r="M20" s="18">
        <f>T_2[[#This Row],[P Qu]]*T_2[[#This Row],[P PU]]</f>
        <v>406</v>
      </c>
      <c r="N20" s="6"/>
      <c r="O20" s="7"/>
      <c r="P20" s="9"/>
      <c r="Q20" s="18">
        <f>T_2[[#This Row],[ACh Qu]]*T_2[[#This Row],[ACh PU]]</f>
        <v>0</v>
      </c>
      <c r="R20" s="21">
        <f>T_2[[#This Row],[P CT]]+T_2[[#This Row],[ACh CT]]</f>
        <v>406</v>
      </c>
      <c r="S20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20" s="52">
        <f>T_2[[#This Row],[Mt Elligible]]*T_2[[#This Row],[Tx Sub]]</f>
        <v>346.72399999999999</v>
      </c>
    </row>
    <row r="21" spans="1:20">
      <c r="A21" s="181" t="str">
        <f t="shared" si="0"/>
        <v>Lot_2</v>
      </c>
      <c r="B21" s="110" t="str">
        <f>_xlfn.XLOOKUP(T_2[[#This Row],[N° Lot]],Tableau4[NoLot],Tableau4[Lot])</f>
        <v>État de l’art, concertation et positionnent de la norme</v>
      </c>
      <c r="C21" s="34" t="s">
        <v>55</v>
      </c>
      <c r="D21" s="180" t="s">
        <v>118</v>
      </c>
      <c r="E21" s="180"/>
      <c r="F21" s="169" t="s">
        <v>38</v>
      </c>
      <c r="G21" s="189">
        <f>_xlfn.XLOOKUP(T_2[[#This Row],[Partenaires]],Partenaires2[Partenaire],Partenaires2[Tx Ch Connexe])</f>
        <v>0.22</v>
      </c>
      <c r="H21" s="189">
        <f>_xlfn.XLOOKUP(T_2[[#This Row],[Partenaires]],Partenaires2[Partenaire],Partenaires2[Tx Sub])</f>
        <v>0.7</v>
      </c>
      <c r="I21" s="1" t="s">
        <v>46</v>
      </c>
      <c r="J21" s="1" t="s">
        <v>82</v>
      </c>
      <c r="K21" s="5">
        <v>1</v>
      </c>
      <c r="L21" s="4">
        <v>406</v>
      </c>
      <c r="M21" s="18">
        <f>T_2[[#This Row],[P Qu]]*T_2[[#This Row],[P PU]]</f>
        <v>406</v>
      </c>
      <c r="N21" s="6"/>
      <c r="O21" s="7"/>
      <c r="P21" s="9"/>
      <c r="Q21" s="18">
        <f>T_2[[#This Row],[ACh Qu]]*T_2[[#This Row],[ACh PU]]</f>
        <v>0</v>
      </c>
      <c r="R21" s="21">
        <f>T_2[[#This Row],[P CT]]+T_2[[#This Row],[ACh CT]]</f>
        <v>406</v>
      </c>
      <c r="S21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21" s="52">
        <f>T_2[[#This Row],[Mt Elligible]]*T_2[[#This Row],[Tx Sub]]</f>
        <v>346.72399999999999</v>
      </c>
    </row>
    <row r="22" spans="1:20">
      <c r="A22" s="181" t="str">
        <f t="shared" si="0"/>
        <v>Lot_2</v>
      </c>
      <c r="B22" s="110" t="str">
        <f>_xlfn.XLOOKUP(T_2[[#This Row],[N° Lot]],Tableau4[NoLot],Tableau4[Lot])</f>
        <v>État de l’art, concertation et positionnent de la norme</v>
      </c>
      <c r="C22" s="167" t="s">
        <v>56</v>
      </c>
      <c r="D22" s="178" t="s">
        <v>119</v>
      </c>
      <c r="E22" s="178" t="s">
        <v>162</v>
      </c>
      <c r="F22" s="112" t="s">
        <v>38</v>
      </c>
      <c r="G22" s="189">
        <f>_xlfn.XLOOKUP(T_2[[#This Row],[Partenaires]],Partenaires2[Partenaire],Partenaires2[Tx Ch Connexe])</f>
        <v>0.22</v>
      </c>
      <c r="H22" s="189">
        <f>_xlfn.XLOOKUP(T_2[[#This Row],[Partenaires]],Partenaires2[Partenaire],Partenaires2[Tx Sub])</f>
        <v>0.7</v>
      </c>
      <c r="I22" s="1" t="s">
        <v>46</v>
      </c>
      <c r="J22" s="1" t="s">
        <v>82</v>
      </c>
      <c r="K22" s="5">
        <v>1</v>
      </c>
      <c r="L22" s="4">
        <v>406</v>
      </c>
      <c r="M22" s="18">
        <f>T_2[[#This Row],[P Qu]]*T_2[[#This Row],[P PU]]</f>
        <v>406</v>
      </c>
      <c r="N22" s="6"/>
      <c r="O22" s="7"/>
      <c r="P22" s="9"/>
      <c r="Q22" s="18">
        <f>T_2[[#This Row],[ACh Qu]]*T_2[[#This Row],[ACh PU]]</f>
        <v>0</v>
      </c>
      <c r="R22" s="21">
        <f>T_2[[#This Row],[P CT]]+T_2[[#This Row],[ACh CT]]</f>
        <v>406</v>
      </c>
      <c r="S22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22" s="52">
        <f>T_2[[#This Row],[Mt Elligible]]*T_2[[#This Row],[Tx Sub]]</f>
        <v>346.72399999999999</v>
      </c>
    </row>
    <row r="23" spans="1:20">
      <c r="A23" s="181" t="str">
        <f t="shared" si="0"/>
        <v>Lot_2</v>
      </c>
      <c r="B23" s="110" t="str">
        <f>_xlfn.XLOOKUP(T_2[[#This Row],[N° Lot]],Tableau4[NoLot],Tableau4[Lot])</f>
        <v>État de l’art, concertation et positionnent de la norme</v>
      </c>
      <c r="C23" s="167" t="s">
        <v>56</v>
      </c>
      <c r="D23" s="178" t="s">
        <v>119</v>
      </c>
      <c r="E23" s="178" t="s">
        <v>162</v>
      </c>
      <c r="F23" s="167" t="s">
        <v>38</v>
      </c>
      <c r="G23" s="189">
        <f>_xlfn.XLOOKUP(T_2[[#This Row],[Partenaires]],Partenaires2[Partenaire],Partenaires2[Tx Ch Connexe])</f>
        <v>0.22</v>
      </c>
      <c r="H23" s="189">
        <f>_xlfn.XLOOKUP(T_2[[#This Row],[Partenaires]],Partenaires2[Partenaire],Partenaires2[Tx Sub])</f>
        <v>0.7</v>
      </c>
      <c r="I23" s="1" t="s">
        <v>155</v>
      </c>
      <c r="J23" s="178" t="s">
        <v>82</v>
      </c>
      <c r="K23" s="5">
        <v>4</v>
      </c>
      <c r="L23" s="4">
        <v>304</v>
      </c>
      <c r="M23" s="18">
        <f>T_2[[#This Row],[P Qu]]*T_2[[#This Row],[P PU]]</f>
        <v>1216</v>
      </c>
      <c r="N23" s="6"/>
      <c r="O23" s="7"/>
      <c r="P23" s="9"/>
      <c r="Q23" s="18">
        <f>T_2[[#This Row],[ACh Qu]]*T_2[[#This Row],[ACh PU]]</f>
        <v>0</v>
      </c>
      <c r="R23" s="21">
        <f>T_2[[#This Row],[P CT]]+T_2[[#This Row],[ACh CT]]</f>
        <v>1216</v>
      </c>
      <c r="S23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1483.52</v>
      </c>
      <c r="T23" s="52">
        <f>T_2[[#This Row],[Mt Elligible]]*T_2[[#This Row],[Tx Sub]]</f>
        <v>1038.4639999999999</v>
      </c>
    </row>
    <row r="24" spans="1:20">
      <c r="A24" s="181" t="str">
        <f t="shared" si="0"/>
        <v>Lot_2</v>
      </c>
      <c r="B24" s="110" t="str">
        <f>_xlfn.XLOOKUP(T_2[[#This Row],[N° Lot]],Tableau4[NoLot],Tableau4[Lot])</f>
        <v>État de l’art, concertation et positionnent de la norme</v>
      </c>
      <c r="C24" s="167" t="s">
        <v>56</v>
      </c>
      <c r="D24" s="178" t="s">
        <v>120</v>
      </c>
      <c r="F24" s="112" t="s">
        <v>38</v>
      </c>
      <c r="G24" s="189">
        <f>_xlfn.XLOOKUP(T_2[[#This Row],[Partenaires]],Partenaires2[Partenaire],Partenaires2[Tx Ch Connexe])</f>
        <v>0.22</v>
      </c>
      <c r="H24" s="189">
        <f>_xlfn.XLOOKUP(T_2[[#This Row],[Partenaires]],Partenaires2[Partenaire],Partenaires2[Tx Sub])</f>
        <v>0.7</v>
      </c>
      <c r="I24" s="1" t="s">
        <v>46</v>
      </c>
      <c r="J24" s="1" t="s">
        <v>82</v>
      </c>
      <c r="K24" s="5">
        <v>1</v>
      </c>
      <c r="L24" s="4">
        <v>406</v>
      </c>
      <c r="M24" s="18">
        <f>T_2[[#This Row],[P Qu]]*T_2[[#This Row],[P PU]]</f>
        <v>406</v>
      </c>
      <c r="N24" s="6" t="s">
        <v>45</v>
      </c>
      <c r="O24" s="7">
        <v>1</v>
      </c>
      <c r="P24" s="9">
        <v>150</v>
      </c>
      <c r="Q24" s="18">
        <f>T_2[[#This Row],[ACh Qu]]*T_2[[#This Row],[ACh PU]]</f>
        <v>150</v>
      </c>
      <c r="R24" s="21">
        <f>T_2[[#This Row],[P CT]]+T_2[[#This Row],[ACh CT]]</f>
        <v>556</v>
      </c>
      <c r="S24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678.32</v>
      </c>
      <c r="T24" s="52">
        <f>T_2[[#This Row],[Mt Elligible]]*T_2[[#This Row],[Tx Sub]]</f>
        <v>474.82400000000001</v>
      </c>
    </row>
    <row r="25" spans="1:20">
      <c r="A25" s="181" t="str">
        <f t="shared" si="0"/>
        <v>Lot_2</v>
      </c>
      <c r="B25" s="110" t="str">
        <f>_xlfn.XLOOKUP(T_2[[#This Row],[N° Lot]],Tableau4[NoLot],Tableau4[Lot])</f>
        <v>État de l’art, concertation et positionnent de la norme</v>
      </c>
      <c r="C25" s="167" t="s">
        <v>56</v>
      </c>
      <c r="D25" s="178" t="s">
        <v>120</v>
      </c>
      <c r="F25" s="167" t="s">
        <v>38</v>
      </c>
      <c r="G25" s="189">
        <f>_xlfn.XLOOKUP(T_2[[#This Row],[Partenaires]],Partenaires2[Partenaire],Partenaires2[Tx Ch Connexe])</f>
        <v>0.22</v>
      </c>
      <c r="H25" s="189">
        <f>_xlfn.XLOOKUP(T_2[[#This Row],[Partenaires]],Partenaires2[Partenaire],Partenaires2[Tx Sub])</f>
        <v>0.7</v>
      </c>
      <c r="I25" s="1" t="s">
        <v>155</v>
      </c>
      <c r="J25" s="1" t="s">
        <v>82</v>
      </c>
      <c r="K25" s="5">
        <v>1</v>
      </c>
      <c r="L25" s="4">
        <v>304</v>
      </c>
      <c r="M25" s="18">
        <f>T_2[[#This Row],[P Qu]]*T_2[[#This Row],[P PU]]</f>
        <v>304</v>
      </c>
      <c r="N25" s="6" t="s">
        <v>45</v>
      </c>
      <c r="O25" s="7">
        <v>1</v>
      </c>
      <c r="P25" s="9">
        <v>150</v>
      </c>
      <c r="Q25" s="18">
        <f>T_2[[#This Row],[ACh Qu]]*T_2[[#This Row],[ACh PU]]</f>
        <v>150</v>
      </c>
      <c r="R25" s="21">
        <f>T_2[[#This Row],[P CT]]+T_2[[#This Row],[ACh CT]]</f>
        <v>454</v>
      </c>
      <c r="S25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553.88</v>
      </c>
      <c r="T25" s="52">
        <f>T_2[[#This Row],[Mt Elligible]]*T_2[[#This Row],[Tx Sub]]</f>
        <v>387.71599999999995</v>
      </c>
    </row>
    <row r="26" spans="1:20">
      <c r="A26" s="181" t="str">
        <f t="shared" si="0"/>
        <v>Lot_2</v>
      </c>
      <c r="B26" s="110" t="str">
        <f>_xlfn.XLOOKUP(T_2[[#This Row],[N° Lot]],Tableau4[NoLot],Tableau4[Lot])</f>
        <v>État de l’art, concertation et positionnent de la norme</v>
      </c>
      <c r="C26" s="167" t="s">
        <v>56</v>
      </c>
      <c r="D26" s="178" t="s">
        <v>121</v>
      </c>
      <c r="F26" s="167" t="s">
        <v>38</v>
      </c>
      <c r="G26" s="189">
        <f>_xlfn.XLOOKUP(T_2[[#This Row],[Partenaires]],Partenaires2[Partenaire],Partenaires2[Tx Ch Connexe])</f>
        <v>0.22</v>
      </c>
      <c r="H26" s="189">
        <f>_xlfn.XLOOKUP(T_2[[#This Row],[Partenaires]],Partenaires2[Partenaire],Partenaires2[Tx Sub])</f>
        <v>0.7</v>
      </c>
      <c r="I26" s="1" t="s">
        <v>46</v>
      </c>
      <c r="J26" s="178" t="s">
        <v>82</v>
      </c>
      <c r="K26" s="5">
        <v>1</v>
      </c>
      <c r="L26" s="4">
        <v>406</v>
      </c>
      <c r="M26" s="18">
        <f>T_2[[#This Row],[P Qu]]*T_2[[#This Row],[P PU]]</f>
        <v>406</v>
      </c>
      <c r="N26" s="6"/>
      <c r="O26" s="7"/>
      <c r="P26" s="9"/>
      <c r="Q26" s="18">
        <f>T_2[[#This Row],[ACh Qu]]*T_2[[#This Row],[ACh PU]]</f>
        <v>0</v>
      </c>
      <c r="R26" s="21">
        <f>T_2[[#This Row],[P CT]]+T_2[[#This Row],[ACh CT]]</f>
        <v>406</v>
      </c>
      <c r="S26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495.32</v>
      </c>
      <c r="T26" s="52">
        <f>T_2[[#This Row],[Mt Elligible]]*T_2[[#This Row],[Tx Sub]]</f>
        <v>346.72399999999999</v>
      </c>
    </row>
    <row r="27" spans="1:20">
      <c r="A27" s="181" t="str">
        <f t="shared" si="0"/>
        <v>Lot_2</v>
      </c>
      <c r="B27" s="110" t="str">
        <f>_xlfn.XLOOKUP(T_2[[#This Row],[N° Lot]],Tableau4[NoLot],Tableau4[Lot])</f>
        <v>État de l’art, concertation et positionnent de la norme</v>
      </c>
      <c r="C27" s="167" t="s">
        <v>56</v>
      </c>
      <c r="D27" s="178" t="s">
        <v>121</v>
      </c>
      <c r="F27" s="167" t="s">
        <v>38</v>
      </c>
      <c r="G27" s="189">
        <f>_xlfn.XLOOKUP(T_2[[#This Row],[Partenaires]],Partenaires2[Partenaire],Partenaires2[Tx Ch Connexe])</f>
        <v>0.22</v>
      </c>
      <c r="H27" s="189">
        <f>_xlfn.XLOOKUP(T_2[[#This Row],[Partenaires]],Partenaires2[Partenaire],Partenaires2[Tx Sub])</f>
        <v>0.7</v>
      </c>
      <c r="I27" s="1" t="s">
        <v>155</v>
      </c>
      <c r="J27" s="178" t="s">
        <v>82</v>
      </c>
      <c r="K27" s="5">
        <v>2</v>
      </c>
      <c r="L27" s="4">
        <v>304</v>
      </c>
      <c r="M27" s="18">
        <f>T_2[[#This Row],[P Qu]]*T_2[[#This Row],[P PU]]</f>
        <v>608</v>
      </c>
      <c r="N27" s="6"/>
      <c r="O27" s="7"/>
      <c r="P27" s="9"/>
      <c r="Q27" s="18">
        <f>T_2[[#This Row],[ACh Qu]]*T_2[[#This Row],[ACh PU]]</f>
        <v>0</v>
      </c>
      <c r="R27" s="21">
        <f>T_2[[#This Row],[P CT]]+T_2[[#This Row],[ACh CT]]</f>
        <v>608</v>
      </c>
      <c r="S27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741.76</v>
      </c>
      <c r="T27" s="52">
        <f>T_2[[#This Row],[Mt Elligible]]*T_2[[#This Row],[Tx Sub]]</f>
        <v>519.23199999999997</v>
      </c>
    </row>
    <row r="28" spans="1:20">
      <c r="A28" s="187" t="str">
        <f t="shared" si="0"/>
        <v>Lot_2</v>
      </c>
      <c r="B28" s="110" t="str">
        <f>_xlfn.XLOOKUP(T_2[[#This Row],[N° Lot]],Tableau4[NoLot],Tableau4[Lot])</f>
        <v>État de l’art, concertation et positionnent de la norme</v>
      </c>
      <c r="C28" s="167" t="str">
        <f>'[2]Lot 2'!C3</f>
        <v>T1_Bibliographie_et_synthèse</v>
      </c>
      <c r="D28" s="178" t="str">
        <f>'[2]Lot 2'!D3</f>
        <v>ST1 Analyse bibliographique</v>
      </c>
      <c r="E28" s="178">
        <f>'[2]Lot 2'!E3</f>
        <v>0</v>
      </c>
      <c r="F28" s="167" t="str">
        <f>'[2]Lot 2'!F3</f>
        <v>CEREMA</v>
      </c>
      <c r="G28" s="189">
        <f>_xlfn.XLOOKUP(T_2[[#This Row],[Partenaires]],Partenaires2[Partenaire],Partenaires2[Tx Ch Connexe])</f>
        <v>0.25</v>
      </c>
      <c r="H28" s="189">
        <f>_xlfn.XLOOKUP(T_2[[#This Row],[Partenaires]],Partenaires2[Partenaire],Partenaires2[Tx Sub])</f>
        <v>0.5</v>
      </c>
      <c r="I28" s="1" t="str">
        <f>'[2]Lot 2'!I3</f>
        <v>Directeur de projet</v>
      </c>
      <c r="J28" s="1" t="str">
        <f>'[2]Lot 2'!J3</f>
        <v>Non</v>
      </c>
      <c r="K28" s="5">
        <v>2</v>
      </c>
      <c r="L28" s="4">
        <f>'[2]Lot 2'!L3</f>
        <v>548</v>
      </c>
      <c r="M28" s="18">
        <f>T_2[[#This Row],[P Qu]]*T_2[[#This Row],[P PU]]</f>
        <v>1096</v>
      </c>
      <c r="N28" s="6">
        <f>'[2]Lot 2'!N3</f>
        <v>0</v>
      </c>
      <c r="O28" s="7">
        <f>'[2]Lot 2'!O3</f>
        <v>0</v>
      </c>
      <c r="P28" s="9">
        <f>'[2]Lot 2'!P3</f>
        <v>0</v>
      </c>
      <c r="Q28" s="18">
        <f>T_2[[#This Row],[ACh Qu]]*T_2[[#This Row],[ACh PU]]</f>
        <v>0</v>
      </c>
      <c r="R28" s="21">
        <f>T_2[[#This Row],[P CT]]+T_2[[#This Row],[ACh CT]]</f>
        <v>1096</v>
      </c>
      <c r="S28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274</v>
      </c>
      <c r="T28" s="52">
        <f>T_2[[#This Row],[Mt Elligible]]*T_2[[#This Row],[Tx Sub]]</f>
        <v>137</v>
      </c>
    </row>
    <row r="29" spans="1:20">
      <c r="A29" s="187" t="str">
        <f t="shared" si="0"/>
        <v>Lot_2</v>
      </c>
      <c r="B29" s="110" t="str">
        <f>_xlfn.XLOOKUP(T_2[[#This Row],[N° Lot]],Tableau4[NoLot],Tableau4[Lot])</f>
        <v>État de l’art, concertation et positionnent de la norme</v>
      </c>
      <c r="C29" s="167" t="str">
        <f>'[2]Lot 2'!C4</f>
        <v>T1_Bibliographie_et_synthèse</v>
      </c>
      <c r="D29" s="178" t="str">
        <f>'[2]Lot 2'!D4</f>
        <v>ST1 Analyse bibliographique</v>
      </c>
      <c r="E29" s="178">
        <f>'[2]Lot 2'!E4</f>
        <v>0</v>
      </c>
      <c r="F29" s="167" t="str">
        <f>'[2]Lot 2'!F4</f>
        <v>CEREMA</v>
      </c>
      <c r="G29" s="189">
        <f>_xlfn.XLOOKUP(T_2[[#This Row],[Partenaires]],Partenaires2[Partenaire],Partenaires2[Tx Ch Connexe])</f>
        <v>0.25</v>
      </c>
      <c r="H29" s="189">
        <f>_xlfn.XLOOKUP(T_2[[#This Row],[Partenaires]],Partenaires2[Partenaire],Partenaires2[Tx Sub])</f>
        <v>0.5</v>
      </c>
      <c r="I29" s="1" t="str">
        <f>'[2]Lot 2'!I4</f>
        <v>Ingénieur</v>
      </c>
      <c r="J29" s="178" t="str">
        <f>'[2]Lot 2'!J4</f>
        <v>Non</v>
      </c>
      <c r="K29" s="5">
        <v>10</v>
      </c>
      <c r="L29" s="4">
        <f>'[2]Lot 2'!L4</f>
        <v>376</v>
      </c>
      <c r="M29" s="18">
        <f>T_2[[#This Row],[P Qu]]*T_2[[#This Row],[P PU]]</f>
        <v>3760</v>
      </c>
      <c r="N29" s="6">
        <f>'[2]Lot 2'!N4</f>
        <v>0</v>
      </c>
      <c r="O29" s="7">
        <f>'[2]Lot 2'!O4</f>
        <v>0</v>
      </c>
      <c r="P29" s="9">
        <f>'[2]Lot 2'!P4</f>
        <v>0</v>
      </c>
      <c r="Q29" s="18">
        <f>T_2[[#This Row],[ACh Qu]]*T_2[[#This Row],[ACh PU]]</f>
        <v>0</v>
      </c>
      <c r="R29" s="21">
        <f>T_2[[#This Row],[P CT]]+T_2[[#This Row],[ACh CT]]</f>
        <v>3760</v>
      </c>
      <c r="S29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940</v>
      </c>
      <c r="T29" s="52">
        <f>T_2[[#This Row],[Mt Elligible]]*T_2[[#This Row],[Tx Sub]]</f>
        <v>470</v>
      </c>
    </row>
    <row r="30" spans="1:20">
      <c r="A30" s="187" t="str">
        <f t="shared" si="0"/>
        <v>Lot_2</v>
      </c>
      <c r="B30" s="110" t="str">
        <f>_xlfn.XLOOKUP(T_2[[#This Row],[N° Lot]],Tableau4[NoLot],Tableau4[Lot])</f>
        <v>État de l’art, concertation et positionnent de la norme</v>
      </c>
      <c r="C30" s="167" t="str">
        <f>'[2]Lot 2'!C5</f>
        <v>T1_Bibliographie_et_synthèse</v>
      </c>
      <c r="D30" s="178" t="str">
        <f>'[2]Lot 2'!D5</f>
        <v>ST1 Analyse bibliographique</v>
      </c>
      <c r="E30" s="178">
        <f>'[2]Lot 2'!E5</f>
        <v>0</v>
      </c>
      <c r="F30" s="167" t="str">
        <f>'[2]Lot 2'!F5</f>
        <v>CEREMA</v>
      </c>
      <c r="G30" s="189">
        <f>_xlfn.XLOOKUP(T_2[[#This Row],[Partenaires]],Partenaires2[Partenaire],Partenaires2[Tx Ch Connexe])</f>
        <v>0.25</v>
      </c>
      <c r="H30" s="189">
        <f>_xlfn.XLOOKUP(T_2[[#This Row],[Partenaires]],Partenaires2[Partenaire],Partenaires2[Tx Sub])</f>
        <v>0.5</v>
      </c>
      <c r="I30" s="1" t="str">
        <f>'[2]Lot 2'!I5</f>
        <v>Post-doctorant</v>
      </c>
      <c r="J30" s="178" t="str">
        <f>'[2]Lot 2'!J5</f>
        <v>Oui</v>
      </c>
      <c r="K30" s="5">
        <v>20</v>
      </c>
      <c r="L30" s="4">
        <f>'[2]Lot 2'!L5</f>
        <v>277</v>
      </c>
      <c r="M30" s="18">
        <f>T_2[[#This Row],[P Qu]]*T_2[[#This Row],[P PU]]</f>
        <v>5540</v>
      </c>
      <c r="N30" s="6">
        <f>'[2]Lot 2'!N5</f>
        <v>0</v>
      </c>
      <c r="O30" s="7">
        <f>'[2]Lot 2'!O5</f>
        <v>0</v>
      </c>
      <c r="P30" s="9">
        <f>'[2]Lot 2'!P5</f>
        <v>0</v>
      </c>
      <c r="Q30" s="18">
        <f>T_2[[#This Row],[ACh Qu]]*T_2[[#This Row],[ACh PU]]</f>
        <v>0</v>
      </c>
      <c r="R30" s="21">
        <f>T_2[[#This Row],[P CT]]+T_2[[#This Row],[ACh CT]]</f>
        <v>5540</v>
      </c>
      <c r="S30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6925</v>
      </c>
      <c r="T30" s="52">
        <f>T_2[[#This Row],[Mt Elligible]]*T_2[[#This Row],[Tx Sub]]</f>
        <v>3462.5</v>
      </c>
    </row>
    <row r="31" spans="1:20">
      <c r="A31" s="187" t="str">
        <f t="shared" si="0"/>
        <v>Lot_2</v>
      </c>
      <c r="B31" s="110" t="str">
        <f>_xlfn.XLOOKUP(T_2[[#This Row],[N° Lot]],Tableau4[NoLot],Tableau4[Lot])</f>
        <v>État de l’art, concertation et positionnent de la norme</v>
      </c>
      <c r="C31" s="167" t="str">
        <f>'[2]Lot 2'!C7</f>
        <v>T1_Bibliographie_et_synthèse</v>
      </c>
      <c r="D31" s="178" t="str">
        <f>'[2]Lot 2'!D7</f>
        <v xml:space="preserve">ST2 Concertation, mise en commun des différentes équipes impliquées </v>
      </c>
      <c r="E31" s="178" t="str">
        <f>'[2]Lot 2'!E7</f>
        <v>2 réunions en présentiel</v>
      </c>
      <c r="F31" s="167" t="str">
        <f>'[2]Lot 2'!F7</f>
        <v>CEREMA</v>
      </c>
      <c r="G31" s="189">
        <f>_xlfn.XLOOKUP(T_2[[#This Row],[Partenaires]],Partenaires2[Partenaire],Partenaires2[Tx Ch Connexe])</f>
        <v>0.25</v>
      </c>
      <c r="H31" s="189">
        <f>_xlfn.XLOOKUP(T_2[[#This Row],[Partenaires]],Partenaires2[Partenaire],Partenaires2[Tx Sub])</f>
        <v>0.5</v>
      </c>
      <c r="I31" s="1" t="str">
        <f>'[2]Lot 2'!I7</f>
        <v>Expert</v>
      </c>
      <c r="J31" s="1" t="str">
        <f>'[2]Lot 2'!J7</f>
        <v>Non</v>
      </c>
      <c r="K31" s="5">
        <f>'[2]Lot 2'!K7</f>
        <v>2</v>
      </c>
      <c r="L31" s="4">
        <f>'[2]Lot 2'!L7</f>
        <v>792</v>
      </c>
      <c r="M31" s="18">
        <f>T_2[[#This Row],[P Qu]]*T_2[[#This Row],[P PU]]</f>
        <v>1584</v>
      </c>
      <c r="N31" s="6" t="str">
        <f>'[2]Lot 2'!N7</f>
        <v>Déplacements</v>
      </c>
      <c r="O31" s="7">
        <f>'[2]Lot 2'!O7</f>
        <v>2</v>
      </c>
      <c r="P31" s="9">
        <f>'[2]Lot 2'!P7</f>
        <v>150</v>
      </c>
      <c r="Q31" s="18">
        <f>T_2[[#This Row],[ACh Qu]]*T_2[[#This Row],[ACh PU]]</f>
        <v>300</v>
      </c>
      <c r="R31" s="21">
        <f>T_2[[#This Row],[P CT]]+T_2[[#This Row],[ACh CT]]</f>
        <v>1884</v>
      </c>
      <c r="S31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771</v>
      </c>
      <c r="T31" s="52">
        <f>T_2[[#This Row],[Mt Elligible]]*T_2[[#This Row],[Tx Sub]]</f>
        <v>385.5</v>
      </c>
    </row>
    <row r="32" spans="1:20">
      <c r="A32" s="187" t="str">
        <f t="shared" si="0"/>
        <v>Lot_2</v>
      </c>
      <c r="B32" s="110" t="str">
        <f>_xlfn.XLOOKUP(T_2[[#This Row],[N° Lot]],Tableau4[NoLot],Tableau4[Lot])</f>
        <v>État de l’art, concertation et positionnent de la norme</v>
      </c>
      <c r="C32" s="167" t="str">
        <f>'[2]Lot 2'!C8</f>
        <v>T1_Bibliographie_et_synthèse</v>
      </c>
      <c r="D32" s="178" t="str">
        <f>'[2]Lot 2'!D8</f>
        <v xml:space="preserve">ST2 Concertation, mise en commun des différentes équipes impliquées </v>
      </c>
      <c r="E32" s="178" t="str">
        <f>'[2]Lot 2'!E8</f>
        <v>2 réunions en présentiel</v>
      </c>
      <c r="F32" s="167" t="str">
        <f>'[2]Lot 2'!F8</f>
        <v>CEREMA</v>
      </c>
      <c r="G32" s="189">
        <f>_xlfn.XLOOKUP(T_2[[#This Row],[Partenaires]],Partenaires2[Partenaire],Partenaires2[Tx Ch Connexe])</f>
        <v>0.25</v>
      </c>
      <c r="H32" s="189">
        <f>_xlfn.XLOOKUP(T_2[[#This Row],[Partenaires]],Partenaires2[Partenaire],Partenaires2[Tx Sub])</f>
        <v>0.5</v>
      </c>
      <c r="I32" s="1" t="str">
        <f>'[2]Lot 2'!I8</f>
        <v>Ingénieur</v>
      </c>
      <c r="J32" s="178" t="str">
        <f>'[2]Lot 2'!J8</f>
        <v>Non</v>
      </c>
      <c r="K32" s="5">
        <f>'[2]Lot 2'!K8</f>
        <v>2</v>
      </c>
      <c r="L32" s="4">
        <f>'[2]Lot 2'!L8</f>
        <v>376</v>
      </c>
      <c r="M32" s="18">
        <f>T_2[[#This Row],[P Qu]]*T_2[[#This Row],[P PU]]</f>
        <v>752</v>
      </c>
      <c r="N32" s="6" t="str">
        <f>'[2]Lot 2'!N8</f>
        <v>Déplacements</v>
      </c>
      <c r="O32" s="7">
        <f>'[2]Lot 2'!O8</f>
        <v>2</v>
      </c>
      <c r="P32" s="9">
        <f>'[2]Lot 2'!P8</f>
        <v>150</v>
      </c>
      <c r="Q32" s="18">
        <f>T_2[[#This Row],[ACh Qu]]*T_2[[#This Row],[ACh PU]]</f>
        <v>300</v>
      </c>
      <c r="R32" s="21">
        <f>T_2[[#This Row],[P CT]]+T_2[[#This Row],[ACh CT]]</f>
        <v>1052</v>
      </c>
      <c r="S32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563</v>
      </c>
      <c r="T32" s="52">
        <f>T_2[[#This Row],[Mt Elligible]]*T_2[[#This Row],[Tx Sub]]</f>
        <v>281.5</v>
      </c>
    </row>
    <row r="33" spans="1:20">
      <c r="A33" s="187" t="str">
        <f t="shared" si="0"/>
        <v>Lot_2</v>
      </c>
      <c r="B33" s="110" t="str">
        <f>_xlfn.XLOOKUP(T_2[[#This Row],[N° Lot]],Tableau4[NoLot],Tableau4[Lot])</f>
        <v>État de l’art, concertation et positionnent de la norme</v>
      </c>
      <c r="C33" s="167" t="str">
        <f>'[2]Lot 2'!C9</f>
        <v>T1_Bibliographie_et_synthèse</v>
      </c>
      <c r="D33" s="178" t="str">
        <f>'[2]Lot 2'!D9</f>
        <v>ST3 Rédaction de la synthèse</v>
      </c>
      <c r="E33" s="178">
        <f>'[2]Lot 2'!E9</f>
        <v>0</v>
      </c>
      <c r="F33" s="167" t="str">
        <f>'[2]Lot 2'!F9</f>
        <v>CEREMA</v>
      </c>
      <c r="G33" s="189">
        <f>_xlfn.XLOOKUP(T_2[[#This Row],[Partenaires]],Partenaires2[Partenaire],Partenaires2[Tx Ch Connexe])</f>
        <v>0.25</v>
      </c>
      <c r="H33" s="189">
        <f>_xlfn.XLOOKUP(T_2[[#This Row],[Partenaires]],Partenaires2[Partenaire],Partenaires2[Tx Sub])</f>
        <v>0.5</v>
      </c>
      <c r="I33" s="1" t="str">
        <f>'[2]Lot 2'!I9</f>
        <v>Expert</v>
      </c>
      <c r="J33" s="178" t="str">
        <f>'[2]Lot 2'!J9</f>
        <v>Non</v>
      </c>
      <c r="K33" s="5">
        <f>'[2]Lot 2'!K9</f>
        <v>2</v>
      </c>
      <c r="L33" s="4">
        <f>'[2]Lot 2'!L9</f>
        <v>792</v>
      </c>
      <c r="M33" s="18">
        <f>T_2[[#This Row],[P Qu]]*T_2[[#This Row],[P PU]]</f>
        <v>1584</v>
      </c>
      <c r="N33" s="6">
        <f>'[2]Lot 2'!N9</f>
        <v>0</v>
      </c>
      <c r="O33" s="7">
        <f>'[2]Lot 2'!O9</f>
        <v>0</v>
      </c>
      <c r="P33" s="9">
        <f>'[2]Lot 2'!P9</f>
        <v>0</v>
      </c>
      <c r="Q33" s="18">
        <f>T_2[[#This Row],[ACh Qu]]*T_2[[#This Row],[ACh PU]]</f>
        <v>0</v>
      </c>
      <c r="R33" s="21">
        <f>T_2[[#This Row],[P CT]]+T_2[[#This Row],[ACh CT]]</f>
        <v>1584</v>
      </c>
      <c r="S33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396</v>
      </c>
      <c r="T33" s="52">
        <f>T_2[[#This Row],[Mt Elligible]]*T_2[[#This Row],[Tx Sub]]</f>
        <v>198</v>
      </c>
    </row>
    <row r="34" spans="1:20">
      <c r="A34" s="187" t="str">
        <f t="shared" si="0"/>
        <v>Lot_2</v>
      </c>
      <c r="B34" s="110" t="str">
        <f>_xlfn.XLOOKUP(T_2[[#This Row],[N° Lot]],Tableau4[NoLot],Tableau4[Lot])</f>
        <v>État de l’art, concertation et positionnent de la norme</v>
      </c>
      <c r="C34" s="167" t="str">
        <f>'[2]Lot 2'!C10</f>
        <v>T1_Bibliographie_et_synthèse</v>
      </c>
      <c r="D34" s="178" t="str">
        <f>'[2]Lot 2'!D10</f>
        <v>ST3 Rédaction de la synthèse</v>
      </c>
      <c r="E34" s="178">
        <f>'[2]Lot 2'!E10</f>
        <v>0</v>
      </c>
      <c r="F34" s="167" t="str">
        <f>'[2]Lot 2'!F10</f>
        <v>CEREMA</v>
      </c>
      <c r="G34" s="189">
        <f>_xlfn.XLOOKUP(T_2[[#This Row],[Partenaires]],Partenaires2[Partenaire],Partenaires2[Tx Ch Connexe])</f>
        <v>0.25</v>
      </c>
      <c r="H34" s="189">
        <f>_xlfn.XLOOKUP(T_2[[#This Row],[Partenaires]],Partenaires2[Partenaire],Partenaires2[Tx Sub])</f>
        <v>0.5</v>
      </c>
      <c r="I34" s="1" t="str">
        <f>'[2]Lot 2'!I10</f>
        <v>Ingénieur</v>
      </c>
      <c r="J34" s="178" t="str">
        <f>'[2]Lot 2'!J10</f>
        <v>Non</v>
      </c>
      <c r="K34" s="5">
        <f>'[2]Lot 2'!K10</f>
        <v>10</v>
      </c>
      <c r="L34" s="4">
        <f>'[2]Lot 2'!L10</f>
        <v>376</v>
      </c>
      <c r="M34" s="18">
        <f>T_2[[#This Row],[P Qu]]*T_2[[#This Row],[P PU]]</f>
        <v>3760</v>
      </c>
      <c r="N34" s="6">
        <f>'[2]Lot 2'!N10</f>
        <v>0</v>
      </c>
      <c r="O34" s="7">
        <f>'[2]Lot 2'!O10</f>
        <v>0</v>
      </c>
      <c r="P34" s="9">
        <f>'[2]Lot 2'!P10</f>
        <v>0</v>
      </c>
      <c r="Q34" s="18">
        <f>T_2[[#This Row],[ACh Qu]]*T_2[[#This Row],[ACh PU]]</f>
        <v>0</v>
      </c>
      <c r="R34" s="21">
        <f>T_2[[#This Row],[P CT]]+T_2[[#This Row],[ACh CT]]</f>
        <v>3760</v>
      </c>
      <c r="S34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940</v>
      </c>
      <c r="T34" s="52">
        <f>T_2[[#This Row],[Mt Elligible]]*T_2[[#This Row],[Tx Sub]]</f>
        <v>470</v>
      </c>
    </row>
    <row r="35" spans="1:20">
      <c r="A35" s="187" t="str">
        <f t="shared" ref="A35:A51" si="1">A$1</f>
        <v>Lot_2</v>
      </c>
      <c r="B35" s="110" t="str">
        <f>_xlfn.XLOOKUP(T_2[[#This Row],[N° Lot]],Tableau4[NoLot],Tableau4[Lot])</f>
        <v>État de l’art, concertation et positionnent de la norme</v>
      </c>
      <c r="C35" s="167" t="str">
        <f>'[2]Lot 2'!C11</f>
        <v>T1_Bibliographie_et_synthèse</v>
      </c>
      <c r="D35" s="178" t="str">
        <f>'[2]Lot 2'!D11</f>
        <v>ST3 Rédaction de la synthèse</v>
      </c>
      <c r="E35" s="178">
        <f>'[2]Lot 2'!E11</f>
        <v>0</v>
      </c>
      <c r="F35" s="167" t="str">
        <f>'[2]Lot 2'!F11</f>
        <v>CEREMA</v>
      </c>
      <c r="G35" s="189">
        <f>_xlfn.XLOOKUP(T_2[[#This Row],[Partenaires]],Partenaires2[Partenaire],Partenaires2[Tx Ch Connexe])</f>
        <v>0.25</v>
      </c>
      <c r="H35" s="189">
        <f>_xlfn.XLOOKUP(T_2[[#This Row],[Partenaires]],Partenaires2[Partenaire],Partenaires2[Tx Sub])</f>
        <v>0.5</v>
      </c>
      <c r="I35" s="178" t="str">
        <f>'[2]Lot 2'!I11</f>
        <v>Post-doctorant</v>
      </c>
      <c r="J35" s="178" t="str">
        <f>'[2]Lot 2'!J11</f>
        <v>Oui</v>
      </c>
      <c r="K35" s="5">
        <f>'[2]Lot 2'!K11</f>
        <v>10</v>
      </c>
      <c r="L35" s="4">
        <f>'[2]Lot 2'!L11</f>
        <v>277</v>
      </c>
      <c r="M35" s="18">
        <f>T_2[[#This Row],[P Qu]]*T_2[[#This Row],[P PU]]</f>
        <v>2770</v>
      </c>
      <c r="N35" s="180">
        <f>'[2]Lot 2'!N11</f>
        <v>0</v>
      </c>
      <c r="O35" s="7">
        <f>'[2]Lot 2'!O11</f>
        <v>0</v>
      </c>
      <c r="P35" s="9">
        <f>'[2]Lot 2'!P11</f>
        <v>0</v>
      </c>
      <c r="Q35" s="18">
        <f>T_2[[#This Row],[ACh Qu]]*T_2[[#This Row],[ACh PU]]</f>
        <v>0</v>
      </c>
      <c r="R35" s="21">
        <f>T_2[[#This Row],[P CT]]+T_2[[#This Row],[ACh CT]]</f>
        <v>2770</v>
      </c>
      <c r="S35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3462.5</v>
      </c>
      <c r="T35" s="52">
        <f>T_2[[#This Row],[Mt Elligible]]*T_2[[#This Row],[Tx Sub]]</f>
        <v>1731.25</v>
      </c>
    </row>
    <row r="36" spans="1:20">
      <c r="A36" s="187" t="str">
        <f t="shared" si="1"/>
        <v>Lot_2</v>
      </c>
      <c r="B36" s="110" t="str">
        <f>_xlfn.XLOOKUP(T_2[[#This Row],[N° Lot]],Tableau4[NoLot],Tableau4[Lot])</f>
        <v>État de l’art, concertation et positionnent de la norme</v>
      </c>
      <c r="C36" s="167" t="str">
        <f>'[2]Lot 2'!C14</f>
        <v>T5_Atelier_de_concertation</v>
      </c>
      <c r="D36" s="178" t="str">
        <f>'[2]Lot 2'!D14</f>
        <v>ST2 Participation au séminaire de concertation</v>
      </c>
      <c r="E36" s="178" t="str">
        <f>'[2]Lot 2'!E14</f>
        <v>2 jours</v>
      </c>
      <c r="F36" s="167" t="str">
        <f>'[2]Lot 2'!F14</f>
        <v>CEREMA</v>
      </c>
      <c r="G36" s="189">
        <f>_xlfn.XLOOKUP(T_2[[#This Row],[Partenaires]],Partenaires2[Partenaire],Partenaires2[Tx Ch Connexe])</f>
        <v>0.25</v>
      </c>
      <c r="H36" s="189">
        <f>_xlfn.XLOOKUP(T_2[[#This Row],[Partenaires]],Partenaires2[Partenaire],Partenaires2[Tx Sub])</f>
        <v>0.5</v>
      </c>
      <c r="I36" s="178" t="str">
        <f>'[2]Lot 2'!I14</f>
        <v>Expert</v>
      </c>
      <c r="J36" s="178" t="str">
        <f>'[2]Lot 2'!J14</f>
        <v>Non</v>
      </c>
      <c r="K36" s="5">
        <f>'[2]Lot 2'!K14</f>
        <v>2</v>
      </c>
      <c r="L36" s="4">
        <f>'[2]Lot 2'!L14</f>
        <v>792</v>
      </c>
      <c r="M36" s="18">
        <f>T_2[[#This Row],[P Qu]]*T_2[[#This Row],[P PU]]</f>
        <v>1584</v>
      </c>
      <c r="N36" s="180" t="str">
        <f>'[2]Lot 2'!N14</f>
        <v>Déplacements</v>
      </c>
      <c r="O36" s="7">
        <f>'[2]Lot 2'!O14</f>
        <v>2</v>
      </c>
      <c r="P36" s="9">
        <f>'[2]Lot 2'!P14</f>
        <v>150</v>
      </c>
      <c r="Q36" s="18">
        <f>T_2[[#This Row],[ACh Qu]]*T_2[[#This Row],[ACh PU]]</f>
        <v>300</v>
      </c>
      <c r="R36" s="21">
        <f>T_2[[#This Row],[P CT]]+T_2[[#This Row],[ACh CT]]</f>
        <v>1884</v>
      </c>
      <c r="S36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771</v>
      </c>
      <c r="T36" s="52">
        <f>T_2[[#This Row],[Mt Elligible]]*T_2[[#This Row],[Tx Sub]]</f>
        <v>385.5</v>
      </c>
    </row>
    <row r="37" spans="1:20">
      <c r="A37" s="187" t="str">
        <f t="shared" si="1"/>
        <v>Lot_2</v>
      </c>
      <c r="B37" s="110" t="str">
        <f>_xlfn.XLOOKUP(T_2[[#This Row],[N° Lot]],Tableau4[NoLot],Tableau4[Lot])</f>
        <v>État de l’art, concertation et positionnent de la norme</v>
      </c>
      <c r="C37" s="167" t="str">
        <f>'[2]Lot 2'!C15</f>
        <v>T5_Atelier_de_concertation</v>
      </c>
      <c r="D37" s="178" t="str">
        <f>'[2]Lot 2'!D15</f>
        <v>ST2 Participation au séminaire de concertation</v>
      </c>
      <c r="E37" s="178" t="str">
        <f>'[2]Lot 2'!E15</f>
        <v>2 jours</v>
      </c>
      <c r="F37" s="167" t="str">
        <f>'[2]Lot 2'!F15</f>
        <v>CEREMA</v>
      </c>
      <c r="G37" s="189">
        <f>_xlfn.XLOOKUP(T_2[[#This Row],[Partenaires]],Partenaires2[Partenaire],Partenaires2[Tx Ch Connexe])</f>
        <v>0.25</v>
      </c>
      <c r="H37" s="189">
        <f>_xlfn.XLOOKUP(T_2[[#This Row],[Partenaires]],Partenaires2[Partenaire],Partenaires2[Tx Sub])</f>
        <v>0.5</v>
      </c>
      <c r="I37" s="178" t="str">
        <f>'[2]Lot 2'!I15</f>
        <v>Ingénieur</v>
      </c>
      <c r="J37" s="178" t="str">
        <f>'[2]Lot 2'!J15</f>
        <v>Non</v>
      </c>
      <c r="K37" s="5">
        <f>'[2]Lot 2'!K15</f>
        <v>2</v>
      </c>
      <c r="L37" s="4">
        <f>'[2]Lot 2'!L15</f>
        <v>376</v>
      </c>
      <c r="M37" s="18">
        <f>T_2[[#This Row],[P Qu]]*T_2[[#This Row],[P PU]]</f>
        <v>752</v>
      </c>
      <c r="N37" s="180" t="str">
        <f>'[2]Lot 2'!N15</f>
        <v>Déplacements</v>
      </c>
      <c r="O37" s="7">
        <f>'[2]Lot 2'!O15</f>
        <v>2</v>
      </c>
      <c r="P37" s="9">
        <f>'[2]Lot 2'!P15</f>
        <v>150</v>
      </c>
      <c r="Q37" s="18">
        <f>T_2[[#This Row],[ACh Qu]]*T_2[[#This Row],[ACh PU]]</f>
        <v>300</v>
      </c>
      <c r="R37" s="21">
        <f>T_2[[#This Row],[P CT]]+T_2[[#This Row],[ACh CT]]</f>
        <v>1052</v>
      </c>
      <c r="S37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563</v>
      </c>
      <c r="T37" s="52">
        <f>T_2[[#This Row],[Mt Elligible]]*T_2[[#This Row],[Tx Sub]]</f>
        <v>281.5</v>
      </c>
    </row>
    <row r="38" spans="1:20">
      <c r="A38" s="187" t="str">
        <f t="shared" si="1"/>
        <v>Lot_2</v>
      </c>
      <c r="B38" s="110" t="str">
        <f>_xlfn.XLOOKUP(T_2[[#This Row],[N° Lot]],Tableau4[NoLot],Tableau4[Lot])</f>
        <v>État de l’art, concertation et positionnent de la norme</v>
      </c>
      <c r="C38" s="167" t="str">
        <f>'[2]Lot 2'!C16</f>
        <v>T5_Atelier_de_concertation</v>
      </c>
      <c r="D38" s="178" t="str">
        <f>'[2]Lot 2'!D16</f>
        <v>ST2 Participation au séminaire de concertation</v>
      </c>
      <c r="E38" s="178" t="str">
        <f>'[2]Lot 2'!E16</f>
        <v>2 jours</v>
      </c>
      <c r="F38" s="167" t="str">
        <f>'[2]Lot 2'!F16</f>
        <v>CEREMA</v>
      </c>
      <c r="G38" s="189">
        <f>_xlfn.XLOOKUP(T_2[[#This Row],[Partenaires]],Partenaires2[Partenaire],Partenaires2[Tx Ch Connexe])</f>
        <v>0.25</v>
      </c>
      <c r="H38" s="189">
        <f>_xlfn.XLOOKUP(T_2[[#This Row],[Partenaires]],Partenaires2[Partenaire],Partenaires2[Tx Sub])</f>
        <v>0.5</v>
      </c>
      <c r="I38" s="178" t="str">
        <f>'[2]Lot 2'!I16</f>
        <v>Post-doctorant</v>
      </c>
      <c r="J38" s="178" t="str">
        <f>'[2]Lot 2'!J16</f>
        <v>Oui</v>
      </c>
      <c r="K38" s="5">
        <f>'[2]Lot 2'!K16</f>
        <v>2</v>
      </c>
      <c r="L38" s="4">
        <f>'[2]Lot 2'!L16</f>
        <v>277</v>
      </c>
      <c r="M38" s="18">
        <f>T_2[[#This Row],[P Qu]]*T_2[[#This Row],[P PU]]</f>
        <v>554</v>
      </c>
      <c r="N38" s="180" t="str">
        <f>'[2]Lot 2'!N16</f>
        <v>Déplacements</v>
      </c>
      <c r="O38" s="7">
        <f>'[2]Lot 2'!O16</f>
        <v>2</v>
      </c>
      <c r="P38" s="9">
        <f>'[2]Lot 2'!P16</f>
        <v>150</v>
      </c>
      <c r="Q38" s="18">
        <f>T_2[[#This Row],[ACh Qu]]*T_2[[#This Row],[ACh PU]]</f>
        <v>300</v>
      </c>
      <c r="R38" s="21">
        <f>T_2[[#This Row],[P CT]]+T_2[[#This Row],[ACh CT]]</f>
        <v>854</v>
      </c>
      <c r="S38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1067.5</v>
      </c>
      <c r="T38" s="52">
        <f>T_2[[#This Row],[Mt Elligible]]*T_2[[#This Row],[Tx Sub]]</f>
        <v>533.75</v>
      </c>
    </row>
    <row r="39" spans="1:20" s="178" customFormat="1">
      <c r="A39" s="187" t="str">
        <f t="shared" si="1"/>
        <v>Lot_2</v>
      </c>
      <c r="B39" s="110" t="str">
        <f>_xlfn.XLOOKUP(T_2[[#This Row],[N° Lot]],Tableau4[NoLot],Tableau4[Lot])</f>
        <v>État de l’art, concertation et positionnent de la norme</v>
      </c>
      <c r="C39" s="167" t="s">
        <v>54</v>
      </c>
      <c r="D39" s="178" t="s">
        <v>111</v>
      </c>
      <c r="F39" s="167" t="s">
        <v>135</v>
      </c>
      <c r="G39" s="189">
        <f>_xlfn.XLOOKUP(T_2[[#This Row],[Partenaires]],Partenaires2[Partenaire],Partenaires2[Tx Ch Connexe])</f>
        <v>0.25</v>
      </c>
      <c r="H39" s="189">
        <f>_xlfn.XLOOKUP(T_2[[#This Row],[Partenaires]],Partenaires2[Partenaire],Partenaires2[Tx Sub])</f>
        <v>0.7</v>
      </c>
      <c r="J39" s="178" t="s">
        <v>82</v>
      </c>
      <c r="K39" s="5">
        <v>2</v>
      </c>
      <c r="L39" s="4">
        <v>422</v>
      </c>
      <c r="M39" s="18">
        <f>T_2[[#This Row],[P Qu]]*T_2[[#This Row],[P PU]]</f>
        <v>844</v>
      </c>
      <c r="N39" s="180"/>
      <c r="O39" s="7"/>
      <c r="P39" s="9"/>
      <c r="Q39" s="18">
        <f>T_2[[#This Row],[ACh Qu]]*T_2[[#This Row],[ACh PU]]</f>
        <v>0</v>
      </c>
      <c r="R39" s="21">
        <f>T_2[[#This Row],[P CT]]+T_2[[#This Row],[ACh CT]]</f>
        <v>844</v>
      </c>
      <c r="S39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1055</v>
      </c>
      <c r="T39" s="46">
        <f>T_2[[#This Row],[Mt Elligible]]*T_2[[#This Row],[Tx Sub]]</f>
        <v>738.5</v>
      </c>
    </row>
    <row r="40" spans="1:20">
      <c r="A40" s="187" t="str">
        <f t="shared" si="1"/>
        <v>Lot_2</v>
      </c>
      <c r="B40" s="110" t="str">
        <f>_xlfn.XLOOKUP(T_2[[#This Row],[N° Lot]],Tableau4[NoLot],Tableau4[Lot])</f>
        <v>État de l’art, concertation et positionnent de la norme</v>
      </c>
      <c r="C40" s="167" t="s">
        <v>54</v>
      </c>
      <c r="D40" s="178" t="s">
        <v>113</v>
      </c>
      <c r="F40" s="167" t="s">
        <v>135</v>
      </c>
      <c r="G40" s="189">
        <f>_xlfn.XLOOKUP(T_2[[#This Row],[Partenaires]],Partenaires2[Partenaire],Partenaires2[Tx Ch Connexe])</f>
        <v>0.25</v>
      </c>
      <c r="H40" s="189">
        <f>_xlfn.XLOOKUP(T_2[[#This Row],[Partenaires]],Partenaires2[Partenaire],Partenaires2[Tx Sub])</f>
        <v>0.7</v>
      </c>
      <c r="I40" s="178"/>
      <c r="J40" s="178" t="s">
        <v>82</v>
      </c>
      <c r="K40" s="5">
        <v>3</v>
      </c>
      <c r="L40" s="4">
        <v>422</v>
      </c>
      <c r="M40" s="18">
        <f>T_2[[#This Row],[P Qu]]*T_2[[#This Row],[P PU]]</f>
        <v>1266</v>
      </c>
      <c r="N40" s="178"/>
      <c r="O40" s="7"/>
      <c r="P40" s="9"/>
      <c r="Q40" s="18">
        <f>T_2[[#This Row],[ACh Qu]]*T_2[[#This Row],[ACh PU]]</f>
        <v>0</v>
      </c>
      <c r="R40" s="21">
        <f>T_2[[#This Row],[P CT]]+T_2[[#This Row],[ACh CT]]</f>
        <v>1266</v>
      </c>
      <c r="S40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1582.5</v>
      </c>
      <c r="T40" s="46">
        <f>T_2[[#This Row],[Mt Elligible]]*T_2[[#This Row],[Tx Sub]]</f>
        <v>1107.75</v>
      </c>
    </row>
    <row r="41" spans="1:20" s="178" customFormat="1">
      <c r="A41" s="187" t="str">
        <f t="shared" si="1"/>
        <v>Lot_2</v>
      </c>
      <c r="B41" s="110" t="str">
        <f>_xlfn.XLOOKUP(T_2[[#This Row],[N° Lot]],Tableau4[NoLot],Tableau4[Lot])</f>
        <v>État de l’art, concertation et positionnent de la norme</v>
      </c>
      <c r="C41" s="167" t="s">
        <v>54</v>
      </c>
      <c r="D41" s="178" t="s">
        <v>114</v>
      </c>
      <c r="F41" s="167" t="s">
        <v>135</v>
      </c>
      <c r="G41" s="189">
        <f>_xlfn.XLOOKUP(T_2[[#This Row],[Partenaires]],Partenaires2[Partenaire],Partenaires2[Tx Ch Connexe])</f>
        <v>0.25</v>
      </c>
      <c r="H41" s="189">
        <f>_xlfn.XLOOKUP(T_2[[#This Row],[Partenaires]],Partenaires2[Partenaire],Partenaires2[Tx Sub])</f>
        <v>0.7</v>
      </c>
      <c r="J41" s="178" t="s">
        <v>82</v>
      </c>
      <c r="K41" s="5">
        <v>1</v>
      </c>
      <c r="L41" s="4">
        <v>422</v>
      </c>
      <c r="M41" s="18">
        <f>T_2[[#This Row],[P Qu]]*T_2[[#This Row],[P PU]]</f>
        <v>422</v>
      </c>
      <c r="O41" s="7"/>
      <c r="P41" s="9"/>
      <c r="Q41" s="18">
        <f>T_2[[#This Row],[ACh Qu]]*T_2[[#This Row],[ACh PU]]</f>
        <v>0</v>
      </c>
      <c r="R41" s="21">
        <f>T_2[[#This Row],[P CT]]+T_2[[#This Row],[ACh CT]]</f>
        <v>422</v>
      </c>
      <c r="S41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527.5</v>
      </c>
      <c r="T41" s="46">
        <f>T_2[[#This Row],[Mt Elligible]]*T_2[[#This Row],[Tx Sub]]</f>
        <v>369.25</v>
      </c>
    </row>
    <row r="42" spans="1:20">
      <c r="A42" s="187" t="str">
        <f t="shared" si="1"/>
        <v>Lot_2</v>
      </c>
      <c r="B42" s="110" t="str">
        <f>_xlfn.XLOOKUP(T_2[[#This Row],[N° Lot]],Tableau4[NoLot],Tableau4[Lot])</f>
        <v>État de l’art, concertation et positionnent de la norme</v>
      </c>
      <c r="C42" s="167" t="s">
        <v>56</v>
      </c>
      <c r="D42" s="178" t="s">
        <v>120</v>
      </c>
      <c r="F42" s="167" t="s">
        <v>135</v>
      </c>
      <c r="G42" s="189">
        <f>_xlfn.XLOOKUP(T_2[[#This Row],[Partenaires]],Partenaires2[Partenaire],Partenaires2[Tx Ch Connexe])</f>
        <v>0.25</v>
      </c>
      <c r="H42" s="189">
        <f>_xlfn.XLOOKUP(T_2[[#This Row],[Partenaires]],Partenaires2[Partenaire],Partenaires2[Tx Sub])</f>
        <v>0.7</v>
      </c>
      <c r="I42" s="178"/>
      <c r="J42" s="178" t="s">
        <v>82</v>
      </c>
      <c r="K42" s="5">
        <v>1</v>
      </c>
      <c r="L42" s="4">
        <v>422</v>
      </c>
      <c r="M42" s="18">
        <f>T_2[[#This Row],[P Qu]]*T_2[[#This Row],[P PU]]</f>
        <v>422</v>
      </c>
      <c r="N42" s="178" t="s">
        <v>242</v>
      </c>
      <c r="O42" s="7">
        <v>1</v>
      </c>
      <c r="P42" s="9">
        <v>150</v>
      </c>
      <c r="Q42" s="18">
        <f>T_2[[#This Row],[ACh Qu]]*T_2[[#This Row],[ACh PU]]</f>
        <v>150</v>
      </c>
      <c r="R42" s="21">
        <f>T_2[[#This Row],[P CT]]+T_2[[#This Row],[ACh CT]]</f>
        <v>572</v>
      </c>
      <c r="S42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715</v>
      </c>
      <c r="T42" s="46">
        <f>T_2[[#This Row],[Mt Elligible]]*T_2[[#This Row],[Tx Sub]]</f>
        <v>500.49999999999994</v>
      </c>
    </row>
    <row r="43" spans="1:20">
      <c r="A43" s="181" t="str">
        <f t="shared" si="1"/>
        <v>Lot_2</v>
      </c>
      <c r="B43" s="110" t="str">
        <f>_xlfn.XLOOKUP(T_2[[#This Row],[N° Lot]],Tableau4[NoLot],Tableau4[Lot])</f>
        <v>État de l’art, concertation et positionnent de la norme</v>
      </c>
      <c r="C43" s="35" t="s">
        <v>53</v>
      </c>
      <c r="D43" s="178" t="s">
        <v>59</v>
      </c>
      <c r="E43" s="178" t="s">
        <v>158</v>
      </c>
      <c r="F43" s="35" t="s">
        <v>16</v>
      </c>
      <c r="G43" s="189">
        <f>_xlfn.XLOOKUP(T_2[[#This Row],[Partenaires]],Partenaires2[Partenaire],Partenaires2[Tx Ch Connexe])</f>
        <v>0.25</v>
      </c>
      <c r="H43" s="189">
        <f>_xlfn.XLOOKUP(T_2[[#This Row],[Partenaires]],Partenaires2[Partenaire],Partenaires2[Tx Sub])</f>
        <v>0.7</v>
      </c>
      <c r="I43" s="178"/>
      <c r="J43" s="178" t="s">
        <v>82</v>
      </c>
      <c r="K43" s="5"/>
      <c r="L43" s="4"/>
      <c r="M43" s="18">
        <f>T_2[[#This Row],[P Qu]]*T_2[[#This Row],[P PU]]</f>
        <v>0</v>
      </c>
      <c r="N43" s="180" t="s">
        <v>159</v>
      </c>
      <c r="O43" s="7">
        <v>1</v>
      </c>
      <c r="P43" s="9">
        <v>520</v>
      </c>
      <c r="Q43" s="18">
        <f>T_2[[#This Row],[ACh Qu]]*T_2[[#This Row],[ACh PU]]</f>
        <v>520</v>
      </c>
      <c r="R43" s="21">
        <f>T_2[[#This Row],[P CT]]+T_2[[#This Row],[ACh CT]]</f>
        <v>520</v>
      </c>
      <c r="S43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3" s="52">
        <f>T_2[[#This Row],[Mt Elligible]]*T_2[[#This Row],[Tx Sub]]</f>
        <v>454.99999999999994</v>
      </c>
    </row>
    <row r="44" spans="1:20">
      <c r="A44" s="181" t="str">
        <f t="shared" si="1"/>
        <v>Lot_2</v>
      </c>
      <c r="B44" s="110" t="str">
        <f>_xlfn.XLOOKUP(T_2[[#This Row],[N° Lot]],Tableau4[NoLot],Tableau4[Lot])</f>
        <v>État de l’art, concertation et positionnent de la norme</v>
      </c>
      <c r="C44" s="108" t="s">
        <v>54</v>
      </c>
      <c r="D44" s="186" t="s">
        <v>114</v>
      </c>
      <c r="F44" s="108" t="s">
        <v>16</v>
      </c>
      <c r="G44" s="189">
        <f>_xlfn.XLOOKUP(T_2[[#This Row],[Partenaires]],Partenaires2[Partenaire],Partenaires2[Tx Ch Connexe])</f>
        <v>0.25</v>
      </c>
      <c r="H44" s="189">
        <f>_xlfn.XLOOKUP(T_2[[#This Row],[Partenaires]],Partenaires2[Partenaire],Partenaires2[Tx Sub])</f>
        <v>0.7</v>
      </c>
      <c r="I44" s="178"/>
      <c r="J44" s="186" t="s">
        <v>82</v>
      </c>
      <c r="K44" s="5"/>
      <c r="L44" s="4"/>
      <c r="M44" s="18">
        <f>T_2[[#This Row],[P Qu]]*T_2[[#This Row],[P PU]]</f>
        <v>0</v>
      </c>
      <c r="N44" s="180" t="s">
        <v>159</v>
      </c>
      <c r="O44" s="7">
        <v>0.5</v>
      </c>
      <c r="P44" s="9">
        <v>520</v>
      </c>
      <c r="Q44" s="18">
        <f>T_2[[#This Row],[ACh Qu]]*T_2[[#This Row],[ACh PU]]</f>
        <v>260</v>
      </c>
      <c r="R44" s="21">
        <f>T_2[[#This Row],[P CT]]+T_2[[#This Row],[ACh CT]]</f>
        <v>260</v>
      </c>
      <c r="S44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325</v>
      </c>
      <c r="T44" s="52">
        <f>T_2[[#This Row],[Mt Elligible]]*T_2[[#This Row],[Tx Sub]]</f>
        <v>227.49999999999997</v>
      </c>
    </row>
    <row r="45" spans="1:20">
      <c r="A45" s="181" t="str">
        <f t="shared" si="1"/>
        <v>Lot_2</v>
      </c>
      <c r="B45" s="110" t="str">
        <f>_xlfn.XLOOKUP(T_2[[#This Row],[N° Lot]],Tableau4[NoLot],Tableau4[Lot])</f>
        <v>État de l’art, concertation et positionnent de la norme</v>
      </c>
      <c r="C45" s="167" t="s">
        <v>57</v>
      </c>
      <c r="D45" s="178" t="s">
        <v>116</v>
      </c>
      <c r="E45" s="178" t="s">
        <v>160</v>
      </c>
      <c r="F45" s="108" t="s">
        <v>16</v>
      </c>
      <c r="G45" s="189">
        <f>_xlfn.XLOOKUP(T_2[[#This Row],[Partenaires]],Partenaires2[Partenaire],Partenaires2[Tx Ch Connexe])</f>
        <v>0.25</v>
      </c>
      <c r="H45" s="189">
        <f>_xlfn.XLOOKUP(T_2[[#This Row],[Partenaires]],Partenaires2[Partenaire],Partenaires2[Tx Sub])</f>
        <v>0.7</v>
      </c>
      <c r="I45" s="178"/>
      <c r="J45" s="186" t="s">
        <v>82</v>
      </c>
      <c r="K45" s="5"/>
      <c r="L45" s="4"/>
      <c r="M45" s="18">
        <f>T_2[[#This Row],[P Qu]]*T_2[[#This Row],[P PU]]</f>
        <v>0</v>
      </c>
      <c r="N45" s="180" t="s">
        <v>159</v>
      </c>
      <c r="O45" s="7">
        <v>1</v>
      </c>
      <c r="P45" s="9">
        <v>520</v>
      </c>
      <c r="Q45" s="18">
        <f>T_2[[#This Row],[ACh Qu]]*T_2[[#This Row],[ACh PU]]</f>
        <v>520</v>
      </c>
      <c r="R45" s="21">
        <f>T_2[[#This Row],[P CT]]+T_2[[#This Row],[ACh CT]]</f>
        <v>520</v>
      </c>
      <c r="S45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5" s="52">
        <f>T_2[[#This Row],[Mt Elligible]]*T_2[[#This Row],[Tx Sub]]</f>
        <v>454.99999999999994</v>
      </c>
    </row>
    <row r="46" spans="1:20">
      <c r="A46" s="181" t="str">
        <f t="shared" si="1"/>
        <v>Lot_2</v>
      </c>
      <c r="B46" s="110" t="str">
        <f>_xlfn.XLOOKUP(T_2[[#This Row],[N° Lot]],Tableau4[NoLot],Tableau4[Lot])</f>
        <v>État de l’art, concertation et positionnent de la norme</v>
      </c>
      <c r="C46" s="167" t="s">
        <v>55</v>
      </c>
      <c r="D46" s="178" t="s">
        <v>117</v>
      </c>
      <c r="F46" s="108" t="s">
        <v>16</v>
      </c>
      <c r="G46" s="189">
        <f>_xlfn.XLOOKUP(T_2[[#This Row],[Partenaires]],Partenaires2[Partenaire],Partenaires2[Tx Ch Connexe])</f>
        <v>0.25</v>
      </c>
      <c r="H46" s="189">
        <f>_xlfn.XLOOKUP(T_2[[#This Row],[Partenaires]],Partenaires2[Partenaire],Partenaires2[Tx Sub])</f>
        <v>0.7</v>
      </c>
      <c r="I46" s="178"/>
      <c r="J46" s="178" t="s">
        <v>82</v>
      </c>
      <c r="K46" s="5"/>
      <c r="L46" s="4"/>
      <c r="M46" s="18">
        <f>T_2[[#This Row],[P Qu]]*T_2[[#This Row],[P PU]]</f>
        <v>0</v>
      </c>
      <c r="N46" s="180" t="s">
        <v>159</v>
      </c>
      <c r="O46" s="7">
        <v>1</v>
      </c>
      <c r="P46" s="9">
        <v>520</v>
      </c>
      <c r="Q46" s="18">
        <f>T_2[[#This Row],[ACh Qu]]*T_2[[#This Row],[ACh PU]]</f>
        <v>520</v>
      </c>
      <c r="R46" s="21">
        <f>T_2[[#This Row],[P CT]]+T_2[[#This Row],[ACh CT]]</f>
        <v>520</v>
      </c>
      <c r="S46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6" s="52">
        <f>T_2[[#This Row],[Mt Elligible]]*T_2[[#This Row],[Tx Sub]]</f>
        <v>454.99999999999994</v>
      </c>
    </row>
    <row r="47" spans="1:20">
      <c r="A47" s="181" t="str">
        <f t="shared" si="1"/>
        <v>Lot_2</v>
      </c>
      <c r="B47" s="110" t="str">
        <f>_xlfn.XLOOKUP(T_2[[#This Row],[N° Lot]],Tableau4[NoLot],Tableau4[Lot])</f>
        <v>État de l’art, concertation et positionnent de la norme</v>
      </c>
      <c r="C47" s="167" t="s">
        <v>55</v>
      </c>
      <c r="D47" s="178" t="s">
        <v>118</v>
      </c>
      <c r="F47" s="108" t="s">
        <v>16</v>
      </c>
      <c r="G47" s="189">
        <f>_xlfn.XLOOKUP(T_2[[#This Row],[Partenaires]],Partenaires2[Partenaire],Partenaires2[Tx Ch Connexe])</f>
        <v>0.25</v>
      </c>
      <c r="H47" s="189">
        <f>_xlfn.XLOOKUP(T_2[[#This Row],[Partenaires]],Partenaires2[Partenaire],Partenaires2[Tx Sub])</f>
        <v>0.7</v>
      </c>
      <c r="I47" s="178"/>
      <c r="J47" s="178" t="s">
        <v>82</v>
      </c>
      <c r="K47" s="5"/>
      <c r="L47" s="4"/>
      <c r="M47" s="18">
        <f>T_2[[#This Row],[P Qu]]*T_2[[#This Row],[P PU]]</f>
        <v>0</v>
      </c>
      <c r="N47" s="180" t="s">
        <v>159</v>
      </c>
      <c r="O47" s="7">
        <v>1</v>
      </c>
      <c r="P47" s="9">
        <v>520</v>
      </c>
      <c r="Q47" s="18">
        <f>T_2[[#This Row],[ACh Qu]]*T_2[[#This Row],[ACh PU]]</f>
        <v>520</v>
      </c>
      <c r="R47" s="21">
        <f>T_2[[#This Row],[P CT]]+T_2[[#This Row],[ACh CT]]</f>
        <v>520</v>
      </c>
      <c r="S47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7" s="52">
        <f>T_2[[#This Row],[Mt Elligible]]*T_2[[#This Row],[Tx Sub]]</f>
        <v>454.99999999999994</v>
      </c>
    </row>
    <row r="48" spans="1:20">
      <c r="A48" s="181" t="str">
        <f t="shared" si="1"/>
        <v>Lot_2</v>
      </c>
      <c r="B48" s="110" t="str">
        <f>_xlfn.XLOOKUP(T_2[[#This Row],[N° Lot]],Tableau4[NoLot],Tableau4[Lot])</f>
        <v>État de l’art, concertation et positionnent de la norme</v>
      </c>
      <c r="C48" s="167" t="s">
        <v>56</v>
      </c>
      <c r="D48" s="178" t="s">
        <v>119</v>
      </c>
      <c r="E48" s="178" t="s">
        <v>161</v>
      </c>
      <c r="F48" s="167" t="s">
        <v>16</v>
      </c>
      <c r="G48" s="189">
        <f>_xlfn.XLOOKUP(T_2[[#This Row],[Partenaires]],Partenaires2[Partenaire],Partenaires2[Tx Ch Connexe])</f>
        <v>0.25</v>
      </c>
      <c r="H48" s="189">
        <f>_xlfn.XLOOKUP(T_2[[#This Row],[Partenaires]],Partenaires2[Partenaire],Partenaires2[Tx Sub])</f>
        <v>0.7</v>
      </c>
      <c r="I48" s="178"/>
      <c r="J48" s="178" t="s">
        <v>82</v>
      </c>
      <c r="K48" s="5"/>
      <c r="L48" s="4"/>
      <c r="M48" s="18">
        <f>T_2[[#This Row],[P Qu]]*T_2[[#This Row],[P PU]]</f>
        <v>0</v>
      </c>
      <c r="N48" s="180" t="s">
        <v>159</v>
      </c>
      <c r="O48" s="7">
        <v>1</v>
      </c>
      <c r="P48" s="9">
        <v>520</v>
      </c>
      <c r="Q48" s="18">
        <f>T_2[[#This Row],[ACh Qu]]*T_2[[#This Row],[ACh PU]]</f>
        <v>520</v>
      </c>
      <c r="R48" s="21">
        <f>T_2[[#This Row],[P CT]]+T_2[[#This Row],[ACh CT]]</f>
        <v>520</v>
      </c>
      <c r="S48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8" s="52">
        <f>T_2[[#This Row],[Mt Elligible]]*T_2[[#This Row],[Tx Sub]]</f>
        <v>454.99999999999994</v>
      </c>
    </row>
    <row r="49" spans="1:20">
      <c r="A49" s="181" t="str">
        <f t="shared" si="1"/>
        <v>Lot_2</v>
      </c>
      <c r="B49" s="110" t="str">
        <f>_xlfn.XLOOKUP(T_2[[#This Row],[N° Lot]],Tableau4[NoLot],Tableau4[Lot])</f>
        <v>État de l’art, concertation et positionnent de la norme</v>
      </c>
      <c r="C49" s="167" t="s">
        <v>56</v>
      </c>
      <c r="D49" s="178" t="s">
        <v>120</v>
      </c>
      <c r="F49" s="167" t="s">
        <v>16</v>
      </c>
      <c r="G49" s="189">
        <f>_xlfn.XLOOKUP(T_2[[#This Row],[Partenaires]],Partenaires2[Partenaire],Partenaires2[Tx Ch Connexe])</f>
        <v>0.25</v>
      </c>
      <c r="H49" s="189">
        <f>_xlfn.XLOOKUP(T_2[[#This Row],[Partenaires]],Partenaires2[Partenaire],Partenaires2[Tx Sub])</f>
        <v>0.7</v>
      </c>
      <c r="I49" s="178"/>
      <c r="J49" s="178" t="s">
        <v>82</v>
      </c>
      <c r="K49" s="5"/>
      <c r="L49" s="4"/>
      <c r="M49" s="18">
        <f>T_2[[#This Row],[P Qu]]*T_2[[#This Row],[P PU]]</f>
        <v>0</v>
      </c>
      <c r="N49" s="180" t="s">
        <v>159</v>
      </c>
      <c r="O49" s="7">
        <v>1</v>
      </c>
      <c r="P49" s="9">
        <v>520</v>
      </c>
      <c r="Q49" s="18">
        <f>T_2[[#This Row],[ACh Qu]]*T_2[[#This Row],[ACh PU]]</f>
        <v>520</v>
      </c>
      <c r="R49" s="21">
        <f>T_2[[#This Row],[P CT]]+T_2[[#This Row],[ACh CT]]</f>
        <v>520</v>
      </c>
      <c r="S49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650</v>
      </c>
      <c r="T49" s="52">
        <f>T_2[[#This Row],[Mt Elligible]]*T_2[[#This Row],[Tx Sub]]</f>
        <v>454.99999999999994</v>
      </c>
    </row>
    <row r="50" spans="1:20">
      <c r="A50" s="181" t="str">
        <f t="shared" si="1"/>
        <v>Lot_2</v>
      </c>
      <c r="B50" s="110" t="str">
        <f>_xlfn.XLOOKUP(T_2[[#This Row],[N° Lot]],Tableau4[NoLot],Tableau4[Lot])</f>
        <v>État de l’art, concertation et positionnent de la norme</v>
      </c>
      <c r="C50" s="167" t="s">
        <v>56</v>
      </c>
      <c r="D50" s="178" t="s">
        <v>120</v>
      </c>
      <c r="F50" s="167" t="s">
        <v>16</v>
      </c>
      <c r="G50" s="189">
        <f>_xlfn.XLOOKUP(T_2[[#This Row],[Partenaires]],Partenaires2[Partenaire],Partenaires2[Tx Ch Connexe])</f>
        <v>0.25</v>
      </c>
      <c r="H50" s="189">
        <f>_xlfn.XLOOKUP(T_2[[#This Row],[Partenaires]],Partenaires2[Partenaire],Partenaires2[Tx Sub])</f>
        <v>0.7</v>
      </c>
      <c r="I50" s="178"/>
      <c r="J50" s="178" t="s">
        <v>82</v>
      </c>
      <c r="K50" s="5"/>
      <c r="L50" s="4"/>
      <c r="M50" s="18">
        <f>T_2[[#This Row],[P Qu]]*T_2[[#This Row],[P PU]]</f>
        <v>0</v>
      </c>
      <c r="N50" s="180" t="s">
        <v>45</v>
      </c>
      <c r="O50" s="7">
        <v>40</v>
      </c>
      <c r="P50" s="9">
        <v>150</v>
      </c>
      <c r="Q50" s="18">
        <f>T_2[[#This Row],[ACh Qu]]*T_2[[#This Row],[ACh PU]]</f>
        <v>6000</v>
      </c>
      <c r="R50" s="21">
        <f>T_2[[#This Row],[P CT]]+T_2[[#This Row],[ACh CT]]</f>
        <v>6000</v>
      </c>
      <c r="S50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7500</v>
      </c>
      <c r="T50" s="52">
        <f>T_2[[#This Row],[Mt Elligible]]*T_2[[#This Row],[Tx Sub]]</f>
        <v>5250</v>
      </c>
    </row>
    <row r="51" spans="1:20">
      <c r="A51" s="181" t="str">
        <f t="shared" si="1"/>
        <v>Lot_2</v>
      </c>
      <c r="B51" s="110" t="str">
        <f>_xlfn.XLOOKUP(T_2[[#This Row],[N° Lot]],Tableau4[NoLot],Tableau4[Lot])</f>
        <v>État de l’art, concertation et positionnent de la norme</v>
      </c>
      <c r="C51" s="167" t="s">
        <v>56</v>
      </c>
      <c r="D51" s="178" t="s">
        <v>121</v>
      </c>
      <c r="E51" s="178" t="s">
        <v>158</v>
      </c>
      <c r="F51" s="167" t="s">
        <v>16</v>
      </c>
      <c r="G51" s="189">
        <f>_xlfn.XLOOKUP(T_2[[#This Row],[Partenaires]],Partenaires2[Partenaire],Partenaires2[Tx Ch Connexe])</f>
        <v>0.25</v>
      </c>
      <c r="H51" s="189">
        <f>_xlfn.XLOOKUP(T_2[[#This Row],[Partenaires]],Partenaires2[Partenaire],Partenaires2[Tx Sub])</f>
        <v>0.7</v>
      </c>
      <c r="I51" s="178"/>
      <c r="J51" s="178" t="s">
        <v>82</v>
      </c>
      <c r="K51" s="5"/>
      <c r="L51" s="4"/>
      <c r="M51" s="18">
        <f>T_2[[#This Row],[P Qu]]*T_2[[#This Row],[P PU]]</f>
        <v>0</v>
      </c>
      <c r="N51" s="180" t="s">
        <v>159</v>
      </c>
      <c r="O51" s="7">
        <v>2</v>
      </c>
      <c r="P51" s="9">
        <v>520</v>
      </c>
      <c r="Q51" s="18">
        <f>T_2[[#This Row],[ACh Qu]]*T_2[[#This Row],[ACh PU]]</f>
        <v>1040</v>
      </c>
      <c r="R51" s="21">
        <f>T_2[[#This Row],[P CT]]+T_2[[#This Row],[ACh CT]]</f>
        <v>1040</v>
      </c>
      <c r="S51" s="52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1300</v>
      </c>
      <c r="T51" s="52">
        <f>T_2[[#This Row],[Mt Elligible]]*T_2[[#This Row],[Tx Sub]]</f>
        <v>909.99999999999989</v>
      </c>
    </row>
    <row r="52" spans="1:20">
      <c r="A52" s="187" t="s">
        <v>31</v>
      </c>
      <c r="B52" s="110" t="str">
        <f>_xlfn.XLOOKUP(T_2[[#This Row],[N° Lot]],Tableau4[NoLot],Tableau4[Lot])</f>
        <v>État de l’art, concertation et positionnent de la norme</v>
      </c>
      <c r="C52" s="167" t="s">
        <v>53</v>
      </c>
      <c r="D52" s="178" t="s">
        <v>108</v>
      </c>
      <c r="E52" s="178">
        <v>0</v>
      </c>
      <c r="F52" s="167" t="s">
        <v>17</v>
      </c>
      <c r="G52" s="189">
        <f>_xlfn.XLOOKUP(T_2[[#This Row],[Partenaires]],Partenaires2[Partenaire],Partenaires2[Tx Ch Connexe])</f>
        <v>0.18</v>
      </c>
      <c r="H52" s="189">
        <f>_xlfn.XLOOKUP(T_2[[#This Row],[Partenaires]],Partenaires2[Partenaire],Partenaires2[Tx Sub])</f>
        <v>0.5</v>
      </c>
      <c r="I52" s="178" t="s">
        <v>222</v>
      </c>
      <c r="J52" s="178" t="s">
        <v>81</v>
      </c>
      <c r="K52" s="5">
        <v>42</v>
      </c>
      <c r="L52" s="4">
        <v>572</v>
      </c>
      <c r="M52" s="18">
        <f>T_2[[#This Row],[P Qu]]*T_2[[#This Row],[P PU]]</f>
        <v>24024</v>
      </c>
      <c r="N52" s="180">
        <v>0</v>
      </c>
      <c r="O52" s="7">
        <v>0</v>
      </c>
      <c r="P52" s="9">
        <v>0</v>
      </c>
      <c r="Q52" s="18">
        <f>T_2[[#This Row],[ACh Qu]]*T_2[[#This Row],[ACh PU]]</f>
        <v>0</v>
      </c>
      <c r="R52" s="21">
        <f>T_2[[#This Row],[P CT]]+T_2[[#This Row],[ACh CT]]</f>
        <v>24024</v>
      </c>
      <c r="S52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4324.32</v>
      </c>
      <c r="T52" s="46">
        <f>T_2[[#This Row],[Mt Elligible]]*T_2[[#This Row],[Tx Sub]]</f>
        <v>2162.16</v>
      </c>
    </row>
    <row r="53" spans="1:20">
      <c r="A53" s="187" t="str">
        <f t="shared" ref="A53:A63" si="2">A$1</f>
        <v>Lot_2</v>
      </c>
      <c r="B53" s="110" t="str">
        <f>_xlfn.XLOOKUP(T_2[[#This Row],[N° Lot]],Tableau4[NoLot],Tableau4[Lot])</f>
        <v>État de l’art, concertation et positionnent de la norme</v>
      </c>
      <c r="C53" s="167" t="s">
        <v>53</v>
      </c>
      <c r="D53" s="178" t="s">
        <v>108</v>
      </c>
      <c r="E53" s="178">
        <v>0</v>
      </c>
      <c r="F53" s="167" t="s">
        <v>17</v>
      </c>
      <c r="G53" s="189">
        <f>_xlfn.XLOOKUP(T_2[[#This Row],[Partenaires]],Partenaires2[Partenaire],Partenaires2[Tx Ch Connexe])</f>
        <v>0.18</v>
      </c>
      <c r="H53" s="189">
        <f>_xlfn.XLOOKUP(T_2[[#This Row],[Partenaires]],Partenaires2[Partenaire],Partenaires2[Tx Sub])</f>
        <v>0.5</v>
      </c>
      <c r="I53" s="178" t="s">
        <v>220</v>
      </c>
      <c r="J53" s="178" t="s">
        <v>81</v>
      </c>
      <c r="K53" s="5">
        <v>21</v>
      </c>
      <c r="L53" s="4">
        <v>494</v>
      </c>
      <c r="M53" s="18">
        <f>T_2[[#This Row],[P Qu]]*T_2[[#This Row],[P PU]]</f>
        <v>10374</v>
      </c>
      <c r="N53" s="180">
        <v>0</v>
      </c>
      <c r="O53" s="7">
        <v>0</v>
      </c>
      <c r="P53" s="9">
        <v>0</v>
      </c>
      <c r="Q53" s="18">
        <f>T_2[[#This Row],[ACh Qu]]*T_2[[#This Row],[ACh PU]]</f>
        <v>0</v>
      </c>
      <c r="R53" s="21">
        <f>T_2[[#This Row],[P CT]]+T_2[[#This Row],[ACh CT]]</f>
        <v>10374</v>
      </c>
      <c r="S53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1867.32</v>
      </c>
      <c r="T53" s="46">
        <f>T_2[[#This Row],[Mt Elligible]]*T_2[[#This Row],[Tx Sub]]</f>
        <v>933.66</v>
      </c>
    </row>
    <row r="54" spans="1:20">
      <c r="A54" s="187" t="str">
        <f t="shared" si="2"/>
        <v>Lot_2</v>
      </c>
      <c r="B54" s="110" t="str">
        <f>_xlfn.XLOOKUP(T_2[[#This Row],[N° Lot]],Tableau4[NoLot],Tableau4[Lot])</f>
        <v>État de l’art, concertation et positionnent de la norme</v>
      </c>
      <c r="C54" s="167" t="s">
        <v>53</v>
      </c>
      <c r="D54" s="178" t="s">
        <v>108</v>
      </c>
      <c r="E54" s="178">
        <v>0</v>
      </c>
      <c r="F54" s="167" t="s">
        <v>17</v>
      </c>
      <c r="G54" s="189">
        <f>_xlfn.XLOOKUP(T_2[[#This Row],[Partenaires]],Partenaires2[Partenaire],Partenaires2[Tx Ch Connexe])</f>
        <v>0.18</v>
      </c>
      <c r="H54" s="189">
        <f>_xlfn.XLOOKUP(T_2[[#This Row],[Partenaires]],Partenaires2[Partenaire],Partenaires2[Tx Sub])</f>
        <v>0.5</v>
      </c>
      <c r="I54" s="178" t="s">
        <v>221</v>
      </c>
      <c r="J54" s="178" t="s">
        <v>82</v>
      </c>
      <c r="K54" s="5">
        <v>105</v>
      </c>
      <c r="L54" s="4">
        <v>119</v>
      </c>
      <c r="M54" s="18">
        <f>T_2[[#This Row],[P Qu]]*T_2[[#This Row],[P PU]]</f>
        <v>12495</v>
      </c>
      <c r="N54" s="180">
        <v>0</v>
      </c>
      <c r="O54" s="7">
        <v>0</v>
      </c>
      <c r="P54" s="9">
        <v>0</v>
      </c>
      <c r="Q54" s="18">
        <f>T_2[[#This Row],[ACh Qu]]*T_2[[#This Row],[ACh PU]]</f>
        <v>0</v>
      </c>
      <c r="R54" s="21">
        <f>T_2[[#This Row],[P CT]]+T_2[[#This Row],[ACh CT]]</f>
        <v>12495</v>
      </c>
      <c r="S54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14744.1</v>
      </c>
      <c r="T54" s="46">
        <f>T_2[[#This Row],[Mt Elligible]]*T_2[[#This Row],[Tx Sub]]</f>
        <v>7372.05</v>
      </c>
    </row>
    <row r="55" spans="1:20">
      <c r="A55" s="187" t="str">
        <f t="shared" si="2"/>
        <v>Lot_2</v>
      </c>
      <c r="B55" s="110" t="str">
        <f>_xlfn.XLOOKUP(T_2[[#This Row],[N° Lot]],Tableau4[NoLot],Tableau4[Lot])</f>
        <v>État de l’art, concertation et positionnent de la norme</v>
      </c>
      <c r="C55" s="167" t="s">
        <v>53</v>
      </c>
      <c r="D55" s="178" t="s">
        <v>109</v>
      </c>
      <c r="E55" s="178" t="s">
        <v>195</v>
      </c>
      <c r="F55" s="167" t="s">
        <v>17</v>
      </c>
      <c r="G55" s="189">
        <f>_xlfn.XLOOKUP(T_2[[#This Row],[Partenaires]],Partenaires2[Partenaire],Partenaires2[Tx Ch Connexe])</f>
        <v>0.18</v>
      </c>
      <c r="H55" s="189">
        <f>_xlfn.XLOOKUP(T_2[[#This Row],[Partenaires]],Partenaires2[Partenaire],Partenaires2[Tx Sub])</f>
        <v>0.5</v>
      </c>
      <c r="I55" s="178" t="s">
        <v>222</v>
      </c>
      <c r="J55" s="178" t="s">
        <v>81</v>
      </c>
      <c r="K55" s="5">
        <v>10</v>
      </c>
      <c r="L55" s="4">
        <v>572</v>
      </c>
      <c r="M55" s="18">
        <f>T_2[[#This Row],[P Qu]]*T_2[[#This Row],[P PU]]</f>
        <v>5720</v>
      </c>
      <c r="N55" s="180" t="s">
        <v>45</v>
      </c>
      <c r="O55" s="7">
        <v>2</v>
      </c>
      <c r="P55" s="9">
        <v>150</v>
      </c>
      <c r="Q55" s="18">
        <f>T_2[[#This Row],[ACh Qu]]*T_2[[#This Row],[ACh PU]]</f>
        <v>300</v>
      </c>
      <c r="R55" s="21">
        <f>T_2[[#This Row],[P CT]]+T_2[[#This Row],[ACh CT]]</f>
        <v>6020</v>
      </c>
      <c r="S55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1383.6</v>
      </c>
      <c r="T55" s="46">
        <f>T_2[[#This Row],[Mt Elligible]]*T_2[[#This Row],[Tx Sub]]</f>
        <v>691.8</v>
      </c>
    </row>
    <row r="56" spans="1:20">
      <c r="A56" s="187" t="str">
        <f t="shared" si="2"/>
        <v>Lot_2</v>
      </c>
      <c r="B56" s="110" t="str">
        <f>_xlfn.XLOOKUP(T_2[[#This Row],[N° Lot]],Tableau4[NoLot],Tableau4[Lot])</f>
        <v>État de l’art, concertation et positionnent de la norme</v>
      </c>
      <c r="C56" s="167" t="s">
        <v>53</v>
      </c>
      <c r="D56" s="178" t="s">
        <v>109</v>
      </c>
      <c r="E56" s="178" t="s">
        <v>195</v>
      </c>
      <c r="F56" s="167" t="s">
        <v>17</v>
      </c>
      <c r="G56" s="189">
        <f>_xlfn.XLOOKUP(T_2[[#This Row],[Partenaires]],Partenaires2[Partenaire],Partenaires2[Tx Ch Connexe])</f>
        <v>0.18</v>
      </c>
      <c r="H56" s="189">
        <f>_xlfn.XLOOKUP(T_2[[#This Row],[Partenaires]],Partenaires2[Partenaire],Partenaires2[Tx Sub])</f>
        <v>0.5</v>
      </c>
      <c r="I56" s="178" t="s">
        <v>220</v>
      </c>
      <c r="J56" s="178" t="s">
        <v>81</v>
      </c>
      <c r="K56" s="5">
        <v>5</v>
      </c>
      <c r="L56" s="4">
        <v>494</v>
      </c>
      <c r="M56" s="18">
        <f>T_2[[#This Row],[P Qu]]*T_2[[#This Row],[P PU]]</f>
        <v>2470</v>
      </c>
      <c r="N56" s="180" t="s">
        <v>45</v>
      </c>
      <c r="O56" s="7">
        <v>2</v>
      </c>
      <c r="P56" s="9">
        <v>150</v>
      </c>
      <c r="Q56" s="18">
        <f>T_2[[#This Row],[ACh Qu]]*T_2[[#This Row],[ACh PU]]</f>
        <v>300</v>
      </c>
      <c r="R56" s="21">
        <f>T_2[[#This Row],[P CT]]+T_2[[#This Row],[ACh CT]]</f>
        <v>2770</v>
      </c>
      <c r="S56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798.59999999999991</v>
      </c>
      <c r="T56" s="46">
        <f>T_2[[#This Row],[Mt Elligible]]*T_2[[#This Row],[Tx Sub]]</f>
        <v>399.29999999999995</v>
      </c>
    </row>
    <row r="57" spans="1:20">
      <c r="A57" s="187" t="str">
        <f t="shared" si="2"/>
        <v>Lot_2</v>
      </c>
      <c r="B57" s="110" t="str">
        <f>_xlfn.XLOOKUP(T_2[[#This Row],[N° Lot]],Tableau4[NoLot],Tableau4[Lot])</f>
        <v>État de l’art, concertation et positionnent de la norme</v>
      </c>
      <c r="C57" s="167" t="s">
        <v>53</v>
      </c>
      <c r="D57" s="178" t="s">
        <v>109</v>
      </c>
      <c r="E57" s="178" t="s">
        <v>195</v>
      </c>
      <c r="F57" s="167" t="s">
        <v>17</v>
      </c>
      <c r="G57" s="189">
        <f>_xlfn.XLOOKUP(T_2[[#This Row],[Partenaires]],Partenaires2[Partenaire],Partenaires2[Tx Ch Connexe])</f>
        <v>0.18</v>
      </c>
      <c r="H57" s="189">
        <f>_xlfn.XLOOKUP(T_2[[#This Row],[Partenaires]],Partenaires2[Partenaire],Partenaires2[Tx Sub])</f>
        <v>0.5</v>
      </c>
      <c r="I57" s="178">
        <v>0</v>
      </c>
      <c r="J57" s="178">
        <v>0</v>
      </c>
      <c r="K57" s="5">
        <v>0</v>
      </c>
      <c r="L57" s="4">
        <v>0</v>
      </c>
      <c r="M57" s="18">
        <f>T_2[[#This Row],[P Qu]]*T_2[[#This Row],[P PU]]</f>
        <v>0</v>
      </c>
      <c r="N57" s="180" t="s">
        <v>45</v>
      </c>
      <c r="O57" s="7">
        <v>2</v>
      </c>
      <c r="P57" s="9">
        <v>150</v>
      </c>
      <c r="Q57" s="18">
        <f>T_2[[#This Row],[ACh Qu]]*T_2[[#This Row],[ACh PU]]</f>
        <v>300</v>
      </c>
      <c r="R57" s="21">
        <f>T_2[[#This Row],[P CT]]+T_2[[#This Row],[ACh CT]]</f>
        <v>300</v>
      </c>
      <c r="S57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354</v>
      </c>
      <c r="T57" s="46">
        <f>T_2[[#This Row],[Mt Elligible]]*T_2[[#This Row],[Tx Sub]]</f>
        <v>177</v>
      </c>
    </row>
    <row r="58" spans="1:20">
      <c r="A58" s="187" t="str">
        <f t="shared" si="2"/>
        <v>Lot_2</v>
      </c>
      <c r="B58" s="110" t="str">
        <f>_xlfn.XLOOKUP(T_2[[#This Row],[N° Lot]],Tableau4[NoLot],Tableau4[Lot])</f>
        <v>État de l’art, concertation et positionnent de la norme</v>
      </c>
      <c r="C58" s="167" t="s">
        <v>53</v>
      </c>
      <c r="D58" s="178" t="s">
        <v>110</v>
      </c>
      <c r="E58" s="178">
        <v>0</v>
      </c>
      <c r="F58" s="167" t="s">
        <v>17</v>
      </c>
      <c r="G58" s="189">
        <f>_xlfn.XLOOKUP(T_2[[#This Row],[Partenaires]],Partenaires2[Partenaire],Partenaires2[Tx Ch Connexe])</f>
        <v>0.18</v>
      </c>
      <c r="H58" s="189">
        <f>_xlfn.XLOOKUP(T_2[[#This Row],[Partenaires]],Partenaires2[Partenaire],Partenaires2[Tx Sub])</f>
        <v>0.5</v>
      </c>
      <c r="I58" s="178" t="s">
        <v>222</v>
      </c>
      <c r="J58" s="178" t="s">
        <v>81</v>
      </c>
      <c r="K58" s="5">
        <v>10</v>
      </c>
      <c r="L58" s="4">
        <v>572</v>
      </c>
      <c r="M58" s="18">
        <f>T_2[[#This Row],[P Qu]]*T_2[[#This Row],[P PU]]</f>
        <v>5720</v>
      </c>
      <c r="N58" s="180">
        <v>0</v>
      </c>
      <c r="O58" s="7">
        <v>0</v>
      </c>
      <c r="P58" s="9">
        <v>0</v>
      </c>
      <c r="Q58" s="18">
        <f>T_2[[#This Row],[ACh Qu]]*T_2[[#This Row],[ACh PU]]</f>
        <v>0</v>
      </c>
      <c r="R58" s="21">
        <f>T_2[[#This Row],[P CT]]+T_2[[#This Row],[ACh CT]]</f>
        <v>5720</v>
      </c>
      <c r="S58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1029.5999999999999</v>
      </c>
      <c r="T58" s="46">
        <f>T_2[[#This Row],[Mt Elligible]]*T_2[[#This Row],[Tx Sub]]</f>
        <v>514.79999999999995</v>
      </c>
    </row>
    <row r="59" spans="1:20">
      <c r="A59" s="187" t="str">
        <f t="shared" si="2"/>
        <v>Lot_2</v>
      </c>
      <c r="B59" s="110" t="str">
        <f>_xlfn.XLOOKUP(T_2[[#This Row],[N° Lot]],Tableau4[NoLot],Tableau4[Lot])</f>
        <v>État de l’art, concertation et positionnent de la norme</v>
      </c>
      <c r="C59" s="167" t="s">
        <v>53</v>
      </c>
      <c r="D59" s="178" t="s">
        <v>110</v>
      </c>
      <c r="E59" s="178">
        <v>0</v>
      </c>
      <c r="F59" s="167" t="s">
        <v>17</v>
      </c>
      <c r="G59" s="189">
        <f>_xlfn.XLOOKUP(T_2[[#This Row],[Partenaires]],Partenaires2[Partenaire],Partenaires2[Tx Ch Connexe])</f>
        <v>0.18</v>
      </c>
      <c r="H59" s="189">
        <f>_xlfn.XLOOKUP(T_2[[#This Row],[Partenaires]],Partenaires2[Partenaire],Partenaires2[Tx Sub])</f>
        <v>0.5</v>
      </c>
      <c r="I59" s="178" t="s">
        <v>220</v>
      </c>
      <c r="J59" s="178" t="s">
        <v>81</v>
      </c>
      <c r="K59" s="5">
        <v>5</v>
      </c>
      <c r="L59" s="4">
        <v>494</v>
      </c>
      <c r="M59" s="18">
        <f>T_2[[#This Row],[P Qu]]*T_2[[#This Row],[P PU]]</f>
        <v>2470</v>
      </c>
      <c r="N59" s="180">
        <v>0</v>
      </c>
      <c r="O59" s="7">
        <v>0</v>
      </c>
      <c r="P59" s="9">
        <v>0</v>
      </c>
      <c r="Q59" s="18">
        <f>T_2[[#This Row],[ACh Qu]]*T_2[[#This Row],[ACh PU]]</f>
        <v>0</v>
      </c>
      <c r="R59" s="21">
        <f>T_2[[#This Row],[P CT]]+T_2[[#This Row],[ACh CT]]</f>
        <v>2470</v>
      </c>
      <c r="S59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444.59999999999997</v>
      </c>
      <c r="T59" s="46">
        <f>T_2[[#This Row],[Mt Elligible]]*T_2[[#This Row],[Tx Sub]]</f>
        <v>222.29999999999998</v>
      </c>
    </row>
    <row r="60" spans="1:20">
      <c r="A60" s="187" t="str">
        <f t="shared" si="2"/>
        <v>Lot_2</v>
      </c>
      <c r="B60" s="110" t="str">
        <f>_xlfn.XLOOKUP(T_2[[#This Row],[N° Lot]],Tableau4[NoLot],Tableau4[Lot])</f>
        <v>État de l’art, concertation et positionnent de la norme</v>
      </c>
      <c r="C60" s="167" t="s">
        <v>53</v>
      </c>
      <c r="D60" s="178" t="s">
        <v>110</v>
      </c>
      <c r="E60" s="178">
        <v>0</v>
      </c>
      <c r="F60" s="167" t="s">
        <v>17</v>
      </c>
      <c r="G60" s="189">
        <f>_xlfn.XLOOKUP(T_2[[#This Row],[Partenaires]],Partenaires2[Partenaire],Partenaires2[Tx Ch Connexe])</f>
        <v>0.18</v>
      </c>
      <c r="H60" s="189">
        <f>_xlfn.XLOOKUP(T_2[[#This Row],[Partenaires]],Partenaires2[Partenaire],Partenaires2[Tx Sub])</f>
        <v>0.5</v>
      </c>
      <c r="I60" s="178" t="s">
        <v>221</v>
      </c>
      <c r="J60" s="178" t="s">
        <v>82</v>
      </c>
      <c r="K60" s="5">
        <v>21</v>
      </c>
      <c r="L60" s="4">
        <v>119</v>
      </c>
      <c r="M60" s="18">
        <f>T_2[[#This Row],[P Qu]]*T_2[[#This Row],[P PU]]</f>
        <v>2499</v>
      </c>
      <c r="N60" s="180">
        <v>0</v>
      </c>
      <c r="O60" s="7">
        <v>0</v>
      </c>
      <c r="P60" s="9">
        <v>0</v>
      </c>
      <c r="Q60" s="18">
        <f>T_2[[#This Row],[ACh Qu]]*T_2[[#This Row],[ACh PU]]</f>
        <v>0</v>
      </c>
      <c r="R60" s="21">
        <f>T_2[[#This Row],[P CT]]+T_2[[#This Row],[ACh CT]]</f>
        <v>2499</v>
      </c>
      <c r="S60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2948.82</v>
      </c>
      <c r="T60" s="46">
        <f>T_2[[#This Row],[Mt Elligible]]*T_2[[#This Row],[Tx Sub]]</f>
        <v>1474.41</v>
      </c>
    </row>
    <row r="61" spans="1:20">
      <c r="A61" s="187" t="str">
        <f t="shared" si="2"/>
        <v>Lot_2</v>
      </c>
      <c r="B61" s="110" t="str">
        <f>_xlfn.XLOOKUP(T_2[[#This Row],[N° Lot]],Tableau4[NoLot],Tableau4[Lot])</f>
        <v>État de l’art, concertation et positionnent de la norme</v>
      </c>
      <c r="C61" s="167" t="s">
        <v>56</v>
      </c>
      <c r="D61" s="178" t="s">
        <v>120</v>
      </c>
      <c r="E61" s="178" t="s">
        <v>223</v>
      </c>
      <c r="F61" s="167" t="s">
        <v>17</v>
      </c>
      <c r="G61" s="189">
        <f>_xlfn.XLOOKUP(T_2[[#This Row],[Partenaires]],Partenaires2[Partenaire],Partenaires2[Tx Ch Connexe])</f>
        <v>0.18</v>
      </c>
      <c r="H61" s="189">
        <f>_xlfn.XLOOKUP(T_2[[#This Row],[Partenaires]],Partenaires2[Partenaire],Partenaires2[Tx Sub])</f>
        <v>0.5</v>
      </c>
      <c r="I61" s="178" t="s">
        <v>222</v>
      </c>
      <c r="J61" s="178" t="s">
        <v>81</v>
      </c>
      <c r="K61" s="5">
        <v>5</v>
      </c>
      <c r="L61" s="4">
        <v>572</v>
      </c>
      <c r="M61" s="18">
        <f>T_2[[#This Row],[P Qu]]*T_2[[#This Row],[P PU]]</f>
        <v>2860</v>
      </c>
      <c r="N61" s="180" t="s">
        <v>45</v>
      </c>
      <c r="O61" s="7">
        <v>4</v>
      </c>
      <c r="P61" s="9">
        <v>150</v>
      </c>
      <c r="Q61" s="18">
        <f>T_2[[#This Row],[ACh Qu]]*T_2[[#This Row],[ACh PU]]</f>
        <v>600</v>
      </c>
      <c r="R61" s="21">
        <f>T_2[[#This Row],[P CT]]+T_2[[#This Row],[ACh CT]]</f>
        <v>3460</v>
      </c>
      <c r="S61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1222.8</v>
      </c>
      <c r="T61" s="46">
        <f>T_2[[#This Row],[Mt Elligible]]*T_2[[#This Row],[Tx Sub]]</f>
        <v>611.4</v>
      </c>
    </row>
    <row r="62" spans="1:20">
      <c r="A62" s="187" t="str">
        <f t="shared" si="2"/>
        <v>Lot_2</v>
      </c>
      <c r="B62" s="110" t="str">
        <f>_xlfn.XLOOKUP(T_2[[#This Row],[N° Lot]],Tableau4[NoLot],Tableau4[Lot])</f>
        <v>État de l’art, concertation et positionnent de la norme</v>
      </c>
      <c r="C62" s="167" t="s">
        <v>56</v>
      </c>
      <c r="D62" s="178" t="s">
        <v>120</v>
      </c>
      <c r="E62" s="178" t="s">
        <v>223</v>
      </c>
      <c r="F62" s="167" t="s">
        <v>17</v>
      </c>
      <c r="G62" s="189">
        <f>_xlfn.XLOOKUP(T_2[[#This Row],[Partenaires]],Partenaires2[Partenaire],Partenaires2[Tx Ch Connexe])</f>
        <v>0.18</v>
      </c>
      <c r="H62" s="189">
        <f>_xlfn.XLOOKUP(T_2[[#This Row],[Partenaires]],Partenaires2[Partenaire],Partenaires2[Tx Sub])</f>
        <v>0.5</v>
      </c>
      <c r="I62" s="178" t="s">
        <v>220</v>
      </c>
      <c r="J62" s="178" t="s">
        <v>81</v>
      </c>
      <c r="K62" s="5">
        <v>5</v>
      </c>
      <c r="L62" s="4">
        <v>494</v>
      </c>
      <c r="M62" s="18">
        <f>T_2[[#This Row],[P Qu]]*T_2[[#This Row],[P PU]]</f>
        <v>2470</v>
      </c>
      <c r="N62" s="180" t="s">
        <v>45</v>
      </c>
      <c r="O62" s="7">
        <v>4</v>
      </c>
      <c r="P62" s="9">
        <v>150</v>
      </c>
      <c r="Q62" s="18">
        <f>T_2[[#This Row],[ACh Qu]]*T_2[[#This Row],[ACh PU]]</f>
        <v>600</v>
      </c>
      <c r="R62" s="21">
        <f>T_2[[#This Row],[P CT]]+T_2[[#This Row],[ACh CT]]</f>
        <v>3070</v>
      </c>
      <c r="S62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1152.5999999999999</v>
      </c>
      <c r="T62" s="46">
        <f>T_2[[#This Row],[Mt Elligible]]*T_2[[#This Row],[Tx Sub]]</f>
        <v>576.29999999999995</v>
      </c>
    </row>
    <row r="63" spans="1:20">
      <c r="A63" s="187" t="str">
        <f t="shared" si="2"/>
        <v>Lot_2</v>
      </c>
      <c r="B63" s="110" t="str">
        <f>_xlfn.XLOOKUP(T_2[[#This Row],[N° Lot]],Tableau4[NoLot],Tableau4[Lot])</f>
        <v>État de l’art, concertation et positionnent de la norme</v>
      </c>
      <c r="C63" s="167" t="s">
        <v>56</v>
      </c>
      <c r="D63" s="178" t="s">
        <v>120</v>
      </c>
      <c r="E63" s="178" t="s">
        <v>223</v>
      </c>
      <c r="F63" s="167" t="s">
        <v>17</v>
      </c>
      <c r="G63" s="189">
        <f>_xlfn.XLOOKUP(T_2[[#This Row],[Partenaires]],Partenaires2[Partenaire],Partenaires2[Tx Ch Connexe])</f>
        <v>0.18</v>
      </c>
      <c r="H63" s="189">
        <f>_xlfn.XLOOKUP(T_2[[#This Row],[Partenaires]],Partenaires2[Partenaire],Partenaires2[Tx Sub])</f>
        <v>0.5</v>
      </c>
      <c r="I63" s="178" t="s">
        <v>221</v>
      </c>
      <c r="J63" s="178" t="s">
        <v>82</v>
      </c>
      <c r="K63" s="5">
        <v>5</v>
      </c>
      <c r="L63" s="4">
        <v>119</v>
      </c>
      <c r="M63" s="18">
        <f>T_2[[#This Row],[P Qu]]*T_2[[#This Row],[P PU]]</f>
        <v>595</v>
      </c>
      <c r="N63" s="180" t="s">
        <v>45</v>
      </c>
      <c r="O63" s="7">
        <v>4</v>
      </c>
      <c r="P63" s="9">
        <v>150</v>
      </c>
      <c r="Q63" s="18">
        <f>T_2[[#This Row],[ACh Qu]]*T_2[[#This Row],[ACh PU]]</f>
        <v>600</v>
      </c>
      <c r="R63" s="21">
        <f>T_2[[#This Row],[P CT]]+T_2[[#This Row],[ACh CT]]</f>
        <v>1195</v>
      </c>
      <c r="S63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1410.1</v>
      </c>
      <c r="T63" s="46">
        <f>T_2[[#This Row],[Mt Elligible]]*T_2[[#This Row],[Tx Sub]]</f>
        <v>705.05</v>
      </c>
    </row>
    <row r="64" spans="1:20">
      <c r="A64" s="187" t="s">
        <v>31</v>
      </c>
      <c r="B64" s="110" t="str">
        <f>_xlfn.XLOOKUP(T_2[[#This Row],[N° Lot]],Tableau4[NoLot],Tableau4[Lot])</f>
        <v>État de l’art, concertation et positionnent de la norme</v>
      </c>
      <c r="C64" s="35" t="s">
        <v>54</v>
      </c>
      <c r="D64" s="178" t="s">
        <v>112</v>
      </c>
      <c r="F64" s="35" t="s">
        <v>19</v>
      </c>
      <c r="G64" s="189">
        <f>_xlfn.XLOOKUP(T_2[[#This Row],[Partenaires]],Partenaires2[Partenaire],Partenaires2[Tx Ch Connexe])</f>
        <v>0.25</v>
      </c>
      <c r="H64" s="189">
        <f>_xlfn.XLOOKUP(T_2[[#This Row],[Partenaires]],Partenaires2[Partenaire],Partenaires2[Tx Sub])</f>
        <v>0.5</v>
      </c>
      <c r="I64" s="178"/>
      <c r="J64" s="178" t="s">
        <v>82</v>
      </c>
      <c r="K64" s="5">
        <v>4</v>
      </c>
      <c r="L64" s="4">
        <v>350</v>
      </c>
      <c r="M64" s="18">
        <f>T_2[[#This Row],[P Qu]]*T_2[[#This Row],[P PU]]</f>
        <v>1400</v>
      </c>
      <c r="N64" s="178"/>
      <c r="O64" s="7"/>
      <c r="P64" s="9"/>
      <c r="Q64" s="18">
        <f>T_2[[#This Row],[ACh Qu]]*T_2[[#This Row],[ACh PU]]</f>
        <v>0</v>
      </c>
      <c r="R64" s="21">
        <f>T_2[[#This Row],[P CT]]+T_2[[#This Row],[ACh CT]]</f>
        <v>1400</v>
      </c>
      <c r="S64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1750</v>
      </c>
      <c r="T64" s="46">
        <f>T_2[[#This Row],[Mt Elligible]]*T_2[[#This Row],[Tx Sub]]</f>
        <v>875</v>
      </c>
    </row>
    <row r="65" spans="1:20">
      <c r="A65" s="187" t="str">
        <f t="shared" ref="A65:A73" si="3">A$1</f>
        <v>Lot_2</v>
      </c>
      <c r="B65" s="110" t="str">
        <f>_xlfn.XLOOKUP(T_2[[#This Row],[N° Lot]],Tableau4[NoLot],Tableau4[Lot])</f>
        <v>État de l’art, concertation et positionnent de la norme</v>
      </c>
      <c r="C65" s="108" t="s">
        <v>57</v>
      </c>
      <c r="D65" s="186" t="s">
        <v>115</v>
      </c>
      <c r="F65" s="108" t="s">
        <v>19</v>
      </c>
      <c r="G65" s="189">
        <f>_xlfn.XLOOKUP(T_2[[#This Row],[Partenaires]],Partenaires2[Partenaire],Partenaires2[Tx Ch Connexe])</f>
        <v>0.25</v>
      </c>
      <c r="H65" s="189">
        <f>_xlfn.XLOOKUP(T_2[[#This Row],[Partenaires]],Partenaires2[Partenaire],Partenaires2[Tx Sub])</f>
        <v>0.5</v>
      </c>
      <c r="I65" s="178"/>
      <c r="J65" s="186" t="s">
        <v>82</v>
      </c>
      <c r="K65" s="5">
        <v>2</v>
      </c>
      <c r="L65" s="4">
        <v>350</v>
      </c>
      <c r="M65" s="18">
        <f>T_2[[#This Row],[P Qu]]*T_2[[#This Row],[P PU]]</f>
        <v>700</v>
      </c>
      <c r="N65" s="178"/>
      <c r="O65" s="7"/>
      <c r="P65" s="9"/>
      <c r="Q65" s="18">
        <f>T_2[[#This Row],[ACh Qu]]*T_2[[#This Row],[ACh PU]]</f>
        <v>0</v>
      </c>
      <c r="R65" s="21">
        <f>T_2[[#This Row],[P CT]]+T_2[[#This Row],[ACh CT]]</f>
        <v>700</v>
      </c>
      <c r="S65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875</v>
      </c>
      <c r="T65" s="46">
        <f>T_2[[#This Row],[Mt Elligible]]*T_2[[#This Row],[Tx Sub]]</f>
        <v>437.5</v>
      </c>
    </row>
    <row r="66" spans="1:20">
      <c r="A66" s="187" t="str">
        <f t="shared" si="3"/>
        <v>Lot_2</v>
      </c>
      <c r="B66" s="110" t="str">
        <f>_xlfn.XLOOKUP(T_2[[#This Row],[N° Lot]],Tableau4[NoLot],Tableau4[Lot])</f>
        <v>État de l’art, concertation et positionnent de la norme</v>
      </c>
      <c r="C66" s="108" t="s">
        <v>55</v>
      </c>
      <c r="D66" s="186" t="s">
        <v>113</v>
      </c>
      <c r="F66" s="108" t="s">
        <v>19</v>
      </c>
      <c r="G66" s="189">
        <f>_xlfn.XLOOKUP(T_2[[#This Row],[Partenaires]],Partenaires2[Partenaire],Partenaires2[Tx Ch Connexe])</f>
        <v>0.25</v>
      </c>
      <c r="H66" s="189">
        <f>_xlfn.XLOOKUP(T_2[[#This Row],[Partenaires]],Partenaires2[Partenaire],Partenaires2[Tx Sub])</f>
        <v>0.5</v>
      </c>
      <c r="I66" s="178"/>
      <c r="J66" s="186" t="s">
        <v>82</v>
      </c>
      <c r="K66" s="5">
        <v>4</v>
      </c>
      <c r="L66" s="4">
        <v>350</v>
      </c>
      <c r="M66" s="18">
        <f>T_2[[#This Row],[P Qu]]*T_2[[#This Row],[P PU]]</f>
        <v>1400</v>
      </c>
      <c r="N66" s="178"/>
      <c r="O66" s="7"/>
      <c r="P66" s="9"/>
      <c r="Q66" s="18">
        <f>T_2[[#This Row],[ACh Qu]]*T_2[[#This Row],[ACh PU]]</f>
        <v>0</v>
      </c>
      <c r="R66" s="21">
        <f>T_2[[#This Row],[P CT]]+T_2[[#This Row],[ACh CT]]</f>
        <v>1400</v>
      </c>
      <c r="S66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1750</v>
      </c>
      <c r="T66" s="46">
        <f>T_2[[#This Row],[Mt Elligible]]*T_2[[#This Row],[Tx Sub]]</f>
        <v>875</v>
      </c>
    </row>
    <row r="67" spans="1:20">
      <c r="A67" s="187" t="str">
        <f t="shared" si="3"/>
        <v>Lot_2</v>
      </c>
      <c r="B67" s="110" t="str">
        <f>_xlfn.XLOOKUP(T_2[[#This Row],[N° Lot]],Tableau4[NoLot],Tableau4[Lot])</f>
        <v>État de l’art, concertation et positionnent de la norme</v>
      </c>
      <c r="C67" s="108" t="s">
        <v>56</v>
      </c>
      <c r="D67" s="186" t="s">
        <v>120</v>
      </c>
      <c r="E67" s="178" t="s">
        <v>252</v>
      </c>
      <c r="F67" s="108" t="s">
        <v>19</v>
      </c>
      <c r="G67" s="189">
        <f>_xlfn.XLOOKUP(T_2[[#This Row],[Partenaires]],Partenaires2[Partenaire],Partenaires2[Tx Ch Connexe])</f>
        <v>0.25</v>
      </c>
      <c r="H67" s="189">
        <f>_xlfn.XLOOKUP(T_2[[#This Row],[Partenaires]],Partenaires2[Partenaire],Partenaires2[Tx Sub])</f>
        <v>0.5</v>
      </c>
      <c r="I67" s="178"/>
      <c r="J67" s="186" t="s">
        <v>82</v>
      </c>
      <c r="K67" s="5">
        <v>1</v>
      </c>
      <c r="L67" s="4">
        <v>350</v>
      </c>
      <c r="M67" s="18">
        <f>T_2[[#This Row],[P Qu]]*T_2[[#This Row],[P PU]]</f>
        <v>350</v>
      </c>
      <c r="N67" s="178" t="s">
        <v>253</v>
      </c>
      <c r="O67" s="7">
        <v>1</v>
      </c>
      <c r="P67" s="9">
        <v>150</v>
      </c>
      <c r="Q67" s="18">
        <f>T_2[[#This Row],[ACh Qu]]*T_2[[#This Row],[ACh PU]]</f>
        <v>150</v>
      </c>
      <c r="R67" s="21">
        <f>T_2[[#This Row],[P CT]]+T_2[[#This Row],[ACh CT]]</f>
        <v>500</v>
      </c>
      <c r="S67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625</v>
      </c>
      <c r="T67" s="46">
        <f>T_2[[#This Row],[Mt Elligible]]*T_2[[#This Row],[Tx Sub]]</f>
        <v>312.5</v>
      </c>
    </row>
    <row r="68" spans="1:20">
      <c r="A68" s="187" t="str">
        <f t="shared" si="3"/>
        <v>Lot_2</v>
      </c>
      <c r="B68" s="110" t="str">
        <f>_xlfn.XLOOKUP(T_2[[#This Row],[N° Lot]],Tableau4[NoLot],Tableau4[Lot])</f>
        <v>État de l’art, concertation et positionnent de la norme</v>
      </c>
      <c r="C68" s="167" t="s">
        <v>53</v>
      </c>
      <c r="D68" s="178" t="s">
        <v>108</v>
      </c>
      <c r="F68" s="167" t="s">
        <v>22</v>
      </c>
      <c r="G68" s="189">
        <f>_xlfn.XLOOKUP(T_2[[#This Row],[Partenaires]],Partenaires2[Partenaire],Partenaires2[Tx Ch Connexe])</f>
        <v>0.2</v>
      </c>
      <c r="H68" s="189">
        <f>_xlfn.XLOOKUP(T_2[[#This Row],[Partenaires]],Partenaires2[Partenaire],Partenaires2[Tx Sub])</f>
        <v>0.5</v>
      </c>
      <c r="I68" s="178" t="s">
        <v>202</v>
      </c>
      <c r="J68" s="178" t="s">
        <v>82</v>
      </c>
      <c r="K68" s="5">
        <v>5</v>
      </c>
      <c r="L68" s="4">
        <v>380</v>
      </c>
      <c r="M68" s="18">
        <f>T_2[[#This Row],[P Qu]]*T_2[[#This Row],[P PU]]</f>
        <v>1900</v>
      </c>
      <c r="N68" s="178"/>
      <c r="O68" s="7"/>
      <c r="P68" s="9"/>
      <c r="Q68" s="18">
        <f>T_2[[#This Row],[ACh Qu]]*T_2[[#This Row],[ACh PU]]</f>
        <v>0</v>
      </c>
      <c r="R68" s="21">
        <f>T_2[[#This Row],[P CT]]+T_2[[#This Row],[ACh CT]]</f>
        <v>1900</v>
      </c>
      <c r="S68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2280</v>
      </c>
      <c r="T68" s="46">
        <f>T_2[[#This Row],[Mt Elligible]]*T_2[[#This Row],[Tx Sub]]</f>
        <v>1140</v>
      </c>
    </row>
    <row r="69" spans="1:20">
      <c r="A69" s="187" t="str">
        <f t="shared" si="3"/>
        <v>Lot_2</v>
      </c>
      <c r="B69" s="110" t="str">
        <f>_xlfn.XLOOKUP(T_2[[#This Row],[N° Lot]],Tableau4[NoLot],Tableau4[Lot])</f>
        <v>État de l’art, concertation et positionnent de la norme</v>
      </c>
      <c r="C69" s="167" t="s">
        <v>53</v>
      </c>
      <c r="D69" s="178" t="s">
        <v>109</v>
      </c>
      <c r="F69" s="167" t="s">
        <v>22</v>
      </c>
      <c r="G69" s="189">
        <f>_xlfn.XLOOKUP(T_2[[#This Row],[Partenaires]],Partenaires2[Partenaire],Partenaires2[Tx Ch Connexe])</f>
        <v>0.2</v>
      </c>
      <c r="H69" s="189">
        <f>_xlfn.XLOOKUP(T_2[[#This Row],[Partenaires]],Partenaires2[Partenaire],Partenaires2[Tx Sub])</f>
        <v>0.5</v>
      </c>
      <c r="I69" s="178" t="s">
        <v>202</v>
      </c>
      <c r="J69" s="178" t="s">
        <v>82</v>
      </c>
      <c r="K69" s="5">
        <v>1</v>
      </c>
      <c r="L69" s="4">
        <v>380</v>
      </c>
      <c r="M69" s="18">
        <f>T_2[[#This Row],[P Qu]]*T_2[[#This Row],[P PU]]</f>
        <v>380</v>
      </c>
      <c r="N69" s="178"/>
      <c r="O69" s="7"/>
      <c r="P69" s="9"/>
      <c r="Q69" s="18">
        <f>T_2[[#This Row],[ACh Qu]]*T_2[[#This Row],[ACh PU]]</f>
        <v>0</v>
      </c>
      <c r="R69" s="21">
        <f>T_2[[#This Row],[P CT]]+T_2[[#This Row],[ACh CT]]</f>
        <v>380</v>
      </c>
      <c r="S69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456</v>
      </c>
      <c r="T69" s="46">
        <f>T_2[[#This Row],[Mt Elligible]]*T_2[[#This Row],[Tx Sub]]</f>
        <v>228</v>
      </c>
    </row>
    <row r="70" spans="1:20">
      <c r="A70" s="187" t="str">
        <f t="shared" si="3"/>
        <v>Lot_2</v>
      </c>
      <c r="B70" s="110" t="str">
        <f>_xlfn.XLOOKUP(T_2[[#This Row],[N° Lot]],Tableau4[NoLot],Tableau4[Lot])</f>
        <v>État de l’art, concertation et positionnent de la norme</v>
      </c>
      <c r="C70" s="167" t="s">
        <v>53</v>
      </c>
      <c r="D70" s="178" t="s">
        <v>110</v>
      </c>
      <c r="F70" s="167" t="s">
        <v>22</v>
      </c>
      <c r="G70" s="189">
        <f>_xlfn.XLOOKUP(T_2[[#This Row],[Partenaires]],Partenaires2[Partenaire],Partenaires2[Tx Ch Connexe])</f>
        <v>0.2</v>
      </c>
      <c r="H70" s="189">
        <f>_xlfn.XLOOKUP(T_2[[#This Row],[Partenaires]],Partenaires2[Partenaire],Partenaires2[Tx Sub])</f>
        <v>0.5</v>
      </c>
      <c r="I70" s="178" t="s">
        <v>202</v>
      </c>
      <c r="J70" s="178" t="s">
        <v>82</v>
      </c>
      <c r="K70" s="5">
        <v>1</v>
      </c>
      <c r="L70" s="4">
        <v>380</v>
      </c>
      <c r="M70" s="18">
        <f>T_2[[#This Row],[P Qu]]*T_2[[#This Row],[P PU]]</f>
        <v>380</v>
      </c>
      <c r="N70" s="178"/>
      <c r="O70" s="7"/>
      <c r="P70" s="9"/>
      <c r="Q70" s="18">
        <f>T_2[[#This Row],[ACh Qu]]*T_2[[#This Row],[ACh PU]]</f>
        <v>0</v>
      </c>
      <c r="R70" s="21">
        <f>T_2[[#This Row],[P CT]]+T_2[[#This Row],[ACh CT]]</f>
        <v>380</v>
      </c>
      <c r="S70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456</v>
      </c>
      <c r="T70" s="46">
        <f>T_2[[#This Row],[Mt Elligible]]*T_2[[#This Row],[Tx Sub]]</f>
        <v>228</v>
      </c>
    </row>
    <row r="71" spans="1:20">
      <c r="A71" s="187" t="str">
        <f t="shared" si="3"/>
        <v>Lot_2</v>
      </c>
      <c r="B71" s="110" t="str">
        <f>_xlfn.XLOOKUP(T_2[[#This Row],[N° Lot]],Tableau4[NoLot],Tableau4[Lot])</f>
        <v>État de l’art, concertation et positionnent de la norme</v>
      </c>
      <c r="C71" s="167" t="s">
        <v>56</v>
      </c>
      <c r="D71" s="178" t="s">
        <v>121</v>
      </c>
      <c r="F71" s="167" t="s">
        <v>22</v>
      </c>
      <c r="G71" s="189">
        <f>_xlfn.XLOOKUP(T_2[[#This Row],[Partenaires]],Partenaires2[Partenaire],Partenaires2[Tx Ch Connexe])</f>
        <v>0.2</v>
      </c>
      <c r="H71" s="189">
        <f>_xlfn.XLOOKUP(T_2[[#This Row],[Partenaires]],Partenaires2[Partenaire],Partenaires2[Tx Sub])</f>
        <v>0.5</v>
      </c>
      <c r="I71" s="178" t="s">
        <v>202</v>
      </c>
      <c r="J71" s="178" t="s">
        <v>82</v>
      </c>
      <c r="K71" s="5">
        <v>1</v>
      </c>
      <c r="L71" s="4">
        <v>380</v>
      </c>
      <c r="M71" s="18">
        <f>T_2[[#This Row],[P Qu]]*T_2[[#This Row],[P PU]]</f>
        <v>380</v>
      </c>
      <c r="N71" s="178" t="s">
        <v>203</v>
      </c>
      <c r="O71" s="7">
        <v>1</v>
      </c>
      <c r="P71" s="9">
        <v>150</v>
      </c>
      <c r="Q71" s="18">
        <f>T_2[[#This Row],[ACh Qu]]*T_2[[#This Row],[ACh PU]]</f>
        <v>150</v>
      </c>
      <c r="R71" s="21">
        <f>T_2[[#This Row],[P CT]]+T_2[[#This Row],[ACh CT]]</f>
        <v>530</v>
      </c>
      <c r="S71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636</v>
      </c>
      <c r="T71" s="46">
        <f>T_2[[#This Row],[Mt Elligible]]*T_2[[#This Row],[Tx Sub]]</f>
        <v>318</v>
      </c>
    </row>
    <row r="72" spans="1:20">
      <c r="A72" s="187" t="str">
        <f t="shared" si="3"/>
        <v>Lot_2</v>
      </c>
      <c r="B72" s="110" t="str">
        <f>_xlfn.XLOOKUP(T_2[[#This Row],[N° Lot]],Tableau4[NoLot],Tableau4[Lot])</f>
        <v>État de l’art, concertation et positionnent de la norme</v>
      </c>
      <c r="C72" s="167" t="s">
        <v>55</v>
      </c>
      <c r="D72" s="178" t="s">
        <v>114</v>
      </c>
      <c r="F72" s="167" t="s">
        <v>20</v>
      </c>
      <c r="G72" s="189">
        <f>_xlfn.XLOOKUP(T_2[[#This Row],[Partenaires]],Partenaires2[Partenaire],Partenaires2[Tx Ch Connexe])</f>
        <v>0.25</v>
      </c>
      <c r="H72" s="189">
        <f>_xlfn.XLOOKUP(T_2[[#This Row],[Partenaires]],Partenaires2[Partenaire],Partenaires2[Tx Sub])</f>
        <v>0.5</v>
      </c>
      <c r="I72" s="178"/>
      <c r="J72" s="178" t="s">
        <v>82</v>
      </c>
      <c r="K72" s="5">
        <v>4</v>
      </c>
      <c r="L72" s="4">
        <v>350</v>
      </c>
      <c r="M72" s="18">
        <f>T_2[[#This Row],[P Qu]]*T_2[[#This Row],[P PU]]</f>
        <v>1400</v>
      </c>
      <c r="N72" s="178"/>
      <c r="O72" s="7"/>
      <c r="P72" s="9"/>
      <c r="Q72" s="18">
        <f>T_2[[#This Row],[ACh Qu]]*T_2[[#This Row],[ACh PU]]</f>
        <v>0</v>
      </c>
      <c r="R72" s="21">
        <f>T_2[[#This Row],[P CT]]+T_2[[#This Row],[ACh CT]]</f>
        <v>1400</v>
      </c>
      <c r="S72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1750</v>
      </c>
      <c r="T72" s="46">
        <f>T_2[[#This Row],[Mt Elligible]]*T_2[[#This Row],[Tx Sub]]</f>
        <v>875</v>
      </c>
    </row>
    <row r="73" spans="1:20">
      <c r="A73" s="187" t="str">
        <f t="shared" si="3"/>
        <v>Lot_2</v>
      </c>
      <c r="B73" s="110" t="str">
        <f>_xlfn.XLOOKUP(T_2[[#This Row],[N° Lot]],Tableau4[NoLot],Tableau4[Lot])</f>
        <v>État de l’art, concertation et positionnent de la norme</v>
      </c>
      <c r="C73" s="167" t="s">
        <v>56</v>
      </c>
      <c r="D73" s="178" t="s">
        <v>120</v>
      </c>
      <c r="E73" s="178" t="s">
        <v>252</v>
      </c>
      <c r="F73" s="167" t="s">
        <v>20</v>
      </c>
      <c r="G73" s="189">
        <f>_xlfn.XLOOKUP(T_2[[#This Row],[Partenaires]],Partenaires2[Partenaire],Partenaires2[Tx Ch Connexe])</f>
        <v>0.25</v>
      </c>
      <c r="H73" s="189">
        <f>_xlfn.XLOOKUP(T_2[[#This Row],[Partenaires]],Partenaires2[Partenaire],Partenaires2[Tx Sub])</f>
        <v>0.5</v>
      </c>
      <c r="I73" s="178"/>
      <c r="J73" s="178" t="s">
        <v>82</v>
      </c>
      <c r="K73" s="5">
        <v>1</v>
      </c>
      <c r="L73" s="4">
        <v>350</v>
      </c>
      <c r="M73" s="18">
        <f>T_2[[#This Row],[P Qu]]*T_2[[#This Row],[P PU]]</f>
        <v>350</v>
      </c>
      <c r="N73" s="178" t="s">
        <v>253</v>
      </c>
      <c r="O73" s="7">
        <v>1</v>
      </c>
      <c r="P73" s="9">
        <v>150</v>
      </c>
      <c r="Q73" s="18">
        <f>T_2[[#This Row],[ACh Qu]]*T_2[[#This Row],[ACh PU]]</f>
        <v>150</v>
      </c>
      <c r="R73" s="21">
        <f>T_2[[#This Row],[P CT]]+T_2[[#This Row],[ACh CT]]</f>
        <v>500</v>
      </c>
      <c r="S73" s="4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625</v>
      </c>
      <c r="T73" s="46">
        <f>T_2[[#This Row],[Mt Elligible]]*T_2[[#This Row],[Tx Sub]]</f>
        <v>312.5</v>
      </c>
    </row>
    <row r="74" spans="1:20">
      <c r="A74" s="237" t="s">
        <v>31</v>
      </c>
      <c r="B74" s="110" t="str">
        <f>_xlfn.XLOOKUP(T_2[[#This Row],[N° Lot]],Tableau4[NoLot],Tableau4[Lot])</f>
        <v>État de l’art, concertation et positionnent de la norme</v>
      </c>
      <c r="C74" s="238" t="s">
        <v>63</v>
      </c>
      <c r="D74" s="214" t="s">
        <v>129</v>
      </c>
      <c r="E74" s="214"/>
      <c r="F74" s="238" t="s">
        <v>79</v>
      </c>
      <c r="G74" s="189">
        <f>_xlfn.XLOOKUP(T_2[[#This Row],[Partenaires]],Partenaires2[Partenaire],Partenaires2[Tx Ch Connexe])</f>
        <v>0.16</v>
      </c>
      <c r="H74" s="189">
        <f>_xlfn.XLOOKUP(T_2[[#This Row],[Partenaires]],Partenaires2[Partenaire],Partenaires2[Tx Sub])</f>
        <v>0.5</v>
      </c>
      <c r="I74" s="214" t="s">
        <v>238</v>
      </c>
      <c r="J74" s="214" t="s">
        <v>81</v>
      </c>
      <c r="K74" s="5">
        <v>4</v>
      </c>
      <c r="L74" s="4">
        <v>446</v>
      </c>
      <c r="M74" s="18">
        <f>T_2[[#This Row],[P Qu]]*T_2[[#This Row],[P PU]]</f>
        <v>1784</v>
      </c>
      <c r="N74" s="214" t="s">
        <v>242</v>
      </c>
      <c r="O74" s="7">
        <v>2</v>
      </c>
      <c r="P74" s="8">
        <v>150</v>
      </c>
      <c r="Q74" s="18">
        <f>T_2[[#This Row],[ACh Qu]]*T_2[[#This Row],[ACh PU]]</f>
        <v>300</v>
      </c>
      <c r="R74" s="21">
        <f>T_2[[#This Row],[P CT]]+T_2[[#This Row],[ACh CT]]</f>
        <v>2084</v>
      </c>
      <c r="S74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633.44000000000005</v>
      </c>
      <c r="T74" s="216">
        <f>T_2[[#This Row],[Mt Elligible]]*T_2[[#This Row],[Tx Sub]]</f>
        <v>316.72000000000003</v>
      </c>
    </row>
    <row r="75" spans="1:20">
      <c r="A75" s="237" t="str">
        <f t="shared" ref="A75:A80" si="4">A$1</f>
        <v>Lot_2</v>
      </c>
      <c r="B75" s="110" t="str">
        <f>_xlfn.XLOOKUP(T_2[[#This Row],[N° Lot]],Tableau4[NoLot],Tableau4[Lot])</f>
        <v>État de l’art, concertation et positionnent de la norme</v>
      </c>
      <c r="C75" s="238" t="s">
        <v>63</v>
      </c>
      <c r="D75" s="214" t="s">
        <v>129</v>
      </c>
      <c r="E75" s="214"/>
      <c r="F75" s="238" t="s">
        <v>79</v>
      </c>
      <c r="G75" s="189">
        <f>_xlfn.XLOOKUP(T_2[[#This Row],[Partenaires]],Partenaires2[Partenaire],Partenaires2[Tx Ch Connexe])</f>
        <v>0.16</v>
      </c>
      <c r="H75" s="189">
        <f>_xlfn.XLOOKUP(T_2[[#This Row],[Partenaires]],Partenaires2[Partenaire],Partenaires2[Tx Sub])</f>
        <v>0.5</v>
      </c>
      <c r="I75" s="214" t="s">
        <v>241</v>
      </c>
      <c r="J75" s="214" t="s">
        <v>81</v>
      </c>
      <c r="K75" s="5">
        <v>4</v>
      </c>
      <c r="L75" s="4">
        <v>275</v>
      </c>
      <c r="M75" s="18">
        <f>T_2[[#This Row],[P Qu]]*T_2[[#This Row],[P PU]]</f>
        <v>1100</v>
      </c>
      <c r="N75" s="214" t="s">
        <v>242</v>
      </c>
      <c r="O75" s="7">
        <v>2</v>
      </c>
      <c r="P75" s="8">
        <v>150</v>
      </c>
      <c r="Q75" s="18">
        <f>T_2[[#This Row],[ACh Qu]]*T_2[[#This Row],[ACh PU]]</f>
        <v>300</v>
      </c>
      <c r="R75" s="21">
        <f>T_2[[#This Row],[P CT]]+T_2[[#This Row],[ACh CT]]</f>
        <v>1400</v>
      </c>
      <c r="S75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524</v>
      </c>
      <c r="T75" s="216">
        <f>T_2[[#This Row],[Mt Elligible]]*T_2[[#This Row],[Tx Sub]]</f>
        <v>262</v>
      </c>
    </row>
    <row r="76" spans="1:20">
      <c r="A76" s="237" t="str">
        <f t="shared" si="4"/>
        <v>Lot_2</v>
      </c>
      <c r="B76" s="110" t="str">
        <f>_xlfn.XLOOKUP(T_2[[#This Row],[N° Lot]],Tableau4[NoLot],Tableau4[Lot])</f>
        <v>État de l’art, concertation et positionnent de la norme</v>
      </c>
      <c r="C76" s="238" t="s">
        <v>64</v>
      </c>
      <c r="D76" s="214" t="s">
        <v>131</v>
      </c>
      <c r="E76" s="214"/>
      <c r="F76" s="238" t="s">
        <v>79</v>
      </c>
      <c r="G76" s="189">
        <f>_xlfn.XLOOKUP(T_2[[#This Row],[Partenaires]],Partenaires2[Partenaire],Partenaires2[Tx Ch Connexe])</f>
        <v>0.16</v>
      </c>
      <c r="H76" s="189">
        <f>_xlfn.XLOOKUP(T_2[[#This Row],[Partenaires]],Partenaires2[Partenaire],Partenaires2[Tx Sub])</f>
        <v>0.5</v>
      </c>
      <c r="I76" s="214" t="s">
        <v>238</v>
      </c>
      <c r="J76" s="214" t="s">
        <v>81</v>
      </c>
      <c r="K76" s="5">
        <v>2</v>
      </c>
      <c r="L76" s="4">
        <v>446</v>
      </c>
      <c r="M76" s="18">
        <f>T_2[[#This Row],[P Qu]]*T_2[[#This Row],[P PU]]</f>
        <v>892</v>
      </c>
      <c r="N76" s="214"/>
      <c r="O76" s="7"/>
      <c r="P76" s="8"/>
      <c r="Q76" s="18">
        <f>T_2[[#This Row],[ACh Qu]]*T_2[[#This Row],[ACh PU]]</f>
        <v>0</v>
      </c>
      <c r="R76" s="21">
        <f>T_2[[#This Row],[P CT]]+T_2[[#This Row],[ACh CT]]</f>
        <v>892</v>
      </c>
      <c r="S76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142.72</v>
      </c>
      <c r="T76" s="216">
        <f>T_2[[#This Row],[Mt Elligible]]*T_2[[#This Row],[Tx Sub]]</f>
        <v>71.36</v>
      </c>
    </row>
    <row r="77" spans="1:20">
      <c r="A77" s="237" t="str">
        <f t="shared" si="4"/>
        <v>Lot_2</v>
      </c>
      <c r="B77" s="110" t="str">
        <f>_xlfn.XLOOKUP(T_2[[#This Row],[N° Lot]],Tableau4[NoLot],Tableau4[Lot])</f>
        <v>État de l’art, concertation et positionnent de la norme</v>
      </c>
      <c r="C77" s="238" t="s">
        <v>64</v>
      </c>
      <c r="D77" s="214" t="s">
        <v>132</v>
      </c>
      <c r="E77" s="214"/>
      <c r="F77" s="238" t="s">
        <v>79</v>
      </c>
      <c r="G77" s="189">
        <f>_xlfn.XLOOKUP(T_2[[#This Row],[Partenaires]],Partenaires2[Partenaire],Partenaires2[Tx Ch Connexe])</f>
        <v>0.16</v>
      </c>
      <c r="H77" s="189">
        <f>_xlfn.XLOOKUP(T_2[[#This Row],[Partenaires]],Partenaires2[Partenaire],Partenaires2[Tx Sub])</f>
        <v>0.5</v>
      </c>
      <c r="I77" s="214" t="s">
        <v>238</v>
      </c>
      <c r="J77" s="214" t="s">
        <v>81</v>
      </c>
      <c r="K77" s="5">
        <v>2</v>
      </c>
      <c r="L77" s="4">
        <v>446</v>
      </c>
      <c r="M77" s="18">
        <f>T_2[[#This Row],[P Qu]]*T_2[[#This Row],[P PU]]</f>
        <v>892</v>
      </c>
      <c r="N77" s="214"/>
      <c r="O77" s="7"/>
      <c r="P77" s="8"/>
      <c r="Q77" s="18">
        <f>T_2[[#This Row],[ACh Qu]]*T_2[[#This Row],[ACh PU]]</f>
        <v>0</v>
      </c>
      <c r="R77" s="21">
        <f>T_2[[#This Row],[P CT]]+T_2[[#This Row],[ACh CT]]</f>
        <v>892</v>
      </c>
      <c r="S77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142.72</v>
      </c>
      <c r="T77" s="216">
        <f>T_2[[#This Row],[Mt Elligible]]*T_2[[#This Row],[Tx Sub]]</f>
        <v>71.36</v>
      </c>
    </row>
    <row r="78" spans="1:20">
      <c r="A78" s="237" t="str">
        <f t="shared" si="4"/>
        <v>Lot_2</v>
      </c>
      <c r="B78" s="110" t="str">
        <f>_xlfn.XLOOKUP(T_2[[#This Row],[N° Lot]],Tableau4[NoLot],Tableau4[Lot])</f>
        <v>État de l’art, concertation et positionnent de la norme</v>
      </c>
      <c r="C78" s="238" t="s">
        <v>65</v>
      </c>
      <c r="D78" s="214" t="s">
        <v>133</v>
      </c>
      <c r="E78" s="214"/>
      <c r="F78" s="238" t="s">
        <v>79</v>
      </c>
      <c r="G78" s="189">
        <f>_xlfn.XLOOKUP(T_2[[#This Row],[Partenaires]],Partenaires2[Partenaire],Partenaires2[Tx Ch Connexe])</f>
        <v>0.16</v>
      </c>
      <c r="H78" s="189">
        <f>_xlfn.XLOOKUP(T_2[[#This Row],[Partenaires]],Partenaires2[Partenaire],Partenaires2[Tx Sub])</f>
        <v>0.5</v>
      </c>
      <c r="I78" s="214" t="s">
        <v>238</v>
      </c>
      <c r="J78" s="214" t="s">
        <v>81</v>
      </c>
      <c r="K78" s="5">
        <v>2</v>
      </c>
      <c r="L78" s="4">
        <v>446</v>
      </c>
      <c r="M78" s="18">
        <f>T_2[[#This Row],[P Qu]]*T_2[[#This Row],[P PU]]</f>
        <v>892</v>
      </c>
      <c r="N78" s="214"/>
      <c r="O78" s="7"/>
      <c r="P78" s="8"/>
      <c r="Q78" s="18">
        <f>T_2[[#This Row],[ACh Qu]]*T_2[[#This Row],[ACh PU]]</f>
        <v>0</v>
      </c>
      <c r="R78" s="21">
        <f>T_2[[#This Row],[P CT]]+T_2[[#This Row],[ACh CT]]</f>
        <v>892</v>
      </c>
      <c r="S78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142.72</v>
      </c>
      <c r="T78" s="216">
        <f>T_2[[#This Row],[Mt Elligible]]*T_2[[#This Row],[Tx Sub]]</f>
        <v>71.36</v>
      </c>
    </row>
    <row r="79" spans="1:20">
      <c r="A79" s="237" t="str">
        <f t="shared" si="4"/>
        <v>Lot_2</v>
      </c>
      <c r="B79" s="110" t="str">
        <f>_xlfn.XLOOKUP(T_2[[#This Row],[N° Lot]],Tableau4[NoLot],Tableau4[Lot])</f>
        <v>État de l’art, concertation et positionnent de la norme</v>
      </c>
      <c r="C79" s="238" t="s">
        <v>65</v>
      </c>
      <c r="D79" s="214" t="s">
        <v>134</v>
      </c>
      <c r="E79" s="214"/>
      <c r="F79" s="238" t="s">
        <v>79</v>
      </c>
      <c r="G79" s="189">
        <f>_xlfn.XLOOKUP(T_2[[#This Row],[Partenaires]],Partenaires2[Partenaire],Partenaires2[Tx Ch Connexe])</f>
        <v>0.16</v>
      </c>
      <c r="H79" s="189">
        <f>_xlfn.XLOOKUP(T_2[[#This Row],[Partenaires]],Partenaires2[Partenaire],Partenaires2[Tx Sub])</f>
        <v>0.5</v>
      </c>
      <c r="I79" s="214" t="s">
        <v>238</v>
      </c>
      <c r="J79" s="214" t="s">
        <v>81</v>
      </c>
      <c r="K79" s="5">
        <v>5</v>
      </c>
      <c r="L79" s="4">
        <v>446</v>
      </c>
      <c r="M79" s="18">
        <f>T_2[[#This Row],[P Qu]]*T_2[[#This Row],[P PU]]</f>
        <v>2230</v>
      </c>
      <c r="N79" s="214"/>
      <c r="O79" s="7"/>
      <c r="P79" s="8"/>
      <c r="Q79" s="18">
        <f>T_2[[#This Row],[ACh Qu]]*T_2[[#This Row],[ACh PU]]</f>
        <v>0</v>
      </c>
      <c r="R79" s="21">
        <f>T_2[[#This Row],[P CT]]+T_2[[#This Row],[ACh CT]]</f>
        <v>2230</v>
      </c>
      <c r="S79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356.8</v>
      </c>
      <c r="T79" s="216">
        <f>T_2[[#This Row],[Mt Elligible]]*T_2[[#This Row],[Tx Sub]]</f>
        <v>178.4</v>
      </c>
    </row>
    <row r="80" spans="1:20">
      <c r="A80" s="237" t="str">
        <f t="shared" si="4"/>
        <v>Lot_2</v>
      </c>
      <c r="B80" s="110" t="str">
        <f>_xlfn.XLOOKUP(T_2[[#This Row],[N° Lot]],Tableau4[NoLot],Tableau4[Lot])</f>
        <v>État de l’art, concertation et positionnent de la norme</v>
      </c>
      <c r="C80" s="238" t="s">
        <v>65</v>
      </c>
      <c r="D80" s="214" t="s">
        <v>134</v>
      </c>
      <c r="E80" s="214"/>
      <c r="F80" s="238" t="s">
        <v>79</v>
      </c>
      <c r="G80" s="189">
        <f>_xlfn.XLOOKUP(T_2[[#This Row],[Partenaires]],Partenaires2[Partenaire],Partenaires2[Tx Ch Connexe])</f>
        <v>0.16</v>
      </c>
      <c r="H80" s="189">
        <f>_xlfn.XLOOKUP(T_2[[#This Row],[Partenaires]],Partenaires2[Partenaire],Partenaires2[Tx Sub])</f>
        <v>0.5</v>
      </c>
      <c r="I80" s="214" t="s">
        <v>240</v>
      </c>
      <c r="J80" s="214" t="s">
        <v>82</v>
      </c>
      <c r="K80" s="5">
        <v>15</v>
      </c>
      <c r="L80" s="4">
        <v>328</v>
      </c>
      <c r="M80" s="18">
        <f>T_2[[#This Row],[P Qu]]*T_2[[#This Row],[P PU]]</f>
        <v>4920</v>
      </c>
      <c r="N80" s="214"/>
      <c r="O80" s="7"/>
      <c r="P80" s="8"/>
      <c r="Q80" s="18">
        <f>T_2[[#This Row],[ACh Qu]]*T_2[[#This Row],[ACh PU]]</f>
        <v>0</v>
      </c>
      <c r="R80" s="21">
        <f>T_2[[#This Row],[P CT]]+T_2[[#This Row],[ACh CT]]</f>
        <v>4920</v>
      </c>
      <c r="S80" s="216">
        <f>IF(T_2[[#This Row],[Eligible]]="Oui",T_2[[#This Row],[Ct TOTAL]]+T_2[[#This Row],[Ct TOTAL]]*T_2[[#This Row],[Tx Charge Connexe]],T_2[[#This Row],[P CT]]*T_2[[#This Row],[Tx Charge Connexe]]+T_2[[#This Row],[ACh CT]]+T_2[[#This Row],[ACh CT]]*T_2[[#This Row],[Tx Charge Connexe]])</f>
        <v>5707.2</v>
      </c>
      <c r="T80" s="216">
        <f>T_2[[#This Row],[Mt Elligible]]*T_2[[#This Row],[Tx Sub]]</f>
        <v>2853.6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F3:H80" xr:uid="{00000000-0002-0000-0000-000002000000}">
      <formula1>Partenaires</formula1>
    </dataValidation>
    <dataValidation type="list" allowBlank="1" showInputMessage="1" showErrorMessage="1" sqref="A3:A80" xr:uid="{00000000-0002-0000-0000-000000000000}">
      <formula1>NoLot</formula1>
    </dataValidation>
    <dataValidation type="list" allowBlank="1" showInputMessage="1" showErrorMessage="1" sqref="C3:C80" xr:uid="{00000000-0002-0000-0000-000001000000}">
      <formula1>INDIRECT(A3)</formula1>
    </dataValidation>
    <dataValidation type="list" allowBlank="1" showInputMessage="1" showErrorMessage="1" sqref="D3:D80" xr:uid="{F5132A02-A3EB-4D25-B555-B7DEDB6A38F0}">
      <formula1 xml:space="preserve"> INDIRECT(C3)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6A7D32-9127-40F8-91F2-0F9762918C7F}">
          <x14:formula1>
            <xm:f>Liste!$H$3:$H$4</xm:f>
          </x14:formula1>
          <xm:sqref>J3:J38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9" tint="0.39997558519241921"/>
  </sheetPr>
  <dimension ref="A1:T87"/>
  <sheetViews>
    <sheetView topLeftCell="B1" zoomScale="90" zoomScaleNormal="90" workbookViewId="0">
      <pane ySplit="2" topLeftCell="A3" activePane="bottomLeft" state="frozenSplit"/>
      <selection activeCell="G7" sqref="G7"/>
      <selection pane="bottomLeft" activeCell="R95" sqref="R95"/>
    </sheetView>
  </sheetViews>
  <sheetFormatPr baseColWidth="10" defaultRowHeight="15"/>
  <cols>
    <col min="1" max="1" width="6.7109375" style="1" customWidth="1"/>
    <col min="2" max="2" width="20.28515625" style="3" customWidth="1"/>
    <col min="3" max="3" width="28" style="178" customWidth="1"/>
    <col min="4" max="4" width="24" style="178" customWidth="1"/>
    <col min="5" max="5" width="28.85546875" style="178" customWidth="1"/>
    <col min="6" max="6" width="17" style="1" customWidth="1"/>
    <col min="7" max="7" width="13" style="190" customWidth="1"/>
    <col min="8" max="8" width="7.140625" style="190" customWidth="1"/>
    <col min="9" max="9" width="17.42578125" style="1" customWidth="1"/>
    <col min="10" max="10" width="5.85546875" style="1" customWidth="1"/>
    <col min="11" max="11" width="7.42578125" style="1" customWidth="1"/>
    <col min="12" max="12" width="11.85546875" style="1" bestFit="1" customWidth="1"/>
    <col min="13" max="13" width="15.28515625" style="25" customWidth="1"/>
    <col min="14" max="14" width="14.42578125" style="1" customWidth="1"/>
    <col min="15" max="15" width="11.42578125" style="5"/>
    <col min="16" max="16" width="11.42578125" style="1"/>
    <col min="17" max="17" width="13" style="25" customWidth="1"/>
    <col min="18" max="18" width="14" style="3" customWidth="1"/>
    <col min="19" max="16384" width="11.42578125" style="1"/>
  </cols>
  <sheetData>
    <row r="1" spans="1:20" s="10" customFormat="1" ht="36.75" customHeight="1">
      <c r="A1" s="33" t="s">
        <v>32</v>
      </c>
      <c r="G1" s="188"/>
      <c r="H1" s="188"/>
      <c r="I1" s="239" t="s">
        <v>47</v>
      </c>
      <c r="J1" s="239"/>
      <c r="K1" s="239"/>
      <c r="L1" s="239"/>
      <c r="M1" s="239"/>
      <c r="N1" s="20" t="s">
        <v>4</v>
      </c>
      <c r="O1" s="20"/>
      <c r="P1" s="20"/>
      <c r="Q1" s="26"/>
      <c r="R1" s="22" t="s">
        <v>42</v>
      </c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0" t="s">
        <v>37</v>
      </c>
      <c r="F2" s="10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10" t="s">
        <v>11</v>
      </c>
      <c r="M2" s="28" t="s">
        <v>12</v>
      </c>
      <c r="N2" s="13" t="s">
        <v>5</v>
      </c>
      <c r="O2" s="14" t="s">
        <v>6</v>
      </c>
      <c r="P2" s="13" t="s">
        <v>7</v>
      </c>
      <c r="Q2" s="27" t="s">
        <v>8</v>
      </c>
      <c r="R2" s="10" t="s">
        <v>13</v>
      </c>
      <c r="S2" s="50" t="s">
        <v>83</v>
      </c>
      <c r="T2" s="50" t="s">
        <v>84</v>
      </c>
    </row>
    <row r="3" spans="1:20" hidden="1">
      <c r="A3" s="23" t="str">
        <f>'[1]Lot 3'!A30</f>
        <v>Lot_3</v>
      </c>
      <c r="B3" s="113" t="str">
        <f>'[1]Lot 3'!B30</f>
        <v>Carte d’identité des granulats végétaux</v>
      </c>
      <c r="C3" s="178" t="str">
        <f>'[1]Lot 3'!C30</f>
        <v>T1_Validation_des_caractéristiques_pertinentes</v>
      </c>
      <c r="D3" s="178" t="s">
        <v>123</v>
      </c>
      <c r="E3" s="178">
        <f>'[1]Lot 3'!E30</f>
        <v>0</v>
      </c>
      <c r="F3" s="169" t="str">
        <f>'[1]Lot 3'!F30</f>
        <v>AKTA</v>
      </c>
      <c r="G3" s="54">
        <f>_xlfn.XLOOKUP(T_3[[#This Row],[Partenaires]],Partenaires2[Partenaire],Partenaires2[Tx Ch Connexe])</f>
        <v>0.25</v>
      </c>
      <c r="H3" s="54">
        <f>_xlfn.XLOOKUP(T_3[[#This Row],[Partenaires]],Partenaires2[Partenaire],Partenaires2[Tx Sub])</f>
        <v>0.7</v>
      </c>
      <c r="I3" s="1">
        <f>'[1]Lot 3'!I30</f>
        <v>0</v>
      </c>
      <c r="J3" s="1" t="str">
        <f>'[1]Lot 3'!J30</f>
        <v>Oui</v>
      </c>
      <c r="K3" s="5">
        <f>'[1]Lot 3'!K30</f>
        <v>2.5</v>
      </c>
      <c r="L3" s="4">
        <f>'[1]Lot 3'!L30</f>
        <v>490</v>
      </c>
      <c r="M3" s="24">
        <f>T_3[[#This Row],[P Qu]]*T_3[[#This Row],[P PU]]</f>
        <v>1225</v>
      </c>
      <c r="N3" s="6">
        <f>'[1]Lot 3'!N30</f>
        <v>0</v>
      </c>
      <c r="O3" s="7">
        <f>'[1]Lot 3'!O30</f>
        <v>0</v>
      </c>
      <c r="P3" s="8">
        <f>'[1]Lot 3'!P30</f>
        <v>0</v>
      </c>
      <c r="Q3" s="24">
        <f>T_3[[#This Row],[ACh Qu]]*T_3[[#This Row],[ACh PU]]</f>
        <v>0</v>
      </c>
      <c r="R3" s="29">
        <f>T_3[[#This Row],[P CT]]+T_3[[#This Row],[ACh CT]]</f>
        <v>1225</v>
      </c>
      <c r="S3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1531.25</v>
      </c>
      <c r="T3" s="52">
        <f>T_3[[#This Row],[Mt Elligible]]*T_3[[#This Row],[Tx Sub]]</f>
        <v>1071.875</v>
      </c>
    </row>
    <row r="4" spans="1:20">
      <c r="A4" s="23" t="str">
        <f>A$1</f>
        <v>Lot_3</v>
      </c>
      <c r="B4" s="113" t="str">
        <f>_xlfn.XLOOKUP(T_3[[#This Row],[N° Lot]],Tableau4[NoLot],Tableau4[Lot])</f>
        <v>Carte d’identité des granulats végétaux</v>
      </c>
      <c r="C4" s="167" t="s">
        <v>60</v>
      </c>
      <c r="D4" s="178" t="s">
        <v>123</v>
      </c>
      <c r="F4" s="34" t="s">
        <v>38</v>
      </c>
      <c r="G4" s="54">
        <f>_xlfn.XLOOKUP(T_3[[#This Row],[Partenaires]],Partenaires2[Partenaire],Partenaires2[Tx Ch Connexe])</f>
        <v>0.22</v>
      </c>
      <c r="H4" s="54">
        <f>_xlfn.XLOOKUP(T_3[[#This Row],[Partenaires]],Partenaires2[Partenaire],Partenaires2[Tx Sub])</f>
        <v>0.7</v>
      </c>
      <c r="I4" s="1" t="s">
        <v>46</v>
      </c>
      <c r="J4" s="1" t="s">
        <v>82</v>
      </c>
      <c r="K4" s="5">
        <v>1</v>
      </c>
      <c r="L4" s="4">
        <v>406</v>
      </c>
      <c r="M4" s="24">
        <f>T_3[[#This Row],[P Qu]]*T_3[[#This Row],[P PU]]</f>
        <v>406</v>
      </c>
      <c r="N4" s="6"/>
      <c r="O4" s="7"/>
      <c r="P4" s="8"/>
      <c r="Q4" s="24">
        <f>T_3[[#This Row],[ACh Qu]]*T_3[[#This Row],[ACh PU]]</f>
        <v>0</v>
      </c>
      <c r="R4" s="29">
        <f>T_3[[#This Row],[P CT]]+T_3[[#This Row],[ACh CT]]</f>
        <v>406</v>
      </c>
      <c r="S4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495.32</v>
      </c>
      <c r="T4" s="52">
        <f>T_3[[#This Row],[Mt Elligible]]*T_3[[#This Row],[Tx Sub]]</f>
        <v>346.72399999999999</v>
      </c>
    </row>
    <row r="5" spans="1:20" hidden="1">
      <c r="A5" s="23" t="str">
        <f>A$1</f>
        <v>Lot_3</v>
      </c>
      <c r="B5" s="113" t="str">
        <f>_xlfn.XLOOKUP(T_3[[#This Row],[N° Lot]],Tableau4[NoLot],Tableau4[Lot])</f>
        <v>Carte d’identité des granulats végétaux</v>
      </c>
      <c r="C5" s="178" t="str">
        <f>'[2]Lot 3'!C3</f>
        <v>T1_Validation_des_caractéristiques_pertinentes</v>
      </c>
      <c r="D5" s="178" t="s">
        <v>123</v>
      </c>
      <c r="E5" s="178" t="str">
        <f>'[2]Lot 3'!E3</f>
        <v>2 réunions de concertation par rapport aux granulats tests</v>
      </c>
      <c r="F5" s="169" t="str">
        <f>'[2]Lot 3'!F3</f>
        <v>CEREMA</v>
      </c>
      <c r="G5" s="54">
        <f>_xlfn.XLOOKUP(T_3[[#This Row],[Partenaires]],Partenaires2[Partenaire],Partenaires2[Tx Ch Connexe])</f>
        <v>0.25</v>
      </c>
      <c r="H5" s="54">
        <f>_xlfn.XLOOKUP(T_3[[#This Row],[Partenaires]],Partenaires2[Partenaire],Partenaires2[Tx Sub])</f>
        <v>0.5</v>
      </c>
      <c r="I5" s="1" t="str">
        <f>'[2]Lot 3'!I3</f>
        <v>Expert</v>
      </c>
      <c r="J5" s="1" t="str">
        <f>'[2]Lot 3'!J3</f>
        <v>Non</v>
      </c>
      <c r="K5" s="5">
        <f>'[2]Lot 3'!K3</f>
        <v>2</v>
      </c>
      <c r="L5" s="4">
        <f>'[2]Lot 3'!L3</f>
        <v>792</v>
      </c>
      <c r="M5" s="24">
        <f>T_3[[#This Row],[P Qu]]*T_3[[#This Row],[P PU]]</f>
        <v>1584</v>
      </c>
      <c r="N5" s="6">
        <f>'[2]Lot 3'!N3</f>
        <v>0</v>
      </c>
      <c r="O5" s="7">
        <f>'[2]Lot 3'!O3</f>
        <v>0</v>
      </c>
      <c r="P5" s="8">
        <f>'[2]Lot 3'!P3</f>
        <v>0</v>
      </c>
      <c r="Q5" s="191">
        <f>T_3[[#This Row],[ACh Qu]]*T_3[[#This Row],[ACh PU]]</f>
        <v>0</v>
      </c>
      <c r="R5" s="192">
        <f>T_3[[#This Row],[P CT]]+T_3[[#This Row],[ACh CT]]</f>
        <v>1584</v>
      </c>
      <c r="S5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396</v>
      </c>
      <c r="T5" s="52">
        <f>T_3[[#This Row],[Mt Elligible]]*T_3[[#This Row],[Tx Sub]]</f>
        <v>198</v>
      </c>
    </row>
    <row r="6" spans="1:20" hidden="1">
      <c r="A6" s="23" t="str">
        <f>A$1</f>
        <v>Lot_3</v>
      </c>
      <c r="B6" s="113" t="str">
        <f>_xlfn.XLOOKUP(T_3[[#This Row],[N° Lot]],Tableau4[NoLot],Tableau4[Lot])</f>
        <v>Carte d’identité des granulats végétaux</v>
      </c>
      <c r="C6" s="178" t="str">
        <f>'[2]Lot 3'!C4</f>
        <v>T1_Validation_des_caractéristiques_pertinentes</v>
      </c>
      <c r="D6" s="178" t="s">
        <v>123</v>
      </c>
      <c r="E6" s="178" t="str">
        <f>'[2]Lot 3'!E4</f>
        <v>2 réunions de concertation par rapport aux granulats tests</v>
      </c>
      <c r="F6" s="169" t="str">
        <f>'[2]Lot 3'!F4</f>
        <v>CEREMA</v>
      </c>
      <c r="G6" s="54">
        <f>_xlfn.XLOOKUP(T_3[[#This Row],[Partenaires]],Partenaires2[Partenaire],Partenaires2[Tx Ch Connexe])</f>
        <v>0.25</v>
      </c>
      <c r="H6" s="54">
        <f>_xlfn.XLOOKUP(T_3[[#This Row],[Partenaires]],Partenaires2[Partenaire],Partenaires2[Tx Sub])</f>
        <v>0.5</v>
      </c>
      <c r="I6" s="1" t="str">
        <f>'[2]Lot 3'!I4</f>
        <v>Ingénieur</v>
      </c>
      <c r="J6" s="1" t="str">
        <f>'[2]Lot 3'!J4</f>
        <v>Non</v>
      </c>
      <c r="K6" s="5">
        <f>'[2]Lot 3'!K4</f>
        <v>2</v>
      </c>
      <c r="L6" s="4">
        <f>'[2]Lot 3'!L4</f>
        <v>376</v>
      </c>
      <c r="M6" s="24">
        <f>T_3[[#This Row],[P Qu]]*T_3[[#This Row],[P PU]]</f>
        <v>752</v>
      </c>
      <c r="N6" s="6">
        <f>'[2]Lot 3'!N4</f>
        <v>0</v>
      </c>
      <c r="O6" s="7">
        <f>'[2]Lot 3'!O4</f>
        <v>0</v>
      </c>
      <c r="P6" s="8">
        <f>'[2]Lot 3'!P4</f>
        <v>0</v>
      </c>
      <c r="Q6" s="191">
        <f>T_3[[#This Row],[ACh Qu]]*T_3[[#This Row],[ACh PU]]</f>
        <v>0</v>
      </c>
      <c r="R6" s="192">
        <f>T_3[[#This Row],[P CT]]+T_3[[#This Row],[ACh CT]]</f>
        <v>752</v>
      </c>
      <c r="S6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188</v>
      </c>
      <c r="T6" s="52">
        <f>T_3[[#This Row],[Mt Elligible]]*T_3[[#This Row],[Tx Sub]]</f>
        <v>94</v>
      </c>
    </row>
    <row r="7" spans="1:20" hidden="1">
      <c r="A7" s="23" t="str">
        <f>A$1</f>
        <v>Lot_3</v>
      </c>
      <c r="B7" s="113" t="str">
        <f>_xlfn.XLOOKUP(T_3[[#This Row],[N° Lot]],Tableau4[NoLot],Tableau4[Lot])</f>
        <v>Carte d’identité des granulats végétaux</v>
      </c>
      <c r="C7" s="167" t="s">
        <v>60</v>
      </c>
      <c r="D7" s="178" t="s">
        <v>123</v>
      </c>
      <c r="F7" s="34" t="s">
        <v>16</v>
      </c>
      <c r="G7" s="54">
        <f>_xlfn.XLOOKUP(T_3[[#This Row],[Partenaires]],Partenaires2[Partenaire],Partenaires2[Tx Ch Connexe])</f>
        <v>0.25</v>
      </c>
      <c r="H7" s="54">
        <f>_xlfn.XLOOKUP(T_3[[#This Row],[Partenaires]],Partenaires2[Partenaire],Partenaires2[Tx Sub])</f>
        <v>0.7</v>
      </c>
      <c r="J7" s="1" t="s">
        <v>82</v>
      </c>
      <c r="K7" s="5"/>
      <c r="L7" s="4"/>
      <c r="M7" s="24">
        <f>T_3[[#This Row],[P Qu]]*T_3[[#This Row],[P PU]]</f>
        <v>0</v>
      </c>
      <c r="N7" s="6" t="s">
        <v>163</v>
      </c>
      <c r="O7" s="7">
        <v>1</v>
      </c>
      <c r="P7" s="8">
        <v>520</v>
      </c>
      <c r="Q7" s="24">
        <f>T_3[[#This Row],[ACh Qu]]*T_3[[#This Row],[ACh PU]]</f>
        <v>520</v>
      </c>
      <c r="R7" s="29">
        <f>T_3[[#This Row],[P CT]]+T_3[[#This Row],[ACh CT]]</f>
        <v>520</v>
      </c>
      <c r="S7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650</v>
      </c>
      <c r="T7" s="52">
        <f>T_3[[#This Row],[Mt Elligible]]*T_3[[#This Row],[Tx Sub]]</f>
        <v>454.99999999999994</v>
      </c>
    </row>
    <row r="8" spans="1:20">
      <c r="A8" s="23" t="str">
        <f>A$1</f>
        <v>Lot_3</v>
      </c>
      <c r="B8" s="113" t="str">
        <f>_xlfn.XLOOKUP(T_3[[#This Row],[N° Lot]],Tableau4[NoLot],Tableau4[Lot])</f>
        <v>Carte d’identité des granulats végétaux</v>
      </c>
      <c r="C8" s="167" t="s">
        <v>60</v>
      </c>
      <c r="D8" s="178" t="s">
        <v>124</v>
      </c>
      <c r="F8" s="34" t="s">
        <v>38</v>
      </c>
      <c r="G8" s="54">
        <f>_xlfn.XLOOKUP(T_3[[#This Row],[Partenaires]],Partenaires2[Partenaire],Partenaires2[Tx Ch Connexe])</f>
        <v>0.22</v>
      </c>
      <c r="H8" s="54">
        <f>_xlfn.XLOOKUP(T_3[[#This Row],[Partenaires]],Partenaires2[Partenaire],Partenaires2[Tx Sub])</f>
        <v>0.7</v>
      </c>
      <c r="I8" s="1" t="s">
        <v>46</v>
      </c>
      <c r="J8" s="1" t="s">
        <v>82</v>
      </c>
      <c r="K8" s="5">
        <v>1</v>
      </c>
      <c r="L8" s="4">
        <v>406</v>
      </c>
      <c r="M8" s="24">
        <f>T_3[[#This Row],[P Qu]]*T_3[[#This Row],[P PU]]</f>
        <v>406</v>
      </c>
      <c r="N8" s="6"/>
      <c r="O8" s="7"/>
      <c r="P8" s="8"/>
      <c r="Q8" s="24">
        <f>T_3[[#This Row],[ACh Qu]]*T_3[[#This Row],[ACh PU]]</f>
        <v>0</v>
      </c>
      <c r="R8" s="29">
        <f>T_3[[#This Row],[P CT]]+T_3[[#This Row],[ACh CT]]</f>
        <v>406</v>
      </c>
      <c r="S8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495.32</v>
      </c>
      <c r="T8" s="52">
        <f>T_3[[#This Row],[Mt Elligible]]*T_3[[#This Row],[Tx Sub]]</f>
        <v>346.72399999999999</v>
      </c>
    </row>
    <row r="9" spans="1:20" hidden="1">
      <c r="A9" s="23" t="str">
        <f>'[1]Lot 3'!A31</f>
        <v>Lot_3</v>
      </c>
      <c r="B9" s="113" t="str">
        <f>'[1]Lot 3'!B31</f>
        <v>Carte d’identité des granulats végétaux</v>
      </c>
      <c r="C9" s="178" t="str">
        <f>'[1]Lot 3'!C31</f>
        <v>T1_Validation_des_caractéristiques_pertinentes</v>
      </c>
      <c r="D9" s="178" t="s">
        <v>124</v>
      </c>
      <c r="E9" s="178">
        <f>'[1]Lot 3'!E31</f>
        <v>0</v>
      </c>
      <c r="F9" s="169" t="str">
        <f>'[1]Lot 3'!F31</f>
        <v>AKTA</v>
      </c>
      <c r="G9" s="54">
        <f>_xlfn.XLOOKUP(T_3[[#This Row],[Partenaires]],Partenaires2[Partenaire],Partenaires2[Tx Ch Connexe])</f>
        <v>0.25</v>
      </c>
      <c r="H9" s="54">
        <f>_xlfn.XLOOKUP(T_3[[#This Row],[Partenaires]],Partenaires2[Partenaire],Partenaires2[Tx Sub])</f>
        <v>0.7</v>
      </c>
      <c r="I9" s="1">
        <f>'[1]Lot 3'!I31</f>
        <v>0</v>
      </c>
      <c r="J9" s="1" t="str">
        <f>'[1]Lot 3'!J31</f>
        <v>Oui</v>
      </c>
      <c r="K9" s="5">
        <f>'[1]Lot 3'!K31</f>
        <v>3</v>
      </c>
      <c r="L9" s="4">
        <f>'[1]Lot 3'!L31</f>
        <v>490</v>
      </c>
      <c r="M9" s="24">
        <f>T_3[[#This Row],[P Qu]]*T_3[[#This Row],[P PU]]</f>
        <v>1470</v>
      </c>
      <c r="N9" s="6">
        <f>'[1]Lot 3'!N31</f>
        <v>0</v>
      </c>
      <c r="O9" s="7">
        <f>'[1]Lot 3'!O31</f>
        <v>0</v>
      </c>
      <c r="P9" s="8">
        <f>'[1]Lot 3'!P31</f>
        <v>0</v>
      </c>
      <c r="Q9" s="24">
        <f>T_3[[#This Row],[ACh Qu]]*T_3[[#This Row],[ACh PU]]</f>
        <v>0</v>
      </c>
      <c r="R9" s="29">
        <f>T_3[[#This Row],[P CT]]+T_3[[#This Row],[ACh CT]]</f>
        <v>1470</v>
      </c>
      <c r="S9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1837.5</v>
      </c>
      <c r="T9" s="52">
        <f>T_3[[#This Row],[Mt Elligible]]*T_3[[#This Row],[Tx Sub]]</f>
        <v>1286.25</v>
      </c>
    </row>
    <row r="10" spans="1:20">
      <c r="A10" s="23" t="str">
        <f>A$1</f>
        <v>Lot_3</v>
      </c>
      <c r="B10" s="113" t="str">
        <f>_xlfn.XLOOKUP(T_3[[#This Row],[N° Lot]],Tableau4[NoLot],Tableau4[Lot])</f>
        <v>Carte d’identité des granulats végétaux</v>
      </c>
      <c r="C10" s="167" t="s">
        <v>60</v>
      </c>
      <c r="D10" s="178" t="s">
        <v>125</v>
      </c>
      <c r="E10" s="178" t="s">
        <v>158</v>
      </c>
      <c r="F10" s="34" t="s">
        <v>38</v>
      </c>
      <c r="G10" s="54">
        <f>_xlfn.XLOOKUP(T_3[[#This Row],[Partenaires]],Partenaires2[Partenaire],Partenaires2[Tx Ch Connexe])</f>
        <v>0.22</v>
      </c>
      <c r="H10" s="54">
        <f>_xlfn.XLOOKUP(T_3[[#This Row],[Partenaires]],Partenaires2[Partenaire],Partenaires2[Tx Sub])</f>
        <v>0.7</v>
      </c>
      <c r="I10" s="1" t="s">
        <v>46</v>
      </c>
      <c r="J10" s="1" t="s">
        <v>82</v>
      </c>
      <c r="K10" s="5">
        <v>0.5</v>
      </c>
      <c r="L10" s="4">
        <v>406</v>
      </c>
      <c r="M10" s="24">
        <f>T_3[[#This Row],[P Qu]]*T_3[[#This Row],[P PU]]</f>
        <v>203</v>
      </c>
      <c r="N10" s="6"/>
      <c r="O10" s="7"/>
      <c r="P10" s="8"/>
      <c r="Q10" s="24">
        <f>T_3[[#This Row],[ACh Qu]]*T_3[[#This Row],[ACh PU]]</f>
        <v>0</v>
      </c>
      <c r="R10" s="29">
        <f>T_3[[#This Row],[P CT]]+T_3[[#This Row],[ACh CT]]</f>
        <v>203</v>
      </c>
      <c r="S10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247.66</v>
      </c>
      <c r="T10" s="52">
        <f>T_3[[#This Row],[Mt Elligible]]*T_3[[#This Row],[Tx Sub]]</f>
        <v>173.36199999999999</v>
      </c>
    </row>
    <row r="11" spans="1:20" hidden="1">
      <c r="A11" s="23" t="str">
        <f>A$1</f>
        <v>Lot_3</v>
      </c>
      <c r="B11" s="113" t="str">
        <f>_xlfn.XLOOKUP(T_3[[#This Row],[N° Lot]],Tableau4[NoLot],Tableau4[Lot])</f>
        <v>Carte d’identité des granulats végétaux</v>
      </c>
      <c r="C11" s="178" t="str">
        <f>'[2]Lot 3'!C5</f>
        <v>T1_Validation_des_caractéristiques_pertinentes</v>
      </c>
      <c r="D11" s="178" t="s">
        <v>124</v>
      </c>
      <c r="E11" s="178" t="str">
        <f>'[2]Lot 3'!E5</f>
        <v>Réunion d’échanges pour les autres granulats</v>
      </c>
      <c r="F11" s="36" t="str">
        <f>'[2]Lot 3'!F5</f>
        <v>CEREMA</v>
      </c>
      <c r="G11" s="54">
        <f>_xlfn.XLOOKUP(T_3[[#This Row],[Partenaires]],Partenaires2[Partenaire],Partenaires2[Tx Ch Connexe])</f>
        <v>0.25</v>
      </c>
      <c r="H11" s="54">
        <f>_xlfn.XLOOKUP(T_3[[#This Row],[Partenaires]],Partenaires2[Partenaire],Partenaires2[Tx Sub])</f>
        <v>0.5</v>
      </c>
      <c r="I11" s="1" t="str">
        <f>'[2]Lot 3'!I5</f>
        <v>Expert</v>
      </c>
      <c r="J11" s="1" t="str">
        <f>'[2]Lot 3'!J5</f>
        <v>Non</v>
      </c>
      <c r="K11" s="5">
        <f>'[2]Lot 3'!K5</f>
        <v>1</v>
      </c>
      <c r="L11" s="4">
        <f>'[2]Lot 3'!L5</f>
        <v>792</v>
      </c>
      <c r="M11" s="24">
        <f>T_3[[#This Row],[P Qu]]*T_3[[#This Row],[P PU]]</f>
        <v>792</v>
      </c>
      <c r="N11" s="6">
        <f>'[2]Lot 3'!N5</f>
        <v>0</v>
      </c>
      <c r="O11" s="7">
        <f>'[2]Lot 3'!O5</f>
        <v>0</v>
      </c>
      <c r="P11" s="8">
        <f>'[2]Lot 3'!P5</f>
        <v>0</v>
      </c>
      <c r="Q11" s="191">
        <f>T_3[[#This Row],[ACh Qu]]*T_3[[#This Row],[ACh PU]]</f>
        <v>0</v>
      </c>
      <c r="R11" s="192">
        <f>T_3[[#This Row],[P CT]]+T_3[[#This Row],[ACh CT]]</f>
        <v>792</v>
      </c>
      <c r="S11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198</v>
      </c>
      <c r="T11" s="52">
        <f>T_3[[#This Row],[Mt Elligible]]*T_3[[#This Row],[Tx Sub]]</f>
        <v>99</v>
      </c>
    </row>
    <row r="12" spans="1:20" hidden="1">
      <c r="A12" s="23" t="str">
        <f>A$1</f>
        <v>Lot_3</v>
      </c>
      <c r="B12" s="113" t="str">
        <f>_xlfn.XLOOKUP(T_3[[#This Row],[N° Lot]],Tableau4[NoLot],Tableau4[Lot])</f>
        <v>Carte d’identité des granulats végétaux</v>
      </c>
      <c r="C12" s="178" t="str">
        <f>'[2]Lot 3'!C6</f>
        <v>T1_Validation_des_caractéristiques_pertinentes</v>
      </c>
      <c r="D12" s="178" t="s">
        <v>124</v>
      </c>
      <c r="E12" s="178" t="str">
        <f>'[2]Lot 3'!E6</f>
        <v>Réunion d’échanges pour les autres granulats</v>
      </c>
      <c r="F12" s="36" t="str">
        <f>'[2]Lot 3'!F6</f>
        <v>CEREMA</v>
      </c>
      <c r="G12" s="54">
        <f>_xlfn.XLOOKUP(T_3[[#This Row],[Partenaires]],Partenaires2[Partenaire],Partenaires2[Tx Ch Connexe])</f>
        <v>0.25</v>
      </c>
      <c r="H12" s="54">
        <f>_xlfn.XLOOKUP(T_3[[#This Row],[Partenaires]],Partenaires2[Partenaire],Partenaires2[Tx Sub])</f>
        <v>0.5</v>
      </c>
      <c r="I12" s="1" t="str">
        <f>'[2]Lot 3'!I6</f>
        <v>Ingénieur</v>
      </c>
      <c r="J12" s="1" t="str">
        <f>'[2]Lot 3'!J6</f>
        <v>Non</v>
      </c>
      <c r="K12" s="5">
        <f>'[2]Lot 3'!K6</f>
        <v>1</v>
      </c>
      <c r="L12" s="4">
        <f>'[2]Lot 3'!L6</f>
        <v>376</v>
      </c>
      <c r="M12" s="24">
        <f>T_3[[#This Row],[P Qu]]*T_3[[#This Row],[P PU]]</f>
        <v>376</v>
      </c>
      <c r="N12" s="6">
        <f>'[2]Lot 3'!N6</f>
        <v>0</v>
      </c>
      <c r="O12" s="7">
        <f>'[2]Lot 3'!O6</f>
        <v>0</v>
      </c>
      <c r="P12" s="8">
        <f>'[2]Lot 3'!P6</f>
        <v>0</v>
      </c>
      <c r="Q12" s="191">
        <f>T_3[[#This Row],[ACh Qu]]*T_3[[#This Row],[ACh PU]]</f>
        <v>0</v>
      </c>
      <c r="R12" s="192">
        <f>T_3[[#This Row],[P CT]]+T_3[[#This Row],[ACh CT]]</f>
        <v>376</v>
      </c>
      <c r="S12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94</v>
      </c>
      <c r="T12" s="52">
        <f>T_3[[#This Row],[Mt Elligible]]*T_3[[#This Row],[Tx Sub]]</f>
        <v>47</v>
      </c>
    </row>
    <row r="13" spans="1:20" hidden="1">
      <c r="A13" s="23" t="str">
        <f>A$1</f>
        <v>Lot_3</v>
      </c>
      <c r="B13" s="113" t="str">
        <f>_xlfn.XLOOKUP(T_3[[#This Row],[N° Lot]],Tableau4[NoLot],Tableau4[Lot])</f>
        <v>Carte d’identité des granulats végétaux</v>
      </c>
      <c r="C13" s="167" t="s">
        <v>60</v>
      </c>
      <c r="D13" s="178" t="s">
        <v>124</v>
      </c>
      <c r="F13" s="34" t="s">
        <v>16</v>
      </c>
      <c r="G13" s="54">
        <f>_xlfn.XLOOKUP(T_3[[#This Row],[Partenaires]],Partenaires2[Partenaire],Partenaires2[Tx Ch Connexe])</f>
        <v>0.25</v>
      </c>
      <c r="H13" s="54">
        <f>_xlfn.XLOOKUP(T_3[[#This Row],[Partenaires]],Partenaires2[Partenaire],Partenaires2[Tx Sub])</f>
        <v>0.7</v>
      </c>
      <c r="J13" s="1" t="s">
        <v>82</v>
      </c>
      <c r="K13" s="5"/>
      <c r="L13" s="4"/>
      <c r="M13" s="24">
        <f>T_3[[#This Row],[P Qu]]*T_3[[#This Row],[P PU]]</f>
        <v>0</v>
      </c>
      <c r="N13" s="6" t="s">
        <v>163</v>
      </c>
      <c r="O13" s="7">
        <v>1</v>
      </c>
      <c r="P13" s="8">
        <v>520</v>
      </c>
      <c r="Q13" s="24">
        <f>T_3[[#This Row],[ACh Qu]]*T_3[[#This Row],[ACh PU]]</f>
        <v>520</v>
      </c>
      <c r="R13" s="29">
        <f>T_3[[#This Row],[P CT]]+T_3[[#This Row],[ACh CT]]</f>
        <v>520</v>
      </c>
      <c r="S13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650</v>
      </c>
      <c r="T13" s="52">
        <f>T_3[[#This Row],[Mt Elligible]]*T_3[[#This Row],[Tx Sub]]</f>
        <v>454.99999999999994</v>
      </c>
    </row>
    <row r="14" spans="1:20">
      <c r="A14" s="23" t="str">
        <f>A$1</f>
        <v>Lot_3</v>
      </c>
      <c r="B14" s="113" t="str">
        <f>_xlfn.XLOOKUP(T_3[[#This Row],[N° Lot]],Tableau4[NoLot],Tableau4[Lot])</f>
        <v>Carte d’identité des granulats végétaux</v>
      </c>
      <c r="C14" s="167" t="s">
        <v>61</v>
      </c>
      <c r="D14" s="178" t="s">
        <v>142</v>
      </c>
      <c r="E14" s="178" t="s">
        <v>158</v>
      </c>
      <c r="F14" s="34" t="s">
        <v>38</v>
      </c>
      <c r="G14" s="54">
        <f>_xlfn.XLOOKUP(T_3[[#This Row],[Partenaires]],Partenaires2[Partenaire],Partenaires2[Tx Ch Connexe])</f>
        <v>0.22</v>
      </c>
      <c r="H14" s="54">
        <f>_xlfn.XLOOKUP(T_3[[#This Row],[Partenaires]],Partenaires2[Partenaire],Partenaires2[Tx Sub])</f>
        <v>0.7</v>
      </c>
      <c r="I14" s="1" t="s">
        <v>46</v>
      </c>
      <c r="J14" s="1" t="s">
        <v>82</v>
      </c>
      <c r="K14" s="5">
        <v>1</v>
      </c>
      <c r="L14" s="4">
        <v>406</v>
      </c>
      <c r="M14" s="24">
        <f>T_3[[#This Row],[P Qu]]*T_3[[#This Row],[P PU]]</f>
        <v>406</v>
      </c>
      <c r="N14" s="6"/>
      <c r="O14" s="7"/>
      <c r="P14" s="8"/>
      <c r="Q14" s="24">
        <f>T_3[[#This Row],[ACh Qu]]*T_3[[#This Row],[ACh PU]]</f>
        <v>0</v>
      </c>
      <c r="R14" s="29">
        <f>T_3[[#This Row],[P CT]]+T_3[[#This Row],[ACh CT]]</f>
        <v>406</v>
      </c>
      <c r="S14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495.32</v>
      </c>
      <c r="T14" s="52">
        <f>T_3[[#This Row],[Mt Elligible]]*T_3[[#This Row],[Tx Sub]]</f>
        <v>346.72399999999999</v>
      </c>
    </row>
    <row r="15" spans="1:20">
      <c r="A15" s="23" t="str">
        <f>'[3]Lot 3'!A11</f>
        <v>Lot_3</v>
      </c>
      <c r="B15" s="113" t="str">
        <f>'[3]Lot 3'!B11</f>
        <v>Carte d’identité des granulats végétaux</v>
      </c>
      <c r="C15" s="178" t="str">
        <f>'[3]Lot 3'!C11</f>
        <v xml:space="preserve">T3_Identification_des_indicateurs_environnementaux </v>
      </c>
      <c r="D15" s="178" t="str">
        <f>'[3]Lot 3'!D11</f>
        <v>ST2 Analyse des contributions / données liées aux granulats</v>
      </c>
      <c r="F15" s="169" t="s">
        <v>38</v>
      </c>
      <c r="G15" s="54">
        <f>_xlfn.XLOOKUP(T_3[[#This Row],[Partenaires]],Partenaires2[Partenaire],Partenaires2[Tx Ch Connexe])</f>
        <v>0.22</v>
      </c>
      <c r="H15" s="54">
        <f>_xlfn.XLOOKUP(T_3[[#This Row],[Partenaires]],Partenaires2[Partenaire],Partenaires2[Tx Sub])</f>
        <v>0.7</v>
      </c>
      <c r="I15" s="1" t="s">
        <v>46</v>
      </c>
      <c r="J15" s="1" t="s">
        <v>251</v>
      </c>
      <c r="K15" s="5">
        <v>2</v>
      </c>
      <c r="L15" s="4">
        <v>406</v>
      </c>
      <c r="M15" s="24">
        <f>T_3[[#This Row],[P Qu]]*T_3[[#This Row],[P PU]]</f>
        <v>812</v>
      </c>
      <c r="N15" s="6"/>
      <c r="O15" s="7"/>
      <c r="P15" s="8"/>
      <c r="Q15" s="24">
        <f>T_3[[#This Row],[ACh Qu]]*T_3[[#This Row],[ACh PU]]</f>
        <v>0</v>
      </c>
      <c r="R15" s="29">
        <f>T_3[[#This Row],[P CT]]+T_3[[#This Row],[ACh CT]]</f>
        <v>812</v>
      </c>
      <c r="S15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990.64</v>
      </c>
      <c r="T15" s="52">
        <f>T_3[[#This Row],[Mt Elligible]]*T_3[[#This Row],[Tx Sub]]</f>
        <v>693.44799999999998</v>
      </c>
    </row>
    <row r="16" spans="1:20" hidden="1">
      <c r="A16" s="23" t="str">
        <f t="shared" ref="A16:A38" si="0">A$1</f>
        <v>Lot_3</v>
      </c>
      <c r="B16" s="113" t="str">
        <f>_xlfn.XLOOKUP(T_3[[#This Row],[N° Lot]],Tableau4[NoLot],Tableau4[Lot])</f>
        <v>Carte d’identité des granulats végétaux</v>
      </c>
      <c r="C16" s="178" t="str">
        <f>'[2]Lot 3'!C7</f>
        <v>T1_Validation_des_caractéristiques_pertinentes</v>
      </c>
      <c r="D16" s="178" t="s">
        <v>125</v>
      </c>
      <c r="E16" s="178">
        <f>'[2]Lot 3'!E7</f>
        <v>0</v>
      </c>
      <c r="F16" s="36" t="str">
        <f>'[2]Lot 3'!F7</f>
        <v>CEREMA</v>
      </c>
      <c r="G16" s="54">
        <f>_xlfn.XLOOKUP(T_3[[#This Row],[Partenaires]],Partenaires2[Partenaire],Partenaires2[Tx Ch Connexe])</f>
        <v>0.25</v>
      </c>
      <c r="H16" s="54">
        <f>_xlfn.XLOOKUP(T_3[[#This Row],[Partenaires]],Partenaires2[Partenaire],Partenaires2[Tx Sub])</f>
        <v>0.5</v>
      </c>
      <c r="I16" s="1" t="str">
        <f>'[2]Lot 3'!I7</f>
        <v>Expert</v>
      </c>
      <c r="J16" s="178" t="str">
        <f>'[2]Lot 3'!J7</f>
        <v>Non</v>
      </c>
      <c r="K16" s="5">
        <v>2</v>
      </c>
      <c r="L16" s="4">
        <f>'[2]Lot 3'!L7</f>
        <v>792</v>
      </c>
      <c r="M16" s="24">
        <f>T_3[[#This Row],[P Qu]]*T_3[[#This Row],[P PU]]</f>
        <v>1584</v>
      </c>
      <c r="N16" s="6">
        <f>'[2]Lot 3'!N7</f>
        <v>0</v>
      </c>
      <c r="O16" s="7">
        <f>'[2]Lot 3'!O7</f>
        <v>0</v>
      </c>
      <c r="P16" s="8">
        <f>'[2]Lot 3'!P7</f>
        <v>0</v>
      </c>
      <c r="Q16" s="191">
        <f>T_3[[#This Row],[ACh Qu]]*T_3[[#This Row],[ACh PU]]</f>
        <v>0</v>
      </c>
      <c r="R16" s="192">
        <f>T_3[[#This Row],[P CT]]+T_3[[#This Row],[ACh CT]]</f>
        <v>1584</v>
      </c>
      <c r="S16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396</v>
      </c>
      <c r="T16" s="52">
        <f>T_3[[#This Row],[Mt Elligible]]*T_3[[#This Row],[Tx Sub]]</f>
        <v>198</v>
      </c>
    </row>
    <row r="17" spans="1:20" hidden="1">
      <c r="A17" s="23" t="str">
        <f t="shared" si="0"/>
        <v>Lot_3</v>
      </c>
      <c r="B17" s="113" t="str">
        <f>_xlfn.XLOOKUP(T_3[[#This Row],[N° Lot]],Tableau4[NoLot],Tableau4[Lot])</f>
        <v>Carte d’identité des granulats végétaux</v>
      </c>
      <c r="C17" s="178" t="str">
        <f>'[2]Lot 3'!C8</f>
        <v>T1_Validation_des_caractéristiques_pertinentes</v>
      </c>
      <c r="D17" s="178" t="s">
        <v>125</v>
      </c>
      <c r="E17" s="178">
        <f>'[2]Lot 3'!E8</f>
        <v>0</v>
      </c>
      <c r="F17" s="36" t="str">
        <f>'[2]Lot 3'!F8</f>
        <v>CEREMA</v>
      </c>
      <c r="G17" s="54">
        <f>_xlfn.XLOOKUP(T_3[[#This Row],[Partenaires]],Partenaires2[Partenaire],Partenaires2[Tx Ch Connexe])</f>
        <v>0.25</v>
      </c>
      <c r="H17" s="54">
        <f>_xlfn.XLOOKUP(T_3[[#This Row],[Partenaires]],Partenaires2[Partenaire],Partenaires2[Tx Sub])</f>
        <v>0.5</v>
      </c>
      <c r="I17" s="1" t="str">
        <f>'[2]Lot 3'!I8</f>
        <v>Ingénieur</v>
      </c>
      <c r="J17" s="178" t="str">
        <f>'[2]Lot 3'!J8</f>
        <v>Non</v>
      </c>
      <c r="K17" s="5">
        <v>15</v>
      </c>
      <c r="L17" s="4">
        <f>'[2]Lot 3'!L8</f>
        <v>376</v>
      </c>
      <c r="M17" s="24">
        <f>T_3[[#This Row],[P Qu]]*T_3[[#This Row],[P PU]]</f>
        <v>5640</v>
      </c>
      <c r="N17" s="6">
        <f>'[2]Lot 3'!N8</f>
        <v>0</v>
      </c>
      <c r="O17" s="7">
        <f>'[2]Lot 3'!O8</f>
        <v>0</v>
      </c>
      <c r="P17" s="8">
        <f>'[2]Lot 3'!P8</f>
        <v>0</v>
      </c>
      <c r="Q17" s="191">
        <f>T_3[[#This Row],[ACh Qu]]*T_3[[#This Row],[ACh PU]]</f>
        <v>0</v>
      </c>
      <c r="R17" s="192">
        <f>T_3[[#This Row],[P CT]]+T_3[[#This Row],[ACh CT]]</f>
        <v>5640</v>
      </c>
      <c r="S17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1410</v>
      </c>
      <c r="T17" s="52">
        <f>T_3[[#This Row],[Mt Elligible]]*T_3[[#This Row],[Tx Sub]]</f>
        <v>705</v>
      </c>
    </row>
    <row r="18" spans="1:20" hidden="1">
      <c r="A18" s="23" t="str">
        <f t="shared" si="0"/>
        <v>Lot_3</v>
      </c>
      <c r="B18" s="113" t="str">
        <f>_xlfn.XLOOKUP(T_3[[#This Row],[N° Lot]],Tableau4[NoLot],Tableau4[Lot])</f>
        <v>Carte d’identité des granulats végétaux</v>
      </c>
      <c r="C18" s="167" t="s">
        <v>60</v>
      </c>
      <c r="D18" s="178" t="s">
        <v>125</v>
      </c>
      <c r="E18" s="178" t="s">
        <v>158</v>
      </c>
      <c r="F18" s="34" t="s">
        <v>16</v>
      </c>
      <c r="G18" s="54">
        <f>_xlfn.XLOOKUP(T_3[[#This Row],[Partenaires]],Partenaires2[Partenaire],Partenaires2[Tx Ch Connexe])</f>
        <v>0.25</v>
      </c>
      <c r="H18" s="54">
        <f>_xlfn.XLOOKUP(T_3[[#This Row],[Partenaires]],Partenaires2[Partenaire],Partenaires2[Tx Sub])</f>
        <v>0.7</v>
      </c>
      <c r="J18" s="1" t="s">
        <v>82</v>
      </c>
      <c r="K18" s="5"/>
      <c r="L18" s="4"/>
      <c r="M18" s="24">
        <f>T_3[[#This Row],[P Qu]]*T_3[[#This Row],[P PU]]</f>
        <v>0</v>
      </c>
      <c r="N18" s="6" t="s">
        <v>163</v>
      </c>
      <c r="O18" s="7">
        <v>0.5</v>
      </c>
      <c r="P18" s="8">
        <v>520</v>
      </c>
      <c r="Q18" s="24">
        <f>T_3[[#This Row],[ACh Qu]]*T_3[[#This Row],[ACh PU]]</f>
        <v>260</v>
      </c>
      <c r="R18" s="29">
        <f>T_3[[#This Row],[P CT]]+T_3[[#This Row],[ACh CT]]</f>
        <v>260</v>
      </c>
      <c r="S18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325</v>
      </c>
      <c r="T18" s="52">
        <f>T_3[[#This Row],[Mt Elligible]]*T_3[[#This Row],[Tx Sub]]</f>
        <v>227.49999999999997</v>
      </c>
    </row>
    <row r="19" spans="1:20">
      <c r="A19" s="23" t="str">
        <f t="shared" si="0"/>
        <v>Lot_3</v>
      </c>
      <c r="B19" s="113" t="str">
        <f>_xlfn.XLOOKUP(T_3[[#This Row],[N° Lot]],Tableau4[NoLot],Tableau4[Lot])</f>
        <v>Carte d’identité des granulats végétaux</v>
      </c>
      <c r="C19" s="167" t="s">
        <v>62</v>
      </c>
      <c r="D19" s="178" t="s">
        <v>143</v>
      </c>
      <c r="F19" s="34" t="s">
        <v>38</v>
      </c>
      <c r="G19" s="54">
        <f>_xlfn.XLOOKUP(T_3[[#This Row],[Partenaires]],Partenaires2[Partenaire],Partenaires2[Tx Ch Connexe])</f>
        <v>0.22</v>
      </c>
      <c r="H19" s="54">
        <f>_xlfn.XLOOKUP(T_3[[#This Row],[Partenaires]],Partenaires2[Partenaire],Partenaires2[Tx Sub])</f>
        <v>0.7</v>
      </c>
      <c r="I19" s="1" t="s">
        <v>46</v>
      </c>
      <c r="J19" s="1" t="s">
        <v>82</v>
      </c>
      <c r="K19" s="5">
        <v>1</v>
      </c>
      <c r="L19" s="4">
        <v>406</v>
      </c>
      <c r="M19" s="24">
        <f>T_3[[#This Row],[P Qu]]*T_3[[#This Row],[P PU]]</f>
        <v>406</v>
      </c>
      <c r="N19" s="6"/>
      <c r="O19" s="7"/>
      <c r="P19" s="8"/>
      <c r="Q19" s="24">
        <f>T_3[[#This Row],[ACh Qu]]*T_3[[#This Row],[ACh PU]]</f>
        <v>0</v>
      </c>
      <c r="R19" s="29">
        <f>T_3[[#This Row],[P CT]]+T_3[[#This Row],[ACh CT]]</f>
        <v>406</v>
      </c>
      <c r="S19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495.32</v>
      </c>
      <c r="T19" s="52">
        <f>T_3[[#This Row],[Mt Elligible]]*T_3[[#This Row],[Tx Sub]]</f>
        <v>346.72399999999999</v>
      </c>
    </row>
    <row r="20" spans="1:20">
      <c r="A20" s="23" t="str">
        <f t="shared" si="0"/>
        <v>Lot_3</v>
      </c>
      <c r="B20" s="113" t="str">
        <f>_xlfn.XLOOKUP(T_3[[#This Row],[N° Lot]],Tableau4[NoLot],Tableau4[Lot])</f>
        <v>Carte d’identité des granulats végétaux</v>
      </c>
      <c r="C20" s="167" t="s">
        <v>62</v>
      </c>
      <c r="D20" s="178" t="s">
        <v>144</v>
      </c>
      <c r="F20" s="34" t="s">
        <v>38</v>
      </c>
      <c r="G20" s="54">
        <f>_xlfn.XLOOKUP(T_3[[#This Row],[Partenaires]],Partenaires2[Partenaire],Partenaires2[Tx Ch Connexe])</f>
        <v>0.22</v>
      </c>
      <c r="H20" s="54">
        <f>_xlfn.XLOOKUP(T_3[[#This Row],[Partenaires]],Partenaires2[Partenaire],Partenaires2[Tx Sub])</f>
        <v>0.7</v>
      </c>
      <c r="I20" s="1" t="s">
        <v>46</v>
      </c>
      <c r="J20" s="1" t="s">
        <v>82</v>
      </c>
      <c r="K20" s="5">
        <v>1</v>
      </c>
      <c r="L20" s="4">
        <v>406</v>
      </c>
      <c r="M20" s="24">
        <f>T_3[[#This Row],[P Qu]]*T_3[[#This Row],[P PU]]</f>
        <v>406</v>
      </c>
      <c r="N20" s="6"/>
      <c r="O20" s="7"/>
      <c r="P20" s="8"/>
      <c r="Q20" s="24">
        <f>T_3[[#This Row],[ACh Qu]]*T_3[[#This Row],[ACh PU]]</f>
        <v>0</v>
      </c>
      <c r="R20" s="29">
        <f>T_3[[#This Row],[P CT]]+T_3[[#This Row],[ACh CT]]</f>
        <v>406</v>
      </c>
      <c r="S20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495.32</v>
      </c>
      <c r="T20" s="52">
        <f>T_3[[#This Row],[Mt Elligible]]*T_3[[#This Row],[Tx Sub]]</f>
        <v>346.72399999999999</v>
      </c>
    </row>
    <row r="21" spans="1:20" hidden="1">
      <c r="A21" s="23" t="str">
        <f t="shared" si="0"/>
        <v>Lot_3</v>
      </c>
      <c r="B21" s="113" t="str">
        <f>_xlfn.XLOOKUP(T_3[[#This Row],[N° Lot]],Tableau4[NoLot],Tableau4[Lot])</f>
        <v>Carte d’identité des granulats végétaux</v>
      </c>
      <c r="C21" s="178" t="str">
        <f>'[2]Lot 3'!C9</f>
        <v>T2_Rédaction_des_protocoles_de_caractérisation</v>
      </c>
      <c r="D21" s="178" t="str">
        <f>'[2]Lot 3'!D9</f>
        <v>ST1 Réunions de concertation / analyse critique des pratiques</v>
      </c>
      <c r="E21" s="178" t="str">
        <f>'[2]Lot 3'!E9</f>
        <v>2 réunions en présentiel et 2 en dématérialisé</v>
      </c>
      <c r="F21" s="36" t="str">
        <f>'[2]Lot 3'!F9</f>
        <v>CEREMA</v>
      </c>
      <c r="G21" s="54">
        <f>_xlfn.XLOOKUP(T_3[[#This Row],[Partenaires]],Partenaires2[Partenaire],Partenaires2[Tx Ch Connexe])</f>
        <v>0.25</v>
      </c>
      <c r="H21" s="54">
        <f>_xlfn.XLOOKUP(T_3[[#This Row],[Partenaires]],Partenaires2[Partenaire],Partenaires2[Tx Sub])</f>
        <v>0.5</v>
      </c>
      <c r="I21" s="1" t="str">
        <f>'[2]Lot 3'!I9</f>
        <v>Expert</v>
      </c>
      <c r="J21" s="1" t="str">
        <f>'[2]Lot 3'!J9</f>
        <v>Non</v>
      </c>
      <c r="K21" s="5">
        <f>'[2]Lot 3'!K9</f>
        <v>4</v>
      </c>
      <c r="L21" s="4">
        <f>'[2]Lot 3'!L9</f>
        <v>792</v>
      </c>
      <c r="M21" s="24">
        <f>T_3[[#This Row],[P Qu]]*T_3[[#This Row],[P PU]]</f>
        <v>3168</v>
      </c>
      <c r="N21" s="6" t="str">
        <f>'[2]Lot 3'!N9</f>
        <v>Déplacements</v>
      </c>
      <c r="O21" s="7">
        <f>'[2]Lot 3'!O9</f>
        <v>2</v>
      </c>
      <c r="P21" s="8">
        <f>'[2]Lot 3'!P9</f>
        <v>150</v>
      </c>
      <c r="Q21" s="191">
        <f>T_3[[#This Row],[ACh Qu]]*T_3[[#This Row],[ACh PU]]</f>
        <v>300</v>
      </c>
      <c r="R21" s="192">
        <f>T_3[[#This Row],[P CT]]+T_3[[#This Row],[ACh CT]]</f>
        <v>3468</v>
      </c>
      <c r="S21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1167</v>
      </c>
      <c r="T21" s="52">
        <f>T_3[[#This Row],[Mt Elligible]]*T_3[[#This Row],[Tx Sub]]</f>
        <v>583.5</v>
      </c>
    </row>
    <row r="22" spans="1:20" hidden="1">
      <c r="A22" s="23" t="str">
        <f t="shared" si="0"/>
        <v>Lot_3</v>
      </c>
      <c r="B22" s="113" t="str">
        <f>_xlfn.XLOOKUP(T_3[[#This Row],[N° Lot]],Tableau4[NoLot],Tableau4[Lot])</f>
        <v>Carte d’identité des granulats végétaux</v>
      </c>
      <c r="C22" s="178" t="str">
        <f>'[2]Lot 3'!C10</f>
        <v>T2_Rédaction_des_protocoles_de_caractérisation</v>
      </c>
      <c r="D22" s="178" t="str">
        <f>'[2]Lot 3'!D10</f>
        <v>ST1 Réunions de concertation / analyse critique des pratiques</v>
      </c>
      <c r="E22" s="178" t="str">
        <f>'[2]Lot 3'!E10</f>
        <v>2 réunions en présentiel et 2 en dématérialisé</v>
      </c>
      <c r="F22" s="36" t="str">
        <f>'[2]Lot 3'!F10</f>
        <v>CEREMA</v>
      </c>
      <c r="G22" s="54">
        <f>_xlfn.XLOOKUP(T_3[[#This Row],[Partenaires]],Partenaires2[Partenaire],Partenaires2[Tx Ch Connexe])</f>
        <v>0.25</v>
      </c>
      <c r="H22" s="54">
        <f>_xlfn.XLOOKUP(T_3[[#This Row],[Partenaires]],Partenaires2[Partenaire],Partenaires2[Tx Sub])</f>
        <v>0.5</v>
      </c>
      <c r="I22" s="1" t="str">
        <f>'[2]Lot 3'!I10</f>
        <v>Ingénieur</v>
      </c>
      <c r="J22" s="1" t="str">
        <f>'[2]Lot 3'!J10</f>
        <v>Non</v>
      </c>
      <c r="K22" s="5">
        <f>'[2]Lot 3'!K10</f>
        <v>4</v>
      </c>
      <c r="L22" s="4">
        <f>'[2]Lot 3'!L10</f>
        <v>376</v>
      </c>
      <c r="M22" s="24">
        <f>T_3[[#This Row],[P Qu]]*T_3[[#This Row],[P PU]]</f>
        <v>1504</v>
      </c>
      <c r="N22" s="6" t="str">
        <f>'[2]Lot 3'!N10</f>
        <v>Déplacements</v>
      </c>
      <c r="O22" s="7">
        <f>'[2]Lot 3'!O10</f>
        <v>2</v>
      </c>
      <c r="P22" s="8">
        <f>'[2]Lot 3'!P10</f>
        <v>150</v>
      </c>
      <c r="Q22" s="191">
        <f>T_3[[#This Row],[ACh Qu]]*T_3[[#This Row],[ACh PU]]</f>
        <v>300</v>
      </c>
      <c r="R22" s="192">
        <f>T_3[[#This Row],[P CT]]+T_3[[#This Row],[ACh CT]]</f>
        <v>1804</v>
      </c>
      <c r="S22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751</v>
      </c>
      <c r="T22" s="52">
        <f>T_3[[#This Row],[Mt Elligible]]*T_3[[#This Row],[Tx Sub]]</f>
        <v>375.5</v>
      </c>
    </row>
    <row r="23" spans="1:20" hidden="1">
      <c r="A23" s="23" t="str">
        <f t="shared" si="0"/>
        <v>Lot_3</v>
      </c>
      <c r="B23" s="113" t="str">
        <f>_xlfn.XLOOKUP(T_3[[#This Row],[N° Lot]],Tableau4[NoLot],Tableau4[Lot])</f>
        <v>Carte d’identité des granulats végétaux</v>
      </c>
      <c r="C23" s="178" t="str">
        <f>'[2]Lot 3'!C11</f>
        <v>T2_Rédaction_des_protocoles_de_caractérisation</v>
      </c>
      <c r="D23" s="178" t="str">
        <f>'[2]Lot 3'!D11</f>
        <v>ST2 Analyse des valeurs</v>
      </c>
      <c r="E23" s="178" t="str">
        <f>'[2]Lot 3'!E11</f>
        <v>précision des mesures / variabilité des valeurs</v>
      </c>
      <c r="F23" s="36" t="str">
        <f>'[2]Lot 3'!F11</f>
        <v>CEREMA</v>
      </c>
      <c r="G23" s="54">
        <f>_xlfn.XLOOKUP(T_3[[#This Row],[Partenaires]],Partenaires2[Partenaire],Partenaires2[Tx Ch Connexe])</f>
        <v>0.25</v>
      </c>
      <c r="H23" s="54">
        <f>_xlfn.XLOOKUP(T_3[[#This Row],[Partenaires]],Partenaires2[Partenaire],Partenaires2[Tx Sub])</f>
        <v>0.5</v>
      </c>
      <c r="I23" s="1" t="str">
        <f>'[2]Lot 3'!I11</f>
        <v>Expert</v>
      </c>
      <c r="J23" s="1" t="str">
        <f>'[2]Lot 3'!J11</f>
        <v>Non</v>
      </c>
      <c r="K23" s="5">
        <f>'[2]Lot 3'!K11</f>
        <v>2</v>
      </c>
      <c r="L23" s="4">
        <f>'[2]Lot 3'!L11</f>
        <v>792</v>
      </c>
      <c r="M23" s="24">
        <f>T_3[[#This Row],[P Qu]]*T_3[[#This Row],[P PU]]</f>
        <v>1584</v>
      </c>
      <c r="N23" s="6">
        <f>'[2]Lot 3'!N11</f>
        <v>0</v>
      </c>
      <c r="O23" s="7">
        <f>'[2]Lot 3'!O11</f>
        <v>0</v>
      </c>
      <c r="P23" s="8">
        <f>'[2]Lot 3'!P11</f>
        <v>0</v>
      </c>
      <c r="Q23" s="191">
        <f>T_3[[#This Row],[ACh Qu]]*T_3[[#This Row],[ACh PU]]</f>
        <v>0</v>
      </c>
      <c r="R23" s="192">
        <f>T_3[[#This Row],[P CT]]+T_3[[#This Row],[ACh CT]]</f>
        <v>1584</v>
      </c>
      <c r="S23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396</v>
      </c>
      <c r="T23" s="52">
        <f>T_3[[#This Row],[Mt Elligible]]*T_3[[#This Row],[Tx Sub]]</f>
        <v>198</v>
      </c>
    </row>
    <row r="24" spans="1:20" hidden="1">
      <c r="A24" s="23" t="str">
        <f t="shared" si="0"/>
        <v>Lot_3</v>
      </c>
      <c r="B24" s="113" t="str">
        <f>_xlfn.XLOOKUP(T_3[[#This Row],[N° Lot]],Tableau4[NoLot],Tableau4[Lot])</f>
        <v>Carte d’identité des granulats végétaux</v>
      </c>
      <c r="C24" s="178" t="str">
        <f>'[2]Lot 3'!C12</f>
        <v>T2_Rédaction_des_protocoles_de_caractérisation</v>
      </c>
      <c r="D24" s="178" t="str">
        <f>'[2]Lot 3'!D12</f>
        <v>ST2 Analyse des valeurs</v>
      </c>
      <c r="E24" s="178" t="str">
        <f>'[2]Lot 3'!E12</f>
        <v>précision des mesures / variabilité des valeurs</v>
      </c>
      <c r="F24" s="36" t="str">
        <f>'[2]Lot 3'!F12</f>
        <v>CEREMA</v>
      </c>
      <c r="G24" s="54">
        <f>_xlfn.XLOOKUP(T_3[[#This Row],[Partenaires]],Partenaires2[Partenaire],Partenaires2[Tx Ch Connexe])</f>
        <v>0.25</v>
      </c>
      <c r="H24" s="54">
        <f>_xlfn.XLOOKUP(T_3[[#This Row],[Partenaires]],Partenaires2[Partenaire],Partenaires2[Tx Sub])</f>
        <v>0.5</v>
      </c>
      <c r="I24" s="1" t="str">
        <f>'[2]Lot 3'!I12</f>
        <v>Ingénieur</v>
      </c>
      <c r="J24" s="1" t="str">
        <f>'[2]Lot 3'!J12</f>
        <v>Non</v>
      </c>
      <c r="K24" s="5">
        <f>'[2]Lot 3'!K12</f>
        <v>5</v>
      </c>
      <c r="L24" s="4">
        <f>'[2]Lot 3'!L12</f>
        <v>376</v>
      </c>
      <c r="M24" s="24">
        <f>T_3[[#This Row],[P Qu]]*T_3[[#This Row],[P PU]]</f>
        <v>1880</v>
      </c>
      <c r="N24" s="6">
        <f>'[2]Lot 3'!N12</f>
        <v>0</v>
      </c>
      <c r="O24" s="7">
        <f>'[2]Lot 3'!O12</f>
        <v>0</v>
      </c>
      <c r="P24" s="8">
        <f>'[2]Lot 3'!P12</f>
        <v>0</v>
      </c>
      <c r="Q24" s="191">
        <f>T_3[[#This Row],[ACh Qu]]*T_3[[#This Row],[ACh PU]]</f>
        <v>0</v>
      </c>
      <c r="R24" s="192">
        <f>T_3[[#This Row],[P CT]]+T_3[[#This Row],[ACh CT]]</f>
        <v>1880</v>
      </c>
      <c r="S24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470</v>
      </c>
      <c r="T24" s="52">
        <f>T_3[[#This Row],[Mt Elligible]]*T_3[[#This Row],[Tx Sub]]</f>
        <v>235</v>
      </c>
    </row>
    <row r="25" spans="1:20" hidden="1">
      <c r="A25" s="23" t="str">
        <f t="shared" si="0"/>
        <v>Lot_3</v>
      </c>
      <c r="B25" s="113" t="str">
        <f>_xlfn.XLOOKUP(T_3[[#This Row],[N° Lot]],Tableau4[NoLot],Tableau4[Lot])</f>
        <v>Carte d’identité des granulats végétaux</v>
      </c>
      <c r="C25" s="178" t="str">
        <f>'[2]Lot 3'!C13</f>
        <v>T2_Rédaction_des_protocoles_de_caractérisation</v>
      </c>
      <c r="D25" s="178" t="str">
        <f>'[2]Lot 3'!D13</f>
        <v>ST2 Analyse des valeurs</v>
      </c>
      <c r="E25" s="178" t="str">
        <f>'[2]Lot 3'!E13</f>
        <v>précision des mesures / variabilité des valeurs</v>
      </c>
      <c r="F25" s="36" t="str">
        <f>'[2]Lot 3'!F13</f>
        <v>CEREMA</v>
      </c>
      <c r="G25" s="54">
        <f>_xlfn.XLOOKUP(T_3[[#This Row],[Partenaires]],Partenaires2[Partenaire],Partenaires2[Tx Ch Connexe])</f>
        <v>0.25</v>
      </c>
      <c r="H25" s="54">
        <f>_xlfn.XLOOKUP(T_3[[#This Row],[Partenaires]],Partenaires2[Partenaire],Partenaires2[Tx Sub])</f>
        <v>0.5</v>
      </c>
      <c r="I25" s="1" t="str">
        <f>'[2]Lot 3'!I13</f>
        <v>Post-doctorant</v>
      </c>
      <c r="J25" s="1" t="str">
        <f>'[2]Lot 3'!J13</f>
        <v>Oui</v>
      </c>
      <c r="K25" s="5">
        <f>'[2]Lot 3'!K13</f>
        <v>5</v>
      </c>
      <c r="L25" s="4">
        <f>'[2]Lot 3'!L13</f>
        <v>277</v>
      </c>
      <c r="M25" s="24">
        <f>T_3[[#This Row],[P Qu]]*T_3[[#This Row],[P PU]]</f>
        <v>1385</v>
      </c>
      <c r="N25" s="6">
        <f>'[2]Lot 3'!N13</f>
        <v>0</v>
      </c>
      <c r="O25" s="7">
        <f>'[2]Lot 3'!O13</f>
        <v>0</v>
      </c>
      <c r="P25" s="8">
        <f>'[2]Lot 3'!P13</f>
        <v>0</v>
      </c>
      <c r="Q25" s="191">
        <f>T_3[[#This Row],[ACh Qu]]*T_3[[#This Row],[ACh PU]]</f>
        <v>0</v>
      </c>
      <c r="R25" s="192">
        <f>T_3[[#This Row],[P CT]]+T_3[[#This Row],[ACh CT]]</f>
        <v>1385</v>
      </c>
      <c r="S25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1731.25</v>
      </c>
      <c r="T25" s="52">
        <f>T_3[[#This Row],[Mt Elligible]]*T_3[[#This Row],[Tx Sub]]</f>
        <v>865.625</v>
      </c>
    </row>
    <row r="26" spans="1:20" hidden="1">
      <c r="A26" s="168" t="str">
        <f t="shared" si="0"/>
        <v>Lot_3</v>
      </c>
      <c r="B26" s="113" t="str">
        <f>_xlfn.XLOOKUP(T_3[[#This Row],[N° Lot]],Tableau4[NoLot],Tableau4[Lot])</f>
        <v>Carte d’identité des granulats végétaux</v>
      </c>
      <c r="C26" s="178" t="str">
        <f>'[2]Lot 3'!C14</f>
        <v>T2_Rédaction_des_protocoles_de_caractérisation</v>
      </c>
      <c r="D26" s="178" t="str">
        <f>'[2]Lot 3'!D14</f>
        <v>ST3 Discussions des essais à conduire en lot 4</v>
      </c>
      <c r="E26" s="178" t="str">
        <f>'[2]Lot 3'!E14</f>
        <v>vérification des bornes min et max</v>
      </c>
      <c r="F26" s="169" t="str">
        <f>'[2]Lot 3'!F14</f>
        <v>CEREMA</v>
      </c>
      <c r="G26" s="54">
        <f>_xlfn.XLOOKUP(T_3[[#This Row],[Partenaires]],Partenaires2[Partenaire],Partenaires2[Tx Ch Connexe])</f>
        <v>0.25</v>
      </c>
      <c r="H26" s="54">
        <f>_xlfn.XLOOKUP(T_3[[#This Row],[Partenaires]],Partenaires2[Partenaire],Partenaires2[Tx Sub])</f>
        <v>0.5</v>
      </c>
      <c r="I26" s="170" t="str">
        <f>'[2]Lot 3'!I14</f>
        <v>Expert</v>
      </c>
      <c r="J26" s="178" t="str">
        <f>'[2]Lot 3'!J14</f>
        <v>Non</v>
      </c>
      <c r="K26" s="5">
        <f>'[2]Lot 3'!K14</f>
        <v>4</v>
      </c>
      <c r="L26" s="4">
        <f>'[2]Lot 3'!L14</f>
        <v>792</v>
      </c>
      <c r="M26" s="24">
        <f>T_3[[#This Row],[P Qu]]*T_3[[#This Row],[P PU]]</f>
        <v>3168</v>
      </c>
      <c r="N26" s="171">
        <f>'[2]Lot 3'!N14</f>
        <v>0</v>
      </c>
      <c r="O26" s="7">
        <f>'[2]Lot 3'!O14</f>
        <v>0</v>
      </c>
      <c r="P26" s="8">
        <f>'[2]Lot 3'!P14</f>
        <v>0</v>
      </c>
      <c r="Q26" s="191">
        <f>T_3[[#This Row],[ACh Qu]]*T_3[[#This Row],[ACh PU]]</f>
        <v>0</v>
      </c>
      <c r="R26" s="192">
        <f>T_3[[#This Row],[P CT]]+T_3[[#This Row],[ACh CT]]</f>
        <v>3168</v>
      </c>
      <c r="S26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792</v>
      </c>
      <c r="T26" s="52">
        <f>T_3[[#This Row],[Mt Elligible]]*T_3[[#This Row],[Tx Sub]]</f>
        <v>396</v>
      </c>
    </row>
    <row r="27" spans="1:20" hidden="1">
      <c r="A27" s="168" t="str">
        <f t="shared" si="0"/>
        <v>Lot_3</v>
      </c>
      <c r="B27" s="113" t="str">
        <f>_xlfn.XLOOKUP(T_3[[#This Row],[N° Lot]],Tableau4[NoLot],Tableau4[Lot])</f>
        <v>Carte d’identité des granulats végétaux</v>
      </c>
      <c r="C27" s="178" t="str">
        <f>'[2]Lot 3'!C15</f>
        <v>T2_Rédaction_des_protocoles_de_caractérisation</v>
      </c>
      <c r="D27" s="178" t="str">
        <f>'[2]Lot 3'!D15</f>
        <v>ST3 Discussions des essais à conduire en lot 4</v>
      </c>
      <c r="E27" s="178" t="str">
        <f>'[2]Lot 3'!E15</f>
        <v>vérification des bornes min et max</v>
      </c>
      <c r="F27" s="169" t="str">
        <f>'[2]Lot 3'!F15</f>
        <v>CEREMA</v>
      </c>
      <c r="G27" s="54">
        <f>_xlfn.XLOOKUP(T_3[[#This Row],[Partenaires]],Partenaires2[Partenaire],Partenaires2[Tx Ch Connexe])</f>
        <v>0.25</v>
      </c>
      <c r="H27" s="54">
        <f>_xlfn.XLOOKUP(T_3[[#This Row],[Partenaires]],Partenaires2[Partenaire],Partenaires2[Tx Sub])</f>
        <v>0.5</v>
      </c>
      <c r="I27" s="170" t="str">
        <f>'[2]Lot 3'!I15</f>
        <v>Ingénieur</v>
      </c>
      <c r="J27" s="178" t="str">
        <f>'[2]Lot 3'!J15</f>
        <v>Non</v>
      </c>
      <c r="K27" s="5">
        <f>'[2]Lot 3'!K15</f>
        <v>5</v>
      </c>
      <c r="L27" s="4">
        <f>'[2]Lot 3'!L15</f>
        <v>376</v>
      </c>
      <c r="M27" s="24">
        <f>T_3[[#This Row],[P Qu]]*T_3[[#This Row],[P PU]]</f>
        <v>1880</v>
      </c>
      <c r="N27" s="171">
        <f>'[2]Lot 3'!N15</f>
        <v>0</v>
      </c>
      <c r="O27" s="7">
        <f>'[2]Lot 3'!O15</f>
        <v>0</v>
      </c>
      <c r="P27" s="8">
        <f>'[2]Lot 3'!P15</f>
        <v>0</v>
      </c>
      <c r="Q27" s="191">
        <f>T_3[[#This Row],[ACh Qu]]*T_3[[#This Row],[ACh PU]]</f>
        <v>0</v>
      </c>
      <c r="R27" s="192">
        <f>T_3[[#This Row],[P CT]]+T_3[[#This Row],[ACh CT]]</f>
        <v>1880</v>
      </c>
      <c r="S27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470</v>
      </c>
      <c r="T27" s="52">
        <f>T_3[[#This Row],[Mt Elligible]]*T_3[[#This Row],[Tx Sub]]</f>
        <v>235</v>
      </c>
    </row>
    <row r="28" spans="1:20" hidden="1">
      <c r="A28" s="168" t="str">
        <f t="shared" si="0"/>
        <v>Lot_3</v>
      </c>
      <c r="B28" s="113" t="str">
        <f>_xlfn.XLOOKUP(T_3[[#This Row],[N° Lot]],Tableau4[NoLot],Tableau4[Lot])</f>
        <v>Carte d’identité des granulats végétaux</v>
      </c>
      <c r="C28" s="178" t="str">
        <f>'[2]Lot 3'!C16</f>
        <v>T2_Rédaction_des_protocoles_de_caractérisation</v>
      </c>
      <c r="D28" s="178" t="str">
        <f>'[2]Lot 3'!D16</f>
        <v>ST3 Discussions des essais à conduire en lot 4</v>
      </c>
      <c r="E28" s="178" t="str">
        <f>'[2]Lot 3'!E16</f>
        <v>vérification des bornes min et max</v>
      </c>
      <c r="F28" s="169" t="str">
        <f>'[2]Lot 3'!F16</f>
        <v>CEREMA</v>
      </c>
      <c r="G28" s="54">
        <f>_xlfn.XLOOKUP(T_3[[#This Row],[Partenaires]],Partenaires2[Partenaire],Partenaires2[Tx Ch Connexe])</f>
        <v>0.25</v>
      </c>
      <c r="H28" s="54">
        <f>_xlfn.XLOOKUP(T_3[[#This Row],[Partenaires]],Partenaires2[Partenaire],Partenaires2[Tx Sub])</f>
        <v>0.5</v>
      </c>
      <c r="I28" s="170" t="str">
        <f>'[2]Lot 3'!I16</f>
        <v>Post-doctorant</v>
      </c>
      <c r="J28" s="178" t="str">
        <f>'[2]Lot 3'!J16</f>
        <v>Oui</v>
      </c>
      <c r="K28" s="5">
        <v>10</v>
      </c>
      <c r="L28" s="4">
        <f>'[2]Lot 3'!L16</f>
        <v>277</v>
      </c>
      <c r="M28" s="24">
        <f>T_3[[#This Row],[P Qu]]*T_3[[#This Row],[P PU]]</f>
        <v>2770</v>
      </c>
      <c r="N28" s="171">
        <f>'[2]Lot 3'!N16</f>
        <v>0</v>
      </c>
      <c r="O28" s="7">
        <f>'[2]Lot 3'!O16</f>
        <v>0</v>
      </c>
      <c r="P28" s="8">
        <f>'[2]Lot 3'!P16</f>
        <v>0</v>
      </c>
      <c r="Q28" s="191">
        <f>T_3[[#This Row],[ACh Qu]]*T_3[[#This Row],[ACh PU]]</f>
        <v>0</v>
      </c>
      <c r="R28" s="192">
        <f>T_3[[#This Row],[P CT]]+T_3[[#This Row],[ACh CT]]</f>
        <v>2770</v>
      </c>
      <c r="S28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3462.5</v>
      </c>
      <c r="T28" s="52">
        <f>T_3[[#This Row],[Mt Elligible]]*T_3[[#This Row],[Tx Sub]]</f>
        <v>1731.25</v>
      </c>
    </row>
    <row r="29" spans="1:20" hidden="1">
      <c r="A29" s="182" t="str">
        <f t="shared" si="0"/>
        <v>Lot_3</v>
      </c>
      <c r="B29" s="113" t="str">
        <f>_xlfn.XLOOKUP(T_3[[#This Row],[N° Lot]],Tableau4[NoLot],Tableau4[Lot])</f>
        <v>Carte d’identité des granulats végétaux</v>
      </c>
      <c r="C29" s="178" t="str">
        <f>'[2]Lot 3'!C17</f>
        <v>T2_Rédaction_des_protocoles_de_caractérisation</v>
      </c>
      <c r="D29" s="178" t="str">
        <f>'[2]Lot 3'!D17</f>
        <v>ST4 Rédaction des protocoles</v>
      </c>
      <c r="E29" s="178">
        <f>'[2]Lot 3'!E17</f>
        <v>0</v>
      </c>
      <c r="F29" s="169" t="str">
        <f>'[2]Lot 3'!F17</f>
        <v>CEREMA</v>
      </c>
      <c r="G29" s="54">
        <f>_xlfn.XLOOKUP(T_3[[#This Row],[Partenaires]],Partenaires2[Partenaire],Partenaires2[Tx Ch Connexe])</f>
        <v>0.25</v>
      </c>
      <c r="H29" s="54">
        <f>_xlfn.XLOOKUP(T_3[[#This Row],[Partenaires]],Partenaires2[Partenaire],Partenaires2[Tx Sub])</f>
        <v>0.5</v>
      </c>
      <c r="I29" s="178" t="str">
        <f>'[2]Lot 3'!I17</f>
        <v>Expert</v>
      </c>
      <c r="J29" s="178" t="str">
        <f>'[2]Lot 3'!J17</f>
        <v>Non</v>
      </c>
      <c r="K29" s="5">
        <f>'[2]Lot 3'!K17</f>
        <v>2</v>
      </c>
      <c r="L29" s="4">
        <f>'[2]Lot 3'!L17</f>
        <v>792</v>
      </c>
      <c r="M29" s="24">
        <f>T_3[[#This Row],[P Qu]]*T_3[[#This Row],[P PU]]</f>
        <v>1584</v>
      </c>
      <c r="N29" s="180">
        <f>'[2]Lot 3'!N17</f>
        <v>0</v>
      </c>
      <c r="O29" s="7">
        <f>'[2]Lot 3'!O17</f>
        <v>0</v>
      </c>
      <c r="P29" s="8">
        <f>'[2]Lot 3'!P17</f>
        <v>0</v>
      </c>
      <c r="Q29" s="191">
        <f>T_3[[#This Row],[ACh Qu]]*T_3[[#This Row],[ACh PU]]</f>
        <v>0</v>
      </c>
      <c r="R29" s="192">
        <f>T_3[[#This Row],[P CT]]+T_3[[#This Row],[ACh CT]]</f>
        <v>1584</v>
      </c>
      <c r="S29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396</v>
      </c>
      <c r="T29" s="52">
        <f>T_3[[#This Row],[Mt Elligible]]*T_3[[#This Row],[Tx Sub]]</f>
        <v>198</v>
      </c>
    </row>
    <row r="30" spans="1:20" hidden="1">
      <c r="A30" s="182" t="str">
        <f t="shared" si="0"/>
        <v>Lot_3</v>
      </c>
      <c r="B30" s="113" t="str">
        <f>_xlfn.XLOOKUP(T_3[[#This Row],[N° Lot]],Tableau4[NoLot],Tableau4[Lot])</f>
        <v>Carte d’identité des granulats végétaux</v>
      </c>
      <c r="C30" s="178" t="str">
        <f>'[2]Lot 3'!C18</f>
        <v>T2_Rédaction_des_protocoles_de_caractérisation</v>
      </c>
      <c r="D30" s="178" t="str">
        <f>'[2]Lot 3'!D18</f>
        <v>ST4 Rédaction des protocoles</v>
      </c>
      <c r="E30" s="178">
        <f>'[2]Lot 3'!E18</f>
        <v>0</v>
      </c>
      <c r="F30" s="169" t="str">
        <f>'[2]Lot 3'!F18</f>
        <v>CEREMA</v>
      </c>
      <c r="G30" s="54">
        <f>_xlfn.XLOOKUP(T_3[[#This Row],[Partenaires]],Partenaires2[Partenaire],Partenaires2[Tx Ch Connexe])</f>
        <v>0.25</v>
      </c>
      <c r="H30" s="54">
        <f>_xlfn.XLOOKUP(T_3[[#This Row],[Partenaires]],Partenaires2[Partenaire],Partenaires2[Tx Sub])</f>
        <v>0.5</v>
      </c>
      <c r="I30" s="178" t="str">
        <f>'[2]Lot 3'!I18</f>
        <v>Ingénieur</v>
      </c>
      <c r="J30" s="178" t="str">
        <f>'[2]Lot 3'!J18</f>
        <v>Non</v>
      </c>
      <c r="K30" s="5">
        <v>20</v>
      </c>
      <c r="L30" s="4">
        <f>'[2]Lot 3'!L18</f>
        <v>376</v>
      </c>
      <c r="M30" s="24">
        <f>T_3[[#This Row],[P Qu]]*T_3[[#This Row],[P PU]]</f>
        <v>7520</v>
      </c>
      <c r="N30" s="180">
        <f>'[2]Lot 3'!N18</f>
        <v>0</v>
      </c>
      <c r="O30" s="7">
        <f>'[2]Lot 3'!O18</f>
        <v>0</v>
      </c>
      <c r="P30" s="8">
        <f>'[2]Lot 3'!P18</f>
        <v>0</v>
      </c>
      <c r="Q30" s="191">
        <f>T_3[[#This Row],[ACh Qu]]*T_3[[#This Row],[ACh PU]]</f>
        <v>0</v>
      </c>
      <c r="R30" s="192">
        <f>T_3[[#This Row],[P CT]]+T_3[[#This Row],[ACh CT]]</f>
        <v>7520</v>
      </c>
      <c r="S30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1880</v>
      </c>
      <c r="T30" s="52">
        <f>T_3[[#This Row],[Mt Elligible]]*T_3[[#This Row],[Tx Sub]]</f>
        <v>940</v>
      </c>
    </row>
    <row r="31" spans="1:20" hidden="1">
      <c r="A31" s="182" t="str">
        <f t="shared" si="0"/>
        <v>Lot_3</v>
      </c>
      <c r="B31" s="113" t="str">
        <f>_xlfn.XLOOKUP(T_3[[#This Row],[N° Lot]],Tableau4[NoLot],Tableau4[Lot])</f>
        <v>Carte d’identité des granulats végétaux</v>
      </c>
      <c r="C31" s="167" t="s">
        <v>61</v>
      </c>
      <c r="D31" s="178" t="s">
        <v>142</v>
      </c>
      <c r="E31" s="178" t="s">
        <v>158</v>
      </c>
      <c r="F31" s="34" t="s">
        <v>16</v>
      </c>
      <c r="G31" s="54">
        <f>_xlfn.XLOOKUP(T_3[[#This Row],[Partenaires]],Partenaires2[Partenaire],Partenaires2[Tx Ch Connexe])</f>
        <v>0.25</v>
      </c>
      <c r="H31" s="54">
        <f>_xlfn.XLOOKUP(T_3[[#This Row],[Partenaires]],Partenaires2[Partenaire],Partenaires2[Tx Sub])</f>
        <v>0.7</v>
      </c>
      <c r="I31" s="178"/>
      <c r="J31" s="178" t="s">
        <v>82</v>
      </c>
      <c r="K31" s="5"/>
      <c r="L31" s="4"/>
      <c r="M31" s="24">
        <f>T_3[[#This Row],[P Qu]]*T_3[[#This Row],[P PU]]</f>
        <v>0</v>
      </c>
      <c r="N31" s="180" t="s">
        <v>163</v>
      </c>
      <c r="O31" s="7">
        <v>1</v>
      </c>
      <c r="P31" s="8">
        <v>520</v>
      </c>
      <c r="Q31" s="24">
        <f>T_3[[#This Row],[ACh Qu]]*T_3[[#This Row],[ACh PU]]</f>
        <v>520</v>
      </c>
      <c r="R31" s="29">
        <f>T_3[[#This Row],[P CT]]+T_3[[#This Row],[ACh CT]]</f>
        <v>520</v>
      </c>
      <c r="S31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650</v>
      </c>
      <c r="T31" s="52">
        <f>T_3[[#This Row],[Mt Elligible]]*T_3[[#This Row],[Tx Sub]]</f>
        <v>454.99999999999994</v>
      </c>
    </row>
    <row r="32" spans="1:20" hidden="1">
      <c r="A32" s="182" t="str">
        <f t="shared" si="0"/>
        <v>Lot_3</v>
      </c>
      <c r="B32" s="113" t="str">
        <f>_xlfn.XLOOKUP(T_3[[#This Row],[N° Lot]],Tableau4[NoLot],Tableau4[Lot])</f>
        <v>Carte d’identité des granulats végétaux</v>
      </c>
      <c r="C32" s="178" t="str">
        <f>'[2]Lot 3'!C19</f>
        <v xml:space="preserve">T3_Identification_des_indicateurs_environnementaux </v>
      </c>
      <c r="D32" s="178" t="str">
        <f>'[2]Lot 3'!D19</f>
        <v>ST1 Analyse des contributions / données liées aux granulats</v>
      </c>
      <c r="E32" s="178">
        <f>'[2]Lot 3'!E19</f>
        <v>0</v>
      </c>
      <c r="F32" s="169" t="str">
        <f>'[2]Lot 3'!F19</f>
        <v>CEREMA</v>
      </c>
      <c r="G32" s="54">
        <f>_xlfn.XLOOKUP(T_3[[#This Row],[Partenaires]],Partenaires2[Partenaire],Partenaires2[Tx Ch Connexe])</f>
        <v>0.25</v>
      </c>
      <c r="H32" s="54">
        <f>_xlfn.XLOOKUP(T_3[[#This Row],[Partenaires]],Partenaires2[Partenaire],Partenaires2[Tx Sub])</f>
        <v>0.5</v>
      </c>
      <c r="I32" s="178" t="str">
        <f>'[2]Lot 3'!I19</f>
        <v>Directeur de projet</v>
      </c>
      <c r="J32" s="178" t="str">
        <f>'[2]Lot 3'!J19</f>
        <v>Non</v>
      </c>
      <c r="K32" s="5">
        <v>5</v>
      </c>
      <c r="L32" s="4">
        <f>'[2]Lot 3'!L19</f>
        <v>548</v>
      </c>
      <c r="M32" s="24">
        <f>T_3[[#This Row],[P Qu]]*T_3[[#This Row],[P PU]]</f>
        <v>2740</v>
      </c>
      <c r="N32" s="180">
        <f>'[2]Lot 3'!N19</f>
        <v>0</v>
      </c>
      <c r="O32" s="7">
        <f>'[2]Lot 3'!O19</f>
        <v>0</v>
      </c>
      <c r="P32" s="8">
        <f>'[2]Lot 3'!P19</f>
        <v>0</v>
      </c>
      <c r="Q32" s="191">
        <f>T_3[[#This Row],[ACh Qu]]*T_3[[#This Row],[ACh PU]]</f>
        <v>0</v>
      </c>
      <c r="R32" s="192">
        <f>T_3[[#This Row],[P CT]]+T_3[[#This Row],[ACh CT]]</f>
        <v>2740</v>
      </c>
      <c r="S32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685</v>
      </c>
      <c r="T32" s="52">
        <f>T_3[[#This Row],[Mt Elligible]]*T_3[[#This Row],[Tx Sub]]</f>
        <v>342.5</v>
      </c>
    </row>
    <row r="33" spans="1:20" hidden="1">
      <c r="A33" s="182" t="str">
        <f t="shared" si="0"/>
        <v>Lot_3</v>
      </c>
      <c r="B33" s="113" t="str">
        <f>_xlfn.XLOOKUP(T_3[[#This Row],[N° Lot]],Tableau4[NoLot],Tableau4[Lot])</f>
        <v>Carte d’identité des granulats végétaux</v>
      </c>
      <c r="C33" s="178" t="str">
        <f>'[2]Lot 3'!C20</f>
        <v xml:space="preserve">T3_Identification_des_indicateurs_environnementaux </v>
      </c>
      <c r="D33" s="178" t="str">
        <f>'[2]Lot 3'!D20</f>
        <v>ST1 Analyse des contributions / données liées aux granulats</v>
      </c>
      <c r="E33" s="178">
        <f>'[2]Lot 3'!E20</f>
        <v>0</v>
      </c>
      <c r="F33" s="169" t="str">
        <f>'[2]Lot 3'!F20</f>
        <v>CEREMA</v>
      </c>
      <c r="G33" s="54">
        <f>_xlfn.XLOOKUP(T_3[[#This Row],[Partenaires]],Partenaires2[Partenaire],Partenaires2[Tx Ch Connexe])</f>
        <v>0.25</v>
      </c>
      <c r="H33" s="54">
        <f>_xlfn.XLOOKUP(T_3[[#This Row],[Partenaires]],Partenaires2[Partenaire],Partenaires2[Tx Sub])</f>
        <v>0.5</v>
      </c>
      <c r="I33" s="178" t="str">
        <f>'[2]Lot 3'!I20</f>
        <v>Ingénieur</v>
      </c>
      <c r="J33" s="178" t="str">
        <f>'[2]Lot 3'!J20</f>
        <v>Non</v>
      </c>
      <c r="K33" s="5">
        <f>'[2]Lot 3'!K20</f>
        <v>20</v>
      </c>
      <c r="L33" s="4">
        <f>'[2]Lot 3'!L20</f>
        <v>376</v>
      </c>
      <c r="M33" s="24">
        <f>T_3[[#This Row],[P Qu]]*T_3[[#This Row],[P PU]]</f>
        <v>7520</v>
      </c>
      <c r="N33" s="180">
        <f>'[2]Lot 3'!N20</f>
        <v>0</v>
      </c>
      <c r="O33" s="7">
        <f>'[2]Lot 3'!O20</f>
        <v>0</v>
      </c>
      <c r="P33" s="8">
        <f>'[2]Lot 3'!P20</f>
        <v>0</v>
      </c>
      <c r="Q33" s="191">
        <f>T_3[[#This Row],[ACh Qu]]*T_3[[#This Row],[ACh PU]]</f>
        <v>0</v>
      </c>
      <c r="R33" s="192">
        <f>T_3[[#This Row],[P CT]]+T_3[[#This Row],[ACh CT]]</f>
        <v>7520</v>
      </c>
      <c r="S33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1880</v>
      </c>
      <c r="T33" s="52">
        <f>T_3[[#This Row],[Mt Elligible]]*T_3[[#This Row],[Tx Sub]]</f>
        <v>940</v>
      </c>
    </row>
    <row r="34" spans="1:20" hidden="1">
      <c r="A34" s="182" t="str">
        <f t="shared" si="0"/>
        <v>Lot_3</v>
      </c>
      <c r="B34" s="113" t="str">
        <f>_xlfn.XLOOKUP(T_3[[#This Row],[N° Lot]],Tableau4[NoLot],Tableau4[Lot])</f>
        <v>Carte d’identité des granulats végétaux</v>
      </c>
      <c r="C34" s="178" t="str">
        <f>'[2]Lot 3'!C21</f>
        <v xml:space="preserve">T3_Identification_des_indicateurs_environnementaux </v>
      </c>
      <c r="D34" s="178" t="str">
        <f>'[2]Lot 3'!D21</f>
        <v>ST1 Analyse des contributions / données liées aux granulats</v>
      </c>
      <c r="E34" s="178">
        <f>'[2]Lot 3'!E21</f>
        <v>0</v>
      </c>
      <c r="F34" s="169" t="str">
        <f>'[2]Lot 3'!F21</f>
        <v>CEREMA</v>
      </c>
      <c r="G34" s="54">
        <f>_xlfn.XLOOKUP(T_3[[#This Row],[Partenaires]],Partenaires2[Partenaire],Partenaires2[Tx Ch Connexe])</f>
        <v>0.25</v>
      </c>
      <c r="H34" s="54">
        <f>_xlfn.XLOOKUP(T_3[[#This Row],[Partenaires]],Partenaires2[Partenaire],Partenaires2[Tx Sub])</f>
        <v>0.5</v>
      </c>
      <c r="I34" s="178" t="str">
        <f>'[2]Lot 3'!I21</f>
        <v>Master Recherche</v>
      </c>
      <c r="J34" s="178" t="str">
        <f>'[2]Lot 3'!J21</f>
        <v>Oui</v>
      </c>
      <c r="K34" s="5">
        <f>'[2]Lot 3'!K21</f>
        <v>40</v>
      </c>
      <c r="L34" s="4">
        <f>'[2]Lot 3'!L21</f>
        <v>30</v>
      </c>
      <c r="M34" s="24">
        <f>T_3[[#This Row],[P Qu]]*T_3[[#This Row],[P PU]]</f>
        <v>1200</v>
      </c>
      <c r="N34" s="180">
        <f>'[2]Lot 3'!N21</f>
        <v>0</v>
      </c>
      <c r="O34" s="7">
        <f>'[2]Lot 3'!O21</f>
        <v>0</v>
      </c>
      <c r="P34" s="8">
        <f>'[2]Lot 3'!P21</f>
        <v>0</v>
      </c>
      <c r="Q34" s="191">
        <f>T_3[[#This Row],[ACh Qu]]*T_3[[#This Row],[ACh PU]]</f>
        <v>0</v>
      </c>
      <c r="R34" s="192">
        <f>T_3[[#This Row],[P CT]]+T_3[[#This Row],[ACh CT]]</f>
        <v>1200</v>
      </c>
      <c r="S34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1500</v>
      </c>
      <c r="T34" s="52">
        <f>T_3[[#This Row],[Mt Elligible]]*T_3[[#This Row],[Tx Sub]]</f>
        <v>750</v>
      </c>
    </row>
    <row r="35" spans="1:20" hidden="1">
      <c r="A35" s="182" t="str">
        <f t="shared" si="0"/>
        <v>Lot_3</v>
      </c>
      <c r="B35" s="113" t="str">
        <f>_xlfn.XLOOKUP(T_3[[#This Row],[N° Lot]],Tableau4[NoLot],Tableau4[Lot])</f>
        <v>Carte d’identité des granulats végétaux</v>
      </c>
      <c r="C35" s="167" t="s">
        <v>62</v>
      </c>
      <c r="D35" s="178" t="s">
        <v>143</v>
      </c>
      <c r="F35" s="34" t="s">
        <v>16</v>
      </c>
      <c r="G35" s="54">
        <f>_xlfn.XLOOKUP(T_3[[#This Row],[Partenaires]],Partenaires2[Partenaire],Partenaires2[Tx Ch Connexe])</f>
        <v>0.25</v>
      </c>
      <c r="H35" s="54">
        <f>_xlfn.XLOOKUP(T_3[[#This Row],[Partenaires]],Partenaires2[Partenaire],Partenaires2[Tx Sub])</f>
        <v>0.7</v>
      </c>
      <c r="I35" s="178"/>
      <c r="J35" s="178" t="s">
        <v>82</v>
      </c>
      <c r="K35" s="5"/>
      <c r="L35" s="4"/>
      <c r="M35" s="24">
        <f>T_3[[#This Row],[P Qu]]*T_3[[#This Row],[P PU]]</f>
        <v>0</v>
      </c>
      <c r="N35" s="180" t="s">
        <v>163</v>
      </c>
      <c r="O35" s="7">
        <v>1</v>
      </c>
      <c r="P35" s="8">
        <v>520</v>
      </c>
      <c r="Q35" s="24">
        <f>T_3[[#This Row],[ACh Qu]]*T_3[[#This Row],[ACh PU]]</f>
        <v>520</v>
      </c>
      <c r="R35" s="29">
        <f>T_3[[#This Row],[P CT]]+T_3[[#This Row],[ACh CT]]</f>
        <v>520</v>
      </c>
      <c r="S35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650</v>
      </c>
      <c r="T35" s="52">
        <f>T_3[[#This Row],[Mt Elligible]]*T_3[[#This Row],[Tx Sub]]</f>
        <v>454.99999999999994</v>
      </c>
    </row>
    <row r="36" spans="1:20" hidden="1">
      <c r="A36" s="182" t="str">
        <f t="shared" si="0"/>
        <v>Lot_3</v>
      </c>
      <c r="B36" s="113" t="str">
        <f>_xlfn.XLOOKUP(T_3[[#This Row],[N° Lot]],Tableau4[NoLot],Tableau4[Lot])</f>
        <v>Carte d’identité des granulats végétaux</v>
      </c>
      <c r="C36" s="178" t="str">
        <f>'[2]Lot 3'!C22</f>
        <v xml:space="preserve">T3_Identification_des_indicateurs_environnementaux </v>
      </c>
      <c r="D36" s="178" t="str">
        <f>'[2]Lot 3'!D22</f>
        <v>ST2 Synthèse des données pour la CI</v>
      </c>
      <c r="E36" s="178">
        <f>'[2]Lot 3'!E22</f>
        <v>0</v>
      </c>
      <c r="F36" s="169" t="str">
        <f>'[2]Lot 3'!F22</f>
        <v>CEREMA</v>
      </c>
      <c r="G36" s="54">
        <f>_xlfn.XLOOKUP(T_3[[#This Row],[Partenaires]],Partenaires2[Partenaire],Partenaires2[Tx Ch Connexe])</f>
        <v>0.25</v>
      </c>
      <c r="H36" s="54">
        <f>_xlfn.XLOOKUP(T_3[[#This Row],[Partenaires]],Partenaires2[Partenaire],Partenaires2[Tx Sub])</f>
        <v>0.5</v>
      </c>
      <c r="I36" s="178" t="str">
        <f>'[2]Lot 3'!I22</f>
        <v>Directeur de projet</v>
      </c>
      <c r="J36" s="178" t="str">
        <f>'[2]Lot 3'!J22</f>
        <v>Non</v>
      </c>
      <c r="K36" s="5">
        <v>5</v>
      </c>
      <c r="L36" s="4">
        <f>'[2]Lot 3'!L22</f>
        <v>548</v>
      </c>
      <c r="M36" s="24">
        <f>T_3[[#This Row],[P Qu]]*T_3[[#This Row],[P PU]]</f>
        <v>2740</v>
      </c>
      <c r="N36" s="180">
        <f>'[2]Lot 3'!N22</f>
        <v>0</v>
      </c>
      <c r="O36" s="7">
        <f>'[2]Lot 3'!O22</f>
        <v>0</v>
      </c>
      <c r="P36" s="8">
        <f>'[2]Lot 3'!P22</f>
        <v>0</v>
      </c>
      <c r="Q36" s="191">
        <f>T_3[[#This Row],[ACh Qu]]*T_3[[#This Row],[ACh PU]]</f>
        <v>0</v>
      </c>
      <c r="R36" s="192">
        <f>T_3[[#This Row],[P CT]]+T_3[[#This Row],[ACh CT]]</f>
        <v>2740</v>
      </c>
      <c r="S36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685</v>
      </c>
      <c r="T36" s="52">
        <f>T_3[[#This Row],[Mt Elligible]]*T_3[[#This Row],[Tx Sub]]</f>
        <v>342.5</v>
      </c>
    </row>
    <row r="37" spans="1:20" hidden="1">
      <c r="A37" s="182" t="str">
        <f t="shared" si="0"/>
        <v>Lot_3</v>
      </c>
      <c r="B37" s="113" t="str">
        <f>_xlfn.XLOOKUP(T_3[[#This Row],[N° Lot]],Tableau4[NoLot],Tableau4[Lot])</f>
        <v>Carte d’identité des granulats végétaux</v>
      </c>
      <c r="C37" s="178" t="str">
        <f>'[2]Lot 3'!C23</f>
        <v xml:space="preserve">T3_Identification_des_indicateurs_environnementaux </v>
      </c>
      <c r="D37" s="178" t="str">
        <f>'[2]Lot 3'!D23</f>
        <v>ST2 Synthèse des données pour la CI</v>
      </c>
      <c r="E37" s="178">
        <f>'[2]Lot 3'!E23</f>
        <v>0</v>
      </c>
      <c r="F37" s="169" t="str">
        <f>'[2]Lot 3'!F23</f>
        <v>CEREMA</v>
      </c>
      <c r="G37" s="54">
        <f>_xlfn.XLOOKUP(T_3[[#This Row],[Partenaires]],Partenaires2[Partenaire],Partenaires2[Tx Ch Connexe])</f>
        <v>0.25</v>
      </c>
      <c r="H37" s="54">
        <f>_xlfn.XLOOKUP(T_3[[#This Row],[Partenaires]],Partenaires2[Partenaire],Partenaires2[Tx Sub])</f>
        <v>0.5</v>
      </c>
      <c r="I37" s="178" t="str">
        <f>'[2]Lot 3'!I23</f>
        <v>Ingénieur</v>
      </c>
      <c r="J37" s="178" t="str">
        <f>'[2]Lot 3'!J23</f>
        <v>Non</v>
      </c>
      <c r="K37" s="5">
        <f>'[2]Lot 3'!K23</f>
        <v>10</v>
      </c>
      <c r="L37" s="4">
        <f>'[2]Lot 3'!L23</f>
        <v>376</v>
      </c>
      <c r="M37" s="24">
        <f>T_3[[#This Row],[P Qu]]*T_3[[#This Row],[P PU]]</f>
        <v>3760</v>
      </c>
      <c r="N37" s="180">
        <f>'[2]Lot 3'!N23</f>
        <v>0</v>
      </c>
      <c r="O37" s="7">
        <f>'[2]Lot 3'!O23</f>
        <v>0</v>
      </c>
      <c r="P37" s="8">
        <f>'[2]Lot 3'!P23</f>
        <v>0</v>
      </c>
      <c r="Q37" s="191">
        <f>T_3[[#This Row],[ACh Qu]]*T_3[[#This Row],[ACh PU]]</f>
        <v>0</v>
      </c>
      <c r="R37" s="192">
        <f>T_3[[#This Row],[P CT]]+T_3[[#This Row],[ACh CT]]</f>
        <v>3760</v>
      </c>
      <c r="S37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940</v>
      </c>
      <c r="T37" s="52">
        <f>T_3[[#This Row],[Mt Elligible]]*T_3[[#This Row],[Tx Sub]]</f>
        <v>470</v>
      </c>
    </row>
    <row r="38" spans="1:20" hidden="1">
      <c r="A38" s="182" t="str">
        <f t="shared" si="0"/>
        <v>Lot_3</v>
      </c>
      <c r="B38" s="113" t="str">
        <f>_xlfn.XLOOKUP(T_3[[#This Row],[N° Lot]],Tableau4[NoLot],Tableau4[Lot])</f>
        <v>Carte d’identité des granulats végétaux</v>
      </c>
      <c r="C38" s="167" t="s">
        <v>62</v>
      </c>
      <c r="D38" s="178" t="s">
        <v>144</v>
      </c>
      <c r="F38" s="34" t="s">
        <v>16</v>
      </c>
      <c r="G38" s="54">
        <f>_xlfn.XLOOKUP(T_3[[#This Row],[Partenaires]],Partenaires2[Partenaire],Partenaires2[Tx Ch Connexe])</f>
        <v>0.25</v>
      </c>
      <c r="H38" s="54">
        <f>_xlfn.XLOOKUP(T_3[[#This Row],[Partenaires]],Partenaires2[Partenaire],Partenaires2[Tx Sub])</f>
        <v>0.7</v>
      </c>
      <c r="I38" s="178"/>
      <c r="J38" s="178" t="s">
        <v>82</v>
      </c>
      <c r="K38" s="5"/>
      <c r="L38" s="4"/>
      <c r="M38" s="24">
        <f>T_3[[#This Row],[P Qu]]*T_3[[#This Row],[P PU]]</f>
        <v>0</v>
      </c>
      <c r="N38" s="180" t="s">
        <v>163</v>
      </c>
      <c r="O38" s="7">
        <v>1</v>
      </c>
      <c r="P38" s="8">
        <v>520</v>
      </c>
      <c r="Q38" s="24">
        <f>T_3[[#This Row],[ACh Qu]]*T_3[[#This Row],[ACh PU]]</f>
        <v>520</v>
      </c>
      <c r="R38" s="29">
        <f>T_3[[#This Row],[P CT]]+T_3[[#This Row],[ACh CT]]</f>
        <v>520</v>
      </c>
      <c r="S38" s="52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650</v>
      </c>
      <c r="T38" s="52">
        <f>T_3[[#This Row],[Mt Elligible]]*T_3[[#This Row],[Tx Sub]]</f>
        <v>454.99999999999994</v>
      </c>
    </row>
    <row r="39" spans="1:20" hidden="1">
      <c r="A39" s="182" t="s">
        <v>32</v>
      </c>
      <c r="B39" s="113" t="str">
        <f>_xlfn.XLOOKUP(T_3[[#This Row],[N° Lot]],Tableau4[NoLot],Tableau4[Lot])</f>
        <v>Carte d’identité des granulats végétaux</v>
      </c>
      <c r="C39" s="178" t="s">
        <v>60</v>
      </c>
      <c r="D39" s="178" t="s">
        <v>123</v>
      </c>
      <c r="E39" s="178" t="s">
        <v>204</v>
      </c>
      <c r="F39" s="35" t="s">
        <v>17</v>
      </c>
      <c r="G39" s="207">
        <f>_xlfn.XLOOKUP(T_3[[#This Row],[Partenaires]],Partenaires2[Partenaire],Partenaires2[Tx Ch Connexe])</f>
        <v>0.18</v>
      </c>
      <c r="H39" s="207">
        <f>_xlfn.XLOOKUP(T_3[[#This Row],[Partenaires]],Partenaires2[Partenaire],Partenaires2[Tx Sub])</f>
        <v>0.5</v>
      </c>
      <c r="I39" s="178" t="s">
        <v>222</v>
      </c>
      <c r="J39" s="178" t="s">
        <v>81</v>
      </c>
      <c r="K39" s="5">
        <v>2</v>
      </c>
      <c r="L39" s="4">
        <v>572</v>
      </c>
      <c r="M39" s="200">
        <f>T_3[[#This Row],[P Qu]]*T_3[[#This Row],[P PU]]</f>
        <v>1144</v>
      </c>
      <c r="N39" s="180" t="s">
        <v>45</v>
      </c>
      <c r="O39" s="7">
        <v>2</v>
      </c>
      <c r="P39" s="8">
        <v>150</v>
      </c>
      <c r="Q39" s="200">
        <f>T_3[[#This Row],[ACh Qu]]*T_3[[#This Row],[ACh PU]]</f>
        <v>300</v>
      </c>
      <c r="R39" s="201">
        <f>T_3[[#This Row],[P CT]]+T_3[[#This Row],[ACh CT]]</f>
        <v>1444</v>
      </c>
      <c r="S39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559.91999999999996</v>
      </c>
      <c r="T39" s="46">
        <f>T_3[[#This Row],[Mt Elligible]]*T_3[[#This Row],[Tx Sub]]</f>
        <v>279.95999999999998</v>
      </c>
    </row>
    <row r="40" spans="1:20" hidden="1">
      <c r="A40" s="182" t="str">
        <f t="shared" ref="A40:A41" si="1">A$1</f>
        <v>Lot_3</v>
      </c>
      <c r="B40" s="113" t="str">
        <f>_xlfn.XLOOKUP(T_3[[#This Row],[N° Lot]],Tableau4[NoLot],Tableau4[Lot])</f>
        <v>Carte d’identité des granulats végétaux</v>
      </c>
      <c r="C40" s="178" t="s">
        <v>60</v>
      </c>
      <c r="D40" s="178" t="s">
        <v>123</v>
      </c>
      <c r="E40" s="178" t="s">
        <v>204</v>
      </c>
      <c r="F40" s="35" t="s">
        <v>17</v>
      </c>
      <c r="G40" s="207">
        <f>_xlfn.XLOOKUP(T_3[[#This Row],[Partenaires]],Partenaires2[Partenaire],Partenaires2[Tx Ch Connexe])</f>
        <v>0.18</v>
      </c>
      <c r="H40" s="207">
        <f>_xlfn.XLOOKUP(T_3[[#This Row],[Partenaires]],Partenaires2[Partenaire],Partenaires2[Tx Sub])</f>
        <v>0.5</v>
      </c>
      <c r="I40" s="178" t="s">
        <v>220</v>
      </c>
      <c r="J40" s="178" t="s">
        <v>81</v>
      </c>
      <c r="K40" s="5">
        <v>2</v>
      </c>
      <c r="L40" s="4">
        <v>494</v>
      </c>
      <c r="M40" s="200">
        <f>T_3[[#This Row],[P Qu]]*T_3[[#This Row],[P PU]]</f>
        <v>988</v>
      </c>
      <c r="N40" s="180" t="s">
        <v>45</v>
      </c>
      <c r="O40" s="7">
        <v>2</v>
      </c>
      <c r="P40" s="8">
        <v>150</v>
      </c>
      <c r="Q40" s="200">
        <f>T_3[[#This Row],[ACh Qu]]*T_3[[#This Row],[ACh PU]]</f>
        <v>300</v>
      </c>
      <c r="R40" s="201">
        <f>T_3[[#This Row],[P CT]]+T_3[[#This Row],[ACh CT]]</f>
        <v>1288</v>
      </c>
      <c r="S40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531.84</v>
      </c>
      <c r="T40" s="46">
        <f>T_3[[#This Row],[Mt Elligible]]*T_3[[#This Row],[Tx Sub]]</f>
        <v>265.92</v>
      </c>
    </row>
    <row r="41" spans="1:20" hidden="1">
      <c r="A41" s="182" t="str">
        <f t="shared" si="1"/>
        <v>Lot_3</v>
      </c>
      <c r="B41" s="113" t="str">
        <f>_xlfn.XLOOKUP(T_3[[#This Row],[N° Lot]],Tableau4[NoLot],Tableau4[Lot])</f>
        <v>Carte d’identité des granulats végétaux</v>
      </c>
      <c r="C41" s="178" t="s">
        <v>60</v>
      </c>
      <c r="D41" s="178" t="s">
        <v>123</v>
      </c>
      <c r="E41" s="178" t="s">
        <v>204</v>
      </c>
      <c r="F41" s="35" t="s">
        <v>17</v>
      </c>
      <c r="G41" s="207">
        <f>_xlfn.XLOOKUP(T_3[[#This Row],[Partenaires]],Partenaires2[Partenaire],Partenaires2[Tx Ch Connexe])</f>
        <v>0.18</v>
      </c>
      <c r="H41" s="207">
        <f>_xlfn.XLOOKUP(T_3[[#This Row],[Partenaires]],Partenaires2[Partenaire],Partenaires2[Tx Sub])</f>
        <v>0.5</v>
      </c>
      <c r="I41" s="178" t="s">
        <v>221</v>
      </c>
      <c r="J41" s="178" t="s">
        <v>82</v>
      </c>
      <c r="K41" s="5">
        <v>2</v>
      </c>
      <c r="L41" s="4">
        <v>119</v>
      </c>
      <c r="M41" s="200">
        <f>T_3[[#This Row],[P Qu]]*T_3[[#This Row],[P PU]]</f>
        <v>238</v>
      </c>
      <c r="N41" s="180" t="s">
        <v>45</v>
      </c>
      <c r="O41" s="7">
        <v>2</v>
      </c>
      <c r="P41" s="8">
        <v>150</v>
      </c>
      <c r="Q41" s="200">
        <f>T_3[[#This Row],[ACh Qu]]*T_3[[#This Row],[ACh PU]]</f>
        <v>300</v>
      </c>
      <c r="R41" s="201">
        <f>T_3[[#This Row],[P CT]]+T_3[[#This Row],[ACh CT]]</f>
        <v>538</v>
      </c>
      <c r="S41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634.84</v>
      </c>
      <c r="T41" s="46">
        <f>T_3[[#This Row],[Mt Elligible]]*T_3[[#This Row],[Tx Sub]]</f>
        <v>317.42</v>
      </c>
    </row>
    <row r="42" spans="1:20" hidden="1">
      <c r="A42" s="182" t="str">
        <f t="shared" ref="A42:A44" si="2">A$1</f>
        <v>Lot_3</v>
      </c>
      <c r="B42" s="113" t="str">
        <f>_xlfn.XLOOKUP(T_3[[#This Row],[N° Lot]],Tableau4[NoLot],Tableau4[Lot])</f>
        <v>Carte d’identité des granulats végétaux</v>
      </c>
      <c r="C42" s="178" t="s">
        <v>60</v>
      </c>
      <c r="D42" s="178" t="s">
        <v>124</v>
      </c>
      <c r="E42" s="178" t="s">
        <v>206</v>
      </c>
      <c r="F42" s="169" t="s">
        <v>17</v>
      </c>
      <c r="G42" s="207">
        <f>_xlfn.XLOOKUP(T_3[[#This Row],[Partenaires]],Partenaires2[Partenaire],Partenaires2[Tx Ch Connexe])</f>
        <v>0.18</v>
      </c>
      <c r="H42" s="207">
        <f>_xlfn.XLOOKUP(T_3[[#This Row],[Partenaires]],Partenaires2[Partenaire],Partenaires2[Tx Sub])</f>
        <v>0.5</v>
      </c>
      <c r="I42" s="178" t="s">
        <v>222</v>
      </c>
      <c r="J42" s="178" t="s">
        <v>81</v>
      </c>
      <c r="K42" s="5">
        <v>2</v>
      </c>
      <c r="L42" s="4">
        <v>572</v>
      </c>
      <c r="M42" s="200">
        <f>T_3[[#This Row],[P Qu]]*T_3[[#This Row],[P PU]]</f>
        <v>1144</v>
      </c>
      <c r="N42" s="180" t="s">
        <v>45</v>
      </c>
      <c r="O42" s="7">
        <v>2</v>
      </c>
      <c r="P42" s="8">
        <v>150</v>
      </c>
      <c r="Q42" s="200">
        <f>T_3[[#This Row],[ACh Qu]]*T_3[[#This Row],[ACh PU]]</f>
        <v>300</v>
      </c>
      <c r="R42" s="201">
        <f>T_3[[#This Row],[P CT]]+T_3[[#This Row],[ACh CT]]</f>
        <v>1444</v>
      </c>
      <c r="S42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559.91999999999996</v>
      </c>
      <c r="T42" s="46">
        <f>T_3[[#This Row],[Mt Elligible]]*T_3[[#This Row],[Tx Sub]]</f>
        <v>279.95999999999998</v>
      </c>
    </row>
    <row r="43" spans="1:20" hidden="1">
      <c r="A43" s="182" t="str">
        <f t="shared" si="2"/>
        <v>Lot_3</v>
      </c>
      <c r="B43" s="113" t="str">
        <f>_xlfn.XLOOKUP(T_3[[#This Row],[N° Lot]],Tableau4[NoLot],Tableau4[Lot])</f>
        <v>Carte d’identité des granulats végétaux</v>
      </c>
      <c r="C43" s="178" t="s">
        <v>60</v>
      </c>
      <c r="D43" s="178" t="s">
        <v>124</v>
      </c>
      <c r="E43" s="178" t="s">
        <v>206</v>
      </c>
      <c r="F43" s="169" t="s">
        <v>17</v>
      </c>
      <c r="G43" s="207">
        <f>_xlfn.XLOOKUP(T_3[[#This Row],[Partenaires]],Partenaires2[Partenaire],Partenaires2[Tx Ch Connexe])</f>
        <v>0.18</v>
      </c>
      <c r="H43" s="207">
        <f>_xlfn.XLOOKUP(T_3[[#This Row],[Partenaires]],Partenaires2[Partenaire],Partenaires2[Tx Sub])</f>
        <v>0.5</v>
      </c>
      <c r="I43" s="178" t="s">
        <v>220</v>
      </c>
      <c r="J43" s="178" t="s">
        <v>81</v>
      </c>
      <c r="K43" s="5">
        <v>2</v>
      </c>
      <c r="L43" s="4">
        <v>494</v>
      </c>
      <c r="M43" s="200">
        <f>T_3[[#This Row],[P Qu]]*T_3[[#This Row],[P PU]]</f>
        <v>988</v>
      </c>
      <c r="N43" s="180" t="s">
        <v>45</v>
      </c>
      <c r="O43" s="7">
        <v>2</v>
      </c>
      <c r="P43" s="8">
        <v>150</v>
      </c>
      <c r="Q43" s="200">
        <f>T_3[[#This Row],[ACh Qu]]*T_3[[#This Row],[ACh PU]]</f>
        <v>300</v>
      </c>
      <c r="R43" s="201">
        <f>T_3[[#This Row],[P CT]]+T_3[[#This Row],[ACh CT]]</f>
        <v>1288</v>
      </c>
      <c r="S43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531.84</v>
      </c>
      <c r="T43" s="46">
        <f>T_3[[#This Row],[Mt Elligible]]*T_3[[#This Row],[Tx Sub]]</f>
        <v>265.92</v>
      </c>
    </row>
    <row r="44" spans="1:20" hidden="1">
      <c r="A44" s="182" t="str">
        <f t="shared" si="2"/>
        <v>Lot_3</v>
      </c>
      <c r="B44" s="113" t="str">
        <f>_xlfn.XLOOKUP(T_3[[#This Row],[N° Lot]],Tableau4[NoLot],Tableau4[Lot])</f>
        <v>Carte d’identité des granulats végétaux</v>
      </c>
      <c r="C44" s="178" t="s">
        <v>60</v>
      </c>
      <c r="D44" s="178" t="s">
        <v>124</v>
      </c>
      <c r="E44" s="178" t="s">
        <v>206</v>
      </c>
      <c r="F44" s="169" t="s">
        <v>17</v>
      </c>
      <c r="G44" s="207">
        <f>_xlfn.XLOOKUP(T_3[[#This Row],[Partenaires]],Partenaires2[Partenaire],Partenaires2[Tx Ch Connexe])</f>
        <v>0.18</v>
      </c>
      <c r="H44" s="207">
        <f>_xlfn.XLOOKUP(T_3[[#This Row],[Partenaires]],Partenaires2[Partenaire],Partenaires2[Tx Sub])</f>
        <v>0.5</v>
      </c>
      <c r="I44" s="178" t="s">
        <v>221</v>
      </c>
      <c r="J44" s="178" t="s">
        <v>82</v>
      </c>
      <c r="K44" s="5">
        <v>2</v>
      </c>
      <c r="L44" s="4">
        <v>119</v>
      </c>
      <c r="M44" s="200">
        <f>T_3[[#This Row],[P Qu]]*T_3[[#This Row],[P PU]]</f>
        <v>238</v>
      </c>
      <c r="N44" s="180" t="s">
        <v>45</v>
      </c>
      <c r="O44" s="7">
        <v>2</v>
      </c>
      <c r="P44" s="8">
        <v>150</v>
      </c>
      <c r="Q44" s="200">
        <f>T_3[[#This Row],[ACh Qu]]*T_3[[#This Row],[ACh PU]]</f>
        <v>300</v>
      </c>
      <c r="R44" s="201">
        <f>T_3[[#This Row],[P CT]]+T_3[[#This Row],[ACh CT]]</f>
        <v>538</v>
      </c>
      <c r="S44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634.84</v>
      </c>
      <c r="T44" s="46">
        <f>T_3[[#This Row],[Mt Elligible]]*T_3[[#This Row],[Tx Sub]]</f>
        <v>317.42</v>
      </c>
    </row>
    <row r="45" spans="1:20" hidden="1">
      <c r="A45" s="182" t="str">
        <f t="shared" ref="A45:A47" si="3">A$1</f>
        <v>Lot_3</v>
      </c>
      <c r="B45" s="113" t="str">
        <f>_xlfn.XLOOKUP(T_3[[#This Row],[N° Lot]],Tableau4[NoLot],Tableau4[Lot])</f>
        <v>Carte d’identité des granulats végétaux</v>
      </c>
      <c r="C45" s="178" t="s">
        <v>60</v>
      </c>
      <c r="D45" s="178" t="s">
        <v>125</v>
      </c>
      <c r="E45" s="178">
        <v>0</v>
      </c>
      <c r="F45" s="169" t="s">
        <v>17</v>
      </c>
      <c r="G45" s="207">
        <f>_xlfn.XLOOKUP(T_3[[#This Row],[Partenaires]],Partenaires2[Partenaire],Partenaires2[Tx Ch Connexe])</f>
        <v>0.18</v>
      </c>
      <c r="H45" s="207">
        <f>_xlfn.XLOOKUP(T_3[[#This Row],[Partenaires]],Partenaires2[Partenaire],Partenaires2[Tx Sub])</f>
        <v>0.5</v>
      </c>
      <c r="I45" s="178" t="s">
        <v>222</v>
      </c>
      <c r="J45" s="178" t="s">
        <v>81</v>
      </c>
      <c r="K45" s="5">
        <v>15</v>
      </c>
      <c r="L45" s="4">
        <v>572</v>
      </c>
      <c r="M45" s="200">
        <f>T_3[[#This Row],[P Qu]]*T_3[[#This Row],[P PU]]</f>
        <v>8580</v>
      </c>
      <c r="N45" s="180">
        <v>0</v>
      </c>
      <c r="O45" s="7">
        <v>0</v>
      </c>
      <c r="P45" s="8">
        <v>0</v>
      </c>
      <c r="Q45" s="200">
        <f>T_3[[#This Row],[ACh Qu]]*T_3[[#This Row],[ACh PU]]</f>
        <v>0</v>
      </c>
      <c r="R45" s="201">
        <f>T_3[[#This Row],[P CT]]+T_3[[#This Row],[ACh CT]]</f>
        <v>8580</v>
      </c>
      <c r="S45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1544.3999999999999</v>
      </c>
      <c r="T45" s="46">
        <f>T_3[[#This Row],[Mt Elligible]]*T_3[[#This Row],[Tx Sub]]</f>
        <v>772.19999999999993</v>
      </c>
    </row>
    <row r="46" spans="1:20" hidden="1">
      <c r="A46" s="182" t="str">
        <f t="shared" si="3"/>
        <v>Lot_3</v>
      </c>
      <c r="B46" s="113" t="str">
        <f>_xlfn.XLOOKUP(T_3[[#This Row],[N° Lot]],Tableau4[NoLot],Tableau4[Lot])</f>
        <v>Carte d’identité des granulats végétaux</v>
      </c>
      <c r="C46" s="178" t="s">
        <v>60</v>
      </c>
      <c r="D46" s="178" t="s">
        <v>125</v>
      </c>
      <c r="E46" s="178">
        <v>0</v>
      </c>
      <c r="F46" s="169" t="s">
        <v>17</v>
      </c>
      <c r="G46" s="207">
        <f>_xlfn.XLOOKUP(T_3[[#This Row],[Partenaires]],Partenaires2[Partenaire],Partenaires2[Tx Ch Connexe])</f>
        <v>0.18</v>
      </c>
      <c r="H46" s="207">
        <f>_xlfn.XLOOKUP(T_3[[#This Row],[Partenaires]],Partenaires2[Partenaire],Partenaires2[Tx Sub])</f>
        <v>0.5</v>
      </c>
      <c r="I46" s="178" t="s">
        <v>220</v>
      </c>
      <c r="J46" s="178" t="s">
        <v>81</v>
      </c>
      <c r="K46" s="5">
        <v>10</v>
      </c>
      <c r="L46" s="4">
        <v>494</v>
      </c>
      <c r="M46" s="200">
        <f>T_3[[#This Row],[P Qu]]*T_3[[#This Row],[P PU]]</f>
        <v>4940</v>
      </c>
      <c r="N46" s="180">
        <v>0</v>
      </c>
      <c r="O46" s="7">
        <v>0</v>
      </c>
      <c r="P46" s="8">
        <v>0</v>
      </c>
      <c r="Q46" s="200">
        <f>T_3[[#This Row],[ACh Qu]]*T_3[[#This Row],[ACh PU]]</f>
        <v>0</v>
      </c>
      <c r="R46" s="201">
        <f>T_3[[#This Row],[P CT]]+T_3[[#This Row],[ACh CT]]</f>
        <v>4940</v>
      </c>
      <c r="S46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889.19999999999993</v>
      </c>
      <c r="T46" s="46">
        <f>T_3[[#This Row],[Mt Elligible]]*T_3[[#This Row],[Tx Sub]]</f>
        <v>444.59999999999997</v>
      </c>
    </row>
    <row r="47" spans="1:20" hidden="1">
      <c r="A47" s="182" t="str">
        <f t="shared" si="3"/>
        <v>Lot_3</v>
      </c>
      <c r="B47" s="113" t="str">
        <f>_xlfn.XLOOKUP(T_3[[#This Row],[N° Lot]],Tableau4[NoLot],Tableau4[Lot])</f>
        <v>Carte d’identité des granulats végétaux</v>
      </c>
      <c r="C47" s="178" t="s">
        <v>60</v>
      </c>
      <c r="D47" s="178" t="s">
        <v>125</v>
      </c>
      <c r="E47" s="178">
        <v>0</v>
      </c>
      <c r="F47" s="169" t="s">
        <v>17</v>
      </c>
      <c r="G47" s="207">
        <f>_xlfn.XLOOKUP(T_3[[#This Row],[Partenaires]],Partenaires2[Partenaire],Partenaires2[Tx Ch Connexe])</f>
        <v>0.18</v>
      </c>
      <c r="H47" s="207">
        <f>_xlfn.XLOOKUP(T_3[[#This Row],[Partenaires]],Partenaires2[Partenaire],Partenaires2[Tx Sub])</f>
        <v>0.5</v>
      </c>
      <c r="I47" s="178" t="s">
        <v>221</v>
      </c>
      <c r="J47" s="178" t="s">
        <v>82</v>
      </c>
      <c r="K47" s="5">
        <v>0</v>
      </c>
      <c r="L47" s="4">
        <v>119</v>
      </c>
      <c r="M47" s="200">
        <f>T_3[[#This Row],[P Qu]]*T_3[[#This Row],[P PU]]</f>
        <v>0</v>
      </c>
      <c r="N47" s="180">
        <v>0</v>
      </c>
      <c r="O47" s="7">
        <v>0</v>
      </c>
      <c r="P47" s="8">
        <v>0</v>
      </c>
      <c r="Q47" s="200">
        <f>T_3[[#This Row],[ACh Qu]]*T_3[[#This Row],[ACh PU]]</f>
        <v>0</v>
      </c>
      <c r="R47" s="201">
        <f>T_3[[#This Row],[P CT]]+T_3[[#This Row],[ACh CT]]</f>
        <v>0</v>
      </c>
      <c r="S47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47" s="46">
        <f>T_3[[#This Row],[Mt Elligible]]*T_3[[#This Row],[Tx Sub]]</f>
        <v>0</v>
      </c>
    </row>
    <row r="48" spans="1:20" hidden="1">
      <c r="A48" s="182" t="str">
        <f t="shared" ref="A48:A50" si="4">A$1</f>
        <v>Lot_3</v>
      </c>
      <c r="B48" s="113" t="str">
        <f>_xlfn.XLOOKUP(T_3[[#This Row],[N° Lot]],Tableau4[NoLot],Tableau4[Lot])</f>
        <v>Carte d’identité des granulats végétaux</v>
      </c>
      <c r="C48" s="178" t="s">
        <v>61</v>
      </c>
      <c r="D48" s="178" t="s">
        <v>139</v>
      </c>
      <c r="E48" s="178" t="s">
        <v>224</v>
      </c>
      <c r="F48" s="169" t="s">
        <v>17</v>
      </c>
      <c r="G48" s="207">
        <f>_xlfn.XLOOKUP(T_3[[#This Row],[Partenaires]],Partenaires2[Partenaire],Partenaires2[Tx Ch Connexe])</f>
        <v>0.18</v>
      </c>
      <c r="H48" s="207">
        <f>_xlfn.XLOOKUP(T_3[[#This Row],[Partenaires]],Partenaires2[Partenaire],Partenaires2[Tx Sub])</f>
        <v>0.5</v>
      </c>
      <c r="I48" s="178" t="s">
        <v>222</v>
      </c>
      <c r="J48" s="178" t="s">
        <v>81</v>
      </c>
      <c r="K48" s="5">
        <v>8</v>
      </c>
      <c r="L48" s="4">
        <v>572</v>
      </c>
      <c r="M48" s="200">
        <f>T_3[[#This Row],[P Qu]]*T_3[[#This Row],[P PU]]</f>
        <v>4576</v>
      </c>
      <c r="N48" s="180" t="s">
        <v>45</v>
      </c>
      <c r="O48" s="7">
        <v>4</v>
      </c>
      <c r="P48" s="8">
        <v>150</v>
      </c>
      <c r="Q48" s="200">
        <f>T_3[[#This Row],[ACh Qu]]*T_3[[#This Row],[ACh PU]]</f>
        <v>600</v>
      </c>
      <c r="R48" s="201">
        <f>T_3[[#This Row],[P CT]]+T_3[[#This Row],[ACh CT]]</f>
        <v>5176</v>
      </c>
      <c r="S48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1531.6799999999998</v>
      </c>
      <c r="T48" s="46">
        <f>T_3[[#This Row],[Mt Elligible]]*T_3[[#This Row],[Tx Sub]]</f>
        <v>765.83999999999992</v>
      </c>
    </row>
    <row r="49" spans="1:20" hidden="1">
      <c r="A49" s="182" t="str">
        <f t="shared" si="4"/>
        <v>Lot_3</v>
      </c>
      <c r="B49" s="113" t="str">
        <f>_xlfn.XLOOKUP(T_3[[#This Row],[N° Lot]],Tableau4[NoLot],Tableau4[Lot])</f>
        <v>Carte d’identité des granulats végétaux</v>
      </c>
      <c r="C49" s="178" t="s">
        <v>61</v>
      </c>
      <c r="D49" s="178" t="s">
        <v>139</v>
      </c>
      <c r="E49" s="178" t="s">
        <v>224</v>
      </c>
      <c r="F49" s="169" t="s">
        <v>17</v>
      </c>
      <c r="G49" s="207">
        <f>_xlfn.XLOOKUP(T_3[[#This Row],[Partenaires]],Partenaires2[Partenaire],Partenaires2[Tx Ch Connexe])</f>
        <v>0.18</v>
      </c>
      <c r="H49" s="207">
        <f>_xlfn.XLOOKUP(T_3[[#This Row],[Partenaires]],Partenaires2[Partenaire],Partenaires2[Tx Sub])</f>
        <v>0.5</v>
      </c>
      <c r="I49" s="178" t="s">
        <v>220</v>
      </c>
      <c r="J49" s="178" t="s">
        <v>81</v>
      </c>
      <c r="K49" s="5">
        <v>8</v>
      </c>
      <c r="L49" s="4">
        <v>494</v>
      </c>
      <c r="M49" s="200">
        <f>T_3[[#This Row],[P Qu]]*T_3[[#This Row],[P PU]]</f>
        <v>3952</v>
      </c>
      <c r="N49" s="180" t="s">
        <v>45</v>
      </c>
      <c r="O49" s="7">
        <v>4</v>
      </c>
      <c r="P49" s="8">
        <v>150</v>
      </c>
      <c r="Q49" s="200">
        <f>T_3[[#This Row],[ACh Qu]]*T_3[[#This Row],[ACh PU]]</f>
        <v>600</v>
      </c>
      <c r="R49" s="201">
        <f>T_3[[#This Row],[P CT]]+T_3[[#This Row],[ACh CT]]</f>
        <v>4552</v>
      </c>
      <c r="S49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1419.3600000000001</v>
      </c>
      <c r="T49" s="46">
        <f>T_3[[#This Row],[Mt Elligible]]*T_3[[#This Row],[Tx Sub]]</f>
        <v>709.68000000000006</v>
      </c>
    </row>
    <row r="50" spans="1:20" hidden="1">
      <c r="A50" s="182" t="str">
        <f t="shared" si="4"/>
        <v>Lot_3</v>
      </c>
      <c r="B50" s="113" t="str">
        <f>_xlfn.XLOOKUP(T_3[[#This Row],[N° Lot]],Tableau4[NoLot],Tableau4[Lot])</f>
        <v>Carte d’identité des granulats végétaux</v>
      </c>
      <c r="C50" s="178" t="s">
        <v>61</v>
      </c>
      <c r="D50" s="178" t="s">
        <v>139</v>
      </c>
      <c r="E50" s="178" t="s">
        <v>224</v>
      </c>
      <c r="F50" s="169" t="s">
        <v>17</v>
      </c>
      <c r="G50" s="207">
        <f>_xlfn.XLOOKUP(T_3[[#This Row],[Partenaires]],Partenaires2[Partenaire],Partenaires2[Tx Ch Connexe])</f>
        <v>0.18</v>
      </c>
      <c r="H50" s="207">
        <f>_xlfn.XLOOKUP(T_3[[#This Row],[Partenaires]],Partenaires2[Partenaire],Partenaires2[Tx Sub])</f>
        <v>0.5</v>
      </c>
      <c r="I50" s="178" t="s">
        <v>221</v>
      </c>
      <c r="J50" s="178" t="s">
        <v>82</v>
      </c>
      <c r="K50" s="5">
        <v>8</v>
      </c>
      <c r="L50" s="4">
        <v>119</v>
      </c>
      <c r="M50" s="200">
        <f>T_3[[#This Row],[P Qu]]*T_3[[#This Row],[P PU]]</f>
        <v>952</v>
      </c>
      <c r="N50" s="180" t="s">
        <v>45</v>
      </c>
      <c r="O50" s="7">
        <v>4</v>
      </c>
      <c r="P50" s="8">
        <v>150</v>
      </c>
      <c r="Q50" s="200">
        <f>T_3[[#This Row],[ACh Qu]]*T_3[[#This Row],[ACh PU]]</f>
        <v>600</v>
      </c>
      <c r="R50" s="201">
        <f>T_3[[#This Row],[P CT]]+T_3[[#This Row],[ACh CT]]</f>
        <v>1552</v>
      </c>
      <c r="S50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1831.3600000000001</v>
      </c>
      <c r="T50" s="46">
        <f>T_3[[#This Row],[Mt Elligible]]*T_3[[#This Row],[Tx Sub]]</f>
        <v>915.68000000000006</v>
      </c>
    </row>
    <row r="51" spans="1:20" hidden="1">
      <c r="A51" s="182" t="str">
        <f t="shared" ref="A51:A53" si="5">A$1</f>
        <v>Lot_3</v>
      </c>
      <c r="B51" s="113" t="str">
        <f>_xlfn.XLOOKUP(T_3[[#This Row],[N° Lot]],Tableau4[NoLot],Tableau4[Lot])</f>
        <v>Carte d’identité des granulats végétaux</v>
      </c>
      <c r="C51" s="178" t="s">
        <v>61</v>
      </c>
      <c r="D51" s="178" t="s">
        <v>140</v>
      </c>
      <c r="E51" s="178">
        <v>0</v>
      </c>
      <c r="F51" s="169" t="s">
        <v>17</v>
      </c>
      <c r="G51" s="207">
        <f>_xlfn.XLOOKUP(T_3[[#This Row],[Partenaires]],Partenaires2[Partenaire],Partenaires2[Tx Ch Connexe])</f>
        <v>0.18</v>
      </c>
      <c r="H51" s="207">
        <f>_xlfn.XLOOKUP(T_3[[#This Row],[Partenaires]],Partenaires2[Partenaire],Partenaires2[Tx Sub])</f>
        <v>0.5</v>
      </c>
      <c r="I51" s="178" t="s">
        <v>222</v>
      </c>
      <c r="J51" s="178" t="s">
        <v>81</v>
      </c>
      <c r="K51" s="5">
        <v>15</v>
      </c>
      <c r="L51" s="4">
        <v>572</v>
      </c>
      <c r="M51" s="200">
        <f>T_3[[#This Row],[P Qu]]*T_3[[#This Row],[P PU]]</f>
        <v>8580</v>
      </c>
      <c r="N51" s="180">
        <v>0</v>
      </c>
      <c r="O51" s="7">
        <v>0</v>
      </c>
      <c r="P51" s="8">
        <v>0</v>
      </c>
      <c r="Q51" s="200">
        <f>T_3[[#This Row],[ACh Qu]]*T_3[[#This Row],[ACh PU]]</f>
        <v>0</v>
      </c>
      <c r="R51" s="201">
        <f>T_3[[#This Row],[P CT]]+T_3[[#This Row],[ACh CT]]</f>
        <v>8580</v>
      </c>
      <c r="S51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1544.3999999999999</v>
      </c>
      <c r="T51" s="46">
        <f>T_3[[#This Row],[Mt Elligible]]*T_3[[#This Row],[Tx Sub]]</f>
        <v>772.19999999999993</v>
      </c>
    </row>
    <row r="52" spans="1:20" hidden="1">
      <c r="A52" s="182" t="str">
        <f t="shared" si="5"/>
        <v>Lot_3</v>
      </c>
      <c r="B52" s="113" t="str">
        <f>_xlfn.XLOOKUP(T_3[[#This Row],[N° Lot]],Tableau4[NoLot],Tableau4[Lot])</f>
        <v>Carte d’identité des granulats végétaux</v>
      </c>
      <c r="C52" s="178" t="s">
        <v>61</v>
      </c>
      <c r="D52" s="178" t="s">
        <v>140</v>
      </c>
      <c r="E52" s="178">
        <v>0</v>
      </c>
      <c r="F52" s="169" t="s">
        <v>17</v>
      </c>
      <c r="G52" s="207">
        <f>_xlfn.XLOOKUP(T_3[[#This Row],[Partenaires]],Partenaires2[Partenaire],Partenaires2[Tx Ch Connexe])</f>
        <v>0.18</v>
      </c>
      <c r="H52" s="207">
        <f>_xlfn.XLOOKUP(T_3[[#This Row],[Partenaires]],Partenaires2[Partenaire],Partenaires2[Tx Sub])</f>
        <v>0.5</v>
      </c>
      <c r="I52" s="178" t="s">
        <v>220</v>
      </c>
      <c r="J52" s="178" t="s">
        <v>81</v>
      </c>
      <c r="K52" s="5">
        <v>10</v>
      </c>
      <c r="L52" s="4">
        <v>494</v>
      </c>
      <c r="M52" s="200">
        <f>T_3[[#This Row],[P Qu]]*T_3[[#This Row],[P PU]]</f>
        <v>4940</v>
      </c>
      <c r="N52" s="180">
        <v>0</v>
      </c>
      <c r="O52" s="7">
        <v>0</v>
      </c>
      <c r="P52" s="8">
        <v>0</v>
      </c>
      <c r="Q52" s="200">
        <f>T_3[[#This Row],[ACh Qu]]*T_3[[#This Row],[ACh PU]]</f>
        <v>0</v>
      </c>
      <c r="R52" s="201">
        <f>T_3[[#This Row],[P CT]]+T_3[[#This Row],[ACh CT]]</f>
        <v>4940</v>
      </c>
      <c r="S52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889.19999999999993</v>
      </c>
      <c r="T52" s="46">
        <f>T_3[[#This Row],[Mt Elligible]]*T_3[[#This Row],[Tx Sub]]</f>
        <v>444.59999999999997</v>
      </c>
    </row>
    <row r="53" spans="1:20" hidden="1">
      <c r="A53" s="182" t="str">
        <f t="shared" si="5"/>
        <v>Lot_3</v>
      </c>
      <c r="B53" s="113" t="str">
        <f>_xlfn.XLOOKUP(T_3[[#This Row],[N° Lot]],Tableau4[NoLot],Tableau4[Lot])</f>
        <v>Carte d’identité des granulats végétaux</v>
      </c>
      <c r="C53" s="178" t="s">
        <v>61</v>
      </c>
      <c r="D53" s="178" t="s">
        <v>140</v>
      </c>
      <c r="E53" s="178">
        <v>0</v>
      </c>
      <c r="F53" s="169" t="s">
        <v>17</v>
      </c>
      <c r="G53" s="207">
        <f>_xlfn.XLOOKUP(T_3[[#This Row],[Partenaires]],Partenaires2[Partenaire],Partenaires2[Tx Ch Connexe])</f>
        <v>0.18</v>
      </c>
      <c r="H53" s="207">
        <f>_xlfn.XLOOKUP(T_3[[#This Row],[Partenaires]],Partenaires2[Partenaire],Partenaires2[Tx Sub])</f>
        <v>0.5</v>
      </c>
      <c r="I53" s="178" t="s">
        <v>221</v>
      </c>
      <c r="J53" s="178" t="s">
        <v>82</v>
      </c>
      <c r="K53" s="5">
        <v>0</v>
      </c>
      <c r="L53" s="4">
        <v>119</v>
      </c>
      <c r="M53" s="200">
        <f>T_3[[#This Row],[P Qu]]*T_3[[#This Row],[P PU]]</f>
        <v>0</v>
      </c>
      <c r="N53" s="180">
        <v>0</v>
      </c>
      <c r="O53" s="7">
        <v>0</v>
      </c>
      <c r="P53" s="8">
        <v>0</v>
      </c>
      <c r="Q53" s="200">
        <f>T_3[[#This Row],[ACh Qu]]*T_3[[#This Row],[ACh PU]]</f>
        <v>0</v>
      </c>
      <c r="R53" s="201">
        <f>T_3[[#This Row],[P CT]]+T_3[[#This Row],[ACh CT]]</f>
        <v>0</v>
      </c>
      <c r="S53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53" s="46">
        <f>T_3[[#This Row],[Mt Elligible]]*T_3[[#This Row],[Tx Sub]]</f>
        <v>0</v>
      </c>
    </row>
    <row r="54" spans="1:20" hidden="1">
      <c r="A54" s="182" t="str">
        <f t="shared" ref="A54:A56" si="6">A$1</f>
        <v>Lot_3</v>
      </c>
      <c r="B54" s="113" t="str">
        <f>_xlfn.XLOOKUP(T_3[[#This Row],[N° Lot]],Tableau4[NoLot],Tableau4[Lot])</f>
        <v>Carte d’identité des granulats végétaux</v>
      </c>
      <c r="C54" s="178" t="s">
        <v>61</v>
      </c>
      <c r="D54" s="178" t="s">
        <v>141</v>
      </c>
      <c r="E54" s="178" t="s">
        <v>225</v>
      </c>
      <c r="F54" s="169" t="s">
        <v>17</v>
      </c>
      <c r="G54" s="207">
        <f>_xlfn.XLOOKUP(T_3[[#This Row],[Partenaires]],Partenaires2[Partenaire],Partenaires2[Tx Ch Connexe])</f>
        <v>0.18</v>
      </c>
      <c r="H54" s="207">
        <f>_xlfn.XLOOKUP(T_3[[#This Row],[Partenaires]],Partenaires2[Partenaire],Partenaires2[Tx Sub])</f>
        <v>0.5</v>
      </c>
      <c r="I54" s="178" t="s">
        <v>222</v>
      </c>
      <c r="J54" s="178" t="s">
        <v>81</v>
      </c>
      <c r="K54" s="5">
        <v>4</v>
      </c>
      <c r="L54" s="4">
        <v>572</v>
      </c>
      <c r="M54" s="200">
        <f>T_3[[#This Row],[P Qu]]*T_3[[#This Row],[P PU]]</f>
        <v>2288</v>
      </c>
      <c r="N54" s="180" t="s">
        <v>45</v>
      </c>
      <c r="O54" s="7">
        <v>2</v>
      </c>
      <c r="P54" s="8">
        <v>150</v>
      </c>
      <c r="Q54" s="200">
        <f>T_3[[#This Row],[ACh Qu]]*T_3[[#This Row],[ACh PU]]</f>
        <v>300</v>
      </c>
      <c r="R54" s="201">
        <f>T_3[[#This Row],[P CT]]+T_3[[#This Row],[ACh CT]]</f>
        <v>2588</v>
      </c>
      <c r="S54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765.83999999999992</v>
      </c>
      <c r="T54" s="46">
        <f>T_3[[#This Row],[Mt Elligible]]*T_3[[#This Row],[Tx Sub]]</f>
        <v>382.91999999999996</v>
      </c>
    </row>
    <row r="55" spans="1:20" hidden="1">
      <c r="A55" s="182" t="str">
        <f t="shared" si="6"/>
        <v>Lot_3</v>
      </c>
      <c r="B55" s="113" t="str">
        <f>_xlfn.XLOOKUP(T_3[[#This Row],[N° Lot]],Tableau4[NoLot],Tableau4[Lot])</f>
        <v>Carte d’identité des granulats végétaux</v>
      </c>
      <c r="C55" s="178" t="s">
        <v>61</v>
      </c>
      <c r="D55" s="178" t="s">
        <v>141</v>
      </c>
      <c r="E55" s="178" t="s">
        <v>225</v>
      </c>
      <c r="F55" s="169" t="s">
        <v>17</v>
      </c>
      <c r="G55" s="207">
        <f>_xlfn.XLOOKUP(T_3[[#This Row],[Partenaires]],Partenaires2[Partenaire],Partenaires2[Tx Ch Connexe])</f>
        <v>0.18</v>
      </c>
      <c r="H55" s="207">
        <f>_xlfn.XLOOKUP(T_3[[#This Row],[Partenaires]],Partenaires2[Partenaire],Partenaires2[Tx Sub])</f>
        <v>0.5</v>
      </c>
      <c r="I55" s="178" t="s">
        <v>220</v>
      </c>
      <c r="J55" s="178" t="s">
        <v>81</v>
      </c>
      <c r="K55" s="5">
        <v>4</v>
      </c>
      <c r="L55" s="4">
        <v>494</v>
      </c>
      <c r="M55" s="200">
        <f>T_3[[#This Row],[P Qu]]*T_3[[#This Row],[P PU]]</f>
        <v>1976</v>
      </c>
      <c r="N55" s="180" t="s">
        <v>45</v>
      </c>
      <c r="O55" s="7">
        <v>2</v>
      </c>
      <c r="P55" s="8">
        <v>150</v>
      </c>
      <c r="Q55" s="200">
        <f>T_3[[#This Row],[ACh Qu]]*T_3[[#This Row],[ACh PU]]</f>
        <v>300</v>
      </c>
      <c r="R55" s="201">
        <f>T_3[[#This Row],[P CT]]+T_3[[#This Row],[ACh CT]]</f>
        <v>2276</v>
      </c>
      <c r="S55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709.68000000000006</v>
      </c>
      <c r="T55" s="46">
        <f>T_3[[#This Row],[Mt Elligible]]*T_3[[#This Row],[Tx Sub]]</f>
        <v>354.84000000000003</v>
      </c>
    </row>
    <row r="56" spans="1:20" hidden="1">
      <c r="A56" s="182" t="str">
        <f t="shared" si="6"/>
        <v>Lot_3</v>
      </c>
      <c r="B56" s="113" t="str">
        <f>_xlfn.XLOOKUP(T_3[[#This Row],[N° Lot]],Tableau4[NoLot],Tableau4[Lot])</f>
        <v>Carte d’identité des granulats végétaux</v>
      </c>
      <c r="C56" s="178" t="s">
        <v>61</v>
      </c>
      <c r="D56" s="178" t="s">
        <v>141</v>
      </c>
      <c r="E56" s="178" t="s">
        <v>225</v>
      </c>
      <c r="F56" s="169" t="s">
        <v>17</v>
      </c>
      <c r="G56" s="207">
        <f>_xlfn.XLOOKUP(T_3[[#This Row],[Partenaires]],Partenaires2[Partenaire],Partenaires2[Tx Ch Connexe])</f>
        <v>0.18</v>
      </c>
      <c r="H56" s="207">
        <f>_xlfn.XLOOKUP(T_3[[#This Row],[Partenaires]],Partenaires2[Partenaire],Partenaires2[Tx Sub])</f>
        <v>0.5</v>
      </c>
      <c r="I56" s="178" t="s">
        <v>254</v>
      </c>
      <c r="J56" s="178" t="s">
        <v>82</v>
      </c>
      <c r="K56" s="5">
        <v>4</v>
      </c>
      <c r="L56" s="4">
        <v>119</v>
      </c>
      <c r="M56" s="200">
        <f>T_3[[#This Row],[P Qu]]*T_3[[#This Row],[P PU]]</f>
        <v>476</v>
      </c>
      <c r="N56" s="180" t="s">
        <v>45</v>
      </c>
      <c r="O56" s="7">
        <v>2</v>
      </c>
      <c r="P56" s="8">
        <v>150</v>
      </c>
      <c r="Q56" s="200">
        <f>T_3[[#This Row],[ACh Qu]]*T_3[[#This Row],[ACh PU]]</f>
        <v>300</v>
      </c>
      <c r="R56" s="201">
        <f>T_3[[#This Row],[P CT]]+T_3[[#This Row],[ACh CT]]</f>
        <v>776</v>
      </c>
      <c r="S56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915.68000000000006</v>
      </c>
      <c r="T56" s="46">
        <f>T_3[[#This Row],[Mt Elligible]]*T_3[[#This Row],[Tx Sub]]</f>
        <v>457.84000000000003</v>
      </c>
    </row>
    <row r="57" spans="1:20" hidden="1">
      <c r="A57" s="182" t="str">
        <f t="shared" ref="A57:A59" si="7">A$1</f>
        <v>Lot_3</v>
      </c>
      <c r="B57" s="113" t="str">
        <f>_xlfn.XLOOKUP(T_3[[#This Row],[N° Lot]],Tableau4[NoLot],Tableau4[Lot])</f>
        <v>Carte d’identité des granulats végétaux</v>
      </c>
      <c r="C57" s="178" t="s">
        <v>61</v>
      </c>
      <c r="D57" s="178" t="s">
        <v>142</v>
      </c>
      <c r="E57" s="178">
        <v>0</v>
      </c>
      <c r="F57" s="169" t="s">
        <v>17</v>
      </c>
      <c r="G57" s="207">
        <f>_xlfn.XLOOKUP(T_3[[#This Row],[Partenaires]],Partenaires2[Partenaire],Partenaires2[Tx Ch Connexe])</f>
        <v>0.18</v>
      </c>
      <c r="H57" s="207">
        <f>_xlfn.XLOOKUP(T_3[[#This Row],[Partenaires]],Partenaires2[Partenaire],Partenaires2[Tx Sub])</f>
        <v>0.5</v>
      </c>
      <c r="I57" s="178" t="s">
        <v>222</v>
      </c>
      <c r="J57" s="178" t="s">
        <v>81</v>
      </c>
      <c r="K57" s="5">
        <v>15</v>
      </c>
      <c r="L57" s="4">
        <v>572</v>
      </c>
      <c r="M57" s="200">
        <f>T_3[[#This Row],[P Qu]]*T_3[[#This Row],[P PU]]</f>
        <v>8580</v>
      </c>
      <c r="N57" s="180">
        <v>0</v>
      </c>
      <c r="O57" s="7">
        <v>0</v>
      </c>
      <c r="P57" s="8">
        <v>0</v>
      </c>
      <c r="Q57" s="200">
        <f>T_3[[#This Row],[ACh Qu]]*T_3[[#This Row],[ACh PU]]</f>
        <v>0</v>
      </c>
      <c r="R57" s="201">
        <f>T_3[[#This Row],[P CT]]+T_3[[#This Row],[ACh CT]]</f>
        <v>8580</v>
      </c>
      <c r="S57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1544.3999999999999</v>
      </c>
      <c r="T57" s="46">
        <f>T_3[[#This Row],[Mt Elligible]]*T_3[[#This Row],[Tx Sub]]</f>
        <v>772.19999999999993</v>
      </c>
    </row>
    <row r="58" spans="1:20" hidden="1">
      <c r="A58" s="182" t="str">
        <f t="shared" si="7"/>
        <v>Lot_3</v>
      </c>
      <c r="B58" s="113" t="str">
        <f>_xlfn.XLOOKUP(T_3[[#This Row],[N° Lot]],Tableau4[NoLot],Tableau4[Lot])</f>
        <v>Carte d’identité des granulats végétaux</v>
      </c>
      <c r="C58" s="178" t="s">
        <v>61</v>
      </c>
      <c r="D58" s="178" t="s">
        <v>142</v>
      </c>
      <c r="E58" s="178">
        <v>0</v>
      </c>
      <c r="F58" s="169" t="s">
        <v>17</v>
      </c>
      <c r="G58" s="207">
        <f>_xlfn.XLOOKUP(T_3[[#This Row],[Partenaires]],Partenaires2[Partenaire],Partenaires2[Tx Ch Connexe])</f>
        <v>0.18</v>
      </c>
      <c r="H58" s="207">
        <f>_xlfn.XLOOKUP(T_3[[#This Row],[Partenaires]],Partenaires2[Partenaire],Partenaires2[Tx Sub])</f>
        <v>0.5</v>
      </c>
      <c r="I58" s="178" t="s">
        <v>220</v>
      </c>
      <c r="J58" s="178" t="s">
        <v>81</v>
      </c>
      <c r="K58" s="5">
        <v>10</v>
      </c>
      <c r="L58" s="4">
        <v>494</v>
      </c>
      <c r="M58" s="200">
        <f>T_3[[#This Row],[P Qu]]*T_3[[#This Row],[P PU]]</f>
        <v>4940</v>
      </c>
      <c r="N58" s="180">
        <v>0</v>
      </c>
      <c r="O58" s="7">
        <v>0</v>
      </c>
      <c r="P58" s="8">
        <v>0</v>
      </c>
      <c r="Q58" s="200">
        <f>T_3[[#This Row],[ACh Qu]]*T_3[[#This Row],[ACh PU]]</f>
        <v>0</v>
      </c>
      <c r="R58" s="201">
        <f>T_3[[#This Row],[P CT]]+T_3[[#This Row],[ACh CT]]</f>
        <v>4940</v>
      </c>
      <c r="S58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889.19999999999993</v>
      </c>
      <c r="T58" s="46">
        <f>T_3[[#This Row],[Mt Elligible]]*T_3[[#This Row],[Tx Sub]]</f>
        <v>444.59999999999997</v>
      </c>
    </row>
    <row r="59" spans="1:20" hidden="1">
      <c r="A59" s="182" t="str">
        <f t="shared" si="7"/>
        <v>Lot_3</v>
      </c>
      <c r="B59" s="113" t="str">
        <f>_xlfn.XLOOKUP(T_3[[#This Row],[N° Lot]],Tableau4[NoLot],Tableau4[Lot])</f>
        <v>Carte d’identité des granulats végétaux</v>
      </c>
      <c r="C59" s="178" t="s">
        <v>61</v>
      </c>
      <c r="D59" s="178" t="s">
        <v>142</v>
      </c>
      <c r="E59" s="178">
        <v>0</v>
      </c>
      <c r="F59" s="169" t="s">
        <v>17</v>
      </c>
      <c r="G59" s="207">
        <f>_xlfn.XLOOKUP(T_3[[#This Row],[Partenaires]],Partenaires2[Partenaire],Partenaires2[Tx Ch Connexe])</f>
        <v>0.18</v>
      </c>
      <c r="H59" s="207">
        <f>_xlfn.XLOOKUP(T_3[[#This Row],[Partenaires]],Partenaires2[Partenaire],Partenaires2[Tx Sub])</f>
        <v>0.5</v>
      </c>
      <c r="I59" s="178" t="s">
        <v>221</v>
      </c>
      <c r="J59" s="178" t="s">
        <v>82</v>
      </c>
      <c r="K59" s="5">
        <v>0</v>
      </c>
      <c r="L59" s="4">
        <v>119</v>
      </c>
      <c r="M59" s="200">
        <f>T_3[[#This Row],[P Qu]]*T_3[[#This Row],[P PU]]</f>
        <v>0</v>
      </c>
      <c r="N59" s="180">
        <v>0</v>
      </c>
      <c r="O59" s="7">
        <v>0</v>
      </c>
      <c r="P59" s="8">
        <v>0</v>
      </c>
      <c r="Q59" s="200">
        <f>T_3[[#This Row],[ACh Qu]]*T_3[[#This Row],[ACh PU]]</f>
        <v>0</v>
      </c>
      <c r="R59" s="201">
        <f>T_3[[#This Row],[P CT]]+T_3[[#This Row],[ACh CT]]</f>
        <v>0</v>
      </c>
      <c r="S59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59" s="46">
        <f>T_3[[#This Row],[Mt Elligible]]*T_3[[#This Row],[Tx Sub]]</f>
        <v>0</v>
      </c>
    </row>
    <row r="60" spans="1:20" hidden="1">
      <c r="A60" s="182" t="str">
        <f t="shared" ref="A60:A75" si="8">A$1</f>
        <v>Lot_3</v>
      </c>
      <c r="B60" s="113" t="str">
        <f>_xlfn.XLOOKUP(T_3[[#This Row],[N° Lot]],Tableau4[NoLot],Tableau4[Lot])</f>
        <v>Carte d’identité des granulats végétaux</v>
      </c>
      <c r="C60" s="178" t="s">
        <v>60</v>
      </c>
      <c r="D60" s="178" t="s">
        <v>123</v>
      </c>
      <c r="E60" s="178" t="s">
        <v>204</v>
      </c>
      <c r="F60" s="169" t="s">
        <v>79</v>
      </c>
      <c r="G60" s="207">
        <f>_xlfn.XLOOKUP(T_3[[#This Row],[Partenaires]],Partenaires2[Partenaire],Partenaires2[Tx Ch Connexe])</f>
        <v>0.16</v>
      </c>
      <c r="H60" s="207">
        <f>_xlfn.XLOOKUP(T_3[[#This Row],[Partenaires]],Partenaires2[Partenaire],Partenaires2[Tx Sub])</f>
        <v>0.5</v>
      </c>
      <c r="I60" s="178" t="s">
        <v>238</v>
      </c>
      <c r="J60" s="178" t="s">
        <v>81</v>
      </c>
      <c r="K60" s="5">
        <v>2</v>
      </c>
      <c r="L60" s="4">
        <v>446</v>
      </c>
      <c r="M60" s="200">
        <f>T_3[[#This Row],[P Qu]]*T_3[[#This Row],[P PU]]</f>
        <v>892</v>
      </c>
      <c r="N60" s="180" t="s">
        <v>45</v>
      </c>
      <c r="O60" s="7">
        <v>2</v>
      </c>
      <c r="P60" s="8">
        <v>150</v>
      </c>
      <c r="Q60" s="200">
        <f>T_3[[#This Row],[ACh Qu]]*T_3[[#This Row],[ACh PU]]</f>
        <v>300</v>
      </c>
      <c r="R60" s="201">
        <f>T_3[[#This Row],[P CT]]+T_3[[#This Row],[ACh CT]]</f>
        <v>1192</v>
      </c>
      <c r="S60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490.72</v>
      </c>
      <c r="T60" s="46">
        <f>T_3[[#This Row],[Mt Elligible]]*T_3[[#This Row],[Tx Sub]]</f>
        <v>245.36</v>
      </c>
    </row>
    <row r="61" spans="1:20" hidden="1">
      <c r="A61" s="182" t="str">
        <f t="shared" si="8"/>
        <v>Lot_3</v>
      </c>
      <c r="B61" s="113" t="str">
        <f>_xlfn.XLOOKUP(T_3[[#This Row],[N° Lot]],Tableau4[NoLot],Tableau4[Lot])</f>
        <v>Carte d’identité des granulats végétaux</v>
      </c>
      <c r="C61" s="178" t="s">
        <v>60</v>
      </c>
      <c r="D61" s="178" t="s">
        <v>123</v>
      </c>
      <c r="E61" s="178" t="s">
        <v>204</v>
      </c>
      <c r="F61" s="169" t="s">
        <v>79</v>
      </c>
      <c r="G61" s="207">
        <f>_xlfn.XLOOKUP(T_3[[#This Row],[Partenaires]],Partenaires2[Partenaire],Partenaires2[Tx Ch Connexe])</f>
        <v>0.16</v>
      </c>
      <c r="H61" s="207">
        <f>_xlfn.XLOOKUP(T_3[[#This Row],[Partenaires]],Partenaires2[Partenaire],Partenaires2[Tx Sub])</f>
        <v>0.5</v>
      </c>
      <c r="I61" s="178" t="s">
        <v>241</v>
      </c>
      <c r="J61" s="178" t="s">
        <v>81</v>
      </c>
      <c r="K61" s="5">
        <v>2</v>
      </c>
      <c r="L61" s="4">
        <v>275</v>
      </c>
      <c r="M61" s="200">
        <f>T_3[[#This Row],[P Qu]]*T_3[[#This Row],[P PU]]</f>
        <v>550</v>
      </c>
      <c r="N61" s="180" t="s">
        <v>45</v>
      </c>
      <c r="O61" s="7">
        <v>2</v>
      </c>
      <c r="P61" s="8">
        <v>150</v>
      </c>
      <c r="Q61" s="200">
        <f>T_3[[#This Row],[ACh Qu]]*T_3[[#This Row],[ACh PU]]</f>
        <v>300</v>
      </c>
      <c r="R61" s="201">
        <f>T_3[[#This Row],[P CT]]+T_3[[#This Row],[ACh CT]]</f>
        <v>850</v>
      </c>
      <c r="S61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436</v>
      </c>
      <c r="T61" s="46">
        <f>T_3[[#This Row],[Mt Elligible]]*T_3[[#This Row],[Tx Sub]]</f>
        <v>218</v>
      </c>
    </row>
    <row r="62" spans="1:20" hidden="1">
      <c r="A62" s="182" t="str">
        <f t="shared" si="8"/>
        <v>Lot_3</v>
      </c>
      <c r="B62" s="113" t="str">
        <f>_xlfn.XLOOKUP(T_3[[#This Row],[N° Lot]],Tableau4[NoLot],Tableau4[Lot])</f>
        <v>Carte d’identité des granulats végétaux</v>
      </c>
      <c r="C62" s="178" t="s">
        <v>60</v>
      </c>
      <c r="D62" s="178" t="s">
        <v>124</v>
      </c>
      <c r="E62" s="178" t="s">
        <v>206</v>
      </c>
      <c r="F62" s="169" t="s">
        <v>79</v>
      </c>
      <c r="G62" s="207">
        <f>_xlfn.XLOOKUP(T_3[[#This Row],[Partenaires]],Partenaires2[Partenaire],Partenaires2[Tx Ch Connexe])</f>
        <v>0.16</v>
      </c>
      <c r="H62" s="207">
        <f>_xlfn.XLOOKUP(T_3[[#This Row],[Partenaires]],Partenaires2[Partenaire],Partenaires2[Tx Sub])</f>
        <v>0.5</v>
      </c>
      <c r="I62" s="178" t="s">
        <v>238</v>
      </c>
      <c r="J62" s="178" t="s">
        <v>81</v>
      </c>
      <c r="K62" s="5">
        <v>1</v>
      </c>
      <c r="L62" s="4">
        <v>446</v>
      </c>
      <c r="M62" s="200">
        <f>T_3[[#This Row],[P Qu]]*T_3[[#This Row],[P PU]]</f>
        <v>446</v>
      </c>
      <c r="N62" s="180" t="s">
        <v>242</v>
      </c>
      <c r="O62" s="7">
        <v>1</v>
      </c>
      <c r="P62" s="8">
        <v>150</v>
      </c>
      <c r="Q62" s="200">
        <f>T_3[[#This Row],[ACh Qu]]*T_3[[#This Row],[ACh PU]]</f>
        <v>150</v>
      </c>
      <c r="R62" s="201">
        <f>T_3[[#This Row],[P CT]]+T_3[[#This Row],[ACh CT]]</f>
        <v>596</v>
      </c>
      <c r="S62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245.36</v>
      </c>
      <c r="T62" s="46">
        <f>T_3[[#This Row],[Mt Elligible]]*T_3[[#This Row],[Tx Sub]]</f>
        <v>122.68</v>
      </c>
    </row>
    <row r="63" spans="1:20" hidden="1">
      <c r="A63" s="182" t="str">
        <f t="shared" si="8"/>
        <v>Lot_3</v>
      </c>
      <c r="B63" s="113" t="str">
        <f>_xlfn.XLOOKUP(T_3[[#This Row],[N° Lot]],Tableau4[NoLot],Tableau4[Lot])</f>
        <v>Carte d’identité des granulats végétaux</v>
      </c>
      <c r="C63" s="178" t="s">
        <v>60</v>
      </c>
      <c r="D63" s="178" t="s">
        <v>124</v>
      </c>
      <c r="E63" s="178" t="s">
        <v>206</v>
      </c>
      <c r="F63" s="169" t="s">
        <v>79</v>
      </c>
      <c r="G63" s="207">
        <f>_xlfn.XLOOKUP(T_3[[#This Row],[Partenaires]],Partenaires2[Partenaire],Partenaires2[Tx Ch Connexe])</f>
        <v>0.16</v>
      </c>
      <c r="H63" s="207">
        <f>_xlfn.XLOOKUP(T_3[[#This Row],[Partenaires]],Partenaires2[Partenaire],Partenaires2[Tx Sub])</f>
        <v>0.5</v>
      </c>
      <c r="I63" s="178" t="s">
        <v>241</v>
      </c>
      <c r="J63" s="178" t="s">
        <v>81</v>
      </c>
      <c r="K63" s="5">
        <v>1</v>
      </c>
      <c r="L63" s="4">
        <v>275</v>
      </c>
      <c r="M63" s="200">
        <f>T_3[[#This Row],[P Qu]]*T_3[[#This Row],[P PU]]</f>
        <v>275</v>
      </c>
      <c r="N63" s="180" t="s">
        <v>242</v>
      </c>
      <c r="O63" s="7">
        <v>1</v>
      </c>
      <c r="P63" s="8">
        <v>150</v>
      </c>
      <c r="Q63" s="200">
        <f>T_3[[#This Row],[ACh Qu]]*T_3[[#This Row],[ACh PU]]</f>
        <v>150</v>
      </c>
      <c r="R63" s="201">
        <f>T_3[[#This Row],[P CT]]+T_3[[#This Row],[ACh CT]]</f>
        <v>425</v>
      </c>
      <c r="S63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218</v>
      </c>
      <c r="T63" s="46">
        <f>T_3[[#This Row],[Mt Elligible]]*T_3[[#This Row],[Tx Sub]]</f>
        <v>109</v>
      </c>
    </row>
    <row r="64" spans="1:20" hidden="1">
      <c r="A64" s="182" t="str">
        <f t="shared" si="8"/>
        <v>Lot_3</v>
      </c>
      <c r="B64" s="113" t="str">
        <f>_xlfn.XLOOKUP(T_3[[#This Row],[N° Lot]],Tableau4[NoLot],Tableau4[Lot])</f>
        <v>Carte d’identité des granulats végétaux</v>
      </c>
      <c r="C64" s="178" t="s">
        <v>60</v>
      </c>
      <c r="D64" s="178" t="s">
        <v>125</v>
      </c>
      <c r="E64" s="178" t="s">
        <v>158</v>
      </c>
      <c r="F64" s="169" t="s">
        <v>79</v>
      </c>
      <c r="G64" s="207">
        <f>_xlfn.XLOOKUP(T_3[[#This Row],[Partenaires]],Partenaires2[Partenaire],Partenaires2[Tx Ch Connexe])</f>
        <v>0.16</v>
      </c>
      <c r="H64" s="207">
        <f>_xlfn.XLOOKUP(T_3[[#This Row],[Partenaires]],Partenaires2[Partenaire],Partenaires2[Tx Sub])</f>
        <v>0.5</v>
      </c>
      <c r="I64" s="178" t="s">
        <v>238</v>
      </c>
      <c r="J64" s="178" t="s">
        <v>81</v>
      </c>
      <c r="K64" s="5">
        <v>1</v>
      </c>
      <c r="L64" s="4">
        <v>446</v>
      </c>
      <c r="M64" s="200">
        <f>T_3[[#This Row],[P Qu]]*T_3[[#This Row],[P PU]]</f>
        <v>446</v>
      </c>
      <c r="N64" s="180"/>
      <c r="O64" s="7"/>
      <c r="P64" s="8"/>
      <c r="Q64" s="200">
        <f>T_3[[#This Row],[ACh Qu]]*T_3[[#This Row],[ACh PU]]</f>
        <v>0</v>
      </c>
      <c r="R64" s="201">
        <f>T_3[[#This Row],[P CT]]+T_3[[#This Row],[ACh CT]]</f>
        <v>446</v>
      </c>
      <c r="S64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71.36</v>
      </c>
      <c r="T64" s="46">
        <f>T_3[[#This Row],[Mt Elligible]]*T_3[[#This Row],[Tx Sub]]</f>
        <v>35.68</v>
      </c>
    </row>
    <row r="65" spans="1:20" hidden="1">
      <c r="A65" s="182" t="str">
        <f t="shared" si="8"/>
        <v>Lot_3</v>
      </c>
      <c r="B65" s="113" t="str">
        <f>_xlfn.XLOOKUP(T_3[[#This Row],[N° Lot]],Tableau4[NoLot],Tableau4[Lot])</f>
        <v>Carte d’identité des granulats végétaux</v>
      </c>
      <c r="C65" s="178" t="s">
        <v>60</v>
      </c>
      <c r="D65" s="178" t="s">
        <v>125</v>
      </c>
      <c r="E65" s="178" t="s">
        <v>158</v>
      </c>
      <c r="F65" s="169" t="s">
        <v>79</v>
      </c>
      <c r="G65" s="207">
        <f>_xlfn.XLOOKUP(T_3[[#This Row],[Partenaires]],Partenaires2[Partenaire],Partenaires2[Tx Ch Connexe])</f>
        <v>0.16</v>
      </c>
      <c r="H65" s="207">
        <f>_xlfn.XLOOKUP(T_3[[#This Row],[Partenaires]],Partenaires2[Partenaire],Partenaires2[Tx Sub])</f>
        <v>0.5</v>
      </c>
      <c r="I65" s="178" t="s">
        <v>241</v>
      </c>
      <c r="J65" s="178" t="s">
        <v>81</v>
      </c>
      <c r="K65" s="5">
        <v>1</v>
      </c>
      <c r="L65" s="4">
        <v>275</v>
      </c>
      <c r="M65" s="200">
        <f>T_3[[#This Row],[P Qu]]*T_3[[#This Row],[P PU]]</f>
        <v>275</v>
      </c>
      <c r="N65" s="180"/>
      <c r="O65" s="7"/>
      <c r="P65" s="8"/>
      <c r="Q65" s="200">
        <f>T_3[[#This Row],[ACh Qu]]*T_3[[#This Row],[ACh PU]]</f>
        <v>0</v>
      </c>
      <c r="R65" s="201">
        <f>T_3[[#This Row],[P CT]]+T_3[[#This Row],[ACh CT]]</f>
        <v>275</v>
      </c>
      <c r="S65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44</v>
      </c>
      <c r="T65" s="46">
        <f>T_3[[#This Row],[Mt Elligible]]*T_3[[#This Row],[Tx Sub]]</f>
        <v>22</v>
      </c>
    </row>
    <row r="66" spans="1:20" hidden="1">
      <c r="A66" s="182" t="str">
        <f t="shared" si="8"/>
        <v>Lot_3</v>
      </c>
      <c r="B66" s="113" t="str">
        <f>_xlfn.XLOOKUP(T_3[[#This Row],[N° Lot]],Tableau4[NoLot],Tableau4[Lot])</f>
        <v>Carte d’identité des granulats végétaux</v>
      </c>
      <c r="C66" s="178" t="s">
        <v>61</v>
      </c>
      <c r="D66" s="178" t="s">
        <v>139</v>
      </c>
      <c r="E66" s="178" t="s">
        <v>195</v>
      </c>
      <c r="F66" s="169" t="s">
        <v>79</v>
      </c>
      <c r="G66" s="207">
        <f>_xlfn.XLOOKUP(T_3[[#This Row],[Partenaires]],Partenaires2[Partenaire],Partenaires2[Tx Ch Connexe])</f>
        <v>0.16</v>
      </c>
      <c r="H66" s="207">
        <f>_xlfn.XLOOKUP(T_3[[#This Row],[Partenaires]],Partenaires2[Partenaire],Partenaires2[Tx Sub])</f>
        <v>0.5</v>
      </c>
      <c r="I66" s="178" t="s">
        <v>238</v>
      </c>
      <c r="J66" s="178" t="s">
        <v>81</v>
      </c>
      <c r="K66" s="5">
        <v>2</v>
      </c>
      <c r="L66" s="4">
        <v>446</v>
      </c>
      <c r="M66" s="200">
        <f>T_3[[#This Row],[P Qu]]*T_3[[#This Row],[P PU]]</f>
        <v>892</v>
      </c>
      <c r="N66" s="180" t="s">
        <v>242</v>
      </c>
      <c r="O66" s="7">
        <v>2</v>
      </c>
      <c r="P66" s="8">
        <v>150</v>
      </c>
      <c r="Q66" s="200">
        <f>T_3[[#This Row],[ACh Qu]]*T_3[[#This Row],[ACh PU]]</f>
        <v>300</v>
      </c>
      <c r="R66" s="201">
        <f>T_3[[#This Row],[P CT]]+T_3[[#This Row],[ACh CT]]</f>
        <v>1192</v>
      </c>
      <c r="S66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490.72</v>
      </c>
      <c r="T66" s="46">
        <f>T_3[[#This Row],[Mt Elligible]]*T_3[[#This Row],[Tx Sub]]</f>
        <v>245.36</v>
      </c>
    </row>
    <row r="67" spans="1:20" hidden="1">
      <c r="A67" s="182" t="str">
        <f t="shared" si="8"/>
        <v>Lot_3</v>
      </c>
      <c r="B67" s="113" t="str">
        <f>_xlfn.XLOOKUP(T_3[[#This Row],[N° Lot]],Tableau4[NoLot],Tableau4[Lot])</f>
        <v>Carte d’identité des granulats végétaux</v>
      </c>
      <c r="C67" s="178" t="s">
        <v>61</v>
      </c>
      <c r="D67" s="178" t="s">
        <v>139</v>
      </c>
      <c r="E67" s="178" t="s">
        <v>195</v>
      </c>
      <c r="F67" s="169" t="s">
        <v>79</v>
      </c>
      <c r="G67" s="207">
        <f>_xlfn.XLOOKUP(T_3[[#This Row],[Partenaires]],Partenaires2[Partenaire],Partenaires2[Tx Ch Connexe])</f>
        <v>0.16</v>
      </c>
      <c r="H67" s="207">
        <f>_xlfn.XLOOKUP(T_3[[#This Row],[Partenaires]],Partenaires2[Partenaire],Partenaires2[Tx Sub])</f>
        <v>0.5</v>
      </c>
      <c r="I67" s="178" t="s">
        <v>241</v>
      </c>
      <c r="J67" s="178" t="s">
        <v>81</v>
      </c>
      <c r="K67" s="5">
        <v>2</v>
      </c>
      <c r="L67" s="4">
        <v>275</v>
      </c>
      <c r="M67" s="200">
        <f>T_3[[#This Row],[P Qu]]*T_3[[#This Row],[P PU]]</f>
        <v>550</v>
      </c>
      <c r="N67" s="180" t="s">
        <v>242</v>
      </c>
      <c r="O67" s="7">
        <v>2</v>
      </c>
      <c r="P67" s="8">
        <v>150</v>
      </c>
      <c r="Q67" s="200">
        <f>T_3[[#This Row],[ACh Qu]]*T_3[[#This Row],[ACh PU]]</f>
        <v>300</v>
      </c>
      <c r="R67" s="201">
        <f>T_3[[#This Row],[P CT]]+T_3[[#This Row],[ACh CT]]</f>
        <v>850</v>
      </c>
      <c r="S67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436</v>
      </c>
      <c r="T67" s="46">
        <f>T_3[[#This Row],[Mt Elligible]]*T_3[[#This Row],[Tx Sub]]</f>
        <v>218</v>
      </c>
    </row>
    <row r="68" spans="1:20" hidden="1">
      <c r="A68" s="182" t="str">
        <f t="shared" si="8"/>
        <v>Lot_3</v>
      </c>
      <c r="B68" s="113" t="str">
        <f>_xlfn.XLOOKUP(T_3[[#This Row],[N° Lot]],Tableau4[NoLot],Tableau4[Lot])</f>
        <v>Carte d’identité des granulats végétaux</v>
      </c>
      <c r="C68" s="178" t="s">
        <v>61</v>
      </c>
      <c r="D68" s="178" t="s">
        <v>140</v>
      </c>
      <c r="F68" s="169" t="s">
        <v>79</v>
      </c>
      <c r="G68" s="207">
        <f>_xlfn.XLOOKUP(T_3[[#This Row],[Partenaires]],Partenaires2[Partenaire],Partenaires2[Tx Ch Connexe])</f>
        <v>0.16</v>
      </c>
      <c r="H68" s="207">
        <f>_xlfn.XLOOKUP(T_3[[#This Row],[Partenaires]],Partenaires2[Partenaire],Partenaires2[Tx Sub])</f>
        <v>0.5</v>
      </c>
      <c r="I68" s="178" t="s">
        <v>238</v>
      </c>
      <c r="J68" s="178" t="s">
        <v>81</v>
      </c>
      <c r="K68" s="5">
        <v>4</v>
      </c>
      <c r="L68" s="4">
        <v>446</v>
      </c>
      <c r="M68" s="200">
        <f>T_3[[#This Row],[P Qu]]*T_3[[#This Row],[P PU]]</f>
        <v>1784</v>
      </c>
      <c r="N68" s="180"/>
      <c r="O68" s="7"/>
      <c r="P68" s="8"/>
      <c r="Q68" s="200">
        <f>T_3[[#This Row],[ACh Qu]]*T_3[[#This Row],[ACh PU]]</f>
        <v>0</v>
      </c>
      <c r="R68" s="201">
        <f>T_3[[#This Row],[P CT]]+T_3[[#This Row],[ACh CT]]</f>
        <v>1784</v>
      </c>
      <c r="S68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285.44</v>
      </c>
      <c r="T68" s="46">
        <f>T_3[[#This Row],[Mt Elligible]]*T_3[[#This Row],[Tx Sub]]</f>
        <v>142.72</v>
      </c>
    </row>
    <row r="69" spans="1:20" hidden="1">
      <c r="A69" s="182" t="str">
        <f t="shared" si="8"/>
        <v>Lot_3</v>
      </c>
      <c r="B69" s="113" t="str">
        <f>_xlfn.XLOOKUP(T_3[[#This Row],[N° Lot]],Tableau4[NoLot],Tableau4[Lot])</f>
        <v>Carte d’identité des granulats végétaux</v>
      </c>
      <c r="C69" s="178" t="s">
        <v>61</v>
      </c>
      <c r="D69" s="178" t="s">
        <v>140</v>
      </c>
      <c r="F69" s="169" t="s">
        <v>79</v>
      </c>
      <c r="G69" s="207">
        <f>_xlfn.XLOOKUP(T_3[[#This Row],[Partenaires]],Partenaires2[Partenaire],Partenaires2[Tx Ch Connexe])</f>
        <v>0.16</v>
      </c>
      <c r="H69" s="207">
        <f>_xlfn.XLOOKUP(T_3[[#This Row],[Partenaires]],Partenaires2[Partenaire],Partenaires2[Tx Sub])</f>
        <v>0.5</v>
      </c>
      <c r="I69" s="178" t="s">
        <v>243</v>
      </c>
      <c r="J69" s="178" t="s">
        <v>82</v>
      </c>
      <c r="K69" s="5">
        <v>4</v>
      </c>
      <c r="L69" s="4">
        <v>328</v>
      </c>
      <c r="M69" s="200">
        <f>T_3[[#This Row],[P Qu]]*T_3[[#This Row],[P PU]]</f>
        <v>1312</v>
      </c>
      <c r="N69" s="180"/>
      <c r="O69" s="7"/>
      <c r="P69" s="8"/>
      <c r="Q69" s="200">
        <f>T_3[[#This Row],[ACh Qu]]*T_3[[#This Row],[ACh PU]]</f>
        <v>0</v>
      </c>
      <c r="R69" s="201">
        <f>T_3[[#This Row],[P CT]]+T_3[[#This Row],[ACh CT]]</f>
        <v>1312</v>
      </c>
      <c r="S69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1521.92</v>
      </c>
      <c r="T69" s="46">
        <f>T_3[[#This Row],[Mt Elligible]]*T_3[[#This Row],[Tx Sub]]</f>
        <v>760.96</v>
      </c>
    </row>
    <row r="70" spans="1:20" hidden="1">
      <c r="A70" s="182" t="str">
        <f t="shared" si="8"/>
        <v>Lot_3</v>
      </c>
      <c r="B70" s="113" t="str">
        <f>_xlfn.XLOOKUP(T_3[[#This Row],[N° Lot]],Tableau4[NoLot],Tableau4[Lot])</f>
        <v>Carte d’identité des granulats végétaux</v>
      </c>
      <c r="C70" s="178" t="s">
        <v>61</v>
      </c>
      <c r="D70" s="178" t="s">
        <v>140</v>
      </c>
      <c r="F70" s="169" t="s">
        <v>79</v>
      </c>
      <c r="G70" s="207">
        <f>_xlfn.XLOOKUP(T_3[[#This Row],[Partenaires]],Partenaires2[Partenaire],Partenaires2[Tx Ch Connexe])</f>
        <v>0.16</v>
      </c>
      <c r="H70" s="207">
        <f>_xlfn.XLOOKUP(T_3[[#This Row],[Partenaires]],Partenaires2[Partenaire],Partenaires2[Tx Sub])</f>
        <v>0.5</v>
      </c>
      <c r="I70" s="178" t="s">
        <v>241</v>
      </c>
      <c r="J70" s="178" t="s">
        <v>81</v>
      </c>
      <c r="K70" s="5">
        <v>4</v>
      </c>
      <c r="L70" s="4">
        <v>275</v>
      </c>
      <c r="M70" s="200">
        <f>T_3[[#This Row],[P Qu]]*T_3[[#This Row],[P PU]]</f>
        <v>1100</v>
      </c>
      <c r="N70" s="180"/>
      <c r="O70" s="7"/>
      <c r="P70" s="8"/>
      <c r="Q70" s="200">
        <f>T_3[[#This Row],[ACh Qu]]*T_3[[#This Row],[ACh PU]]</f>
        <v>0</v>
      </c>
      <c r="R70" s="201">
        <f>T_3[[#This Row],[P CT]]+T_3[[#This Row],[ACh CT]]</f>
        <v>1100</v>
      </c>
      <c r="S70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176</v>
      </c>
      <c r="T70" s="46">
        <f>T_3[[#This Row],[Mt Elligible]]*T_3[[#This Row],[Tx Sub]]</f>
        <v>88</v>
      </c>
    </row>
    <row r="71" spans="1:20" hidden="1">
      <c r="A71" s="182" t="str">
        <f t="shared" si="8"/>
        <v>Lot_3</v>
      </c>
      <c r="B71" s="113" t="str">
        <f>_xlfn.XLOOKUP(T_3[[#This Row],[N° Lot]],Tableau4[NoLot],Tableau4[Lot])</f>
        <v>Carte d’identité des granulats végétaux</v>
      </c>
      <c r="C71" s="178" t="s">
        <v>61</v>
      </c>
      <c r="D71" s="178" t="s">
        <v>141</v>
      </c>
      <c r="F71" s="169" t="s">
        <v>79</v>
      </c>
      <c r="G71" s="207">
        <f>_xlfn.XLOOKUP(T_3[[#This Row],[Partenaires]],Partenaires2[Partenaire],Partenaires2[Tx Ch Connexe])</f>
        <v>0.16</v>
      </c>
      <c r="H71" s="207">
        <f>_xlfn.XLOOKUP(T_3[[#This Row],[Partenaires]],Partenaires2[Partenaire],Partenaires2[Tx Sub])</f>
        <v>0.5</v>
      </c>
      <c r="I71" s="178" t="s">
        <v>238</v>
      </c>
      <c r="J71" s="178" t="s">
        <v>81</v>
      </c>
      <c r="K71" s="5">
        <v>2</v>
      </c>
      <c r="L71" s="4">
        <v>446</v>
      </c>
      <c r="M71" s="200">
        <f>T_3[[#This Row],[P Qu]]*T_3[[#This Row],[P PU]]</f>
        <v>892</v>
      </c>
      <c r="N71" s="180"/>
      <c r="O71" s="7"/>
      <c r="P71" s="8"/>
      <c r="Q71" s="200">
        <f>T_3[[#This Row],[ACh Qu]]*T_3[[#This Row],[ACh PU]]</f>
        <v>0</v>
      </c>
      <c r="R71" s="201">
        <f>T_3[[#This Row],[P CT]]+T_3[[#This Row],[ACh CT]]</f>
        <v>892</v>
      </c>
      <c r="S71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142.72</v>
      </c>
      <c r="T71" s="46">
        <f>T_3[[#This Row],[Mt Elligible]]*T_3[[#This Row],[Tx Sub]]</f>
        <v>71.36</v>
      </c>
    </row>
    <row r="72" spans="1:20" hidden="1">
      <c r="A72" s="182" t="str">
        <f t="shared" si="8"/>
        <v>Lot_3</v>
      </c>
      <c r="B72" s="113" t="str">
        <f>_xlfn.XLOOKUP(T_3[[#This Row],[N° Lot]],Tableau4[NoLot],Tableau4[Lot])</f>
        <v>Carte d’identité des granulats végétaux</v>
      </c>
      <c r="C72" s="178" t="s">
        <v>61</v>
      </c>
      <c r="D72" s="178" t="s">
        <v>141</v>
      </c>
      <c r="F72" s="169" t="s">
        <v>79</v>
      </c>
      <c r="G72" s="207">
        <f>_xlfn.XLOOKUP(T_3[[#This Row],[Partenaires]],Partenaires2[Partenaire],Partenaires2[Tx Ch Connexe])</f>
        <v>0.16</v>
      </c>
      <c r="H72" s="207">
        <f>_xlfn.XLOOKUP(T_3[[#This Row],[Partenaires]],Partenaires2[Partenaire],Partenaires2[Tx Sub])</f>
        <v>0.5</v>
      </c>
      <c r="I72" s="178" t="s">
        <v>241</v>
      </c>
      <c r="J72" s="178" t="s">
        <v>81</v>
      </c>
      <c r="K72" s="5">
        <v>2</v>
      </c>
      <c r="L72" s="4">
        <v>275</v>
      </c>
      <c r="M72" s="200">
        <f>T_3[[#This Row],[P Qu]]*T_3[[#This Row],[P PU]]</f>
        <v>550</v>
      </c>
      <c r="N72" s="180"/>
      <c r="O72" s="7"/>
      <c r="P72" s="8"/>
      <c r="Q72" s="200">
        <f>T_3[[#This Row],[ACh Qu]]*T_3[[#This Row],[ACh PU]]</f>
        <v>0</v>
      </c>
      <c r="R72" s="201">
        <f>T_3[[#This Row],[P CT]]+T_3[[#This Row],[ACh CT]]</f>
        <v>550</v>
      </c>
      <c r="S72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88</v>
      </c>
      <c r="T72" s="46">
        <f>T_3[[#This Row],[Mt Elligible]]*T_3[[#This Row],[Tx Sub]]</f>
        <v>44</v>
      </c>
    </row>
    <row r="73" spans="1:20" hidden="1">
      <c r="A73" s="182" t="str">
        <f t="shared" si="8"/>
        <v>Lot_3</v>
      </c>
      <c r="B73" s="113" t="str">
        <f>_xlfn.XLOOKUP(T_3[[#This Row],[N° Lot]],Tableau4[NoLot],Tableau4[Lot])</f>
        <v>Carte d’identité des granulats végétaux</v>
      </c>
      <c r="C73" s="178" t="s">
        <v>61</v>
      </c>
      <c r="D73" s="178" t="s">
        <v>142</v>
      </c>
      <c r="F73" s="169" t="s">
        <v>79</v>
      </c>
      <c r="G73" s="207">
        <f>_xlfn.XLOOKUP(T_3[[#This Row],[Partenaires]],Partenaires2[Partenaire],Partenaires2[Tx Ch Connexe])</f>
        <v>0.16</v>
      </c>
      <c r="H73" s="207">
        <f>_xlfn.XLOOKUP(T_3[[#This Row],[Partenaires]],Partenaires2[Partenaire],Partenaires2[Tx Sub])</f>
        <v>0.5</v>
      </c>
      <c r="I73" s="178" t="s">
        <v>238</v>
      </c>
      <c r="J73" s="178" t="s">
        <v>81</v>
      </c>
      <c r="K73" s="5">
        <v>2</v>
      </c>
      <c r="L73" s="4">
        <v>446</v>
      </c>
      <c r="M73" s="200">
        <f>T_3[[#This Row],[P Qu]]*T_3[[#This Row],[P PU]]</f>
        <v>892</v>
      </c>
      <c r="N73" s="180"/>
      <c r="O73" s="7"/>
      <c r="P73" s="8"/>
      <c r="Q73" s="200">
        <f>T_3[[#This Row],[ACh Qu]]*T_3[[#This Row],[ACh PU]]</f>
        <v>0</v>
      </c>
      <c r="R73" s="201">
        <f>T_3[[#This Row],[P CT]]+T_3[[#This Row],[ACh CT]]</f>
        <v>892</v>
      </c>
      <c r="S73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142.72</v>
      </c>
      <c r="T73" s="46">
        <f>T_3[[#This Row],[Mt Elligible]]*T_3[[#This Row],[Tx Sub]]</f>
        <v>71.36</v>
      </c>
    </row>
    <row r="74" spans="1:20" hidden="1">
      <c r="A74" s="182" t="str">
        <f t="shared" si="8"/>
        <v>Lot_3</v>
      </c>
      <c r="B74" s="113" t="str">
        <f>_xlfn.XLOOKUP(T_3[[#This Row],[N° Lot]],Tableau4[NoLot],Tableau4[Lot])</f>
        <v>Carte d’identité des granulats végétaux</v>
      </c>
      <c r="C74" s="178" t="s">
        <v>61</v>
      </c>
      <c r="D74" s="178" t="s">
        <v>142</v>
      </c>
      <c r="F74" s="169" t="s">
        <v>79</v>
      </c>
      <c r="G74" s="207">
        <f>_xlfn.XLOOKUP(T_3[[#This Row],[Partenaires]],Partenaires2[Partenaire],Partenaires2[Tx Ch Connexe])</f>
        <v>0.16</v>
      </c>
      <c r="H74" s="207">
        <f>_xlfn.XLOOKUP(T_3[[#This Row],[Partenaires]],Partenaires2[Partenaire],Partenaires2[Tx Sub])</f>
        <v>0.5</v>
      </c>
      <c r="I74" s="178" t="s">
        <v>241</v>
      </c>
      <c r="J74" s="178" t="s">
        <v>81</v>
      </c>
      <c r="K74" s="5">
        <v>2</v>
      </c>
      <c r="L74" s="4">
        <v>275</v>
      </c>
      <c r="M74" s="200">
        <f>T_3[[#This Row],[P Qu]]*T_3[[#This Row],[P PU]]</f>
        <v>550</v>
      </c>
      <c r="N74" s="180"/>
      <c r="O74" s="7"/>
      <c r="P74" s="8"/>
      <c r="Q74" s="200">
        <f>T_3[[#This Row],[ACh Qu]]*T_3[[#This Row],[ACh PU]]</f>
        <v>0</v>
      </c>
      <c r="R74" s="201">
        <f>T_3[[#This Row],[P CT]]+T_3[[#This Row],[ACh CT]]</f>
        <v>550</v>
      </c>
      <c r="S74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88</v>
      </c>
      <c r="T74" s="46">
        <f>T_3[[#This Row],[Mt Elligible]]*T_3[[#This Row],[Tx Sub]]</f>
        <v>44</v>
      </c>
    </row>
    <row r="75" spans="1:20" hidden="1">
      <c r="A75" s="182" t="str">
        <f t="shared" si="8"/>
        <v>Lot_3</v>
      </c>
      <c r="B75" s="113" t="str">
        <f>_xlfn.XLOOKUP(T_3[[#This Row],[N° Lot]],Tableau4[NoLot],Tableau4[Lot])</f>
        <v>Carte d’identité des granulats végétaux</v>
      </c>
      <c r="C75" s="178" t="s">
        <v>61</v>
      </c>
      <c r="D75" s="178" t="s">
        <v>142</v>
      </c>
      <c r="F75" s="169" t="s">
        <v>79</v>
      </c>
      <c r="G75" s="207">
        <f>_xlfn.XLOOKUP(T_3[[#This Row],[Partenaires]],Partenaires2[Partenaire],Partenaires2[Tx Ch Connexe])</f>
        <v>0.16</v>
      </c>
      <c r="H75" s="207">
        <f>_xlfn.XLOOKUP(T_3[[#This Row],[Partenaires]],Partenaires2[Partenaire],Partenaires2[Tx Sub])</f>
        <v>0.5</v>
      </c>
      <c r="I75" s="178" t="s">
        <v>243</v>
      </c>
      <c r="J75" s="178" t="s">
        <v>82</v>
      </c>
      <c r="K75" s="5">
        <v>10</v>
      </c>
      <c r="L75" s="4">
        <v>328</v>
      </c>
      <c r="M75" s="200">
        <f>T_3[[#This Row],[P Qu]]*T_3[[#This Row],[P PU]]</f>
        <v>3280</v>
      </c>
      <c r="N75" s="180"/>
      <c r="O75" s="7"/>
      <c r="P75" s="8"/>
      <c r="Q75" s="200">
        <f>T_3[[#This Row],[ACh Qu]]*T_3[[#This Row],[ACh PU]]</f>
        <v>0</v>
      </c>
      <c r="R75" s="201">
        <f>T_3[[#This Row],[P CT]]+T_3[[#This Row],[ACh CT]]</f>
        <v>3280</v>
      </c>
      <c r="S75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3804.8</v>
      </c>
      <c r="T75" s="46">
        <f>T_3[[#This Row],[Mt Elligible]]*T_3[[#This Row],[Tx Sub]]</f>
        <v>1902.4</v>
      </c>
    </row>
    <row r="76" spans="1:20" hidden="1">
      <c r="A76" s="182" t="str">
        <f>A$1</f>
        <v>Lot_3</v>
      </c>
      <c r="B76" s="113" t="str">
        <f>_xlfn.XLOOKUP(T_3[[#This Row],[N° Lot]],Tableau4[NoLot],Tableau4[Lot])</f>
        <v>Carte d’identité des granulats végétaux</v>
      </c>
      <c r="C76" s="178" t="s">
        <v>62</v>
      </c>
      <c r="D76" s="178" t="s">
        <v>143</v>
      </c>
      <c r="F76" s="169" t="s">
        <v>21</v>
      </c>
      <c r="G76" s="209">
        <f>_xlfn.XLOOKUP(T_3[[#This Row],[Partenaires]],Partenaires2[Partenaire],Partenaires2[Tx Ch Connexe])</f>
        <v>0.25</v>
      </c>
      <c r="H76" s="209">
        <f>_xlfn.XLOOKUP(T_3[[#This Row],[Partenaires]],Partenaires2[Partenaire],Partenaires2[Tx Sub])</f>
        <v>0.7</v>
      </c>
      <c r="I76" s="178" t="s">
        <v>259</v>
      </c>
      <c r="J76" s="178"/>
      <c r="K76" s="5">
        <v>4</v>
      </c>
      <c r="L76" s="4">
        <v>430</v>
      </c>
      <c r="M76" s="200">
        <f>T_3[[#This Row],[P Qu]]*T_3[[#This Row],[P PU]]</f>
        <v>1720</v>
      </c>
      <c r="N76" s="180" t="s">
        <v>45</v>
      </c>
      <c r="O76" s="7">
        <v>4</v>
      </c>
      <c r="P76" s="8"/>
      <c r="Q76" s="200">
        <f>T_3[[#This Row],[ACh Qu]]*T_3[[#This Row],[ACh PU]]</f>
        <v>0</v>
      </c>
      <c r="R76" s="201">
        <f>T_3[[#This Row],[P CT]]+T_3[[#This Row],[ACh CT]]</f>
        <v>1720</v>
      </c>
      <c r="S76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430</v>
      </c>
      <c r="T76" s="46">
        <f>T_3[[#This Row],[Mt Elligible]]*T_3[[#This Row],[Tx Sub]]</f>
        <v>301</v>
      </c>
    </row>
    <row r="77" spans="1:20" hidden="1">
      <c r="A77" s="182" t="str">
        <f>A$1</f>
        <v>Lot_3</v>
      </c>
      <c r="B77" s="113" t="str">
        <f>_xlfn.XLOOKUP(T_3[[#This Row],[N° Lot]],Tableau4[NoLot],Tableau4[Lot])</f>
        <v>Carte d’identité des granulats végétaux</v>
      </c>
      <c r="C77" s="178" t="s">
        <v>62</v>
      </c>
      <c r="D77" s="178" t="s">
        <v>144</v>
      </c>
      <c r="F77" s="169" t="s">
        <v>21</v>
      </c>
      <c r="G77" s="209">
        <f>_xlfn.XLOOKUP(T_3[[#This Row],[Partenaires]],Partenaires2[Partenaire],Partenaires2[Tx Ch Connexe])</f>
        <v>0.25</v>
      </c>
      <c r="H77" s="209">
        <f>_xlfn.XLOOKUP(T_3[[#This Row],[Partenaires]],Partenaires2[Partenaire],Partenaires2[Tx Sub])</f>
        <v>0.7</v>
      </c>
      <c r="I77" s="178" t="s">
        <v>259</v>
      </c>
      <c r="J77" s="178"/>
      <c r="K77" s="5">
        <v>2</v>
      </c>
      <c r="L77" s="4">
        <v>430</v>
      </c>
      <c r="M77" s="200">
        <f>T_3[[#This Row],[P Qu]]*T_3[[#This Row],[P PU]]</f>
        <v>860</v>
      </c>
      <c r="N77" s="180" t="s">
        <v>45</v>
      </c>
      <c r="O77" s="7">
        <v>2</v>
      </c>
      <c r="P77" s="8"/>
      <c r="Q77" s="200">
        <f>T_3[[#This Row],[ACh Qu]]*T_3[[#This Row],[ACh PU]]</f>
        <v>0</v>
      </c>
      <c r="R77" s="201">
        <f>T_3[[#This Row],[P CT]]+T_3[[#This Row],[ACh CT]]</f>
        <v>860</v>
      </c>
      <c r="S77" s="46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215</v>
      </c>
      <c r="T77" s="46">
        <f>T_3[[#This Row],[Mt Elligible]]*T_3[[#This Row],[Tx Sub]]</f>
        <v>150.5</v>
      </c>
    </row>
    <row r="78" spans="1:20">
      <c r="A78" s="182" t="str">
        <f t="shared" ref="A78:A87" si="9">A$1</f>
        <v>Lot_3</v>
      </c>
      <c r="B78" s="113" t="str">
        <f>_xlfn.XLOOKUP(T_3[[#This Row],[N° Lot]],Tableau4[NoLot],Tableau4[Lot])</f>
        <v>Carte d’identité des granulats végétaux</v>
      </c>
      <c r="C78" s="178" t="s">
        <v>60</v>
      </c>
      <c r="D78" s="178" t="s">
        <v>123</v>
      </c>
      <c r="E78" s="178" t="s">
        <v>204</v>
      </c>
      <c r="F78" s="169" t="s">
        <v>22</v>
      </c>
      <c r="G78" s="189">
        <f>_xlfn.XLOOKUP(T_3[[#This Row],[Partenaires]],Partenaires2[Partenaire],Partenaires2[Tx Ch Connexe])</f>
        <v>0.2</v>
      </c>
      <c r="H78" s="189">
        <f>_xlfn.XLOOKUP(T_3[[#This Row],[Partenaires]],Partenaires2[Partenaire],Partenaires2[Tx Sub])</f>
        <v>0.5</v>
      </c>
      <c r="I78" s="178" t="s">
        <v>205</v>
      </c>
      <c r="J78" s="178" t="s">
        <v>82</v>
      </c>
      <c r="K78" s="5">
        <v>1</v>
      </c>
      <c r="L78" s="4">
        <v>380</v>
      </c>
      <c r="M78" s="200">
        <f>T_3[[#This Row],[P Qu]]*T_3[[#This Row],[P PU]]</f>
        <v>380</v>
      </c>
      <c r="N78" s="180"/>
      <c r="O78" s="7"/>
      <c r="P78" s="8"/>
      <c r="Q78" s="200">
        <f>T_3[[#This Row],[ACh Qu]]*T_3[[#This Row],[ACh PU]]</f>
        <v>0</v>
      </c>
      <c r="R78" s="201">
        <f>T_3[[#This Row],[P CT]]+T_3[[#This Row],[ACh CT]]</f>
        <v>380</v>
      </c>
      <c r="S78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78" s="211">
        <f>T_3[[#This Row],[Mt Elligible]]*T_3[[#This Row],[Tx Sub]]</f>
        <v>228</v>
      </c>
    </row>
    <row r="79" spans="1:20">
      <c r="A79" s="182" t="str">
        <f t="shared" si="9"/>
        <v>Lot_3</v>
      </c>
      <c r="B79" s="113" t="str">
        <f>_xlfn.XLOOKUP(T_3[[#This Row],[N° Lot]],Tableau4[NoLot],Tableau4[Lot])</f>
        <v>Carte d’identité des granulats végétaux</v>
      </c>
      <c r="C79" s="178" t="s">
        <v>60</v>
      </c>
      <c r="D79" s="178" t="s">
        <v>124</v>
      </c>
      <c r="E79" s="178" t="s">
        <v>204</v>
      </c>
      <c r="F79" s="169" t="s">
        <v>22</v>
      </c>
      <c r="G79" s="189">
        <f>_xlfn.XLOOKUP(T_3[[#This Row],[Partenaires]],Partenaires2[Partenaire],Partenaires2[Tx Ch Connexe])</f>
        <v>0.2</v>
      </c>
      <c r="H79" s="189">
        <f>_xlfn.XLOOKUP(T_3[[#This Row],[Partenaires]],Partenaires2[Partenaire],Partenaires2[Tx Sub])</f>
        <v>0.5</v>
      </c>
      <c r="I79" s="178" t="s">
        <v>205</v>
      </c>
      <c r="J79" s="178" t="s">
        <v>82</v>
      </c>
      <c r="K79" s="5">
        <v>1</v>
      </c>
      <c r="L79" s="4">
        <v>380</v>
      </c>
      <c r="M79" s="200">
        <f>T_3[[#This Row],[P Qu]]*T_3[[#This Row],[P PU]]</f>
        <v>380</v>
      </c>
      <c r="N79" s="180"/>
      <c r="O79" s="7"/>
      <c r="P79" s="8"/>
      <c r="Q79" s="200">
        <f>T_3[[#This Row],[ACh Qu]]*T_3[[#This Row],[ACh PU]]</f>
        <v>0</v>
      </c>
      <c r="R79" s="201">
        <f>T_3[[#This Row],[P CT]]+T_3[[#This Row],[ACh CT]]</f>
        <v>380</v>
      </c>
      <c r="S79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79" s="211">
        <f>T_3[[#This Row],[Mt Elligible]]*T_3[[#This Row],[Tx Sub]]</f>
        <v>228</v>
      </c>
    </row>
    <row r="80" spans="1:20">
      <c r="A80" s="182" t="str">
        <f t="shared" si="9"/>
        <v>Lot_3</v>
      </c>
      <c r="B80" s="113" t="str">
        <f>_xlfn.XLOOKUP(T_3[[#This Row],[N° Lot]],Tableau4[NoLot],Tableau4[Lot])</f>
        <v>Carte d’identité des granulats végétaux</v>
      </c>
      <c r="C80" s="178" t="s">
        <v>60</v>
      </c>
      <c r="D80" s="178" t="s">
        <v>125</v>
      </c>
      <c r="E80" s="178" t="s">
        <v>206</v>
      </c>
      <c r="F80" s="169" t="s">
        <v>22</v>
      </c>
      <c r="G80" s="189">
        <f>_xlfn.XLOOKUP(T_3[[#This Row],[Partenaires]],Partenaires2[Partenaire],Partenaires2[Tx Ch Connexe])</f>
        <v>0.2</v>
      </c>
      <c r="H80" s="189">
        <f>_xlfn.XLOOKUP(T_3[[#This Row],[Partenaires]],Partenaires2[Partenaire],Partenaires2[Tx Sub])</f>
        <v>0.5</v>
      </c>
      <c r="I80" s="178" t="s">
        <v>205</v>
      </c>
      <c r="J80" s="178" t="s">
        <v>82</v>
      </c>
      <c r="K80" s="5">
        <v>1</v>
      </c>
      <c r="L80" s="4">
        <v>380</v>
      </c>
      <c r="M80" s="200">
        <f>T_3[[#This Row],[P Qu]]*T_3[[#This Row],[P PU]]</f>
        <v>380</v>
      </c>
      <c r="N80" s="180"/>
      <c r="O80" s="7"/>
      <c r="P80" s="8"/>
      <c r="Q80" s="200">
        <f>T_3[[#This Row],[ACh Qu]]*T_3[[#This Row],[ACh PU]]</f>
        <v>0</v>
      </c>
      <c r="R80" s="201">
        <f>T_3[[#This Row],[P CT]]+T_3[[#This Row],[ACh CT]]</f>
        <v>380</v>
      </c>
      <c r="S80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80" s="211">
        <f>T_3[[#This Row],[Mt Elligible]]*T_3[[#This Row],[Tx Sub]]</f>
        <v>228</v>
      </c>
    </row>
    <row r="81" spans="1:20">
      <c r="A81" s="182" t="str">
        <f t="shared" si="9"/>
        <v>Lot_3</v>
      </c>
      <c r="B81" s="113" t="str">
        <f>_xlfn.XLOOKUP(T_3[[#This Row],[N° Lot]],Tableau4[NoLot],Tableau4[Lot])</f>
        <v>Carte d’identité des granulats végétaux</v>
      </c>
      <c r="C81" s="178" t="s">
        <v>61</v>
      </c>
      <c r="D81" s="178" t="s">
        <v>139</v>
      </c>
      <c r="E81" s="178" t="s">
        <v>206</v>
      </c>
      <c r="F81" s="169" t="s">
        <v>22</v>
      </c>
      <c r="G81" s="189">
        <f>_xlfn.XLOOKUP(T_3[[#This Row],[Partenaires]],Partenaires2[Partenaire],Partenaires2[Tx Ch Connexe])</f>
        <v>0.2</v>
      </c>
      <c r="H81" s="189">
        <f>_xlfn.XLOOKUP(T_3[[#This Row],[Partenaires]],Partenaires2[Partenaire],Partenaires2[Tx Sub])</f>
        <v>0.5</v>
      </c>
      <c r="I81" s="178" t="s">
        <v>205</v>
      </c>
      <c r="J81" s="178" t="s">
        <v>82</v>
      </c>
      <c r="K81" s="5">
        <v>1</v>
      </c>
      <c r="L81" s="4">
        <v>380</v>
      </c>
      <c r="M81" s="200">
        <f>T_3[[#This Row],[P Qu]]*T_3[[#This Row],[P PU]]</f>
        <v>380</v>
      </c>
      <c r="N81" s="180"/>
      <c r="O81" s="7"/>
      <c r="P81" s="8"/>
      <c r="Q81" s="200">
        <f>T_3[[#This Row],[ACh Qu]]*T_3[[#This Row],[ACh PU]]</f>
        <v>0</v>
      </c>
      <c r="R81" s="201">
        <f>T_3[[#This Row],[P CT]]+T_3[[#This Row],[ACh CT]]</f>
        <v>380</v>
      </c>
      <c r="S81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81" s="211">
        <f>T_3[[#This Row],[Mt Elligible]]*T_3[[#This Row],[Tx Sub]]</f>
        <v>228</v>
      </c>
    </row>
    <row r="82" spans="1:20">
      <c r="A82" s="182" t="str">
        <f t="shared" si="9"/>
        <v>Lot_3</v>
      </c>
      <c r="B82" s="113" t="str">
        <f>_xlfn.XLOOKUP(T_3[[#This Row],[N° Lot]],Tableau4[NoLot],Tableau4[Lot])</f>
        <v>Carte d’identité des granulats végétaux</v>
      </c>
      <c r="C82" s="178" t="s">
        <v>61</v>
      </c>
      <c r="D82" s="178" t="s">
        <v>207</v>
      </c>
      <c r="E82" s="178" t="s">
        <v>208</v>
      </c>
      <c r="F82" s="169" t="s">
        <v>22</v>
      </c>
      <c r="G82" s="189">
        <f>_xlfn.XLOOKUP(T_3[[#This Row],[Partenaires]],Partenaires2[Partenaire],Partenaires2[Tx Ch Connexe])</f>
        <v>0.2</v>
      </c>
      <c r="H82" s="189">
        <f>_xlfn.XLOOKUP(T_3[[#This Row],[Partenaires]],Partenaires2[Partenaire],Partenaires2[Tx Sub])</f>
        <v>0.5</v>
      </c>
      <c r="I82" s="178" t="s">
        <v>205</v>
      </c>
      <c r="J82" s="178" t="s">
        <v>82</v>
      </c>
      <c r="K82" s="5">
        <v>1</v>
      </c>
      <c r="L82" s="4">
        <v>380</v>
      </c>
      <c r="M82" s="200">
        <f>T_3[[#This Row],[P Qu]]*T_3[[#This Row],[P PU]]</f>
        <v>380</v>
      </c>
      <c r="N82" s="180"/>
      <c r="O82" s="7"/>
      <c r="P82" s="8"/>
      <c r="Q82" s="200">
        <f>T_3[[#This Row],[ACh Qu]]*T_3[[#This Row],[ACh PU]]</f>
        <v>0</v>
      </c>
      <c r="R82" s="201">
        <f>T_3[[#This Row],[P CT]]+T_3[[#This Row],[ACh CT]]</f>
        <v>380</v>
      </c>
      <c r="S82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82" s="211">
        <f>T_3[[#This Row],[Mt Elligible]]*T_3[[#This Row],[Tx Sub]]</f>
        <v>228</v>
      </c>
    </row>
    <row r="83" spans="1:20">
      <c r="A83" s="182" t="str">
        <f t="shared" si="9"/>
        <v>Lot_3</v>
      </c>
      <c r="B83" s="113" t="str">
        <f>_xlfn.XLOOKUP(T_3[[#This Row],[N° Lot]],Tableau4[NoLot],Tableau4[Lot])</f>
        <v>Carte d’identité des granulats végétaux</v>
      </c>
      <c r="C83" s="178" t="s">
        <v>61</v>
      </c>
      <c r="D83" s="178" t="s">
        <v>209</v>
      </c>
      <c r="E83" s="178" t="s">
        <v>210</v>
      </c>
      <c r="F83" s="169" t="s">
        <v>22</v>
      </c>
      <c r="G83" s="189">
        <f>_xlfn.XLOOKUP(T_3[[#This Row],[Partenaires]],Partenaires2[Partenaire],Partenaires2[Tx Ch Connexe])</f>
        <v>0.2</v>
      </c>
      <c r="H83" s="189">
        <f>_xlfn.XLOOKUP(T_3[[#This Row],[Partenaires]],Partenaires2[Partenaire],Partenaires2[Tx Sub])</f>
        <v>0.5</v>
      </c>
      <c r="I83" s="178" t="s">
        <v>205</v>
      </c>
      <c r="J83" s="178" t="s">
        <v>82</v>
      </c>
      <c r="K83" s="5">
        <v>1</v>
      </c>
      <c r="L83" s="4">
        <v>380</v>
      </c>
      <c r="M83" s="200">
        <f>T_3[[#This Row],[P Qu]]*T_3[[#This Row],[P PU]]</f>
        <v>380</v>
      </c>
      <c r="N83" s="180"/>
      <c r="O83" s="7"/>
      <c r="P83" s="8"/>
      <c r="Q83" s="200">
        <f>T_3[[#This Row],[ACh Qu]]*T_3[[#This Row],[ACh PU]]</f>
        <v>0</v>
      </c>
      <c r="R83" s="201">
        <f>T_3[[#This Row],[P CT]]+T_3[[#This Row],[ACh CT]]</f>
        <v>380</v>
      </c>
      <c r="S83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83" s="211">
        <f>T_3[[#This Row],[Mt Elligible]]*T_3[[#This Row],[Tx Sub]]</f>
        <v>228</v>
      </c>
    </row>
    <row r="84" spans="1:20">
      <c r="A84" s="182" t="str">
        <f t="shared" si="9"/>
        <v>Lot_3</v>
      </c>
      <c r="B84" s="113" t="str">
        <f>_xlfn.XLOOKUP(T_3[[#This Row],[N° Lot]],Tableau4[NoLot],Tableau4[Lot])</f>
        <v>Carte d’identité des granulats végétaux</v>
      </c>
      <c r="C84" s="178" t="s">
        <v>61</v>
      </c>
      <c r="D84" s="178" t="s">
        <v>211</v>
      </c>
      <c r="E84" s="178" t="s">
        <v>212</v>
      </c>
      <c r="F84" s="169" t="s">
        <v>22</v>
      </c>
      <c r="G84" s="189">
        <f>_xlfn.XLOOKUP(T_3[[#This Row],[Partenaires]],Partenaires2[Partenaire],Partenaires2[Tx Ch Connexe])</f>
        <v>0.2</v>
      </c>
      <c r="H84" s="189">
        <f>_xlfn.XLOOKUP(T_3[[#This Row],[Partenaires]],Partenaires2[Partenaire],Partenaires2[Tx Sub])</f>
        <v>0.5</v>
      </c>
      <c r="I84" s="178" t="s">
        <v>205</v>
      </c>
      <c r="J84" s="178" t="s">
        <v>82</v>
      </c>
      <c r="K84" s="5">
        <v>1</v>
      </c>
      <c r="L84" s="4">
        <v>380</v>
      </c>
      <c r="M84" s="200">
        <f>T_3[[#This Row],[P Qu]]*T_3[[#This Row],[P PU]]</f>
        <v>380</v>
      </c>
      <c r="N84" s="180"/>
      <c r="O84" s="7"/>
      <c r="P84" s="8"/>
      <c r="Q84" s="200">
        <f>T_3[[#This Row],[ACh Qu]]*T_3[[#This Row],[ACh PU]]</f>
        <v>0</v>
      </c>
      <c r="R84" s="201">
        <f>T_3[[#This Row],[P CT]]+T_3[[#This Row],[ACh CT]]</f>
        <v>380</v>
      </c>
      <c r="S84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456</v>
      </c>
      <c r="T84" s="211">
        <f>T_3[[#This Row],[Mt Elligible]]*T_3[[#This Row],[Tx Sub]]</f>
        <v>228</v>
      </c>
    </row>
    <row r="85" spans="1:20">
      <c r="A85" s="182" t="str">
        <f t="shared" si="9"/>
        <v>Lot_3</v>
      </c>
      <c r="B85" s="113" t="str">
        <f>_xlfn.XLOOKUP(T_3[[#This Row],[N° Lot]],Tableau4[NoLot],Tableau4[Lot])</f>
        <v>Carte d’identité des granulats végétaux</v>
      </c>
      <c r="C85" s="178" t="s">
        <v>62</v>
      </c>
      <c r="D85" s="178" t="s">
        <v>213</v>
      </c>
      <c r="F85" s="169" t="s">
        <v>22</v>
      </c>
      <c r="G85" s="189">
        <f>_xlfn.XLOOKUP(T_3[[#This Row],[Partenaires]],Partenaires2[Partenaire],Partenaires2[Tx Ch Connexe])</f>
        <v>0.2</v>
      </c>
      <c r="H85" s="189">
        <f>_xlfn.XLOOKUP(T_3[[#This Row],[Partenaires]],Partenaires2[Partenaire],Partenaires2[Tx Sub])</f>
        <v>0.5</v>
      </c>
      <c r="I85" s="178" t="s">
        <v>205</v>
      </c>
      <c r="J85" s="178" t="s">
        <v>82</v>
      </c>
      <c r="K85" s="5">
        <v>0</v>
      </c>
      <c r="L85" s="4">
        <v>380</v>
      </c>
      <c r="M85" s="200">
        <f>T_3[[#This Row],[P Qu]]*T_3[[#This Row],[P PU]]</f>
        <v>0</v>
      </c>
      <c r="N85" s="180"/>
      <c r="O85" s="7"/>
      <c r="P85" s="8"/>
      <c r="Q85" s="200">
        <f>T_3[[#This Row],[ACh Qu]]*T_3[[#This Row],[ACh PU]]</f>
        <v>0</v>
      </c>
      <c r="R85" s="201">
        <f>T_3[[#This Row],[P CT]]+T_3[[#This Row],[ACh CT]]</f>
        <v>0</v>
      </c>
      <c r="S85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85" s="211">
        <f>T_3[[#This Row],[Mt Elligible]]*T_3[[#This Row],[Tx Sub]]</f>
        <v>0</v>
      </c>
    </row>
    <row r="86" spans="1:20">
      <c r="A86" s="182" t="str">
        <f t="shared" si="9"/>
        <v>Lot_3</v>
      </c>
      <c r="B86" s="113" t="str">
        <f>_xlfn.XLOOKUP(T_3[[#This Row],[N° Lot]],Tableau4[NoLot],Tableau4[Lot])</f>
        <v>Carte d’identité des granulats végétaux</v>
      </c>
      <c r="C86" s="178" t="s">
        <v>62</v>
      </c>
      <c r="D86" s="178" t="s">
        <v>214</v>
      </c>
      <c r="F86" s="169" t="s">
        <v>22</v>
      </c>
      <c r="G86" s="189">
        <f>_xlfn.XLOOKUP(T_3[[#This Row],[Partenaires]],Partenaires2[Partenaire],Partenaires2[Tx Ch Connexe])</f>
        <v>0.2</v>
      </c>
      <c r="H86" s="189">
        <f>_xlfn.XLOOKUP(T_3[[#This Row],[Partenaires]],Partenaires2[Partenaire],Partenaires2[Tx Sub])</f>
        <v>0.5</v>
      </c>
      <c r="I86" s="178" t="s">
        <v>205</v>
      </c>
      <c r="J86" s="178" t="s">
        <v>82</v>
      </c>
      <c r="K86" s="5">
        <v>0</v>
      </c>
      <c r="L86" s="4">
        <v>380</v>
      </c>
      <c r="M86" s="200">
        <f>T_3[[#This Row],[P Qu]]*T_3[[#This Row],[P PU]]</f>
        <v>0</v>
      </c>
      <c r="N86" s="180"/>
      <c r="O86" s="7"/>
      <c r="P86" s="8"/>
      <c r="Q86" s="200">
        <f>T_3[[#This Row],[ACh Qu]]*T_3[[#This Row],[ACh PU]]</f>
        <v>0</v>
      </c>
      <c r="R86" s="201">
        <f>T_3[[#This Row],[P CT]]+T_3[[#This Row],[ACh CT]]</f>
        <v>0</v>
      </c>
      <c r="S86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86" s="211">
        <f>T_3[[#This Row],[Mt Elligible]]*T_3[[#This Row],[Tx Sub]]</f>
        <v>0</v>
      </c>
    </row>
    <row r="87" spans="1:20">
      <c r="A87" s="182" t="str">
        <f t="shared" si="9"/>
        <v>Lot_3</v>
      </c>
      <c r="B87" s="113" t="str">
        <f>_xlfn.XLOOKUP(T_3[[#This Row],[N° Lot]],Tableau4[NoLot],Tableau4[Lot])</f>
        <v>Carte d’identité des granulats végétaux</v>
      </c>
      <c r="C87" s="178" t="s">
        <v>62</v>
      </c>
      <c r="D87" s="178" t="s">
        <v>215</v>
      </c>
      <c r="F87" s="169" t="s">
        <v>22</v>
      </c>
      <c r="G87" s="189">
        <f>_xlfn.XLOOKUP(T_3[[#This Row],[Partenaires]],Partenaires2[Partenaire],Partenaires2[Tx Ch Connexe])</f>
        <v>0.2</v>
      </c>
      <c r="H87" s="189">
        <f>_xlfn.XLOOKUP(T_3[[#This Row],[Partenaires]],Partenaires2[Partenaire],Partenaires2[Tx Sub])</f>
        <v>0.5</v>
      </c>
      <c r="I87" s="178" t="s">
        <v>205</v>
      </c>
      <c r="J87" s="178" t="s">
        <v>82</v>
      </c>
      <c r="K87" s="5">
        <v>0</v>
      </c>
      <c r="L87" s="4">
        <v>380</v>
      </c>
      <c r="M87" s="200">
        <f>T_3[[#This Row],[P Qu]]*T_3[[#This Row],[P PU]]</f>
        <v>0</v>
      </c>
      <c r="N87" s="180"/>
      <c r="O87" s="7"/>
      <c r="P87" s="8"/>
      <c r="Q87" s="200">
        <f>T_3[[#This Row],[ACh Qu]]*T_3[[#This Row],[ACh PU]]</f>
        <v>0</v>
      </c>
      <c r="R87" s="201">
        <f>T_3[[#This Row],[P CT]]+T_3[[#This Row],[ACh CT]]</f>
        <v>0</v>
      </c>
      <c r="S87" s="211">
        <f>IF(T_3[[#This Row],[Eligible]]="Oui",T_3[[#This Row],[Ct TOTAL]]+T_3[[#This Row],[Ct TOTAL]]*T_3[[#This Row],[Tx Charge Connexe]],T_3[[#This Row],[P CT]]*T_3[[#This Row],[Tx Charge Connexe]]+T_3[[#This Row],[ACh CT]]+T_3[[#This Row],[ACh CT]]*T_3[[#This Row],[Tx Charge Connexe]])</f>
        <v>0</v>
      </c>
      <c r="T87" s="211">
        <f>T_3[[#This Row],[Mt Elligible]]*T_3[[#This Row],[Tx Sub]]</f>
        <v>0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F3:F87" xr:uid="{00000000-0002-0000-0100-000000000000}">
      <formula1>Partenaires</formula1>
    </dataValidation>
    <dataValidation type="list" allowBlank="1" showInputMessage="1" showErrorMessage="1" sqref="A3:A87" xr:uid="{00000000-0002-0000-0100-000002000000}">
      <formula1>NoLot</formula1>
    </dataValidation>
    <dataValidation type="list" allowBlank="1" showInputMessage="1" showErrorMessage="1" sqref="C3:C87" xr:uid="{00000000-0002-0000-0100-000001000000}">
      <formula1>INDIRECT(A3)</formula1>
    </dataValidation>
    <dataValidation type="list" allowBlank="1" showInputMessage="1" showErrorMessage="1" sqref="D3:D87" xr:uid="{77DA30AF-8D34-458E-B3F9-DB0ACEFE46F5}">
      <formula1>INDIRECT(C3)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0F7803-3FEF-4088-A522-27639E557E37}">
          <x14:formula1>
            <xm:f>Liste!$H$3:$H$4</xm:f>
          </x14:formula1>
          <xm:sqref>J3:J77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6C781-C796-413E-8F67-631ACD41F8E4}">
  <sheetPr codeName="Feuil5">
    <tabColor theme="9" tint="0.39997558519241921"/>
  </sheetPr>
  <dimension ref="A1:T69"/>
  <sheetViews>
    <sheetView zoomScale="90" zoomScaleNormal="90" workbookViewId="0">
      <pane ySplit="2" topLeftCell="A3" activePane="bottomLeft" state="frozenSplit"/>
      <selection activeCell="G7" sqref="G7"/>
      <selection pane="bottomLeft" activeCell="E73" sqref="E73"/>
    </sheetView>
  </sheetViews>
  <sheetFormatPr baseColWidth="10" defaultRowHeight="15"/>
  <cols>
    <col min="1" max="1" width="8.140625" style="1" customWidth="1"/>
    <col min="2" max="2" width="11.7109375" style="3" customWidth="1"/>
    <col min="3" max="3" width="15.85546875" style="178" customWidth="1"/>
    <col min="4" max="4" width="20.28515625" style="178" customWidth="1"/>
    <col min="5" max="5" width="16" style="179" customWidth="1"/>
    <col min="6" max="6" width="16.5703125" style="2" customWidth="1"/>
    <col min="7" max="8" width="7.140625" style="195" customWidth="1"/>
    <col min="9" max="9" width="17.42578125" style="1" customWidth="1"/>
    <col min="10" max="10" width="5.7109375" style="1" customWidth="1"/>
    <col min="11" max="11" width="9.85546875" style="1" customWidth="1"/>
    <col min="12" max="12" width="11.85546875" style="1" bestFit="1" customWidth="1"/>
    <col min="13" max="13" width="15.28515625" style="3" customWidth="1"/>
    <col min="14" max="14" width="14.42578125" style="178" customWidth="1"/>
    <col min="15" max="15" width="11.42578125" style="5"/>
    <col min="16" max="16" width="15" style="1" customWidth="1"/>
    <col min="17" max="17" width="13" style="3" customWidth="1"/>
    <col min="18" max="18" width="14" style="3" customWidth="1"/>
    <col min="19" max="16384" width="11.42578125" style="1"/>
  </cols>
  <sheetData>
    <row r="1" spans="1:20" s="10" customFormat="1" ht="36.75" customHeight="1">
      <c r="A1" s="33" t="s">
        <v>33</v>
      </c>
      <c r="E1" s="11"/>
      <c r="F1" s="11"/>
      <c r="G1" s="193"/>
      <c r="H1" s="193"/>
      <c r="I1" s="239" t="s">
        <v>47</v>
      </c>
      <c r="J1" s="239"/>
      <c r="K1" s="239"/>
      <c r="L1" s="239"/>
      <c r="M1" s="239"/>
      <c r="N1" s="20" t="s">
        <v>4</v>
      </c>
      <c r="O1" s="20"/>
      <c r="P1" s="20"/>
      <c r="Q1" s="20"/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1" t="s">
        <v>37</v>
      </c>
      <c r="F2" s="11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10" t="s">
        <v>11</v>
      </c>
      <c r="M2" s="10" t="s">
        <v>12</v>
      </c>
      <c r="N2" s="10" t="s">
        <v>5</v>
      </c>
      <c r="O2" s="12" t="s">
        <v>6</v>
      </c>
      <c r="P2" s="10" t="s">
        <v>7</v>
      </c>
      <c r="Q2" s="10" t="s">
        <v>8</v>
      </c>
      <c r="R2" s="10" t="s">
        <v>13</v>
      </c>
      <c r="S2" s="50" t="s">
        <v>83</v>
      </c>
      <c r="T2" s="50" t="s">
        <v>84</v>
      </c>
    </row>
    <row r="3" spans="1:20" hidden="1">
      <c r="A3" s="16" t="str">
        <f t="shared" ref="A3:A22" si="0">A$1</f>
        <v>Lot_4</v>
      </c>
      <c r="B3" s="113" t="str">
        <f>_xlfn.XLOOKUP(T_4[[#This Row],[N° Lot]],Tableau4[NoLot],Tableau4[Lot])</f>
        <v>Test de validation des procédures et de la caractéris.</v>
      </c>
      <c r="C3" s="166" t="s">
        <v>151</v>
      </c>
      <c r="D3" s="186" t="s">
        <v>146</v>
      </c>
      <c r="E3" s="179" t="s">
        <v>158</v>
      </c>
      <c r="F3" s="105" t="s">
        <v>38</v>
      </c>
      <c r="G3" s="194">
        <f>_xlfn.XLOOKUP(T_4[[#This Row],[Partenaires]],Partenaires2[Partenaire],Partenaires2[Tx Ch Connexe])</f>
        <v>0.22</v>
      </c>
      <c r="H3" s="194">
        <f>_xlfn.XLOOKUP(T_4[[#This Row],[Partenaires]],Partenaires2[Partenaire],Partenaires2[Tx Sub])</f>
        <v>0.7</v>
      </c>
      <c r="I3" s="1" t="s">
        <v>46</v>
      </c>
      <c r="J3" s="107" t="s">
        <v>82</v>
      </c>
      <c r="K3" s="5">
        <v>1</v>
      </c>
      <c r="L3" s="4">
        <v>406</v>
      </c>
      <c r="M3" s="31">
        <f>T_4[[#This Row],[P Qu]]*T_4[[#This Row],[P PU]]</f>
        <v>406</v>
      </c>
      <c r="N3" s="180"/>
      <c r="O3" s="7"/>
      <c r="P3" s="8"/>
      <c r="Q3" s="31">
        <f>T_4[[#This Row],[ACh Qu]]*T_4[[#This Row],[ACh PU]]</f>
        <v>0</v>
      </c>
      <c r="R3" s="30">
        <f>T_4[[#This Row],[P CT]]+T_4[[#This Row],[ACh CT]]</f>
        <v>406</v>
      </c>
      <c r="S3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495.32</v>
      </c>
      <c r="T3" s="53">
        <f>T_4[[#This Row],[Mt Elligible]]*T_4[[#This Row],[Tx Sub]]</f>
        <v>346.72399999999999</v>
      </c>
    </row>
    <row r="4" spans="1:20" hidden="1">
      <c r="A4" s="182" t="str">
        <f t="shared" si="0"/>
        <v>Lot_4</v>
      </c>
      <c r="B4" s="113" t="str">
        <f>_xlfn.XLOOKUP(T_4[[#This Row],[N° Lot]],Tableau4[NoLot],Tableau4[Lot])</f>
        <v>Test de validation des procédures et de la caractéris.</v>
      </c>
      <c r="C4" s="166" t="str">
        <f>'[2]Lot 4'!C3</f>
        <v>T1_Caractérisation_matières_premières</v>
      </c>
      <c r="D4" s="186" t="str">
        <f>'[2]Lot 4'!D3</f>
        <v>ST 2 Tests de caractérisation</v>
      </c>
      <c r="E4" s="179">
        <f>'[2]Lot 4'!E3</f>
        <v>0</v>
      </c>
      <c r="F4" s="105" t="str">
        <f>'[2]Lot 4'!F3</f>
        <v>CEREMA</v>
      </c>
      <c r="G4" s="194">
        <f>_xlfn.XLOOKUP(T_4[[#This Row],[Partenaires]],Partenaires2[Partenaire],Partenaires2[Tx Ch Connexe])</f>
        <v>0.25</v>
      </c>
      <c r="H4" s="194">
        <f>_xlfn.XLOOKUP(T_4[[#This Row],[Partenaires]],Partenaires2[Partenaire],Partenaires2[Tx Sub])</f>
        <v>0.5</v>
      </c>
      <c r="I4" s="1" t="str">
        <f>'[2]Lot 4'!I3</f>
        <v>Ingénieur</v>
      </c>
      <c r="J4" s="107" t="str">
        <f>'[2]Lot 4'!J3</f>
        <v>Non</v>
      </c>
      <c r="K4" s="5">
        <f>'[2]Lot 4'!K3</f>
        <v>10</v>
      </c>
      <c r="L4" s="4">
        <f>'[2]Lot 4'!L3</f>
        <v>376</v>
      </c>
      <c r="M4" s="31">
        <f>T_4[[#This Row],[P Qu]]*T_4[[#This Row],[P PU]]</f>
        <v>3760</v>
      </c>
      <c r="N4" s="180">
        <f>'[2]Lot 4'!N3</f>
        <v>0</v>
      </c>
      <c r="O4" s="7">
        <f>'[2]Lot 4'!O3</f>
        <v>0</v>
      </c>
      <c r="P4" s="8">
        <f>'[2]Lot 4'!P3</f>
        <v>0</v>
      </c>
      <c r="Q4" s="31">
        <f>T_4[[#This Row],[ACh Qu]]*T_4[[#This Row],[ACh PU]]</f>
        <v>0</v>
      </c>
      <c r="R4" s="30">
        <f>T_4[[#This Row],[P CT]]+T_4[[#This Row],[ACh CT]]</f>
        <v>3760</v>
      </c>
      <c r="S4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940</v>
      </c>
      <c r="T4" s="53">
        <f>T_4[[#This Row],[Mt Elligible]]*T_4[[#This Row],[Tx Sub]]</f>
        <v>470</v>
      </c>
    </row>
    <row r="5" spans="1:20" hidden="1">
      <c r="A5" s="182" t="str">
        <f t="shared" si="0"/>
        <v>Lot_4</v>
      </c>
      <c r="B5" s="113" t="str">
        <f>_xlfn.XLOOKUP(T_4[[#This Row],[N° Lot]],Tableau4[NoLot],Tableau4[Lot])</f>
        <v>Test de validation des procédures et de la caractéris.</v>
      </c>
      <c r="C5" s="166" t="str">
        <f>'[2]Lot 4'!C4</f>
        <v>T1_Caractérisation_matières_premières</v>
      </c>
      <c r="D5" s="186" t="str">
        <f>'[2]Lot 4'!D4</f>
        <v>ST 2 Tests de caractérisation</v>
      </c>
      <c r="E5" s="179">
        <f>'[2]Lot 4'!E4</f>
        <v>0</v>
      </c>
      <c r="F5" s="105" t="str">
        <f>'[2]Lot 4'!F4</f>
        <v>CEREMA</v>
      </c>
      <c r="G5" s="194">
        <f>_xlfn.XLOOKUP(T_4[[#This Row],[Partenaires]],Partenaires2[Partenaire],Partenaires2[Tx Ch Connexe])</f>
        <v>0.25</v>
      </c>
      <c r="H5" s="194">
        <f>_xlfn.XLOOKUP(T_4[[#This Row],[Partenaires]],Partenaires2[Partenaire],Partenaires2[Tx Sub])</f>
        <v>0.5</v>
      </c>
      <c r="I5" s="1" t="str">
        <f>'[2]Lot 4'!I4</f>
        <v>Personnel technique</v>
      </c>
      <c r="J5" s="107" t="str">
        <f>'[2]Lot 4'!J4</f>
        <v>Non</v>
      </c>
      <c r="K5" s="5">
        <f>'[2]Lot 4'!K4</f>
        <v>20</v>
      </c>
      <c r="L5" s="4">
        <f>'[2]Lot 4'!L4</f>
        <v>324</v>
      </c>
      <c r="M5" s="31">
        <f>T_4[[#This Row],[P Qu]]*T_4[[#This Row],[P PU]]</f>
        <v>6480</v>
      </c>
      <c r="N5" s="180" t="str">
        <f>'[2]Lot 4'!N4</f>
        <v>Mobilisation de dispositifs expérimentaux</v>
      </c>
      <c r="O5" s="7">
        <f>'[2]Lot 4'!O4</f>
        <v>1</v>
      </c>
      <c r="P5" s="8">
        <f>'[2]Lot 4'!P4</f>
        <v>15000</v>
      </c>
      <c r="Q5" s="31">
        <f>T_4[[#This Row],[ACh Qu]]*T_4[[#This Row],[ACh PU]]</f>
        <v>15000</v>
      </c>
      <c r="R5" s="30">
        <f>T_4[[#This Row],[P CT]]+T_4[[#This Row],[ACh CT]]</f>
        <v>21480</v>
      </c>
      <c r="S5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20370</v>
      </c>
      <c r="T5" s="53">
        <f>T_4[[#This Row],[Mt Elligible]]*T_4[[#This Row],[Tx Sub]]</f>
        <v>10185</v>
      </c>
    </row>
    <row r="6" spans="1:20" hidden="1">
      <c r="A6" s="182" t="str">
        <f t="shared" si="0"/>
        <v>Lot_4</v>
      </c>
      <c r="B6" s="113" t="str">
        <f>_xlfn.XLOOKUP(T_4[[#This Row],[N° Lot]],Tableau4[NoLot],Tableau4[Lot])</f>
        <v>Test de validation des procédures et de la caractéris.</v>
      </c>
      <c r="C6" s="166" t="str">
        <f>'[2]Lot 4'!C5</f>
        <v>T1_Caractérisation_matières_premières</v>
      </c>
      <c r="D6" s="186" t="str">
        <f>'[2]Lot 4'!D5</f>
        <v>ST 2 Tests de caractérisation</v>
      </c>
      <c r="E6" s="179">
        <f>'[2]Lot 4'!E5</f>
        <v>0</v>
      </c>
      <c r="F6" s="105" t="str">
        <f>'[2]Lot 4'!F5</f>
        <v>CEREMA</v>
      </c>
      <c r="G6" s="194">
        <f>_xlfn.XLOOKUP(T_4[[#This Row],[Partenaires]],Partenaires2[Partenaire],Partenaires2[Tx Ch Connexe])</f>
        <v>0.25</v>
      </c>
      <c r="H6" s="194">
        <f>_xlfn.XLOOKUP(T_4[[#This Row],[Partenaires]],Partenaires2[Partenaire],Partenaires2[Tx Sub])</f>
        <v>0.5</v>
      </c>
      <c r="I6" s="1" t="str">
        <f>'[2]Lot 4'!I5</f>
        <v>Post-doctorant</v>
      </c>
      <c r="J6" s="107" t="str">
        <f>'[2]Lot 4'!J5</f>
        <v>Oui</v>
      </c>
      <c r="K6" s="5">
        <v>40</v>
      </c>
      <c r="L6" s="4">
        <f>'[2]Lot 4'!L5</f>
        <v>277</v>
      </c>
      <c r="M6" s="31">
        <f>T_4[[#This Row],[P Qu]]*T_4[[#This Row],[P PU]]</f>
        <v>11080</v>
      </c>
      <c r="N6" s="180">
        <f>'[2]Lot 4'!N5</f>
        <v>0</v>
      </c>
      <c r="O6" s="7">
        <f>'[2]Lot 4'!O5</f>
        <v>0</v>
      </c>
      <c r="P6" s="8">
        <f>'[2]Lot 4'!P5</f>
        <v>0</v>
      </c>
      <c r="Q6" s="31">
        <f>T_4[[#This Row],[ACh Qu]]*T_4[[#This Row],[ACh PU]]</f>
        <v>0</v>
      </c>
      <c r="R6" s="30">
        <f>T_4[[#This Row],[P CT]]+T_4[[#This Row],[ACh CT]]</f>
        <v>11080</v>
      </c>
      <c r="S6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13850</v>
      </c>
      <c r="T6" s="53">
        <f>T_4[[#This Row],[Mt Elligible]]*T_4[[#This Row],[Tx Sub]]</f>
        <v>6925</v>
      </c>
    </row>
    <row r="7" spans="1:20" hidden="1">
      <c r="A7" s="23" t="str">
        <f t="shared" si="0"/>
        <v>Lot_4</v>
      </c>
      <c r="B7" s="113" t="str">
        <f>_xlfn.XLOOKUP(T_4[[#This Row],[N° Lot]],Tableau4[NoLot],Tableau4[Lot])</f>
        <v>Test de validation des procédures et de la caractéris.</v>
      </c>
      <c r="C7" s="166" t="str">
        <f>'[2]Lot 4'!C6</f>
        <v>T1_Caractérisation_matières_premières</v>
      </c>
      <c r="D7" s="186" t="str">
        <f>'[2]Lot 4'!D6</f>
        <v>ST 2 Tests de caractérisation</v>
      </c>
      <c r="E7" s="179">
        <f>'[2]Lot 4'!E6</f>
        <v>0</v>
      </c>
      <c r="F7" s="105" t="str">
        <f>'[2]Lot 4'!F6</f>
        <v>CEREMA</v>
      </c>
      <c r="G7" s="194">
        <f>_xlfn.XLOOKUP(T_4[[#This Row],[Partenaires]],Partenaires2[Partenaire],Partenaires2[Tx Ch Connexe])</f>
        <v>0.25</v>
      </c>
      <c r="H7" s="194">
        <f>_xlfn.XLOOKUP(T_4[[#This Row],[Partenaires]],Partenaires2[Partenaire],Partenaires2[Tx Sub])</f>
        <v>0.5</v>
      </c>
      <c r="I7" s="1" t="str">
        <f>'[2]Lot 4'!I6</f>
        <v>Master Recherche</v>
      </c>
      <c r="J7" s="107" t="str">
        <f>'[2]Lot 4'!J6</f>
        <v>Oui</v>
      </c>
      <c r="K7" s="5">
        <v>60</v>
      </c>
      <c r="L7" s="4">
        <f>'[2]Lot 4'!L6</f>
        <v>30</v>
      </c>
      <c r="M7" s="31">
        <f>T_4[[#This Row],[P Qu]]*T_4[[#This Row],[P PU]]</f>
        <v>1800</v>
      </c>
      <c r="N7" s="180">
        <f>'[2]Lot 4'!N6</f>
        <v>0</v>
      </c>
      <c r="O7" s="7">
        <f>'[2]Lot 4'!O6</f>
        <v>0</v>
      </c>
      <c r="P7" s="8">
        <f>'[2]Lot 4'!P6</f>
        <v>0</v>
      </c>
      <c r="Q7" s="31">
        <f>T_4[[#This Row],[ACh Qu]]*T_4[[#This Row],[ACh PU]]</f>
        <v>0</v>
      </c>
      <c r="R7" s="30">
        <f>T_4[[#This Row],[P CT]]+T_4[[#This Row],[ACh CT]]</f>
        <v>1800</v>
      </c>
      <c r="S7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2250</v>
      </c>
      <c r="T7" s="53">
        <f>T_4[[#This Row],[Mt Elligible]]*T_4[[#This Row],[Tx Sub]]</f>
        <v>1125</v>
      </c>
    </row>
    <row r="8" spans="1:20" hidden="1">
      <c r="A8" s="23" t="str">
        <f t="shared" si="0"/>
        <v>Lot_4</v>
      </c>
      <c r="B8" s="113" t="str">
        <f>_xlfn.XLOOKUP(T_4[[#This Row],[N° Lot]],Tableau4[NoLot],Tableau4[Lot])</f>
        <v>Test de validation des procédures et de la caractéris.</v>
      </c>
      <c r="C8" s="166" t="str">
        <f>'[2]Lot 4'!C19</f>
        <v xml:space="preserve">T4_Evaluation_impacts_environnementaux </v>
      </c>
      <c r="D8" s="186" t="s">
        <v>137</v>
      </c>
      <c r="F8" s="105" t="s">
        <v>38</v>
      </c>
      <c r="G8" s="194">
        <f>_xlfn.XLOOKUP(T_4[[#This Row],[Partenaires]],Partenaires2[Partenaire],Partenaires2[Tx Ch Connexe])</f>
        <v>0.22</v>
      </c>
      <c r="H8" s="194">
        <f>_xlfn.XLOOKUP(T_4[[#This Row],[Partenaires]],Partenaires2[Partenaire],Partenaires2[Tx Sub])</f>
        <v>0.7</v>
      </c>
      <c r="I8" s="1" t="s">
        <v>46</v>
      </c>
      <c r="J8" s="107" t="s">
        <v>82</v>
      </c>
      <c r="K8" s="5">
        <v>4</v>
      </c>
      <c r="L8" s="4">
        <v>406</v>
      </c>
      <c r="M8" s="31">
        <f>T_4[[#This Row],[P Qu]]*T_4[[#This Row],[P PU]]</f>
        <v>1624</v>
      </c>
      <c r="N8" s="180"/>
      <c r="O8" s="7"/>
      <c r="P8" s="8"/>
      <c r="Q8" s="31">
        <f>T_4[[#This Row],[ACh Qu]]*T_4[[#This Row],[ACh PU]]</f>
        <v>0</v>
      </c>
      <c r="R8" s="30">
        <f>T_4[[#This Row],[P CT]]+T_4[[#This Row],[ACh CT]]</f>
        <v>1624</v>
      </c>
      <c r="S8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1981.28</v>
      </c>
      <c r="T8" s="53">
        <f>T_4[[#This Row],[Mt Elligible]]*T_4[[#This Row],[Tx Sub]]</f>
        <v>1386.896</v>
      </c>
    </row>
    <row r="9" spans="1:20" ht="20.25" hidden="1" customHeight="1">
      <c r="A9" s="16" t="str">
        <f t="shared" si="0"/>
        <v>Lot_4</v>
      </c>
      <c r="B9" s="113" t="str">
        <f>_xlfn.XLOOKUP(T_4[[#This Row],[N° Lot]],Tableau4[NoLot],Tableau4[Lot])</f>
        <v>Test de validation des procédures et de la caractéris.</v>
      </c>
      <c r="C9" s="166" t="s">
        <v>153</v>
      </c>
      <c r="D9" s="186" t="s">
        <v>138</v>
      </c>
      <c r="F9" s="105" t="s">
        <v>38</v>
      </c>
      <c r="G9" s="194">
        <f>_xlfn.XLOOKUP(T_4[[#This Row],[Partenaires]],Partenaires2[Partenaire],Partenaires2[Tx Ch Connexe])</f>
        <v>0.22</v>
      </c>
      <c r="H9" s="194">
        <f>_xlfn.XLOOKUP(T_4[[#This Row],[Partenaires]],Partenaires2[Partenaire],Partenaires2[Tx Sub])</f>
        <v>0.7</v>
      </c>
      <c r="I9" s="1" t="s">
        <v>46</v>
      </c>
      <c r="J9" s="107" t="s">
        <v>82</v>
      </c>
      <c r="K9" s="5">
        <v>1</v>
      </c>
      <c r="L9" s="4">
        <v>406</v>
      </c>
      <c r="M9" s="205">
        <f>T_4[[#This Row],[P Qu]]*T_4[[#This Row],[P PU]]</f>
        <v>406</v>
      </c>
      <c r="N9" s="180"/>
      <c r="O9" s="7"/>
      <c r="P9" s="8"/>
      <c r="Q9" s="31">
        <f>T_4[[#This Row],[ACh Qu]]*T_4[[#This Row],[ACh PU]]</f>
        <v>0</v>
      </c>
      <c r="R9" s="30">
        <f>T_4[[#This Row],[P CT]]+T_4[[#This Row],[ACh CT]]</f>
        <v>406</v>
      </c>
      <c r="S9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495.32</v>
      </c>
      <c r="T9" s="53">
        <f>T_4[[#This Row],[Mt Elligible]]*T_4[[#This Row],[Tx Sub]]</f>
        <v>346.72399999999999</v>
      </c>
    </row>
    <row r="10" spans="1:20" hidden="1">
      <c r="A10" s="23" t="str">
        <f t="shared" si="0"/>
        <v>Lot_4</v>
      </c>
      <c r="B10" s="113" t="str">
        <f>_xlfn.XLOOKUP(T_4[[#This Row],[N° Lot]],Tableau4[NoLot],Tableau4[Lot])</f>
        <v>Test de validation des procédures et de la caractéris.</v>
      </c>
      <c r="C10" s="166" t="str">
        <f>'[2]Lot 4'!C7</f>
        <v>T1_Caractérisation_matières_premières</v>
      </c>
      <c r="D10" s="186" t="str">
        <f>'[2]Lot 4'!D7</f>
        <v>ST 3 Rédaction de la bdd experimenale – Analyse statistique – Variabilité</v>
      </c>
      <c r="E10" s="179">
        <f>'[2]Lot 4'!E7</f>
        <v>0</v>
      </c>
      <c r="F10" s="105" t="str">
        <f>'[2]Lot 4'!F7</f>
        <v>CEREMA</v>
      </c>
      <c r="G10" s="194">
        <f>_xlfn.XLOOKUP(T_4[[#This Row],[Partenaires]],Partenaires2[Partenaire],Partenaires2[Tx Ch Connexe])</f>
        <v>0.25</v>
      </c>
      <c r="H10" s="194">
        <f>_xlfn.XLOOKUP(T_4[[#This Row],[Partenaires]],Partenaires2[Partenaire],Partenaires2[Tx Sub])</f>
        <v>0.5</v>
      </c>
      <c r="I10" s="1" t="str">
        <f>'[2]Lot 4'!I7</f>
        <v>Ingénieur</v>
      </c>
      <c r="J10" s="107" t="str">
        <f>'[2]Lot 4'!J7</f>
        <v>Non</v>
      </c>
      <c r="K10" s="5">
        <f>'[2]Lot 4'!K7</f>
        <v>10</v>
      </c>
      <c r="L10" s="4">
        <f>'[2]Lot 4'!L7</f>
        <v>376</v>
      </c>
      <c r="M10" s="31">
        <f>T_4[[#This Row],[P Qu]]*T_4[[#This Row],[P PU]]</f>
        <v>3760</v>
      </c>
      <c r="N10" s="180">
        <f>'[2]Lot 4'!N7</f>
        <v>0</v>
      </c>
      <c r="O10" s="7">
        <f>'[2]Lot 4'!O7</f>
        <v>0</v>
      </c>
      <c r="P10" s="8">
        <f>'[2]Lot 4'!P7</f>
        <v>0</v>
      </c>
      <c r="Q10" s="31">
        <f>T_4[[#This Row],[ACh Qu]]*T_4[[#This Row],[ACh PU]]</f>
        <v>0</v>
      </c>
      <c r="R10" s="30">
        <f>T_4[[#This Row],[P CT]]+T_4[[#This Row],[ACh CT]]</f>
        <v>3760</v>
      </c>
      <c r="S10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940</v>
      </c>
      <c r="T10" s="53">
        <f>T_4[[#This Row],[Mt Elligible]]*T_4[[#This Row],[Tx Sub]]</f>
        <v>470</v>
      </c>
    </row>
    <row r="11" spans="1:20" hidden="1">
      <c r="A11" s="23" t="str">
        <f t="shared" si="0"/>
        <v>Lot_4</v>
      </c>
      <c r="B11" s="113" t="str">
        <f>_xlfn.XLOOKUP(T_4[[#This Row],[N° Lot]],Tableau4[NoLot],Tableau4[Lot])</f>
        <v>Test de validation des procédures et de la caractéris.</v>
      </c>
      <c r="C11" s="166" t="str">
        <f>'[2]Lot 4'!C8</f>
        <v>T1_Caractérisation_matières_premières</v>
      </c>
      <c r="D11" s="186" t="str">
        <f>'[2]Lot 4'!D8</f>
        <v>ST 3 Rédaction de la bdd experimenale – Analyse statistique – Variabilité</v>
      </c>
      <c r="E11" s="179">
        <f>'[2]Lot 4'!E8</f>
        <v>0</v>
      </c>
      <c r="F11" s="105" t="str">
        <f>'[2]Lot 4'!F8</f>
        <v>CEREMA</v>
      </c>
      <c r="G11" s="194">
        <f>_xlfn.XLOOKUP(T_4[[#This Row],[Partenaires]],Partenaires2[Partenaire],Partenaires2[Tx Ch Connexe])</f>
        <v>0.25</v>
      </c>
      <c r="H11" s="194">
        <f>_xlfn.XLOOKUP(T_4[[#This Row],[Partenaires]],Partenaires2[Partenaire],Partenaires2[Tx Sub])</f>
        <v>0.5</v>
      </c>
      <c r="I11" s="1" t="str">
        <f>'[2]Lot 4'!I8</f>
        <v>Post-doctorant</v>
      </c>
      <c r="J11" s="107" t="str">
        <f>'[2]Lot 4'!J8</f>
        <v>Oui</v>
      </c>
      <c r="K11" s="5">
        <f>'[2]Lot 4'!K8</f>
        <v>20</v>
      </c>
      <c r="L11" s="4">
        <f>'[2]Lot 4'!L8</f>
        <v>277</v>
      </c>
      <c r="M11" s="31">
        <f>T_4[[#This Row],[P Qu]]*T_4[[#This Row],[P PU]]</f>
        <v>5540</v>
      </c>
      <c r="N11" s="180">
        <f>'[2]Lot 4'!N8</f>
        <v>0</v>
      </c>
      <c r="O11" s="7">
        <f>'[2]Lot 4'!O8</f>
        <v>0</v>
      </c>
      <c r="P11" s="8">
        <f>'[2]Lot 4'!P8</f>
        <v>0</v>
      </c>
      <c r="Q11" s="31">
        <f>T_4[[#This Row],[ACh Qu]]*T_4[[#This Row],[ACh PU]]</f>
        <v>0</v>
      </c>
      <c r="R11" s="30">
        <f>T_4[[#This Row],[P CT]]+T_4[[#This Row],[ACh CT]]</f>
        <v>5540</v>
      </c>
      <c r="S11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6925</v>
      </c>
      <c r="T11" s="53">
        <f>T_4[[#This Row],[Mt Elligible]]*T_4[[#This Row],[Tx Sub]]</f>
        <v>3462.5</v>
      </c>
    </row>
    <row r="12" spans="1:20" hidden="1">
      <c r="A12" s="23" t="str">
        <f t="shared" si="0"/>
        <v>Lot_4</v>
      </c>
      <c r="B12" s="113" t="str">
        <f>_xlfn.XLOOKUP(T_4[[#This Row],[N° Lot]],Tableau4[NoLot],Tableau4[Lot])</f>
        <v>Test de validation des procédures et de la caractéris.</v>
      </c>
      <c r="C12" s="166" t="str">
        <f>'[2]Lot 4'!C9</f>
        <v>T1_Caractérisation_matières_premières</v>
      </c>
      <c r="D12" s="186" t="str">
        <f>'[2]Lot 4'!D9</f>
        <v>ST 3 Rédaction de la bdd experimenale – Analyse statistique – Variabilité</v>
      </c>
      <c r="E12" s="179">
        <f>'[2]Lot 4'!E9</f>
        <v>0</v>
      </c>
      <c r="F12" s="105" t="str">
        <f>'[2]Lot 4'!F9</f>
        <v>CEREMA</v>
      </c>
      <c r="G12" s="194">
        <f>_xlfn.XLOOKUP(T_4[[#This Row],[Partenaires]],Partenaires2[Partenaire],Partenaires2[Tx Ch Connexe])</f>
        <v>0.25</v>
      </c>
      <c r="H12" s="194">
        <f>_xlfn.XLOOKUP(T_4[[#This Row],[Partenaires]],Partenaires2[Partenaire],Partenaires2[Tx Sub])</f>
        <v>0.5</v>
      </c>
      <c r="I12" s="1" t="str">
        <f>'[2]Lot 4'!I9</f>
        <v>Master Recherche</v>
      </c>
      <c r="J12" s="107" t="str">
        <f>'[2]Lot 4'!J9</f>
        <v>Oui</v>
      </c>
      <c r="K12" s="5">
        <f>'[2]Lot 4'!K9</f>
        <v>40</v>
      </c>
      <c r="L12" s="4">
        <f>'[2]Lot 4'!L9</f>
        <v>30</v>
      </c>
      <c r="M12" s="31">
        <f>T_4[[#This Row],[P Qu]]*T_4[[#This Row],[P PU]]</f>
        <v>1200</v>
      </c>
      <c r="N12" s="180">
        <f>'[2]Lot 4'!N9</f>
        <v>0</v>
      </c>
      <c r="O12" s="7">
        <f>'[2]Lot 4'!O9</f>
        <v>0</v>
      </c>
      <c r="P12" s="8">
        <f>'[2]Lot 4'!P9</f>
        <v>0</v>
      </c>
      <c r="Q12" s="31">
        <f>T_4[[#This Row],[ACh Qu]]*T_4[[#This Row],[ACh PU]]</f>
        <v>0</v>
      </c>
      <c r="R12" s="30">
        <f>T_4[[#This Row],[P CT]]+T_4[[#This Row],[ACh CT]]</f>
        <v>1200</v>
      </c>
      <c r="S12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1500</v>
      </c>
      <c r="T12" s="53">
        <f>T_4[[#This Row],[Mt Elligible]]*T_4[[#This Row],[Tx Sub]]</f>
        <v>750</v>
      </c>
    </row>
    <row r="13" spans="1:20" hidden="1">
      <c r="A13" s="16" t="str">
        <f t="shared" si="0"/>
        <v>Lot_4</v>
      </c>
      <c r="B13" s="113" t="str">
        <f>_xlfn.XLOOKUP(T_4[[#This Row],[N° Lot]],Tableau4[NoLot],Tableau4[Lot])</f>
        <v>Test de validation des procédures et de la caractéris.</v>
      </c>
      <c r="C13" s="166" t="s">
        <v>151</v>
      </c>
      <c r="D13" s="186" t="s">
        <v>146</v>
      </c>
      <c r="E13" s="179" t="s">
        <v>158</v>
      </c>
      <c r="F13" s="105" t="s">
        <v>16</v>
      </c>
      <c r="G13" s="194">
        <f>_xlfn.XLOOKUP(T_4[[#This Row],[Partenaires]],Partenaires2[Partenaire],Partenaires2[Tx Ch Connexe])</f>
        <v>0.25</v>
      </c>
      <c r="H13" s="194">
        <f>_xlfn.XLOOKUP(T_4[[#This Row],[Partenaires]],Partenaires2[Partenaire],Partenaires2[Tx Sub])</f>
        <v>0.7</v>
      </c>
      <c r="J13" s="107" t="s">
        <v>82</v>
      </c>
      <c r="K13" s="5"/>
      <c r="L13" s="4"/>
      <c r="M13" s="31">
        <f>T_4[[#This Row],[P Qu]]*T_4[[#This Row],[P PU]]</f>
        <v>0</v>
      </c>
      <c r="N13" s="180" t="s">
        <v>163</v>
      </c>
      <c r="O13" s="7">
        <v>1</v>
      </c>
      <c r="P13" s="8">
        <v>520</v>
      </c>
      <c r="Q13" s="31">
        <f>T_4[[#This Row],[ACh Qu]]*T_4[[#This Row],[ACh PU]]</f>
        <v>520</v>
      </c>
      <c r="R13" s="30">
        <f>T_4[[#This Row],[P CT]]+T_4[[#This Row],[ACh CT]]</f>
        <v>520</v>
      </c>
      <c r="S13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650</v>
      </c>
      <c r="T13" s="53">
        <f>T_4[[#This Row],[Mt Elligible]]*T_4[[#This Row],[Tx Sub]]</f>
        <v>454.99999999999994</v>
      </c>
    </row>
    <row r="14" spans="1:20" hidden="1">
      <c r="A14" s="23" t="str">
        <f t="shared" si="0"/>
        <v>Lot_4</v>
      </c>
      <c r="B14" s="113" t="str">
        <f>_xlfn.XLOOKUP(T_4[[#This Row],[N° Lot]],Tableau4[NoLot],Tableau4[Lot])</f>
        <v>Test de validation des procédures et de la caractéris.</v>
      </c>
      <c r="C14" s="166" t="str">
        <f>'[2]Lot 4'!C10</f>
        <v>T2_Définition_des_gammes_de_variations_acceptables</v>
      </c>
      <c r="D14" s="186" t="str">
        <f>'[2]Lot 4'!D10</f>
        <v>ST 1 Etude comparative de différents granulats</v>
      </c>
      <c r="E14" s="179">
        <f>'[2]Lot 4'!E10</f>
        <v>0</v>
      </c>
      <c r="F14" s="105" t="str">
        <f>'[2]Lot 4'!F10</f>
        <v>CEREMA</v>
      </c>
      <c r="G14" s="194">
        <f>_xlfn.XLOOKUP(T_4[[#This Row],[Partenaires]],Partenaires2[Partenaire],Partenaires2[Tx Ch Connexe])</f>
        <v>0.25</v>
      </c>
      <c r="H14" s="194">
        <f>_xlfn.XLOOKUP(T_4[[#This Row],[Partenaires]],Partenaires2[Partenaire],Partenaires2[Tx Sub])</f>
        <v>0.5</v>
      </c>
      <c r="I14" s="1" t="str">
        <f>'[2]Lot 4'!I10</f>
        <v>Ingénieur</v>
      </c>
      <c r="J14" s="107" t="str">
        <f>'[2]Lot 4'!J10</f>
        <v>Non</v>
      </c>
      <c r="K14" s="5">
        <f>'[2]Lot 4'!K10</f>
        <v>10</v>
      </c>
      <c r="L14" s="4">
        <f>'[2]Lot 4'!L10</f>
        <v>376</v>
      </c>
      <c r="M14" s="31">
        <f>T_4[[#This Row],[P Qu]]*T_4[[#This Row],[P PU]]</f>
        <v>3760</v>
      </c>
      <c r="N14" s="180">
        <f>'[2]Lot 4'!N10</f>
        <v>0</v>
      </c>
      <c r="O14" s="7">
        <f>'[2]Lot 4'!O10</f>
        <v>0</v>
      </c>
      <c r="P14" s="8">
        <f>'[2]Lot 4'!P10</f>
        <v>0</v>
      </c>
      <c r="Q14" s="31">
        <f>T_4[[#This Row],[ACh Qu]]*T_4[[#This Row],[ACh PU]]</f>
        <v>0</v>
      </c>
      <c r="R14" s="30">
        <f>T_4[[#This Row],[P CT]]+T_4[[#This Row],[ACh CT]]</f>
        <v>3760</v>
      </c>
      <c r="S14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940</v>
      </c>
      <c r="T14" s="53">
        <f>T_4[[#This Row],[Mt Elligible]]*T_4[[#This Row],[Tx Sub]]</f>
        <v>470</v>
      </c>
    </row>
    <row r="15" spans="1:20" hidden="1">
      <c r="A15" s="23" t="str">
        <f t="shared" si="0"/>
        <v>Lot_4</v>
      </c>
      <c r="B15" s="113" t="str">
        <f>_xlfn.XLOOKUP(T_4[[#This Row],[N° Lot]],Tableau4[NoLot],Tableau4[Lot])</f>
        <v>Test de validation des procédures et de la caractéris.</v>
      </c>
      <c r="C15" s="166" t="str">
        <f>'[2]Lot 4'!C11</f>
        <v>T2_Définition_des_gammes_de_variations_acceptables</v>
      </c>
      <c r="D15" s="186" t="str">
        <f>'[2]Lot 4'!D11</f>
        <v>ST 1 Etude comparative de différents granulats</v>
      </c>
      <c r="E15" s="179">
        <f>'[2]Lot 4'!E11</f>
        <v>0</v>
      </c>
      <c r="F15" s="105" t="str">
        <f>'[2]Lot 4'!F11</f>
        <v>CEREMA</v>
      </c>
      <c r="G15" s="194">
        <f>_xlfn.XLOOKUP(T_4[[#This Row],[Partenaires]],Partenaires2[Partenaire],Partenaires2[Tx Ch Connexe])</f>
        <v>0.25</v>
      </c>
      <c r="H15" s="194">
        <f>_xlfn.XLOOKUP(T_4[[#This Row],[Partenaires]],Partenaires2[Partenaire],Partenaires2[Tx Sub])</f>
        <v>0.5</v>
      </c>
      <c r="I15" s="1" t="str">
        <f>'[2]Lot 4'!I11</f>
        <v>Post-doctorant</v>
      </c>
      <c r="J15" s="107" t="str">
        <f>'[2]Lot 4'!J11</f>
        <v>Oui</v>
      </c>
      <c r="K15" s="5">
        <f>'[2]Lot 4'!K11</f>
        <v>20</v>
      </c>
      <c r="L15" s="4">
        <f>'[2]Lot 4'!L11</f>
        <v>277</v>
      </c>
      <c r="M15" s="31">
        <f>T_4[[#This Row],[P Qu]]*T_4[[#This Row],[P PU]]</f>
        <v>5540</v>
      </c>
      <c r="N15" s="180">
        <f>'[2]Lot 4'!N11</f>
        <v>0</v>
      </c>
      <c r="O15" s="7">
        <f>'[2]Lot 4'!O11</f>
        <v>0</v>
      </c>
      <c r="P15" s="8">
        <f>'[2]Lot 4'!P11</f>
        <v>0</v>
      </c>
      <c r="Q15" s="31">
        <f>T_4[[#This Row],[ACh Qu]]*T_4[[#This Row],[ACh PU]]</f>
        <v>0</v>
      </c>
      <c r="R15" s="30">
        <f>T_4[[#This Row],[P CT]]+T_4[[#This Row],[ACh CT]]</f>
        <v>5540</v>
      </c>
      <c r="S15" s="53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6925</v>
      </c>
      <c r="T15" s="53">
        <f>T_4[[#This Row],[Mt Elligible]]*T_4[[#This Row],[Tx Sub]]</f>
        <v>3462.5</v>
      </c>
    </row>
    <row r="16" spans="1:20" hidden="1">
      <c r="A16" s="173" t="str">
        <f t="shared" si="0"/>
        <v>Lot_4</v>
      </c>
      <c r="B16" s="113" t="str">
        <f>_xlfn.XLOOKUP(T_4[[#This Row],[N° Lot]],Tableau4[NoLot],Tableau4[Lot])</f>
        <v>Test de validation des procédures et de la caractéris.</v>
      </c>
      <c r="C16" s="166" t="str">
        <f>'[2]Lot 4'!C12</f>
        <v>T2_Définition_des_gammes_de_variations_acceptables</v>
      </c>
      <c r="D16" s="186" t="str">
        <f>'[2]Lot 4'!D12</f>
        <v>ST 2 comparaison intra-caractéristique et inter-caractéristique</v>
      </c>
      <c r="E16" s="179">
        <f>'[2]Lot 4'!E12</f>
        <v>0</v>
      </c>
      <c r="F16" s="175" t="str">
        <f>'[2]Lot 4'!F12</f>
        <v>CEREMA</v>
      </c>
      <c r="G16" s="194">
        <f>_xlfn.XLOOKUP(T_4[[#This Row],[Partenaires]],Partenaires2[Partenaire],Partenaires2[Tx Ch Connexe])</f>
        <v>0.25</v>
      </c>
      <c r="H16" s="194">
        <f>_xlfn.XLOOKUP(T_4[[#This Row],[Partenaires]],Partenaires2[Partenaire],Partenaires2[Tx Sub])</f>
        <v>0.5</v>
      </c>
      <c r="I16" s="172" t="str">
        <f>'[2]Lot 4'!I12</f>
        <v>Ingénieur</v>
      </c>
      <c r="J16" s="176" t="str">
        <f>'[2]Lot 4'!J12</f>
        <v>Non</v>
      </c>
      <c r="K16" s="5">
        <f>'[2]Lot 4'!K12</f>
        <v>10</v>
      </c>
      <c r="L16" s="4">
        <f>'[2]Lot 4'!L12</f>
        <v>376</v>
      </c>
      <c r="M16" s="31">
        <f>T_4[[#This Row],[P Qu]]*T_4[[#This Row],[P PU]]</f>
        <v>3760</v>
      </c>
      <c r="N16" s="180">
        <f>'[2]Lot 4'!N12</f>
        <v>0</v>
      </c>
      <c r="O16" s="7">
        <f>'[2]Lot 4'!O12</f>
        <v>0</v>
      </c>
      <c r="P16" s="8">
        <f>'[2]Lot 4'!P12</f>
        <v>0</v>
      </c>
      <c r="Q16" s="31">
        <f>T_4[[#This Row],[ACh Qu]]*T_4[[#This Row],[ACh PU]]</f>
        <v>0</v>
      </c>
      <c r="R16" s="30">
        <f>T_4[[#This Row],[P CT]]+T_4[[#This Row],[ACh CT]]</f>
        <v>3760</v>
      </c>
      <c r="S16" s="17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940</v>
      </c>
      <c r="T16" s="174">
        <f>T_4[[#This Row],[Mt Elligible]]*T_4[[#This Row],[Tx Sub]]</f>
        <v>470</v>
      </c>
    </row>
    <row r="17" spans="1:20" hidden="1">
      <c r="A17" s="173" t="str">
        <f t="shared" si="0"/>
        <v>Lot_4</v>
      </c>
      <c r="B17" s="113" t="str">
        <f>_xlfn.XLOOKUP(T_4[[#This Row],[N° Lot]],Tableau4[NoLot],Tableau4[Lot])</f>
        <v>Test de validation des procédures et de la caractéris.</v>
      </c>
      <c r="C17" s="166" t="str">
        <f>'[2]Lot 4'!C13</f>
        <v>T2_Définition_des_gammes_de_variations_acceptables</v>
      </c>
      <c r="D17" s="186" t="str">
        <f>'[2]Lot 4'!D13</f>
        <v>ST 2 comparaison intra-caractéristique et inter-caractéristique</v>
      </c>
      <c r="E17" s="179">
        <f>'[2]Lot 4'!E13</f>
        <v>0</v>
      </c>
      <c r="F17" s="175" t="str">
        <f>'[2]Lot 4'!F13</f>
        <v>CEREMA</v>
      </c>
      <c r="G17" s="194">
        <f>_xlfn.XLOOKUP(T_4[[#This Row],[Partenaires]],Partenaires2[Partenaire],Partenaires2[Tx Ch Connexe])</f>
        <v>0.25</v>
      </c>
      <c r="H17" s="194">
        <f>_xlfn.XLOOKUP(T_4[[#This Row],[Partenaires]],Partenaires2[Partenaire],Partenaires2[Tx Sub])</f>
        <v>0.5</v>
      </c>
      <c r="I17" s="172" t="str">
        <f>'[2]Lot 4'!I13</f>
        <v>Post-doctorant</v>
      </c>
      <c r="J17" s="176" t="str">
        <f>'[2]Lot 4'!J13</f>
        <v>Oui</v>
      </c>
      <c r="K17" s="5">
        <f>'[2]Lot 4'!K13</f>
        <v>20</v>
      </c>
      <c r="L17" s="4">
        <f>'[2]Lot 4'!L13</f>
        <v>277</v>
      </c>
      <c r="M17" s="31">
        <f>T_4[[#This Row],[P Qu]]*T_4[[#This Row],[P PU]]</f>
        <v>5540</v>
      </c>
      <c r="N17" s="180">
        <f>'[2]Lot 4'!N13</f>
        <v>0</v>
      </c>
      <c r="O17" s="7">
        <f>'[2]Lot 4'!O13</f>
        <v>0</v>
      </c>
      <c r="P17" s="8">
        <f>'[2]Lot 4'!P13</f>
        <v>0</v>
      </c>
      <c r="Q17" s="31">
        <f>T_4[[#This Row],[ACh Qu]]*T_4[[#This Row],[ACh PU]]</f>
        <v>0</v>
      </c>
      <c r="R17" s="30">
        <f>T_4[[#This Row],[P CT]]+T_4[[#This Row],[ACh CT]]</f>
        <v>5540</v>
      </c>
      <c r="S17" s="17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6925</v>
      </c>
      <c r="T17" s="174">
        <f>T_4[[#This Row],[Mt Elligible]]*T_4[[#This Row],[Tx Sub]]</f>
        <v>3462.5</v>
      </c>
    </row>
    <row r="18" spans="1:20" hidden="1">
      <c r="A18" s="182" t="str">
        <f t="shared" si="0"/>
        <v>Lot_4</v>
      </c>
      <c r="B18" s="113" t="str">
        <f>_xlfn.XLOOKUP(T_4[[#This Row],[N° Lot]],Tableau4[NoLot],Tableau4[Lot])</f>
        <v>Test de validation des procédures et de la caractéris.</v>
      </c>
      <c r="C18" s="166" t="str">
        <f>'[2]Lot 4'!C14</f>
        <v>T3_Rédaction_des_Cartes_Identité_des_granulats</v>
      </c>
      <c r="D18" s="186" t="str">
        <f>'[2]Lot 4'!D14</f>
        <v xml:space="preserve">ST 1 Rédaction des cartes d’identité défini dans le Lot 3 pour les quatre matières premières avec une gamme de variation issue de l’analyse statistique réalisée en sous tâche 4.2.2
</v>
      </c>
      <c r="E18" s="179">
        <f>'[2]Lot 4'!E14</f>
        <v>0</v>
      </c>
      <c r="F18" s="185" t="str">
        <f>'[2]Lot 4'!F14</f>
        <v>CEREMA</v>
      </c>
      <c r="G18" s="194">
        <f>_xlfn.XLOOKUP(T_4[[#This Row],[Partenaires]],Partenaires2[Partenaire],Partenaires2[Tx Ch Connexe])</f>
        <v>0.25</v>
      </c>
      <c r="H18" s="194">
        <f>_xlfn.XLOOKUP(T_4[[#This Row],[Partenaires]],Partenaires2[Partenaire],Partenaires2[Tx Sub])</f>
        <v>0.5</v>
      </c>
      <c r="I18" s="178" t="str">
        <f>'[2]Lot 4'!I14</f>
        <v>Ingénieur</v>
      </c>
      <c r="J18" s="186" t="str">
        <f>'[2]Lot 4'!J14</f>
        <v>Non</v>
      </c>
      <c r="K18" s="5">
        <f>'[2]Lot 4'!K14</f>
        <v>5</v>
      </c>
      <c r="L18" s="4">
        <f>'[2]Lot 4'!L14</f>
        <v>376</v>
      </c>
      <c r="M18" s="31">
        <f>T_4[[#This Row],[P Qu]]*T_4[[#This Row],[P PU]]</f>
        <v>1880</v>
      </c>
      <c r="N18" s="180">
        <f>'[2]Lot 4'!N14</f>
        <v>0</v>
      </c>
      <c r="O18" s="7">
        <f>'[2]Lot 4'!O14</f>
        <v>0</v>
      </c>
      <c r="P18" s="8">
        <f>'[2]Lot 4'!P14</f>
        <v>0</v>
      </c>
      <c r="Q18" s="31">
        <f>T_4[[#This Row],[ACh Qu]]*T_4[[#This Row],[ACh PU]]</f>
        <v>0</v>
      </c>
      <c r="R18" s="30">
        <f>T_4[[#This Row],[P CT]]+T_4[[#This Row],[ACh CT]]</f>
        <v>1880</v>
      </c>
      <c r="S1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470</v>
      </c>
      <c r="T18" s="184">
        <f>T_4[[#This Row],[Mt Elligible]]*T_4[[#This Row],[Tx Sub]]</f>
        <v>235</v>
      </c>
    </row>
    <row r="19" spans="1:20" hidden="1">
      <c r="A19" s="182" t="str">
        <f t="shared" si="0"/>
        <v>Lot_4</v>
      </c>
      <c r="B19" s="113" t="str">
        <f>_xlfn.XLOOKUP(T_4[[#This Row],[N° Lot]],Tableau4[NoLot],Tableau4[Lot])</f>
        <v>Test de validation des procédures et de la caractéris.</v>
      </c>
      <c r="C19" s="166" t="str">
        <f>'[2]Lot 4'!C15</f>
        <v>T3_Rédaction_des_Cartes_Identité_des_granulats</v>
      </c>
      <c r="D19" s="186" t="str">
        <f>'[2]Lot 4'!D15</f>
        <v xml:space="preserve">ST 1 Rédaction des cartes d’identité défini dans le Lot 3 pour les quatre matières premières avec une gamme de variation issue de l’analyse statistique réalisée en sous tâche 4.2.2
</v>
      </c>
      <c r="E19" s="179">
        <f>'[2]Lot 4'!E15</f>
        <v>0</v>
      </c>
      <c r="F19" s="185" t="str">
        <f>'[2]Lot 4'!F15</f>
        <v>CEREMA</v>
      </c>
      <c r="G19" s="194">
        <f>_xlfn.XLOOKUP(T_4[[#This Row],[Partenaires]],Partenaires2[Partenaire],Partenaires2[Tx Ch Connexe])</f>
        <v>0.25</v>
      </c>
      <c r="H19" s="194">
        <f>_xlfn.XLOOKUP(T_4[[#This Row],[Partenaires]],Partenaires2[Partenaire],Partenaires2[Tx Sub])</f>
        <v>0.5</v>
      </c>
      <c r="I19" s="178" t="str">
        <f>'[2]Lot 4'!I15</f>
        <v>Post-doctorant</v>
      </c>
      <c r="J19" s="186" t="str">
        <f>'[2]Lot 4'!J15</f>
        <v>Oui</v>
      </c>
      <c r="K19" s="5">
        <f>'[2]Lot 4'!K15</f>
        <v>10</v>
      </c>
      <c r="L19" s="4">
        <f>'[2]Lot 4'!L15</f>
        <v>277</v>
      </c>
      <c r="M19" s="31">
        <f>T_4[[#This Row],[P Qu]]*T_4[[#This Row],[P PU]]</f>
        <v>2770</v>
      </c>
      <c r="N19" s="180">
        <f>'[2]Lot 4'!N15</f>
        <v>0</v>
      </c>
      <c r="O19" s="7">
        <f>'[2]Lot 4'!O15</f>
        <v>0</v>
      </c>
      <c r="P19" s="8">
        <f>'[2]Lot 4'!P15</f>
        <v>0</v>
      </c>
      <c r="Q19" s="31">
        <f>T_4[[#This Row],[ACh Qu]]*T_4[[#This Row],[ACh PU]]</f>
        <v>0</v>
      </c>
      <c r="R19" s="30">
        <f>T_4[[#This Row],[P CT]]+T_4[[#This Row],[ACh CT]]</f>
        <v>2770</v>
      </c>
      <c r="S1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3462.5</v>
      </c>
      <c r="T19" s="184">
        <f>T_4[[#This Row],[Mt Elligible]]*T_4[[#This Row],[Tx Sub]]</f>
        <v>1731.25</v>
      </c>
    </row>
    <row r="20" spans="1:20" hidden="1">
      <c r="A20" s="182" t="str">
        <f t="shared" si="0"/>
        <v>Lot_4</v>
      </c>
      <c r="B20" s="113" t="str">
        <f>_xlfn.XLOOKUP(T_4[[#This Row],[N° Lot]],Tableau4[NoLot],Tableau4[Lot])</f>
        <v>Test de validation des procédures et de la caractéris.</v>
      </c>
      <c r="C20" s="166" t="str">
        <f>'[2]Lot 4'!C16</f>
        <v xml:space="preserve">T4_Evaluation_impacts_environnementaux </v>
      </c>
      <c r="D20" s="186" t="str">
        <f>'[2]Lot 4'!D16</f>
        <v>ST1 Détermination des données environnementales clefs</v>
      </c>
      <c r="E20" s="179">
        <f>'[2]Lot 4'!E16</f>
        <v>0</v>
      </c>
      <c r="F20" s="185" t="str">
        <f>'[2]Lot 4'!F16</f>
        <v>CEREMA</v>
      </c>
      <c r="G20" s="194">
        <f>_xlfn.XLOOKUP(T_4[[#This Row],[Partenaires]],Partenaires2[Partenaire],Partenaires2[Tx Ch Connexe])</f>
        <v>0.25</v>
      </c>
      <c r="H20" s="194">
        <f>_xlfn.XLOOKUP(T_4[[#This Row],[Partenaires]],Partenaires2[Partenaire],Partenaires2[Tx Sub])</f>
        <v>0.5</v>
      </c>
      <c r="I20" s="178" t="str">
        <f>'[2]Lot 4'!I16</f>
        <v>Directeur de projet</v>
      </c>
      <c r="J20" s="186" t="str">
        <f>'[2]Lot 4'!J16</f>
        <v>Non</v>
      </c>
      <c r="K20" s="5">
        <v>4</v>
      </c>
      <c r="L20" s="4">
        <f>'[2]Lot 4'!L16</f>
        <v>548</v>
      </c>
      <c r="M20" s="31">
        <f>T_4[[#This Row],[P Qu]]*T_4[[#This Row],[P PU]]</f>
        <v>2192</v>
      </c>
      <c r="N20" s="180">
        <f>'[2]Lot 4'!N16</f>
        <v>0</v>
      </c>
      <c r="O20" s="7">
        <f>'[2]Lot 4'!O16</f>
        <v>0</v>
      </c>
      <c r="P20" s="8">
        <f>'[2]Lot 4'!P16</f>
        <v>0</v>
      </c>
      <c r="Q20" s="31">
        <f>T_4[[#This Row],[ACh Qu]]*T_4[[#This Row],[ACh PU]]</f>
        <v>0</v>
      </c>
      <c r="R20" s="30">
        <f>T_4[[#This Row],[P CT]]+T_4[[#This Row],[ACh CT]]</f>
        <v>2192</v>
      </c>
      <c r="S20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548</v>
      </c>
      <c r="T20" s="184">
        <f>T_4[[#This Row],[Mt Elligible]]*T_4[[#This Row],[Tx Sub]]</f>
        <v>274</v>
      </c>
    </row>
    <row r="21" spans="1:20" hidden="1">
      <c r="A21" s="182" t="str">
        <f t="shared" si="0"/>
        <v>Lot_4</v>
      </c>
      <c r="B21" s="113" t="str">
        <f>_xlfn.XLOOKUP(T_4[[#This Row],[N° Lot]],Tableau4[NoLot],Tableau4[Lot])</f>
        <v>Test de validation des procédures et de la caractéris.</v>
      </c>
      <c r="C21" s="166" t="str">
        <f>'[2]Lot 4'!C17</f>
        <v xml:space="preserve">T4_Evaluation_impacts_environnementaux </v>
      </c>
      <c r="D21" s="186" t="str">
        <f>'[2]Lot 4'!D17</f>
        <v>ST1 Détermination des données environnementales clefs</v>
      </c>
      <c r="E21" s="179">
        <f>'[2]Lot 4'!E17</f>
        <v>0</v>
      </c>
      <c r="F21" s="185" t="str">
        <f>'[2]Lot 4'!F17</f>
        <v>CEREMA</v>
      </c>
      <c r="G21" s="194">
        <f>_xlfn.XLOOKUP(T_4[[#This Row],[Partenaires]],Partenaires2[Partenaire],Partenaires2[Tx Ch Connexe])</f>
        <v>0.25</v>
      </c>
      <c r="H21" s="194">
        <f>_xlfn.XLOOKUP(T_4[[#This Row],[Partenaires]],Partenaires2[Partenaire],Partenaires2[Tx Sub])</f>
        <v>0.5</v>
      </c>
      <c r="I21" s="178" t="str">
        <f>'[2]Lot 4'!I17</f>
        <v>Ingénieur</v>
      </c>
      <c r="J21" s="186" t="str">
        <f>'[2]Lot 4'!J17</f>
        <v>Non</v>
      </c>
      <c r="K21" s="5">
        <f>'[2]Lot 4'!K17</f>
        <v>20</v>
      </c>
      <c r="L21" s="4">
        <f>'[2]Lot 4'!L17</f>
        <v>376</v>
      </c>
      <c r="M21" s="31">
        <f>T_4[[#This Row],[P Qu]]*T_4[[#This Row],[P PU]]</f>
        <v>7520</v>
      </c>
      <c r="N21" s="180">
        <f>'[2]Lot 4'!N17</f>
        <v>0</v>
      </c>
      <c r="O21" s="7">
        <f>'[2]Lot 4'!O17</f>
        <v>0</v>
      </c>
      <c r="P21" s="8">
        <f>'[2]Lot 4'!P17</f>
        <v>0</v>
      </c>
      <c r="Q21" s="31">
        <f>T_4[[#This Row],[ACh Qu]]*T_4[[#This Row],[ACh PU]]</f>
        <v>0</v>
      </c>
      <c r="R21" s="30">
        <f>T_4[[#This Row],[P CT]]+T_4[[#This Row],[ACh CT]]</f>
        <v>7520</v>
      </c>
      <c r="S21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1880</v>
      </c>
      <c r="T21" s="184">
        <f>T_4[[#This Row],[Mt Elligible]]*T_4[[#This Row],[Tx Sub]]</f>
        <v>940</v>
      </c>
    </row>
    <row r="22" spans="1:20" hidden="1">
      <c r="A22" s="182" t="str">
        <f t="shared" si="0"/>
        <v>Lot_4</v>
      </c>
      <c r="B22" s="113" t="str">
        <f>_xlfn.XLOOKUP(T_4[[#This Row],[N° Lot]],Tableau4[NoLot],Tableau4[Lot])</f>
        <v>Test de validation des procédures et de la caractéris.</v>
      </c>
      <c r="C22" s="166" t="str">
        <f>'[2]Lot 4'!C18</f>
        <v xml:space="preserve">T4_Evaluation_impacts_environnementaux </v>
      </c>
      <c r="D22" s="186" t="str">
        <f>'[2]Lot 4'!D18</f>
        <v>ST1 Détermination des données environnementales clefs</v>
      </c>
      <c r="E22" s="179">
        <f>'[2]Lot 4'!E18</f>
        <v>0</v>
      </c>
      <c r="F22" s="185" t="str">
        <f>'[2]Lot 4'!F18</f>
        <v>CEREMA</v>
      </c>
      <c r="G22" s="194">
        <f>_xlfn.XLOOKUP(T_4[[#This Row],[Partenaires]],Partenaires2[Partenaire],Partenaires2[Tx Ch Connexe])</f>
        <v>0.25</v>
      </c>
      <c r="H22" s="194">
        <f>_xlfn.XLOOKUP(T_4[[#This Row],[Partenaires]],Partenaires2[Partenaire],Partenaires2[Tx Sub])</f>
        <v>0.5</v>
      </c>
      <c r="I22" s="178" t="str">
        <f>'[2]Lot 4'!I18</f>
        <v>Master Recherche</v>
      </c>
      <c r="J22" s="186" t="str">
        <f>'[2]Lot 4'!J18</f>
        <v>Oui</v>
      </c>
      <c r="K22" s="5">
        <f>'[2]Lot 4'!K18</f>
        <v>40</v>
      </c>
      <c r="L22" s="4">
        <f>'[2]Lot 4'!L18</f>
        <v>30</v>
      </c>
      <c r="M22" s="31">
        <f>T_4[[#This Row],[P Qu]]*T_4[[#This Row],[P PU]]</f>
        <v>1200</v>
      </c>
      <c r="N22" s="180">
        <f>'[2]Lot 4'!N18</f>
        <v>0</v>
      </c>
      <c r="O22" s="7">
        <f>'[2]Lot 4'!O18</f>
        <v>0</v>
      </c>
      <c r="P22" s="8">
        <f>'[2]Lot 4'!P18</f>
        <v>0</v>
      </c>
      <c r="Q22" s="31">
        <f>T_4[[#This Row],[ACh Qu]]*T_4[[#This Row],[ACh PU]]</f>
        <v>0</v>
      </c>
      <c r="R22" s="30">
        <f>T_4[[#This Row],[P CT]]+T_4[[#This Row],[ACh CT]]</f>
        <v>1200</v>
      </c>
      <c r="S22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1500</v>
      </c>
      <c r="T22" s="184">
        <f>T_4[[#This Row],[Mt Elligible]]*T_4[[#This Row],[Tx Sub]]</f>
        <v>750</v>
      </c>
    </row>
    <row r="23" spans="1:20" hidden="1">
      <c r="A23" s="182" t="str">
        <f t="shared" ref="A23:A26" si="1">A$1</f>
        <v>Lot_4</v>
      </c>
      <c r="B23" s="113" t="str">
        <f>_xlfn.XLOOKUP(T_4[[#This Row],[N° Lot]],Tableau4[NoLot],Tableau4[Lot])</f>
        <v>Test de validation des procédures et de la caractéris.</v>
      </c>
      <c r="C23" s="166" t="str">
        <f>'[2]Lot 4'!C19</f>
        <v xml:space="preserve">T4_Evaluation_impacts_environnementaux </v>
      </c>
      <c r="D23" s="186" t="str">
        <f>'[2]Lot 4'!D19</f>
        <v>ST2 Analyse des difficultés / Caractérisation de la robustesse du modèle</v>
      </c>
      <c r="E23" s="179">
        <f>'[2]Lot 4'!E19</f>
        <v>0</v>
      </c>
      <c r="F23" s="185" t="s">
        <v>15</v>
      </c>
      <c r="G23" s="194">
        <f>_xlfn.XLOOKUP(T_4[[#This Row],[Partenaires]],Partenaires2[Partenaire],Partenaires2[Tx Ch Connexe])</f>
        <v>0.25</v>
      </c>
      <c r="H23" s="194">
        <f>_xlfn.XLOOKUP(T_4[[#This Row],[Partenaires]],Partenaires2[Partenaire],Partenaires2[Tx Sub])</f>
        <v>0.5</v>
      </c>
      <c r="I23" s="178" t="str">
        <f>'[2]Lot 4'!I19</f>
        <v>Directeur de projet</v>
      </c>
      <c r="J23" s="186" t="str">
        <f>'[2]Lot 4'!J19</f>
        <v>Non</v>
      </c>
      <c r="K23" s="5">
        <v>4</v>
      </c>
      <c r="L23" s="4">
        <f>'[2]Lot 4'!L19</f>
        <v>548</v>
      </c>
      <c r="M23" s="31">
        <f>T_4[[#This Row],[P Qu]]*T_4[[#This Row],[P PU]]</f>
        <v>2192</v>
      </c>
      <c r="N23" s="180">
        <f>'[2]Lot 4'!N19</f>
        <v>0</v>
      </c>
      <c r="O23" s="7">
        <f>'[2]Lot 4'!O19</f>
        <v>0</v>
      </c>
      <c r="P23" s="8">
        <f>'[2]Lot 4'!P19</f>
        <v>0</v>
      </c>
      <c r="Q23" s="31">
        <f>T_4[[#This Row],[ACh Qu]]*T_4[[#This Row],[ACh PU]]</f>
        <v>0</v>
      </c>
      <c r="R23" s="30">
        <f>T_4[[#This Row],[P CT]]+T_4[[#This Row],[ACh CT]]</f>
        <v>2192</v>
      </c>
      <c r="S23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548</v>
      </c>
      <c r="T23" s="184">
        <f>T_4[[#This Row],[Mt Elligible]]*T_4[[#This Row],[Tx Sub]]</f>
        <v>274</v>
      </c>
    </row>
    <row r="24" spans="1:20" hidden="1">
      <c r="A24" s="182" t="str">
        <f t="shared" si="1"/>
        <v>Lot_4</v>
      </c>
      <c r="B24" s="113" t="str">
        <f>_xlfn.XLOOKUP(T_4[[#This Row],[N° Lot]],Tableau4[NoLot],Tableau4[Lot])</f>
        <v>Test de validation des procédures et de la caractéris.</v>
      </c>
      <c r="C24" s="166" t="str">
        <f>'[2]Lot 4'!C20</f>
        <v xml:space="preserve">T4_Evaluation_impacts_environnementaux </v>
      </c>
      <c r="D24" s="186" t="str">
        <f>'[2]Lot 4'!D20</f>
        <v>ST2 Analyse des difficultés / Caractérisation de la robustesse du modèle</v>
      </c>
      <c r="E24" s="179">
        <f>'[2]Lot 4'!E20</f>
        <v>0</v>
      </c>
      <c r="F24" s="185" t="s">
        <v>15</v>
      </c>
      <c r="G24" s="194">
        <f>_xlfn.XLOOKUP(T_4[[#This Row],[Partenaires]],Partenaires2[Partenaire],Partenaires2[Tx Ch Connexe])</f>
        <v>0.25</v>
      </c>
      <c r="H24" s="194">
        <f>_xlfn.XLOOKUP(T_4[[#This Row],[Partenaires]],Partenaires2[Partenaire],Partenaires2[Tx Sub])</f>
        <v>0.5</v>
      </c>
      <c r="I24" s="178" t="str">
        <f>'[2]Lot 4'!I20</f>
        <v>Ingénieur</v>
      </c>
      <c r="J24" s="186" t="str">
        <f>'[2]Lot 4'!J20</f>
        <v>Non</v>
      </c>
      <c r="K24" s="5">
        <f>'[2]Lot 4'!K20</f>
        <v>20</v>
      </c>
      <c r="L24" s="4">
        <f>'[2]Lot 4'!L20</f>
        <v>376</v>
      </c>
      <c r="M24" s="31">
        <f>T_4[[#This Row],[P Qu]]*T_4[[#This Row],[P PU]]</f>
        <v>7520</v>
      </c>
      <c r="N24" s="180">
        <f>'[2]Lot 4'!N20</f>
        <v>0</v>
      </c>
      <c r="O24" s="7">
        <f>'[2]Lot 4'!O20</f>
        <v>0</v>
      </c>
      <c r="P24" s="8">
        <f>'[2]Lot 4'!P20</f>
        <v>0</v>
      </c>
      <c r="Q24" s="31">
        <f>T_4[[#This Row],[ACh Qu]]*T_4[[#This Row],[ACh PU]]</f>
        <v>0</v>
      </c>
      <c r="R24" s="30">
        <f>T_4[[#This Row],[P CT]]+T_4[[#This Row],[ACh CT]]</f>
        <v>7520</v>
      </c>
      <c r="S24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1880</v>
      </c>
      <c r="T24" s="184">
        <f>T_4[[#This Row],[Mt Elligible]]*T_4[[#This Row],[Tx Sub]]</f>
        <v>940</v>
      </c>
    </row>
    <row r="25" spans="1:20" hidden="1">
      <c r="A25" s="182" t="str">
        <f t="shared" si="1"/>
        <v>Lot_4</v>
      </c>
      <c r="B25" s="113" t="str">
        <f>_xlfn.XLOOKUP(T_4[[#This Row],[N° Lot]],Tableau4[NoLot],Tableau4[Lot])</f>
        <v>Test de validation des procédures et de la caractéris.</v>
      </c>
      <c r="C25" s="166" t="str">
        <f>'[2]Lot 4'!C21</f>
        <v xml:space="preserve">T4_Evaluation_impacts_environnementaux </v>
      </c>
      <c r="D25" s="186" t="str">
        <f>'[2]Lot 4'!D21</f>
        <v>ST2 Analyse des difficultés / Caractérisation de la robustesse du modèle</v>
      </c>
      <c r="E25" s="179">
        <f>'[2]Lot 4'!E21</f>
        <v>0</v>
      </c>
      <c r="F25" s="185" t="s">
        <v>15</v>
      </c>
      <c r="G25" s="194">
        <f>_xlfn.XLOOKUP(T_4[[#This Row],[Partenaires]],Partenaires2[Partenaire],Partenaires2[Tx Ch Connexe])</f>
        <v>0.25</v>
      </c>
      <c r="H25" s="194">
        <f>_xlfn.XLOOKUP(T_4[[#This Row],[Partenaires]],Partenaires2[Partenaire],Partenaires2[Tx Sub])</f>
        <v>0.5</v>
      </c>
      <c r="I25" s="178" t="str">
        <f>'[2]Lot 4'!I21</f>
        <v>Master Recherche</v>
      </c>
      <c r="J25" s="186" t="str">
        <f>'[2]Lot 4'!J21</f>
        <v>Oui</v>
      </c>
      <c r="K25" s="5">
        <f>'[2]Lot 4'!K21</f>
        <v>40</v>
      </c>
      <c r="L25" s="4">
        <f>'[2]Lot 4'!L21</f>
        <v>30</v>
      </c>
      <c r="M25" s="31">
        <f>T_4[[#This Row],[P Qu]]*T_4[[#This Row],[P PU]]</f>
        <v>1200</v>
      </c>
      <c r="N25" s="180">
        <f>'[2]Lot 4'!N21</f>
        <v>0</v>
      </c>
      <c r="O25" s="7">
        <f>'[2]Lot 4'!O21</f>
        <v>0</v>
      </c>
      <c r="P25" s="8">
        <f>'[2]Lot 4'!P21</f>
        <v>0</v>
      </c>
      <c r="Q25" s="31">
        <f>T_4[[#This Row],[ACh Qu]]*T_4[[#This Row],[ACh PU]]</f>
        <v>0</v>
      </c>
      <c r="R25" s="30">
        <f>T_4[[#This Row],[P CT]]+T_4[[#This Row],[ACh CT]]</f>
        <v>1200</v>
      </c>
      <c r="S25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1500</v>
      </c>
      <c r="T25" s="184">
        <f>T_4[[#This Row],[Mt Elligible]]*T_4[[#This Row],[Tx Sub]]</f>
        <v>750</v>
      </c>
    </row>
    <row r="26" spans="1:20" hidden="1">
      <c r="A26" s="16" t="str">
        <f t="shared" si="1"/>
        <v>Lot_4</v>
      </c>
      <c r="B26" s="113" t="str">
        <f>_xlfn.XLOOKUP(T_4[[#This Row],[N° Lot]],Tableau4[NoLot],Tableau4[Lot])</f>
        <v>Test de validation des procédures et de la caractéris.</v>
      </c>
      <c r="C26" s="166" t="s">
        <v>153</v>
      </c>
      <c r="D26" s="186" t="s">
        <v>138</v>
      </c>
      <c r="F26" s="185" t="s">
        <v>16</v>
      </c>
      <c r="G26" s="194">
        <f>_xlfn.XLOOKUP(T_4[[#This Row],[Partenaires]],Partenaires2[Partenaire],Partenaires2[Tx Ch Connexe])</f>
        <v>0.25</v>
      </c>
      <c r="H26" s="194">
        <f>_xlfn.XLOOKUP(T_4[[#This Row],[Partenaires]],Partenaires2[Partenaire],Partenaires2[Tx Sub])</f>
        <v>0.7</v>
      </c>
      <c r="I26" s="178"/>
      <c r="J26" s="186" t="s">
        <v>82</v>
      </c>
      <c r="K26" s="5"/>
      <c r="L26" s="4"/>
      <c r="M26" s="31">
        <f>T_4[[#This Row],[P Qu]]*T_4[[#This Row],[P PU]]</f>
        <v>0</v>
      </c>
      <c r="N26" s="180" t="s">
        <v>163</v>
      </c>
      <c r="O26" s="7">
        <v>1</v>
      </c>
      <c r="P26" s="8">
        <v>520</v>
      </c>
      <c r="Q26" s="31">
        <f>T_4[[#This Row],[ACh Qu]]*T_4[[#This Row],[ACh PU]]</f>
        <v>520</v>
      </c>
      <c r="R26" s="30">
        <f>T_4[[#This Row],[P CT]]+T_4[[#This Row],[ACh CT]]</f>
        <v>520</v>
      </c>
      <c r="S26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650</v>
      </c>
      <c r="T26" s="184">
        <f>T_4[[#This Row],[Mt Elligible]]*T_4[[#This Row],[Tx Sub]]</f>
        <v>454.99999999999994</v>
      </c>
    </row>
    <row r="27" spans="1:20" ht="45">
      <c r="A27" s="182" t="s">
        <v>33</v>
      </c>
      <c r="B27" s="113" t="str">
        <f>_xlfn.XLOOKUP(T_4[[#This Row],[N° Lot]],Tableau4[NoLot],Tableau4[Lot])</f>
        <v>Test de validation des procédures et de la caractéris.</v>
      </c>
      <c r="C27" s="166" t="s">
        <v>151</v>
      </c>
      <c r="D27" s="186" t="s">
        <v>145</v>
      </c>
      <c r="E27" s="179" t="s">
        <v>227</v>
      </c>
      <c r="F27" s="185" t="s">
        <v>17</v>
      </c>
      <c r="G27" s="194">
        <f>_xlfn.XLOOKUP(T_4[[#This Row],[Partenaires]],Partenaires2[Partenaire],Partenaires2[Tx Ch Connexe])</f>
        <v>0.18</v>
      </c>
      <c r="H27" s="194">
        <f>_xlfn.XLOOKUP(T_4[[#This Row],[Partenaires]],Partenaires2[Partenaire],Partenaires2[Tx Sub])</f>
        <v>0.5</v>
      </c>
      <c r="I27" s="178" t="s">
        <v>222</v>
      </c>
      <c r="J27" s="186" t="s">
        <v>81</v>
      </c>
      <c r="K27" s="5">
        <v>10</v>
      </c>
      <c r="L27" s="4">
        <v>572</v>
      </c>
      <c r="M27" s="205">
        <f>T_4[[#This Row],[P Qu]]*T_4[[#This Row],[P PU]]</f>
        <v>5720</v>
      </c>
      <c r="N27" s="178">
        <v>0</v>
      </c>
      <c r="O27" s="7">
        <v>0</v>
      </c>
      <c r="P27" s="8">
        <v>0</v>
      </c>
      <c r="Q27" s="31">
        <f>T_4[[#This Row],[ACh Qu]]*T_4[[#This Row],[ACh PU]]</f>
        <v>0</v>
      </c>
      <c r="R27" s="30">
        <f>T_4[[#This Row],[P CT]]+T_4[[#This Row],[ACh CT]]</f>
        <v>5720</v>
      </c>
      <c r="S27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1029.5999999999999</v>
      </c>
      <c r="T27" s="184">
        <f>T_4[[#This Row],[Mt Elligible]]*T_4[[#This Row],[Tx Sub]]</f>
        <v>514.79999999999995</v>
      </c>
    </row>
    <row r="28" spans="1:20" ht="45">
      <c r="A28" s="182" t="str">
        <f t="shared" ref="A28:A29" si="2">A$1</f>
        <v>Lot_4</v>
      </c>
      <c r="B28" s="113" t="str">
        <f>_xlfn.XLOOKUP(T_4[[#This Row],[N° Lot]],Tableau4[NoLot],Tableau4[Lot])</f>
        <v>Test de validation des procédures et de la caractéris.</v>
      </c>
      <c r="C28" s="166" t="s">
        <v>151</v>
      </c>
      <c r="D28" s="186" t="s">
        <v>145</v>
      </c>
      <c r="E28" s="179" t="s">
        <v>227</v>
      </c>
      <c r="F28" s="185" t="s">
        <v>17</v>
      </c>
      <c r="G28" s="194">
        <f>_xlfn.XLOOKUP(T_4[[#This Row],[Partenaires]],Partenaires2[Partenaire],Partenaires2[Tx Ch Connexe])</f>
        <v>0.18</v>
      </c>
      <c r="H28" s="194">
        <f>_xlfn.XLOOKUP(T_4[[#This Row],[Partenaires]],Partenaires2[Partenaire],Partenaires2[Tx Sub])</f>
        <v>0.5</v>
      </c>
      <c r="I28" s="178" t="s">
        <v>220</v>
      </c>
      <c r="J28" s="186" t="s">
        <v>81</v>
      </c>
      <c r="K28" s="5">
        <v>10</v>
      </c>
      <c r="L28" s="4">
        <v>494</v>
      </c>
      <c r="M28" s="205">
        <f>T_4[[#This Row],[P Qu]]*T_4[[#This Row],[P PU]]</f>
        <v>4940</v>
      </c>
      <c r="N28" s="178">
        <v>0</v>
      </c>
      <c r="O28" s="7">
        <v>0</v>
      </c>
      <c r="P28" s="8">
        <v>0</v>
      </c>
      <c r="Q28" s="31">
        <f>T_4[[#This Row],[ACh Qu]]*T_4[[#This Row],[ACh PU]]</f>
        <v>0</v>
      </c>
      <c r="R28" s="30">
        <f>T_4[[#This Row],[P CT]]+T_4[[#This Row],[ACh CT]]</f>
        <v>4940</v>
      </c>
      <c r="S2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889.19999999999993</v>
      </c>
      <c r="T28" s="184">
        <f>T_4[[#This Row],[Mt Elligible]]*T_4[[#This Row],[Tx Sub]]</f>
        <v>444.59999999999997</v>
      </c>
    </row>
    <row r="29" spans="1:20" ht="45">
      <c r="A29" s="182" t="str">
        <f t="shared" si="2"/>
        <v>Lot_4</v>
      </c>
      <c r="B29" s="113" t="str">
        <f>_xlfn.XLOOKUP(T_4[[#This Row],[N° Lot]],Tableau4[NoLot],Tableau4[Lot])</f>
        <v>Test de validation des procédures et de la caractéris.</v>
      </c>
      <c r="C29" s="166" t="s">
        <v>151</v>
      </c>
      <c r="D29" s="186" t="s">
        <v>145</v>
      </c>
      <c r="E29" s="179" t="s">
        <v>227</v>
      </c>
      <c r="F29" s="185" t="s">
        <v>17</v>
      </c>
      <c r="G29" s="194">
        <f>_xlfn.XLOOKUP(T_4[[#This Row],[Partenaires]],Partenaires2[Partenaire],Partenaires2[Tx Ch Connexe])</f>
        <v>0.18</v>
      </c>
      <c r="H29" s="194">
        <f>_xlfn.XLOOKUP(T_4[[#This Row],[Partenaires]],Partenaires2[Partenaire],Partenaires2[Tx Sub])</f>
        <v>0.5</v>
      </c>
      <c r="I29" s="203" t="s">
        <v>254</v>
      </c>
      <c r="J29" s="186" t="s">
        <v>82</v>
      </c>
      <c r="K29" s="199">
        <v>130</v>
      </c>
      <c r="L29" s="4">
        <v>119</v>
      </c>
      <c r="M29" s="205">
        <f>T_4[[#This Row],[P Qu]]*T_4[[#This Row],[P PU]]</f>
        <v>15470</v>
      </c>
      <c r="N29" s="178" t="s">
        <v>232</v>
      </c>
      <c r="O29" s="7">
        <v>1</v>
      </c>
      <c r="P29" s="8">
        <v>15000</v>
      </c>
      <c r="Q29" s="31">
        <f>T_4[[#This Row],[ACh Qu]]*T_4[[#This Row],[ACh PU]]</f>
        <v>15000</v>
      </c>
      <c r="R29" s="30">
        <f>T_4[[#This Row],[P CT]]+T_4[[#This Row],[ACh CT]]</f>
        <v>30470</v>
      </c>
      <c r="S2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35954.6</v>
      </c>
      <c r="T29" s="184">
        <f>T_4[[#This Row],[Mt Elligible]]*T_4[[#This Row],[Tx Sub]]</f>
        <v>17977.3</v>
      </c>
    </row>
    <row r="30" spans="1:20">
      <c r="A30" s="182" t="str">
        <f t="shared" ref="A30:A32" si="3">A$1</f>
        <v>Lot_4</v>
      </c>
      <c r="B30" s="113" t="str">
        <f>_xlfn.XLOOKUP(T_4[[#This Row],[N° Lot]],Tableau4[NoLot],Tableau4[Lot])</f>
        <v>Test de validation des procédures et de la caractéris.</v>
      </c>
      <c r="C30" s="166" t="s">
        <v>151</v>
      </c>
      <c r="D30" s="186" t="s">
        <v>146</v>
      </c>
      <c r="E30" s="179" t="s">
        <v>228</v>
      </c>
      <c r="F30" s="185" t="s">
        <v>17</v>
      </c>
      <c r="G30" s="194">
        <f>_xlfn.XLOOKUP(T_4[[#This Row],[Partenaires]],Partenaires2[Partenaire],Partenaires2[Tx Ch Connexe])</f>
        <v>0.18</v>
      </c>
      <c r="H30" s="194">
        <f>_xlfn.XLOOKUP(T_4[[#This Row],[Partenaires]],Partenaires2[Partenaire],Partenaires2[Tx Sub])</f>
        <v>0.5</v>
      </c>
      <c r="I30" s="178" t="s">
        <v>222</v>
      </c>
      <c r="J30" s="186" t="s">
        <v>81</v>
      </c>
      <c r="K30" s="5">
        <v>15</v>
      </c>
      <c r="L30" s="4">
        <v>572</v>
      </c>
      <c r="M30" s="205">
        <f>T_4[[#This Row],[P Qu]]*T_4[[#This Row],[P PU]]</f>
        <v>8580</v>
      </c>
      <c r="N30" s="178">
        <v>0</v>
      </c>
      <c r="O30" s="7">
        <v>0</v>
      </c>
      <c r="P30" s="8">
        <v>0</v>
      </c>
      <c r="Q30" s="31">
        <f>T_4[[#This Row],[ACh Qu]]*T_4[[#This Row],[ACh PU]]</f>
        <v>0</v>
      </c>
      <c r="R30" s="30">
        <f>T_4[[#This Row],[P CT]]+T_4[[#This Row],[ACh CT]]</f>
        <v>8580</v>
      </c>
      <c r="S30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1544.3999999999999</v>
      </c>
      <c r="T30" s="184">
        <f>T_4[[#This Row],[Mt Elligible]]*T_4[[#This Row],[Tx Sub]]</f>
        <v>772.19999999999993</v>
      </c>
    </row>
    <row r="31" spans="1:20">
      <c r="A31" s="182" t="str">
        <f t="shared" si="3"/>
        <v>Lot_4</v>
      </c>
      <c r="B31" s="113" t="str">
        <f>_xlfn.XLOOKUP(T_4[[#This Row],[N° Lot]],Tableau4[NoLot],Tableau4[Lot])</f>
        <v>Test de validation des procédures et de la caractéris.</v>
      </c>
      <c r="C31" s="166" t="s">
        <v>151</v>
      </c>
      <c r="D31" s="186" t="s">
        <v>146</v>
      </c>
      <c r="E31" s="179" t="s">
        <v>228</v>
      </c>
      <c r="F31" s="185" t="s">
        <v>17</v>
      </c>
      <c r="G31" s="194">
        <f>_xlfn.XLOOKUP(T_4[[#This Row],[Partenaires]],Partenaires2[Partenaire],Partenaires2[Tx Ch Connexe])</f>
        <v>0.18</v>
      </c>
      <c r="H31" s="194">
        <f>_xlfn.XLOOKUP(T_4[[#This Row],[Partenaires]],Partenaires2[Partenaire],Partenaires2[Tx Sub])</f>
        <v>0.5</v>
      </c>
      <c r="I31" s="178" t="s">
        <v>220</v>
      </c>
      <c r="J31" s="186" t="s">
        <v>81</v>
      </c>
      <c r="K31" s="5">
        <v>10</v>
      </c>
      <c r="L31" s="4">
        <v>494</v>
      </c>
      <c r="M31" s="205">
        <f>T_4[[#This Row],[P Qu]]*T_4[[#This Row],[P PU]]</f>
        <v>4940</v>
      </c>
      <c r="N31" s="178">
        <v>0</v>
      </c>
      <c r="O31" s="7">
        <v>0</v>
      </c>
      <c r="P31" s="8">
        <v>0</v>
      </c>
      <c r="Q31" s="31">
        <f>T_4[[#This Row],[ACh Qu]]*T_4[[#This Row],[ACh PU]]</f>
        <v>0</v>
      </c>
      <c r="R31" s="30">
        <f>T_4[[#This Row],[P CT]]+T_4[[#This Row],[ACh CT]]</f>
        <v>4940</v>
      </c>
      <c r="S31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889.19999999999993</v>
      </c>
      <c r="T31" s="184">
        <f>T_4[[#This Row],[Mt Elligible]]*T_4[[#This Row],[Tx Sub]]</f>
        <v>444.59999999999997</v>
      </c>
    </row>
    <row r="32" spans="1:20">
      <c r="A32" s="182" t="str">
        <f t="shared" si="3"/>
        <v>Lot_4</v>
      </c>
      <c r="B32" s="113" t="str">
        <f>_xlfn.XLOOKUP(T_4[[#This Row],[N° Lot]],Tableau4[NoLot],Tableau4[Lot])</f>
        <v>Test de validation des procédures et de la caractéris.</v>
      </c>
      <c r="C32" s="166" t="s">
        <v>151</v>
      </c>
      <c r="D32" s="186" t="s">
        <v>146</v>
      </c>
      <c r="E32" s="202" t="s">
        <v>228</v>
      </c>
      <c r="F32" s="185" t="s">
        <v>17</v>
      </c>
      <c r="G32" s="194">
        <f>_xlfn.XLOOKUP(T_4[[#This Row],[Partenaires]],Partenaires2[Partenaire],Partenaires2[Tx Ch Connexe])</f>
        <v>0.18</v>
      </c>
      <c r="H32" s="194">
        <f>_xlfn.XLOOKUP(T_4[[#This Row],[Partenaires]],Partenaires2[Partenaire],Partenaires2[Tx Sub])</f>
        <v>0.5</v>
      </c>
      <c r="I32" s="203" t="s">
        <v>254</v>
      </c>
      <c r="J32" s="203" t="s">
        <v>82</v>
      </c>
      <c r="K32" s="199">
        <v>0</v>
      </c>
      <c r="L32" s="204">
        <v>119</v>
      </c>
      <c r="M32" s="205">
        <f>T_4[[#This Row],[P Qu]]*T_4[[#This Row],[P PU]]</f>
        <v>0</v>
      </c>
      <c r="N32" s="203">
        <v>0</v>
      </c>
      <c r="O32" s="199">
        <v>0</v>
      </c>
      <c r="P32" s="204">
        <v>0</v>
      </c>
      <c r="Q32" s="31">
        <f>T_4[[#This Row],[ACh Qu]]*T_4[[#This Row],[ACh PU]]</f>
        <v>0</v>
      </c>
      <c r="R32" s="30">
        <f>T_4[[#This Row],[P CT]]+T_4[[#This Row],[ACh CT]]</f>
        <v>0</v>
      </c>
      <c r="S32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0</v>
      </c>
      <c r="T32" s="184">
        <f>T_4[[#This Row],[Mt Elligible]]*T_4[[#This Row],[Tx Sub]]</f>
        <v>0</v>
      </c>
    </row>
    <row r="33" spans="1:20" ht="30">
      <c r="A33" s="182" t="str">
        <f t="shared" ref="A33:A35" si="4">A$1</f>
        <v>Lot_4</v>
      </c>
      <c r="B33" s="113" t="str">
        <f>_xlfn.XLOOKUP(T_4[[#This Row],[N° Lot]],Tableau4[NoLot],Tableau4[Lot])</f>
        <v>Test de validation des procédures et de la caractéris.</v>
      </c>
      <c r="C33" s="166" t="s">
        <v>147</v>
      </c>
      <c r="D33" s="186" t="s">
        <v>122</v>
      </c>
      <c r="E33" s="179" t="s">
        <v>226</v>
      </c>
      <c r="F33" s="185" t="s">
        <v>17</v>
      </c>
      <c r="G33" s="194">
        <f>_xlfn.XLOOKUP(T_4[[#This Row],[Partenaires]],Partenaires2[Partenaire],Partenaires2[Tx Ch Connexe])</f>
        <v>0.18</v>
      </c>
      <c r="H33" s="194">
        <f>_xlfn.XLOOKUP(T_4[[#This Row],[Partenaires]],Partenaires2[Partenaire],Partenaires2[Tx Sub])</f>
        <v>0.5</v>
      </c>
      <c r="I33" s="178" t="s">
        <v>222</v>
      </c>
      <c r="J33" s="186" t="s">
        <v>81</v>
      </c>
      <c r="K33" s="5">
        <v>5</v>
      </c>
      <c r="L33" s="4">
        <v>572</v>
      </c>
      <c r="M33" s="205">
        <f>T_4[[#This Row],[P Qu]]*T_4[[#This Row],[P PU]]</f>
        <v>2860</v>
      </c>
      <c r="N33" s="178">
        <v>0</v>
      </c>
      <c r="O33" s="7">
        <v>0</v>
      </c>
      <c r="P33" s="8">
        <v>0</v>
      </c>
      <c r="Q33" s="31">
        <f>T_4[[#This Row],[ACh Qu]]*T_4[[#This Row],[ACh PU]]</f>
        <v>0</v>
      </c>
      <c r="R33" s="30">
        <f>T_4[[#This Row],[P CT]]+T_4[[#This Row],[ACh CT]]</f>
        <v>2860</v>
      </c>
      <c r="S33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514.79999999999995</v>
      </c>
      <c r="T33" s="184">
        <f>T_4[[#This Row],[Mt Elligible]]*T_4[[#This Row],[Tx Sub]]</f>
        <v>257.39999999999998</v>
      </c>
    </row>
    <row r="34" spans="1:20" ht="30">
      <c r="A34" s="182" t="str">
        <f t="shared" si="4"/>
        <v>Lot_4</v>
      </c>
      <c r="B34" s="113" t="str">
        <f>_xlfn.XLOOKUP(T_4[[#This Row],[N° Lot]],Tableau4[NoLot],Tableau4[Lot])</f>
        <v>Test de validation des procédures et de la caractéris.</v>
      </c>
      <c r="C34" s="166" t="s">
        <v>147</v>
      </c>
      <c r="D34" s="186" t="s">
        <v>122</v>
      </c>
      <c r="E34" s="179" t="s">
        <v>226</v>
      </c>
      <c r="F34" s="185" t="s">
        <v>17</v>
      </c>
      <c r="G34" s="194">
        <f>_xlfn.XLOOKUP(T_4[[#This Row],[Partenaires]],Partenaires2[Partenaire],Partenaires2[Tx Ch Connexe])</f>
        <v>0.18</v>
      </c>
      <c r="H34" s="194">
        <f>_xlfn.XLOOKUP(T_4[[#This Row],[Partenaires]],Partenaires2[Partenaire],Partenaires2[Tx Sub])</f>
        <v>0.5</v>
      </c>
      <c r="I34" s="178" t="s">
        <v>220</v>
      </c>
      <c r="J34" s="186" t="s">
        <v>81</v>
      </c>
      <c r="K34" s="5">
        <v>0</v>
      </c>
      <c r="L34" s="4">
        <v>494</v>
      </c>
      <c r="M34" s="205">
        <f>T_4[[#This Row],[P Qu]]*T_4[[#This Row],[P PU]]</f>
        <v>0</v>
      </c>
      <c r="N34" s="178">
        <v>0</v>
      </c>
      <c r="O34" s="7">
        <v>0</v>
      </c>
      <c r="P34" s="8">
        <v>0</v>
      </c>
      <c r="Q34" s="31">
        <f>T_4[[#This Row],[ACh Qu]]*T_4[[#This Row],[ACh PU]]</f>
        <v>0</v>
      </c>
      <c r="R34" s="30">
        <f>T_4[[#This Row],[P CT]]+T_4[[#This Row],[ACh CT]]</f>
        <v>0</v>
      </c>
      <c r="S34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0</v>
      </c>
      <c r="T34" s="184">
        <f>T_4[[#This Row],[Mt Elligible]]*T_4[[#This Row],[Tx Sub]]</f>
        <v>0</v>
      </c>
    </row>
    <row r="35" spans="1:20" ht="30">
      <c r="A35" s="182" t="str">
        <f t="shared" si="4"/>
        <v>Lot_4</v>
      </c>
      <c r="B35" s="113" t="str">
        <f>_xlfn.XLOOKUP(T_4[[#This Row],[N° Lot]],Tableau4[NoLot],Tableau4[Lot])</f>
        <v>Test de validation des procédures et de la caractéris.</v>
      </c>
      <c r="C35" s="166" t="s">
        <v>147</v>
      </c>
      <c r="D35" s="186" t="s">
        <v>122</v>
      </c>
      <c r="E35" s="202" t="s">
        <v>226</v>
      </c>
      <c r="F35" s="185" t="s">
        <v>17</v>
      </c>
      <c r="G35" s="194">
        <f>_xlfn.XLOOKUP(T_4[[#This Row],[Partenaires]],Partenaires2[Partenaire],Partenaires2[Tx Ch Connexe])</f>
        <v>0.18</v>
      </c>
      <c r="H35" s="194">
        <f>_xlfn.XLOOKUP(T_4[[#This Row],[Partenaires]],Partenaires2[Partenaire],Partenaires2[Tx Sub])</f>
        <v>0.5</v>
      </c>
      <c r="I35" s="203" t="s">
        <v>254</v>
      </c>
      <c r="J35" s="203" t="s">
        <v>82</v>
      </c>
      <c r="K35" s="199">
        <v>0</v>
      </c>
      <c r="L35" s="204">
        <v>119</v>
      </c>
      <c r="M35" s="205">
        <f>T_4[[#This Row],[P Qu]]*T_4[[#This Row],[P PU]]</f>
        <v>0</v>
      </c>
      <c r="N35" s="203">
        <v>0</v>
      </c>
      <c r="O35" s="199">
        <v>0</v>
      </c>
      <c r="P35" s="204">
        <v>0</v>
      </c>
      <c r="Q35" s="31">
        <f>T_4[[#This Row],[ACh Qu]]*T_4[[#This Row],[ACh PU]]</f>
        <v>0</v>
      </c>
      <c r="R35" s="30">
        <f>T_4[[#This Row],[P CT]]+T_4[[#This Row],[ACh CT]]</f>
        <v>0</v>
      </c>
      <c r="S35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0</v>
      </c>
      <c r="T35" s="184">
        <f>T_4[[#This Row],[Mt Elligible]]*T_4[[#This Row],[Tx Sub]]</f>
        <v>0</v>
      </c>
    </row>
    <row r="36" spans="1:20">
      <c r="A36" s="182" t="str">
        <f t="shared" ref="A36:A38" si="5">A$1</f>
        <v>Lot_4</v>
      </c>
      <c r="B36" s="113" t="str">
        <f>_xlfn.XLOOKUP(T_4[[#This Row],[N° Lot]],Tableau4[NoLot],Tableau4[Lot])</f>
        <v>Test de validation des procédures et de la caractéris.</v>
      </c>
      <c r="C36" s="166" t="s">
        <v>147</v>
      </c>
      <c r="D36" s="186" t="s">
        <v>148</v>
      </c>
      <c r="E36" s="179" t="s">
        <v>229</v>
      </c>
      <c r="F36" s="185" t="s">
        <v>17</v>
      </c>
      <c r="G36" s="194">
        <f>_xlfn.XLOOKUP(T_4[[#This Row],[Partenaires]],Partenaires2[Partenaire],Partenaires2[Tx Ch Connexe])</f>
        <v>0.18</v>
      </c>
      <c r="H36" s="194">
        <f>_xlfn.XLOOKUP(T_4[[#This Row],[Partenaires]],Partenaires2[Partenaire],Partenaires2[Tx Sub])</f>
        <v>0.5</v>
      </c>
      <c r="I36" s="178" t="s">
        <v>222</v>
      </c>
      <c r="J36" s="186" t="s">
        <v>81</v>
      </c>
      <c r="K36" s="5">
        <v>10</v>
      </c>
      <c r="L36" s="4">
        <v>572</v>
      </c>
      <c r="M36" s="205">
        <f>T_4[[#This Row],[P Qu]]*T_4[[#This Row],[P PU]]</f>
        <v>5720</v>
      </c>
      <c r="N36" s="178">
        <v>0</v>
      </c>
      <c r="O36" s="7">
        <v>0</v>
      </c>
      <c r="P36" s="8">
        <v>0</v>
      </c>
      <c r="Q36" s="31">
        <f>T_4[[#This Row],[ACh Qu]]*T_4[[#This Row],[ACh PU]]</f>
        <v>0</v>
      </c>
      <c r="R36" s="30">
        <f>T_4[[#This Row],[P CT]]+T_4[[#This Row],[ACh CT]]</f>
        <v>5720</v>
      </c>
      <c r="S36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1029.5999999999999</v>
      </c>
      <c r="T36" s="184">
        <f>T_4[[#This Row],[Mt Elligible]]*T_4[[#This Row],[Tx Sub]]</f>
        <v>514.79999999999995</v>
      </c>
    </row>
    <row r="37" spans="1:20">
      <c r="A37" s="182" t="str">
        <f t="shared" si="5"/>
        <v>Lot_4</v>
      </c>
      <c r="B37" s="113" t="str">
        <f>_xlfn.XLOOKUP(T_4[[#This Row],[N° Lot]],Tableau4[NoLot],Tableau4[Lot])</f>
        <v>Test de validation des procédures et de la caractéris.</v>
      </c>
      <c r="C37" s="166" t="s">
        <v>147</v>
      </c>
      <c r="D37" s="186" t="s">
        <v>148</v>
      </c>
      <c r="E37" s="179" t="s">
        <v>229</v>
      </c>
      <c r="F37" s="185" t="s">
        <v>17</v>
      </c>
      <c r="G37" s="194">
        <f>_xlfn.XLOOKUP(T_4[[#This Row],[Partenaires]],Partenaires2[Partenaire],Partenaires2[Tx Ch Connexe])</f>
        <v>0.18</v>
      </c>
      <c r="H37" s="194">
        <f>_xlfn.XLOOKUP(T_4[[#This Row],[Partenaires]],Partenaires2[Partenaire],Partenaires2[Tx Sub])</f>
        <v>0.5</v>
      </c>
      <c r="I37" s="178" t="s">
        <v>220</v>
      </c>
      <c r="J37" s="186" t="s">
        <v>81</v>
      </c>
      <c r="K37" s="5">
        <v>5</v>
      </c>
      <c r="L37" s="4">
        <v>494</v>
      </c>
      <c r="M37" s="205">
        <f>T_4[[#This Row],[P Qu]]*T_4[[#This Row],[P PU]]</f>
        <v>2470</v>
      </c>
      <c r="N37" s="178">
        <v>0</v>
      </c>
      <c r="O37" s="7">
        <v>0</v>
      </c>
      <c r="P37" s="8">
        <v>0</v>
      </c>
      <c r="Q37" s="31">
        <f>T_4[[#This Row],[ACh Qu]]*T_4[[#This Row],[ACh PU]]</f>
        <v>0</v>
      </c>
      <c r="R37" s="30">
        <f>T_4[[#This Row],[P CT]]+T_4[[#This Row],[ACh CT]]</f>
        <v>2470</v>
      </c>
      <c r="S37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444.59999999999997</v>
      </c>
      <c r="T37" s="184">
        <f>T_4[[#This Row],[Mt Elligible]]*T_4[[#This Row],[Tx Sub]]</f>
        <v>222.29999999999998</v>
      </c>
    </row>
    <row r="38" spans="1:20">
      <c r="A38" s="182" t="str">
        <f t="shared" si="5"/>
        <v>Lot_4</v>
      </c>
      <c r="B38" s="113" t="str">
        <f>_xlfn.XLOOKUP(T_4[[#This Row],[N° Lot]],Tableau4[NoLot],Tableau4[Lot])</f>
        <v>Test de validation des procédures et de la caractéris.</v>
      </c>
      <c r="C38" s="166" t="s">
        <v>147</v>
      </c>
      <c r="D38" s="186" t="s">
        <v>148</v>
      </c>
      <c r="E38" s="179" t="s">
        <v>229</v>
      </c>
      <c r="F38" s="185" t="s">
        <v>17</v>
      </c>
      <c r="G38" s="194">
        <f>_xlfn.XLOOKUP(T_4[[#This Row],[Partenaires]],Partenaires2[Partenaire],Partenaires2[Tx Ch Connexe])</f>
        <v>0.18</v>
      </c>
      <c r="H38" s="194">
        <f>_xlfn.XLOOKUP(T_4[[#This Row],[Partenaires]],Partenaires2[Partenaire],Partenaires2[Tx Sub])</f>
        <v>0.5</v>
      </c>
      <c r="I38" s="178" t="s">
        <v>254</v>
      </c>
      <c r="J38" s="186" t="s">
        <v>82</v>
      </c>
      <c r="K38" s="5">
        <v>60</v>
      </c>
      <c r="L38" s="4">
        <v>119</v>
      </c>
      <c r="M38" s="205">
        <f>T_4[[#This Row],[P Qu]]*T_4[[#This Row],[P PU]]</f>
        <v>7140</v>
      </c>
      <c r="N38" s="178">
        <v>0</v>
      </c>
      <c r="O38" s="7">
        <v>0</v>
      </c>
      <c r="P38" s="8">
        <v>0</v>
      </c>
      <c r="Q38" s="31">
        <f>T_4[[#This Row],[ACh Qu]]*T_4[[#This Row],[ACh PU]]</f>
        <v>0</v>
      </c>
      <c r="R38" s="30">
        <f>T_4[[#This Row],[P CT]]+T_4[[#This Row],[ACh CT]]</f>
        <v>7140</v>
      </c>
      <c r="S3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8425.2000000000007</v>
      </c>
      <c r="T38" s="184">
        <f>T_4[[#This Row],[Mt Elligible]]*T_4[[#This Row],[Tx Sub]]</f>
        <v>4212.6000000000004</v>
      </c>
    </row>
    <row r="39" spans="1:20">
      <c r="A39" s="182" t="str">
        <f t="shared" ref="A39:A41" si="6">A$1</f>
        <v>Lot_4</v>
      </c>
      <c r="B39" s="113" t="str">
        <f>_xlfn.XLOOKUP(T_4[[#This Row],[N° Lot]],Tableau4[NoLot],Tableau4[Lot])</f>
        <v>Test de validation des procédures et de la caractéris.</v>
      </c>
      <c r="C39" s="166" t="s">
        <v>147</v>
      </c>
      <c r="D39" s="186" t="s">
        <v>149</v>
      </c>
      <c r="E39" s="179" t="s">
        <v>229</v>
      </c>
      <c r="F39" s="185" t="s">
        <v>17</v>
      </c>
      <c r="G39" s="194">
        <f>_xlfn.XLOOKUP(T_4[[#This Row],[Partenaires]],Partenaires2[Partenaire],Partenaires2[Tx Ch Connexe])</f>
        <v>0.18</v>
      </c>
      <c r="H39" s="194">
        <f>_xlfn.XLOOKUP(T_4[[#This Row],[Partenaires]],Partenaires2[Partenaire],Partenaires2[Tx Sub])</f>
        <v>0.5</v>
      </c>
      <c r="I39" s="178" t="s">
        <v>222</v>
      </c>
      <c r="J39" s="186" t="s">
        <v>81</v>
      </c>
      <c r="K39" s="5">
        <v>10</v>
      </c>
      <c r="L39" s="4">
        <v>572</v>
      </c>
      <c r="M39" s="205">
        <f>T_4[[#This Row],[P Qu]]*T_4[[#This Row],[P PU]]</f>
        <v>5720</v>
      </c>
      <c r="N39" s="178">
        <v>0</v>
      </c>
      <c r="O39" s="7">
        <v>0</v>
      </c>
      <c r="P39" s="8">
        <v>0</v>
      </c>
      <c r="Q39" s="31">
        <f>T_4[[#This Row],[ACh Qu]]*T_4[[#This Row],[ACh PU]]</f>
        <v>0</v>
      </c>
      <c r="R39" s="30">
        <f>T_4[[#This Row],[P CT]]+T_4[[#This Row],[ACh CT]]</f>
        <v>5720</v>
      </c>
      <c r="S3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1029.5999999999999</v>
      </c>
      <c r="T39" s="184">
        <f>T_4[[#This Row],[Mt Elligible]]*T_4[[#This Row],[Tx Sub]]</f>
        <v>514.79999999999995</v>
      </c>
    </row>
    <row r="40" spans="1:20">
      <c r="A40" s="182" t="str">
        <f t="shared" si="6"/>
        <v>Lot_4</v>
      </c>
      <c r="B40" s="113" t="str">
        <f>_xlfn.XLOOKUP(T_4[[#This Row],[N° Lot]],Tableau4[NoLot],Tableau4[Lot])</f>
        <v>Test de validation des procédures et de la caractéris.</v>
      </c>
      <c r="C40" s="166" t="s">
        <v>147</v>
      </c>
      <c r="D40" s="186" t="s">
        <v>149</v>
      </c>
      <c r="E40" s="179" t="s">
        <v>229</v>
      </c>
      <c r="F40" s="185" t="s">
        <v>17</v>
      </c>
      <c r="G40" s="194">
        <f>_xlfn.XLOOKUP(T_4[[#This Row],[Partenaires]],Partenaires2[Partenaire],Partenaires2[Tx Ch Connexe])</f>
        <v>0.18</v>
      </c>
      <c r="H40" s="194">
        <f>_xlfn.XLOOKUP(T_4[[#This Row],[Partenaires]],Partenaires2[Partenaire],Partenaires2[Tx Sub])</f>
        <v>0.5</v>
      </c>
      <c r="I40" s="178" t="s">
        <v>220</v>
      </c>
      <c r="J40" s="186" t="s">
        <v>81</v>
      </c>
      <c r="K40" s="5">
        <v>5</v>
      </c>
      <c r="L40" s="4">
        <v>494</v>
      </c>
      <c r="M40" s="205">
        <f>T_4[[#This Row],[P Qu]]*T_4[[#This Row],[P PU]]</f>
        <v>2470</v>
      </c>
      <c r="N40" s="178">
        <v>0</v>
      </c>
      <c r="O40" s="7">
        <v>0</v>
      </c>
      <c r="P40" s="8">
        <v>0</v>
      </c>
      <c r="Q40" s="31">
        <f>T_4[[#This Row],[ACh Qu]]*T_4[[#This Row],[ACh PU]]</f>
        <v>0</v>
      </c>
      <c r="R40" s="30">
        <f>T_4[[#This Row],[P CT]]+T_4[[#This Row],[ACh CT]]</f>
        <v>2470</v>
      </c>
      <c r="S40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444.59999999999997</v>
      </c>
      <c r="T40" s="184">
        <f>T_4[[#This Row],[Mt Elligible]]*T_4[[#This Row],[Tx Sub]]</f>
        <v>222.29999999999998</v>
      </c>
    </row>
    <row r="41" spans="1:20">
      <c r="A41" s="182" t="str">
        <f t="shared" si="6"/>
        <v>Lot_4</v>
      </c>
      <c r="B41" s="113" t="str">
        <f>_xlfn.XLOOKUP(T_4[[#This Row],[N° Lot]],Tableau4[NoLot],Tableau4[Lot])</f>
        <v>Test de validation des procédures et de la caractéris.</v>
      </c>
      <c r="C41" s="166" t="s">
        <v>147</v>
      </c>
      <c r="D41" s="186" t="s">
        <v>149</v>
      </c>
      <c r="E41" s="179" t="s">
        <v>229</v>
      </c>
      <c r="F41" s="185" t="s">
        <v>17</v>
      </c>
      <c r="G41" s="194">
        <f>_xlfn.XLOOKUP(T_4[[#This Row],[Partenaires]],Partenaires2[Partenaire],Partenaires2[Tx Ch Connexe])</f>
        <v>0.18</v>
      </c>
      <c r="H41" s="194">
        <f>_xlfn.XLOOKUP(T_4[[#This Row],[Partenaires]],Partenaires2[Partenaire],Partenaires2[Tx Sub])</f>
        <v>0.5</v>
      </c>
      <c r="I41" s="178" t="s">
        <v>221</v>
      </c>
      <c r="J41" s="186" t="s">
        <v>82</v>
      </c>
      <c r="K41" s="5">
        <v>60</v>
      </c>
      <c r="L41" s="4">
        <v>119</v>
      </c>
      <c r="M41" s="205">
        <f>T_4[[#This Row],[P Qu]]*T_4[[#This Row],[P PU]]</f>
        <v>7140</v>
      </c>
      <c r="N41" s="178">
        <v>0</v>
      </c>
      <c r="O41" s="7">
        <v>0</v>
      </c>
      <c r="P41" s="8">
        <v>0</v>
      </c>
      <c r="Q41" s="31">
        <f>T_4[[#This Row],[ACh Qu]]*T_4[[#This Row],[ACh PU]]</f>
        <v>0</v>
      </c>
      <c r="R41" s="30">
        <f>T_4[[#This Row],[P CT]]+T_4[[#This Row],[ACh CT]]</f>
        <v>7140</v>
      </c>
      <c r="S41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8425.2000000000007</v>
      </c>
      <c r="T41" s="184">
        <f>T_4[[#This Row],[Mt Elligible]]*T_4[[#This Row],[Tx Sub]]</f>
        <v>4212.6000000000004</v>
      </c>
    </row>
    <row r="42" spans="1:20">
      <c r="A42" s="182" t="str">
        <f t="shared" ref="A42:A44" si="7">A$1</f>
        <v>Lot_4</v>
      </c>
      <c r="B42" s="113" t="str">
        <f>_xlfn.XLOOKUP(T_4[[#This Row],[N° Lot]],Tableau4[NoLot],Tableau4[Lot])</f>
        <v>Test de validation des procédures et de la caractéris.</v>
      </c>
      <c r="C42" s="166" t="s">
        <v>152</v>
      </c>
      <c r="D42" s="186" t="s">
        <v>150</v>
      </c>
      <c r="E42" s="179" t="s">
        <v>230</v>
      </c>
      <c r="F42" s="185" t="s">
        <v>17</v>
      </c>
      <c r="G42" s="194">
        <f>_xlfn.XLOOKUP(T_4[[#This Row],[Partenaires]],Partenaires2[Partenaire],Partenaires2[Tx Ch Connexe])</f>
        <v>0.18</v>
      </c>
      <c r="H42" s="194">
        <f>_xlfn.XLOOKUP(T_4[[#This Row],[Partenaires]],Partenaires2[Partenaire],Partenaires2[Tx Sub])</f>
        <v>0.5</v>
      </c>
      <c r="I42" s="178" t="s">
        <v>231</v>
      </c>
      <c r="J42" s="186" t="s">
        <v>81</v>
      </c>
      <c r="K42" s="5">
        <v>15</v>
      </c>
      <c r="L42" s="4">
        <v>572</v>
      </c>
      <c r="M42" s="205">
        <f>T_4[[#This Row],[P Qu]]*T_4[[#This Row],[P PU]]</f>
        <v>8580</v>
      </c>
      <c r="N42" s="178">
        <v>0</v>
      </c>
      <c r="O42" s="7">
        <v>0</v>
      </c>
      <c r="P42" s="8">
        <v>0</v>
      </c>
      <c r="Q42" s="31">
        <f>T_4[[#This Row],[ACh Qu]]*T_4[[#This Row],[ACh PU]]</f>
        <v>0</v>
      </c>
      <c r="R42" s="30">
        <f>T_4[[#This Row],[P CT]]+T_4[[#This Row],[ACh CT]]</f>
        <v>8580</v>
      </c>
      <c r="S42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1544.3999999999999</v>
      </c>
      <c r="T42" s="184">
        <f>T_4[[#This Row],[Mt Elligible]]*T_4[[#This Row],[Tx Sub]]</f>
        <v>772.19999999999993</v>
      </c>
    </row>
    <row r="43" spans="1:20">
      <c r="A43" s="182" t="str">
        <f t="shared" si="7"/>
        <v>Lot_4</v>
      </c>
      <c r="B43" s="113" t="str">
        <f>_xlfn.XLOOKUP(T_4[[#This Row],[N° Lot]],Tableau4[NoLot],Tableau4[Lot])</f>
        <v>Test de validation des procédures et de la caractéris.</v>
      </c>
      <c r="C43" s="166" t="s">
        <v>152</v>
      </c>
      <c r="D43" s="186" t="s">
        <v>150</v>
      </c>
      <c r="E43" s="179" t="s">
        <v>230</v>
      </c>
      <c r="F43" s="185" t="s">
        <v>17</v>
      </c>
      <c r="G43" s="194">
        <f>_xlfn.XLOOKUP(T_4[[#This Row],[Partenaires]],Partenaires2[Partenaire],Partenaires2[Tx Ch Connexe])</f>
        <v>0.18</v>
      </c>
      <c r="H43" s="194">
        <f>_xlfn.XLOOKUP(T_4[[#This Row],[Partenaires]],Partenaires2[Partenaire],Partenaires2[Tx Sub])</f>
        <v>0.5</v>
      </c>
      <c r="I43" s="178" t="s">
        <v>220</v>
      </c>
      <c r="J43" s="186" t="s">
        <v>81</v>
      </c>
      <c r="K43" s="5">
        <v>10</v>
      </c>
      <c r="L43" s="4">
        <v>494</v>
      </c>
      <c r="M43" s="205">
        <f>T_4[[#This Row],[P Qu]]*T_4[[#This Row],[P PU]]</f>
        <v>4940</v>
      </c>
      <c r="N43" s="178">
        <v>0</v>
      </c>
      <c r="O43" s="7">
        <v>0</v>
      </c>
      <c r="P43" s="8">
        <v>0</v>
      </c>
      <c r="Q43" s="31">
        <f>T_4[[#This Row],[ACh Qu]]*T_4[[#This Row],[ACh PU]]</f>
        <v>0</v>
      </c>
      <c r="R43" s="30">
        <f>T_4[[#This Row],[P CT]]+T_4[[#This Row],[ACh CT]]</f>
        <v>4940</v>
      </c>
      <c r="S43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889.19999999999993</v>
      </c>
      <c r="T43" s="184">
        <f>T_4[[#This Row],[Mt Elligible]]*T_4[[#This Row],[Tx Sub]]</f>
        <v>444.59999999999997</v>
      </c>
    </row>
    <row r="44" spans="1:20">
      <c r="A44" s="182" t="str">
        <f t="shared" si="7"/>
        <v>Lot_4</v>
      </c>
      <c r="B44" s="113" t="str">
        <f>_xlfn.XLOOKUP(T_4[[#This Row],[N° Lot]],Tableau4[NoLot],Tableau4[Lot])</f>
        <v>Test de validation des procédures et de la caractéris.</v>
      </c>
      <c r="C44" s="166" t="s">
        <v>152</v>
      </c>
      <c r="D44" s="186" t="s">
        <v>150</v>
      </c>
      <c r="E44" s="179" t="s">
        <v>230</v>
      </c>
      <c r="F44" s="185" t="s">
        <v>17</v>
      </c>
      <c r="G44" s="194">
        <f>_xlfn.XLOOKUP(T_4[[#This Row],[Partenaires]],Partenaires2[Partenaire],Partenaires2[Tx Ch Connexe])</f>
        <v>0.18</v>
      </c>
      <c r="H44" s="194">
        <f>_xlfn.XLOOKUP(T_4[[#This Row],[Partenaires]],Partenaires2[Partenaire],Partenaires2[Tx Sub])</f>
        <v>0.5</v>
      </c>
      <c r="I44" s="178" t="s">
        <v>254</v>
      </c>
      <c r="J44" s="186" t="s">
        <v>82</v>
      </c>
      <c r="K44" s="5">
        <v>20</v>
      </c>
      <c r="L44" s="4">
        <v>119</v>
      </c>
      <c r="M44" s="205">
        <f>T_4[[#This Row],[P Qu]]*T_4[[#This Row],[P PU]]</f>
        <v>2380</v>
      </c>
      <c r="N44" s="178">
        <v>0</v>
      </c>
      <c r="O44" s="7">
        <v>0</v>
      </c>
      <c r="P44" s="8">
        <v>0</v>
      </c>
      <c r="Q44" s="31">
        <f>T_4[[#This Row],[ACh Qu]]*T_4[[#This Row],[ACh PU]]</f>
        <v>0</v>
      </c>
      <c r="R44" s="30">
        <f>T_4[[#This Row],[P CT]]+T_4[[#This Row],[ACh CT]]</f>
        <v>2380</v>
      </c>
      <c r="S44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2808.4</v>
      </c>
      <c r="T44" s="184">
        <f>T_4[[#This Row],[Mt Elligible]]*T_4[[#This Row],[Tx Sub]]</f>
        <v>1404.2</v>
      </c>
    </row>
    <row r="45" spans="1:20" hidden="1">
      <c r="A45" s="182" t="str">
        <f t="shared" ref="A45:A59" si="8">A$1</f>
        <v>Lot_4</v>
      </c>
      <c r="B45" s="113" t="str">
        <f>_xlfn.XLOOKUP(T_4[[#This Row],[N° Lot]],Tableau4[NoLot],Tableau4[Lot])</f>
        <v>Test de validation des procédures et de la caractéris.</v>
      </c>
      <c r="C45" s="166" t="s">
        <v>151</v>
      </c>
      <c r="D45" s="186" t="s">
        <v>145</v>
      </c>
      <c r="F45" s="185" t="s">
        <v>79</v>
      </c>
      <c r="G45" s="194">
        <f>_xlfn.XLOOKUP(T_4[[#This Row],[Partenaires]],Partenaires2[Partenaire],Partenaires2[Tx Ch Connexe])</f>
        <v>0.16</v>
      </c>
      <c r="H45" s="194">
        <f>_xlfn.XLOOKUP(T_4[[#This Row],[Partenaires]],Partenaires2[Partenaire],Partenaires2[Tx Sub])</f>
        <v>0.5</v>
      </c>
      <c r="I45" s="178" t="s">
        <v>243</v>
      </c>
      <c r="J45" s="186" t="s">
        <v>82</v>
      </c>
      <c r="K45" s="5">
        <v>63</v>
      </c>
      <c r="L45" s="4">
        <v>328</v>
      </c>
      <c r="M45" s="205">
        <f>T_4[[#This Row],[P Qu]]*T_4[[#This Row],[P PU]]</f>
        <v>20664</v>
      </c>
      <c r="N45" s="180"/>
      <c r="O45" s="7"/>
      <c r="P45" s="8"/>
      <c r="Q45" s="31">
        <f>T_4[[#This Row],[ACh Qu]]*T_4[[#This Row],[ACh PU]]</f>
        <v>0</v>
      </c>
      <c r="R45" s="30">
        <f>T_4[[#This Row],[P CT]]+T_4[[#This Row],[ACh CT]]</f>
        <v>20664</v>
      </c>
      <c r="S45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23970.240000000002</v>
      </c>
      <c r="T45" s="184">
        <f>T_4[[#This Row],[Mt Elligible]]*T_4[[#This Row],[Tx Sub]]</f>
        <v>11985.12</v>
      </c>
    </row>
    <row r="46" spans="1:20" hidden="1">
      <c r="A46" s="182" t="str">
        <f t="shared" si="8"/>
        <v>Lot_4</v>
      </c>
      <c r="B46" s="113" t="str">
        <f>_xlfn.XLOOKUP(T_4[[#This Row],[N° Lot]],Tableau4[NoLot],Tableau4[Lot])</f>
        <v>Test de validation des procédures et de la caractéris.</v>
      </c>
      <c r="C46" s="166" t="s">
        <v>151</v>
      </c>
      <c r="D46" s="186" t="s">
        <v>145</v>
      </c>
      <c r="F46" s="185" t="s">
        <v>79</v>
      </c>
      <c r="G46" s="194">
        <f>_xlfn.XLOOKUP(T_4[[#This Row],[Partenaires]],Partenaires2[Partenaire],Partenaires2[Tx Ch Connexe])</f>
        <v>0.16</v>
      </c>
      <c r="H46" s="194">
        <f>_xlfn.XLOOKUP(T_4[[#This Row],[Partenaires]],Partenaires2[Partenaire],Partenaires2[Tx Sub])</f>
        <v>0.5</v>
      </c>
      <c r="I46" s="178" t="s">
        <v>241</v>
      </c>
      <c r="J46" s="186" t="s">
        <v>81</v>
      </c>
      <c r="K46" s="5">
        <v>63</v>
      </c>
      <c r="L46" s="4">
        <v>275</v>
      </c>
      <c r="M46" s="205">
        <f>T_4[[#This Row],[P Qu]]*T_4[[#This Row],[P PU]]</f>
        <v>17325</v>
      </c>
      <c r="N46" s="180"/>
      <c r="O46" s="7"/>
      <c r="P46" s="8"/>
      <c r="Q46" s="31">
        <f>T_4[[#This Row],[ACh Qu]]*T_4[[#This Row],[ACh PU]]</f>
        <v>0</v>
      </c>
      <c r="R46" s="30">
        <f>T_4[[#This Row],[P CT]]+T_4[[#This Row],[ACh CT]]</f>
        <v>17325</v>
      </c>
      <c r="S46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2772</v>
      </c>
      <c r="T46" s="184">
        <f>T_4[[#This Row],[Mt Elligible]]*T_4[[#This Row],[Tx Sub]]</f>
        <v>1386</v>
      </c>
    </row>
    <row r="47" spans="1:20" hidden="1">
      <c r="A47" s="182" t="str">
        <f t="shared" si="8"/>
        <v>Lot_4</v>
      </c>
      <c r="B47" s="113" t="str">
        <f>_xlfn.XLOOKUP(T_4[[#This Row],[N° Lot]],Tableau4[NoLot],Tableau4[Lot])</f>
        <v>Test de validation des procédures et de la caractéris.</v>
      </c>
      <c r="C47" s="166" t="s">
        <v>151</v>
      </c>
      <c r="D47" s="186" t="s">
        <v>145</v>
      </c>
      <c r="F47" s="185" t="s">
        <v>79</v>
      </c>
      <c r="G47" s="194">
        <f>_xlfn.XLOOKUP(T_4[[#This Row],[Partenaires]],Partenaires2[Partenaire],Partenaires2[Tx Ch Connexe])</f>
        <v>0.16</v>
      </c>
      <c r="H47" s="194">
        <f>_xlfn.XLOOKUP(T_4[[#This Row],[Partenaires]],Partenaires2[Partenaire],Partenaires2[Tx Sub])</f>
        <v>0.5</v>
      </c>
      <c r="I47" s="178" t="s">
        <v>239</v>
      </c>
      <c r="J47" s="186" t="s">
        <v>82</v>
      </c>
      <c r="K47" s="5">
        <v>63</v>
      </c>
      <c r="L47" s="4">
        <v>30</v>
      </c>
      <c r="M47" s="205">
        <f>T_4[[#This Row],[P Qu]]*T_4[[#This Row],[P PU]]</f>
        <v>1890</v>
      </c>
      <c r="N47" s="180"/>
      <c r="O47" s="7"/>
      <c r="P47" s="8"/>
      <c r="Q47" s="31">
        <f>T_4[[#This Row],[ACh Qu]]*T_4[[#This Row],[ACh PU]]</f>
        <v>0</v>
      </c>
      <c r="R47" s="30">
        <f>T_4[[#This Row],[P CT]]+T_4[[#This Row],[ACh CT]]</f>
        <v>1890</v>
      </c>
      <c r="S47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2192.4</v>
      </c>
      <c r="T47" s="184">
        <f>T_4[[#This Row],[Mt Elligible]]*T_4[[#This Row],[Tx Sub]]</f>
        <v>1096.2</v>
      </c>
    </row>
    <row r="48" spans="1:20" hidden="1">
      <c r="A48" s="182" t="str">
        <f t="shared" si="8"/>
        <v>Lot_4</v>
      </c>
      <c r="B48" s="113" t="str">
        <f>_xlfn.XLOOKUP(T_4[[#This Row],[N° Lot]],Tableau4[NoLot],Tableau4[Lot])</f>
        <v>Test de validation des procédures et de la caractéris.</v>
      </c>
      <c r="C48" s="166" t="s">
        <v>151</v>
      </c>
      <c r="D48" s="186" t="s">
        <v>146</v>
      </c>
      <c r="F48" s="185" t="s">
        <v>79</v>
      </c>
      <c r="G48" s="194">
        <f>_xlfn.XLOOKUP(T_4[[#This Row],[Partenaires]],Partenaires2[Partenaire],Partenaires2[Tx Ch Connexe])</f>
        <v>0.16</v>
      </c>
      <c r="H48" s="194">
        <f>_xlfn.XLOOKUP(T_4[[#This Row],[Partenaires]],Partenaires2[Partenaire],Partenaires2[Tx Sub])</f>
        <v>0.5</v>
      </c>
      <c r="I48" s="178" t="s">
        <v>238</v>
      </c>
      <c r="J48" s="186" t="s">
        <v>81</v>
      </c>
      <c r="K48" s="5">
        <v>4</v>
      </c>
      <c r="L48" s="4">
        <v>446</v>
      </c>
      <c r="M48" s="205">
        <f>T_4[[#This Row],[P Qu]]*T_4[[#This Row],[P PU]]</f>
        <v>1784</v>
      </c>
      <c r="N48" s="180"/>
      <c r="O48" s="7"/>
      <c r="P48" s="8"/>
      <c r="Q48" s="31">
        <f>T_4[[#This Row],[ACh Qu]]*T_4[[#This Row],[ACh PU]]</f>
        <v>0</v>
      </c>
      <c r="R48" s="30">
        <f>T_4[[#This Row],[P CT]]+T_4[[#This Row],[ACh CT]]</f>
        <v>1784</v>
      </c>
      <c r="S4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285.44</v>
      </c>
      <c r="T48" s="184">
        <f>T_4[[#This Row],[Mt Elligible]]*T_4[[#This Row],[Tx Sub]]</f>
        <v>142.72</v>
      </c>
    </row>
    <row r="49" spans="1:20" hidden="1">
      <c r="A49" s="182" t="str">
        <f t="shared" si="8"/>
        <v>Lot_4</v>
      </c>
      <c r="B49" s="113" t="str">
        <f>_xlfn.XLOOKUP(T_4[[#This Row],[N° Lot]],Tableau4[NoLot],Tableau4[Lot])</f>
        <v>Test de validation des procédures et de la caractéris.</v>
      </c>
      <c r="C49" s="166" t="s">
        <v>151</v>
      </c>
      <c r="D49" s="186" t="s">
        <v>146</v>
      </c>
      <c r="F49" s="185" t="s">
        <v>79</v>
      </c>
      <c r="G49" s="194">
        <f>_xlfn.XLOOKUP(T_4[[#This Row],[Partenaires]],Partenaires2[Partenaire],Partenaires2[Tx Ch Connexe])</f>
        <v>0.16</v>
      </c>
      <c r="H49" s="194">
        <f>_xlfn.XLOOKUP(T_4[[#This Row],[Partenaires]],Partenaires2[Partenaire],Partenaires2[Tx Sub])</f>
        <v>0.5</v>
      </c>
      <c r="I49" s="178" t="s">
        <v>243</v>
      </c>
      <c r="J49" s="186" t="s">
        <v>82</v>
      </c>
      <c r="K49" s="5">
        <v>4</v>
      </c>
      <c r="L49" s="4">
        <v>328</v>
      </c>
      <c r="M49" s="205">
        <f>T_4[[#This Row],[P Qu]]*T_4[[#This Row],[P PU]]</f>
        <v>1312</v>
      </c>
      <c r="N49" s="180"/>
      <c r="O49" s="7"/>
      <c r="P49" s="8"/>
      <c r="Q49" s="31">
        <f>T_4[[#This Row],[ACh Qu]]*T_4[[#This Row],[ACh PU]]</f>
        <v>0</v>
      </c>
      <c r="R49" s="30">
        <f>T_4[[#This Row],[P CT]]+T_4[[#This Row],[ACh CT]]</f>
        <v>1312</v>
      </c>
      <c r="S4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1521.92</v>
      </c>
      <c r="T49" s="184">
        <f>T_4[[#This Row],[Mt Elligible]]*T_4[[#This Row],[Tx Sub]]</f>
        <v>760.96</v>
      </c>
    </row>
    <row r="50" spans="1:20" hidden="1">
      <c r="A50" s="182" t="str">
        <f t="shared" si="8"/>
        <v>Lot_4</v>
      </c>
      <c r="B50" s="113" t="str">
        <f>_xlfn.XLOOKUP(T_4[[#This Row],[N° Lot]],Tableau4[NoLot],Tableau4[Lot])</f>
        <v>Test de validation des procédures et de la caractéris.</v>
      </c>
      <c r="C50" s="166"/>
      <c r="D50" s="186" t="s">
        <v>146</v>
      </c>
      <c r="F50" s="185" t="s">
        <v>79</v>
      </c>
      <c r="G50" s="194">
        <f>_xlfn.XLOOKUP(T_4[[#This Row],[Partenaires]],Partenaires2[Partenaire],Partenaires2[Tx Ch Connexe])</f>
        <v>0.16</v>
      </c>
      <c r="H50" s="194">
        <f>_xlfn.XLOOKUP(T_4[[#This Row],[Partenaires]],Partenaires2[Partenaire],Partenaires2[Tx Sub])</f>
        <v>0.5</v>
      </c>
      <c r="I50" s="178" t="s">
        <v>239</v>
      </c>
      <c r="J50" s="186" t="s">
        <v>82</v>
      </c>
      <c r="K50" s="5">
        <v>5</v>
      </c>
      <c r="L50" s="4">
        <v>30</v>
      </c>
      <c r="M50" s="205">
        <f>T_4[[#This Row],[P Qu]]*T_4[[#This Row],[P PU]]</f>
        <v>150</v>
      </c>
      <c r="N50" s="180"/>
      <c r="O50" s="7"/>
      <c r="P50" s="8"/>
      <c r="Q50" s="31">
        <f>T_4[[#This Row],[ACh Qu]]*T_4[[#This Row],[ACh PU]]</f>
        <v>0</v>
      </c>
      <c r="R50" s="30">
        <f>T_4[[#This Row],[P CT]]+T_4[[#This Row],[ACh CT]]</f>
        <v>150</v>
      </c>
      <c r="S50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174</v>
      </c>
      <c r="T50" s="184">
        <f>T_4[[#This Row],[Mt Elligible]]*T_4[[#This Row],[Tx Sub]]</f>
        <v>87</v>
      </c>
    </row>
    <row r="51" spans="1:20" hidden="1">
      <c r="A51" s="182" t="str">
        <f t="shared" si="8"/>
        <v>Lot_4</v>
      </c>
      <c r="B51" s="113" t="str">
        <f>_xlfn.XLOOKUP(T_4[[#This Row],[N° Lot]],Tableau4[NoLot],Tableau4[Lot])</f>
        <v>Test de validation des procédures et de la caractéris.</v>
      </c>
      <c r="C51" s="166" t="s">
        <v>147</v>
      </c>
      <c r="D51" s="186" t="s">
        <v>148</v>
      </c>
      <c r="F51" s="185" t="s">
        <v>79</v>
      </c>
      <c r="G51" s="194">
        <f>_xlfn.XLOOKUP(T_4[[#This Row],[Partenaires]],Partenaires2[Partenaire],Partenaires2[Tx Ch Connexe])</f>
        <v>0.16</v>
      </c>
      <c r="H51" s="194">
        <f>_xlfn.XLOOKUP(T_4[[#This Row],[Partenaires]],Partenaires2[Partenaire],Partenaires2[Tx Sub])</f>
        <v>0.5</v>
      </c>
      <c r="I51" s="178" t="s">
        <v>238</v>
      </c>
      <c r="J51" s="186" t="s">
        <v>81</v>
      </c>
      <c r="K51" s="5">
        <v>2</v>
      </c>
      <c r="L51" s="4">
        <v>446</v>
      </c>
      <c r="M51" s="205">
        <f>T_4[[#This Row],[P Qu]]*T_4[[#This Row],[P PU]]</f>
        <v>892</v>
      </c>
      <c r="N51" s="180"/>
      <c r="O51" s="7"/>
      <c r="P51" s="8"/>
      <c r="Q51" s="31">
        <f>T_4[[#This Row],[ACh Qu]]*T_4[[#This Row],[ACh PU]]</f>
        <v>0</v>
      </c>
      <c r="R51" s="30">
        <f>T_4[[#This Row],[P CT]]+T_4[[#This Row],[ACh CT]]</f>
        <v>892</v>
      </c>
      <c r="S51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142.72</v>
      </c>
      <c r="T51" s="184">
        <f>T_4[[#This Row],[Mt Elligible]]*T_4[[#This Row],[Tx Sub]]</f>
        <v>71.36</v>
      </c>
    </row>
    <row r="52" spans="1:20" hidden="1">
      <c r="A52" s="182" t="str">
        <f t="shared" si="8"/>
        <v>Lot_4</v>
      </c>
      <c r="B52" s="113" t="str">
        <f>_xlfn.XLOOKUP(T_4[[#This Row],[N° Lot]],Tableau4[NoLot],Tableau4[Lot])</f>
        <v>Test de validation des procédures et de la caractéris.</v>
      </c>
      <c r="C52" s="166" t="s">
        <v>147</v>
      </c>
      <c r="D52" s="186" t="s">
        <v>148</v>
      </c>
      <c r="F52" s="185" t="s">
        <v>79</v>
      </c>
      <c r="G52" s="194">
        <f>_xlfn.XLOOKUP(T_4[[#This Row],[Partenaires]],Partenaires2[Partenaire],Partenaires2[Tx Ch Connexe])</f>
        <v>0.16</v>
      </c>
      <c r="H52" s="194">
        <f>_xlfn.XLOOKUP(T_4[[#This Row],[Partenaires]],Partenaires2[Partenaire],Partenaires2[Tx Sub])</f>
        <v>0.5</v>
      </c>
      <c r="I52" s="178" t="s">
        <v>243</v>
      </c>
      <c r="J52" s="186" t="s">
        <v>82</v>
      </c>
      <c r="K52" s="5">
        <v>3</v>
      </c>
      <c r="L52" s="4">
        <v>328</v>
      </c>
      <c r="M52" s="205">
        <f>T_4[[#This Row],[P Qu]]*T_4[[#This Row],[P PU]]</f>
        <v>984</v>
      </c>
      <c r="N52" s="180"/>
      <c r="O52" s="7"/>
      <c r="P52" s="8"/>
      <c r="Q52" s="31">
        <f>T_4[[#This Row],[ACh Qu]]*T_4[[#This Row],[ACh PU]]</f>
        <v>0</v>
      </c>
      <c r="R52" s="30">
        <f>T_4[[#This Row],[P CT]]+T_4[[#This Row],[ACh CT]]</f>
        <v>984</v>
      </c>
      <c r="S52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1141.44</v>
      </c>
      <c r="T52" s="184">
        <f>T_4[[#This Row],[Mt Elligible]]*T_4[[#This Row],[Tx Sub]]</f>
        <v>570.72</v>
      </c>
    </row>
    <row r="53" spans="1:20" hidden="1">
      <c r="A53" s="182" t="str">
        <f t="shared" si="8"/>
        <v>Lot_4</v>
      </c>
      <c r="B53" s="113" t="str">
        <f>_xlfn.XLOOKUP(T_4[[#This Row],[N° Lot]],Tableau4[NoLot],Tableau4[Lot])</f>
        <v>Test de validation des procédures et de la caractéris.</v>
      </c>
      <c r="C53" s="166" t="s">
        <v>147</v>
      </c>
      <c r="D53" s="186" t="s">
        <v>148</v>
      </c>
      <c r="F53" s="185" t="s">
        <v>79</v>
      </c>
      <c r="G53" s="194">
        <f>_xlfn.XLOOKUP(T_4[[#This Row],[Partenaires]],Partenaires2[Partenaire],Partenaires2[Tx Ch Connexe])</f>
        <v>0.16</v>
      </c>
      <c r="H53" s="194">
        <f>_xlfn.XLOOKUP(T_4[[#This Row],[Partenaires]],Partenaires2[Partenaire],Partenaires2[Tx Sub])</f>
        <v>0.5</v>
      </c>
      <c r="I53" s="178" t="s">
        <v>239</v>
      </c>
      <c r="J53" s="186" t="s">
        <v>82</v>
      </c>
      <c r="K53" s="5">
        <v>10</v>
      </c>
      <c r="L53" s="4">
        <v>30</v>
      </c>
      <c r="M53" s="205">
        <f>T_4[[#This Row],[P Qu]]*T_4[[#This Row],[P PU]]</f>
        <v>300</v>
      </c>
      <c r="N53" s="180"/>
      <c r="O53" s="7"/>
      <c r="P53" s="8"/>
      <c r="Q53" s="31">
        <f>T_4[[#This Row],[ACh Qu]]*T_4[[#This Row],[ACh PU]]</f>
        <v>0</v>
      </c>
      <c r="R53" s="30">
        <f>T_4[[#This Row],[P CT]]+T_4[[#This Row],[ACh CT]]</f>
        <v>300</v>
      </c>
      <c r="S53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348</v>
      </c>
      <c r="T53" s="184">
        <f>T_4[[#This Row],[Mt Elligible]]*T_4[[#This Row],[Tx Sub]]</f>
        <v>174</v>
      </c>
    </row>
    <row r="54" spans="1:20" hidden="1">
      <c r="A54" s="182" t="str">
        <f t="shared" si="8"/>
        <v>Lot_4</v>
      </c>
      <c r="B54" s="113" t="str">
        <f>_xlfn.XLOOKUP(T_4[[#This Row],[N° Lot]],Tableau4[NoLot],Tableau4[Lot])</f>
        <v>Test de validation des procédures et de la caractéris.</v>
      </c>
      <c r="C54" s="166" t="s">
        <v>147</v>
      </c>
      <c r="D54" s="186" t="s">
        <v>149</v>
      </c>
      <c r="F54" s="185" t="s">
        <v>79</v>
      </c>
      <c r="G54" s="194">
        <f>_xlfn.XLOOKUP(T_4[[#This Row],[Partenaires]],Partenaires2[Partenaire],Partenaires2[Tx Ch Connexe])</f>
        <v>0.16</v>
      </c>
      <c r="H54" s="194">
        <f>_xlfn.XLOOKUP(T_4[[#This Row],[Partenaires]],Partenaires2[Partenaire],Partenaires2[Tx Sub])</f>
        <v>0.5</v>
      </c>
      <c r="I54" s="178" t="s">
        <v>238</v>
      </c>
      <c r="J54" s="186" t="s">
        <v>81</v>
      </c>
      <c r="K54" s="5">
        <v>1</v>
      </c>
      <c r="L54" s="4">
        <v>446</v>
      </c>
      <c r="M54" s="205">
        <f>T_4[[#This Row],[P Qu]]*T_4[[#This Row],[P PU]]</f>
        <v>446</v>
      </c>
      <c r="N54" s="180"/>
      <c r="O54" s="7"/>
      <c r="P54" s="8"/>
      <c r="Q54" s="31">
        <f>T_4[[#This Row],[ACh Qu]]*T_4[[#This Row],[ACh PU]]</f>
        <v>0</v>
      </c>
      <c r="R54" s="30">
        <f>T_4[[#This Row],[P CT]]+T_4[[#This Row],[ACh CT]]</f>
        <v>446</v>
      </c>
      <c r="S54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71.36</v>
      </c>
      <c r="T54" s="184">
        <f>T_4[[#This Row],[Mt Elligible]]*T_4[[#This Row],[Tx Sub]]</f>
        <v>35.68</v>
      </c>
    </row>
    <row r="55" spans="1:20" hidden="1">
      <c r="A55" s="182" t="str">
        <f t="shared" si="8"/>
        <v>Lot_4</v>
      </c>
      <c r="B55" s="113" t="str">
        <f>_xlfn.XLOOKUP(T_4[[#This Row],[N° Lot]],Tableau4[NoLot],Tableau4[Lot])</f>
        <v>Test de validation des procédures et de la caractéris.</v>
      </c>
      <c r="C55" s="166" t="s">
        <v>147</v>
      </c>
      <c r="D55" s="186" t="s">
        <v>149</v>
      </c>
      <c r="F55" s="185" t="s">
        <v>79</v>
      </c>
      <c r="G55" s="194">
        <f>_xlfn.XLOOKUP(T_4[[#This Row],[Partenaires]],Partenaires2[Partenaire],Partenaires2[Tx Ch Connexe])</f>
        <v>0.16</v>
      </c>
      <c r="H55" s="194">
        <f>_xlfn.XLOOKUP(T_4[[#This Row],[Partenaires]],Partenaires2[Partenaire],Partenaires2[Tx Sub])</f>
        <v>0.5</v>
      </c>
      <c r="I55" s="178" t="s">
        <v>243</v>
      </c>
      <c r="J55" s="186" t="s">
        <v>82</v>
      </c>
      <c r="K55" s="5">
        <v>3</v>
      </c>
      <c r="L55" s="4">
        <v>328</v>
      </c>
      <c r="M55" s="205">
        <f>T_4[[#This Row],[P Qu]]*T_4[[#This Row],[P PU]]</f>
        <v>984</v>
      </c>
      <c r="N55" s="180"/>
      <c r="O55" s="7"/>
      <c r="P55" s="8"/>
      <c r="Q55" s="31">
        <f>T_4[[#This Row],[ACh Qu]]*T_4[[#This Row],[ACh PU]]</f>
        <v>0</v>
      </c>
      <c r="R55" s="30">
        <f>T_4[[#This Row],[P CT]]+T_4[[#This Row],[ACh CT]]</f>
        <v>984</v>
      </c>
      <c r="S55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1141.44</v>
      </c>
      <c r="T55" s="184">
        <f>T_4[[#This Row],[Mt Elligible]]*T_4[[#This Row],[Tx Sub]]</f>
        <v>570.72</v>
      </c>
    </row>
    <row r="56" spans="1:20" hidden="1">
      <c r="A56" s="182" t="str">
        <f t="shared" si="8"/>
        <v>Lot_4</v>
      </c>
      <c r="B56" s="113" t="str">
        <f>_xlfn.XLOOKUP(T_4[[#This Row],[N° Lot]],Tableau4[NoLot],Tableau4[Lot])</f>
        <v>Test de validation des procédures et de la caractéris.</v>
      </c>
      <c r="C56" s="166" t="s">
        <v>147</v>
      </c>
      <c r="D56" s="186" t="s">
        <v>149</v>
      </c>
      <c r="F56" s="185" t="s">
        <v>79</v>
      </c>
      <c r="G56" s="194">
        <f>_xlfn.XLOOKUP(T_4[[#This Row],[Partenaires]],Partenaires2[Partenaire],Partenaires2[Tx Ch Connexe])</f>
        <v>0.16</v>
      </c>
      <c r="H56" s="194">
        <f>_xlfn.XLOOKUP(T_4[[#This Row],[Partenaires]],Partenaires2[Partenaire],Partenaires2[Tx Sub])</f>
        <v>0.5</v>
      </c>
      <c r="I56" s="178" t="s">
        <v>239</v>
      </c>
      <c r="J56" s="186" t="s">
        <v>82</v>
      </c>
      <c r="K56" s="5">
        <v>10</v>
      </c>
      <c r="L56" s="4">
        <v>30</v>
      </c>
      <c r="M56" s="205">
        <f>T_4[[#This Row],[P Qu]]*T_4[[#This Row],[P PU]]</f>
        <v>300</v>
      </c>
      <c r="N56" s="180"/>
      <c r="O56" s="7"/>
      <c r="P56" s="8"/>
      <c r="Q56" s="31">
        <f>T_4[[#This Row],[ACh Qu]]*T_4[[#This Row],[ACh PU]]</f>
        <v>0</v>
      </c>
      <c r="R56" s="30">
        <f>T_4[[#This Row],[P CT]]+T_4[[#This Row],[ACh CT]]</f>
        <v>300</v>
      </c>
      <c r="S56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348</v>
      </c>
      <c r="T56" s="184">
        <f>T_4[[#This Row],[Mt Elligible]]*T_4[[#This Row],[Tx Sub]]</f>
        <v>174</v>
      </c>
    </row>
    <row r="57" spans="1:20" hidden="1">
      <c r="A57" s="182" t="str">
        <f t="shared" si="8"/>
        <v>Lot_4</v>
      </c>
      <c r="B57" s="113" t="str">
        <f>_xlfn.XLOOKUP(T_4[[#This Row],[N° Lot]],Tableau4[NoLot],Tableau4[Lot])</f>
        <v>Test de validation des procédures et de la caractéris.</v>
      </c>
      <c r="C57" s="166" t="s">
        <v>152</v>
      </c>
      <c r="D57" s="186" t="s">
        <v>150</v>
      </c>
      <c r="F57" s="185" t="s">
        <v>79</v>
      </c>
      <c r="G57" s="194">
        <f>_xlfn.XLOOKUP(T_4[[#This Row],[Partenaires]],Partenaires2[Partenaire],Partenaires2[Tx Ch Connexe])</f>
        <v>0.16</v>
      </c>
      <c r="H57" s="194">
        <f>_xlfn.XLOOKUP(T_4[[#This Row],[Partenaires]],Partenaires2[Partenaire],Partenaires2[Tx Sub])</f>
        <v>0.5</v>
      </c>
      <c r="I57" s="178" t="s">
        <v>238</v>
      </c>
      <c r="J57" s="186" t="s">
        <v>81</v>
      </c>
      <c r="K57" s="5">
        <v>1</v>
      </c>
      <c r="L57" s="4">
        <v>446</v>
      </c>
      <c r="M57" s="205">
        <f>T_4[[#This Row],[P Qu]]*T_4[[#This Row],[P PU]]</f>
        <v>446</v>
      </c>
      <c r="N57" s="180"/>
      <c r="O57" s="7"/>
      <c r="P57" s="8"/>
      <c r="Q57" s="31">
        <f>T_4[[#This Row],[ACh Qu]]*T_4[[#This Row],[ACh PU]]</f>
        <v>0</v>
      </c>
      <c r="R57" s="30">
        <f>T_4[[#This Row],[P CT]]+T_4[[#This Row],[ACh CT]]</f>
        <v>446</v>
      </c>
      <c r="S57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71.36</v>
      </c>
      <c r="T57" s="184">
        <f>T_4[[#This Row],[Mt Elligible]]*T_4[[#This Row],[Tx Sub]]</f>
        <v>35.68</v>
      </c>
    </row>
    <row r="58" spans="1:20" hidden="1">
      <c r="A58" s="182" t="str">
        <f t="shared" si="8"/>
        <v>Lot_4</v>
      </c>
      <c r="B58" s="113" t="str">
        <f>_xlfn.XLOOKUP(T_4[[#This Row],[N° Lot]],Tableau4[NoLot],Tableau4[Lot])</f>
        <v>Test de validation des procédures et de la caractéris.</v>
      </c>
      <c r="C58" s="166" t="s">
        <v>152</v>
      </c>
      <c r="D58" s="186" t="s">
        <v>150</v>
      </c>
      <c r="F58" s="185" t="s">
        <v>79</v>
      </c>
      <c r="G58" s="194">
        <f>_xlfn.XLOOKUP(T_4[[#This Row],[Partenaires]],Partenaires2[Partenaire],Partenaires2[Tx Ch Connexe])</f>
        <v>0.16</v>
      </c>
      <c r="H58" s="194">
        <f>_xlfn.XLOOKUP(T_4[[#This Row],[Partenaires]],Partenaires2[Partenaire],Partenaires2[Tx Sub])</f>
        <v>0.5</v>
      </c>
      <c r="I58" s="178" t="s">
        <v>243</v>
      </c>
      <c r="J58" s="186" t="s">
        <v>82</v>
      </c>
      <c r="K58" s="5">
        <v>5</v>
      </c>
      <c r="L58" s="4">
        <v>328</v>
      </c>
      <c r="M58" s="205">
        <f>T_4[[#This Row],[P Qu]]*T_4[[#This Row],[P PU]]</f>
        <v>1640</v>
      </c>
      <c r="N58" s="180"/>
      <c r="O58" s="7"/>
      <c r="P58" s="8"/>
      <c r="Q58" s="31">
        <f>T_4[[#This Row],[ACh Qu]]*T_4[[#This Row],[ACh PU]]</f>
        <v>0</v>
      </c>
      <c r="R58" s="30">
        <f>T_4[[#This Row],[P CT]]+T_4[[#This Row],[ACh CT]]</f>
        <v>1640</v>
      </c>
      <c r="S5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1902.4</v>
      </c>
      <c r="T58" s="184">
        <f>T_4[[#This Row],[Mt Elligible]]*T_4[[#This Row],[Tx Sub]]</f>
        <v>951.2</v>
      </c>
    </row>
    <row r="59" spans="1:20" hidden="1">
      <c r="A59" s="182" t="str">
        <f t="shared" si="8"/>
        <v>Lot_4</v>
      </c>
      <c r="B59" s="113" t="str">
        <f>_xlfn.XLOOKUP(T_4[[#This Row],[N° Lot]],Tableau4[NoLot],Tableau4[Lot])</f>
        <v>Test de validation des procédures et de la caractéris.</v>
      </c>
      <c r="C59" s="166" t="s">
        <v>152</v>
      </c>
      <c r="D59" s="186" t="s">
        <v>150</v>
      </c>
      <c r="F59" s="185" t="s">
        <v>79</v>
      </c>
      <c r="G59" s="194">
        <f>_xlfn.XLOOKUP(T_4[[#This Row],[Partenaires]],Partenaires2[Partenaire],Partenaires2[Tx Ch Connexe])</f>
        <v>0.16</v>
      </c>
      <c r="H59" s="194">
        <f>_xlfn.XLOOKUP(T_4[[#This Row],[Partenaires]],Partenaires2[Partenaire],Partenaires2[Tx Sub])</f>
        <v>0.5</v>
      </c>
      <c r="I59" s="178" t="s">
        <v>239</v>
      </c>
      <c r="J59" s="186" t="s">
        <v>82</v>
      </c>
      <c r="K59" s="5">
        <v>5</v>
      </c>
      <c r="L59" s="4">
        <v>30</v>
      </c>
      <c r="M59" s="205">
        <f>T_4[[#This Row],[P Qu]]*T_4[[#This Row],[P PU]]</f>
        <v>150</v>
      </c>
      <c r="N59" s="180"/>
      <c r="O59" s="7"/>
      <c r="P59" s="8"/>
      <c r="Q59" s="31">
        <f>T_4[[#This Row],[ACh Qu]]*T_4[[#This Row],[ACh PU]]</f>
        <v>0</v>
      </c>
      <c r="R59" s="30">
        <f>T_4[[#This Row],[P CT]]+T_4[[#This Row],[ACh CT]]</f>
        <v>150</v>
      </c>
      <c r="S5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174</v>
      </c>
      <c r="T59" s="184">
        <f>T_4[[#This Row],[Mt Elligible]]*T_4[[#This Row],[Tx Sub]]</f>
        <v>87</v>
      </c>
    </row>
    <row r="60" spans="1:20" hidden="1">
      <c r="A60" s="182" t="str">
        <f>A$1</f>
        <v>Lot_4</v>
      </c>
      <c r="B60" s="113" t="str">
        <f>_xlfn.XLOOKUP(T_4[[#This Row],[N° Lot]],Tableau4[NoLot],Tableau4[Lot])</f>
        <v>Test de validation des procédures et de la caractéris.</v>
      </c>
      <c r="C60" s="166" t="s">
        <v>153</v>
      </c>
      <c r="D60" s="186" t="s">
        <v>137</v>
      </c>
      <c r="F60" s="185" t="s">
        <v>21</v>
      </c>
      <c r="G60" s="210">
        <f>_xlfn.XLOOKUP(T_4[[#This Row],[Partenaires]],Partenaires2[Partenaire],Partenaires2[Tx Ch Connexe])</f>
        <v>0.25</v>
      </c>
      <c r="H60" s="210">
        <f>_xlfn.XLOOKUP(T_4[[#This Row],[Partenaires]],Partenaires2[Partenaire],Partenaires2[Tx Sub])</f>
        <v>0.7</v>
      </c>
      <c r="I60" s="178" t="s">
        <v>259</v>
      </c>
      <c r="J60" s="186" t="s">
        <v>82</v>
      </c>
      <c r="K60" s="5">
        <v>16</v>
      </c>
      <c r="L60" s="4">
        <v>430</v>
      </c>
      <c r="M60" s="31">
        <f>T_4[[#This Row],[P Qu]]*T_4[[#This Row],[P PU]]</f>
        <v>6880</v>
      </c>
      <c r="N60" s="180" t="s">
        <v>45</v>
      </c>
      <c r="O60" s="7">
        <v>14</v>
      </c>
      <c r="P60" s="8">
        <v>150</v>
      </c>
      <c r="Q60" s="31">
        <f>T_4[[#This Row],[ACh Qu]]*T_4[[#This Row],[ACh PU]]</f>
        <v>2100</v>
      </c>
      <c r="R60" s="30">
        <f>T_4[[#This Row],[P CT]]+T_4[[#This Row],[ACh CT]]</f>
        <v>8980</v>
      </c>
      <c r="S60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11225</v>
      </c>
      <c r="T60" s="184">
        <f>T_4[[#This Row],[Mt Elligible]]*T_4[[#This Row],[Tx Sub]]</f>
        <v>7857.4999999999991</v>
      </c>
    </row>
    <row r="61" spans="1:20" hidden="1">
      <c r="A61" s="182" t="str">
        <f>A$1</f>
        <v>Lot_4</v>
      </c>
      <c r="B61" s="113" t="str">
        <f>_xlfn.XLOOKUP(T_4[[#This Row],[N° Lot]],Tableau4[NoLot],Tableau4[Lot])</f>
        <v>Test de validation des procédures et de la caractéris.</v>
      </c>
      <c r="C61" s="166" t="s">
        <v>153</v>
      </c>
      <c r="D61" s="186" t="s">
        <v>138</v>
      </c>
      <c r="F61" s="185" t="s">
        <v>21</v>
      </c>
      <c r="G61" s="210">
        <f>_xlfn.XLOOKUP(T_4[[#This Row],[Partenaires]],Partenaires2[Partenaire],Partenaires2[Tx Ch Connexe])</f>
        <v>0.25</v>
      </c>
      <c r="H61" s="210">
        <f>_xlfn.XLOOKUP(T_4[[#This Row],[Partenaires]],Partenaires2[Partenaire],Partenaires2[Tx Sub])</f>
        <v>0.7</v>
      </c>
      <c r="I61" s="178" t="s">
        <v>259</v>
      </c>
      <c r="J61" s="186" t="s">
        <v>82</v>
      </c>
      <c r="K61" s="5">
        <v>2</v>
      </c>
      <c r="L61" s="4">
        <v>430</v>
      </c>
      <c r="M61" s="31">
        <f>T_4[[#This Row],[P Qu]]*T_4[[#This Row],[P PU]]</f>
        <v>860</v>
      </c>
      <c r="N61" s="180" t="s">
        <v>45</v>
      </c>
      <c r="O61" s="7"/>
      <c r="P61" s="8"/>
      <c r="Q61" s="31">
        <f>T_4[[#This Row],[ACh Qu]]*T_4[[#This Row],[ACh PU]]</f>
        <v>0</v>
      </c>
      <c r="R61" s="30">
        <f>T_4[[#This Row],[P CT]]+T_4[[#This Row],[ACh CT]]</f>
        <v>860</v>
      </c>
      <c r="S61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1075</v>
      </c>
      <c r="T61" s="184">
        <f>T_4[[#This Row],[Mt Elligible]]*T_4[[#This Row],[Tx Sub]]</f>
        <v>752.5</v>
      </c>
    </row>
    <row r="62" spans="1:20" ht="45" hidden="1">
      <c r="A62" s="182" t="str">
        <f t="shared" ref="A62" si="9">A$1</f>
        <v>Lot_4</v>
      </c>
      <c r="B62" s="113" t="str">
        <f>_xlfn.XLOOKUP(T_4[[#This Row],[N° Lot]],Tableau4[NoLot],Tableau4[Lot])</f>
        <v>Test de validation des procédures et de la caractéris.</v>
      </c>
      <c r="C62" s="166" t="s">
        <v>151</v>
      </c>
      <c r="D62" s="186" t="s">
        <v>145</v>
      </c>
      <c r="E62" s="179" t="s">
        <v>260</v>
      </c>
      <c r="F62" s="185" t="s">
        <v>21</v>
      </c>
      <c r="G62" s="208">
        <f>_xlfn.XLOOKUP(T_4[[#This Row],[Partenaires]],Partenaires2[Partenaire],Partenaires2[Tx Ch Connexe])</f>
        <v>0.25</v>
      </c>
      <c r="H62" s="208">
        <f>_xlfn.XLOOKUP(T_4[[#This Row],[Partenaires]],Partenaires2[Partenaire],Partenaires2[Tx Sub])</f>
        <v>0.7</v>
      </c>
      <c r="I62" s="178" t="s">
        <v>259</v>
      </c>
      <c r="J62" s="186" t="s">
        <v>82</v>
      </c>
      <c r="K62" s="5">
        <v>4</v>
      </c>
      <c r="L62" s="4">
        <v>430</v>
      </c>
      <c r="M62" s="206">
        <f>T_4[[#This Row],[P Qu]]*T_4[[#This Row],[P PU]]</f>
        <v>1720</v>
      </c>
      <c r="N62" s="180" t="s">
        <v>261</v>
      </c>
      <c r="O62" s="7">
        <v>2</v>
      </c>
      <c r="P62" s="8">
        <v>8500</v>
      </c>
      <c r="Q62" s="31">
        <f>T_4[[#This Row],[ACh Qu]]*T_4[[#This Row],[ACh PU]]</f>
        <v>17000</v>
      </c>
      <c r="R62" s="30">
        <f>T_4[[#This Row],[P CT]]+T_4[[#This Row],[ACh CT]]</f>
        <v>18720</v>
      </c>
      <c r="S62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23400</v>
      </c>
      <c r="T62" s="184">
        <f>T_4[[#This Row],[Mt Elligible]]*T_4[[#This Row],[Tx Sub]]</f>
        <v>16379.999999999998</v>
      </c>
    </row>
    <row r="63" spans="1:20" hidden="1">
      <c r="A63" s="182" t="str">
        <f t="shared" ref="A63:A69" si="10">A$1</f>
        <v>Lot_4</v>
      </c>
      <c r="B63" s="113" t="str">
        <f>_xlfn.XLOOKUP(T_4[[#This Row],[N° Lot]],Tableau4[NoLot],Tableau4[Lot])</f>
        <v>Test de validation des procédures et de la caractéris.</v>
      </c>
      <c r="C63" s="166" t="s">
        <v>151</v>
      </c>
      <c r="D63" s="186" t="s">
        <v>122</v>
      </c>
      <c r="F63" s="185" t="s">
        <v>22</v>
      </c>
      <c r="G63" s="210">
        <f>_xlfn.XLOOKUP(T_4[[#This Row],[Partenaires]],Partenaires2[Partenaire],Partenaires2[Tx Ch Connexe])</f>
        <v>0.2</v>
      </c>
      <c r="H63" s="210">
        <f>_xlfn.XLOOKUP(T_4[[#This Row],[Partenaires]],Partenaires2[Partenaire],Partenaires2[Tx Sub])</f>
        <v>0.5</v>
      </c>
      <c r="I63" s="178" t="s">
        <v>216</v>
      </c>
      <c r="J63" s="186" t="s">
        <v>82</v>
      </c>
      <c r="K63" s="5">
        <v>5</v>
      </c>
      <c r="L63" s="4">
        <v>380</v>
      </c>
      <c r="M63" s="31">
        <f>T_4[[#This Row],[P Qu]]*T_4[[#This Row],[P PU]]</f>
        <v>1900</v>
      </c>
      <c r="N63" s="180"/>
      <c r="O63" s="7"/>
      <c r="P63" s="8"/>
      <c r="Q63" s="31">
        <f>T_4[[#This Row],[ACh Qu]]*T_4[[#This Row],[ACh PU]]</f>
        <v>0</v>
      </c>
      <c r="R63" s="30">
        <f>T_4[[#This Row],[P CT]]+T_4[[#This Row],[ACh CT]]</f>
        <v>1900</v>
      </c>
      <c r="S63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2280</v>
      </c>
      <c r="T63" s="184">
        <f>T_4[[#This Row],[Mt Elligible]]*T_4[[#This Row],[Tx Sub]]</f>
        <v>1140</v>
      </c>
    </row>
    <row r="64" spans="1:20" hidden="1">
      <c r="A64" s="182" t="str">
        <f t="shared" si="10"/>
        <v>Lot_4</v>
      </c>
      <c r="B64" s="113" t="str">
        <f>_xlfn.XLOOKUP(T_4[[#This Row],[N° Lot]],Tableau4[NoLot],Tableau4[Lot])</f>
        <v>Test de validation des procédures et de la caractéris.</v>
      </c>
      <c r="C64" s="166" t="s">
        <v>151</v>
      </c>
      <c r="D64" s="186" t="s">
        <v>145</v>
      </c>
      <c r="F64" s="185" t="s">
        <v>22</v>
      </c>
      <c r="G64" s="210">
        <f>_xlfn.XLOOKUP(T_4[[#This Row],[Partenaires]],Partenaires2[Partenaire],Partenaires2[Tx Ch Connexe])</f>
        <v>0.2</v>
      </c>
      <c r="H64" s="210">
        <f>_xlfn.XLOOKUP(T_4[[#This Row],[Partenaires]],Partenaires2[Partenaire],Partenaires2[Tx Sub])</f>
        <v>0.5</v>
      </c>
      <c r="I64" s="178" t="s">
        <v>216</v>
      </c>
      <c r="J64" s="186" t="s">
        <v>82</v>
      </c>
      <c r="K64" s="5">
        <v>1</v>
      </c>
      <c r="L64" s="4">
        <v>380</v>
      </c>
      <c r="M64" s="31">
        <f>T_4[[#This Row],[P Qu]]*T_4[[#This Row],[P PU]]</f>
        <v>380</v>
      </c>
      <c r="N64" s="180"/>
      <c r="O64" s="7"/>
      <c r="P64" s="8"/>
      <c r="Q64" s="31">
        <f>T_4[[#This Row],[ACh Qu]]*T_4[[#This Row],[ACh PU]]</f>
        <v>0</v>
      </c>
      <c r="R64" s="30">
        <f>T_4[[#This Row],[P CT]]+T_4[[#This Row],[ACh CT]]</f>
        <v>380</v>
      </c>
      <c r="S64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456</v>
      </c>
      <c r="T64" s="184">
        <f>T_4[[#This Row],[Mt Elligible]]*T_4[[#This Row],[Tx Sub]]</f>
        <v>228</v>
      </c>
    </row>
    <row r="65" spans="1:20" hidden="1">
      <c r="A65" s="182" t="str">
        <f t="shared" si="10"/>
        <v>Lot_4</v>
      </c>
      <c r="B65" s="113" t="str">
        <f>_xlfn.XLOOKUP(T_4[[#This Row],[N° Lot]],Tableau4[NoLot],Tableau4[Lot])</f>
        <v>Test de validation des procédures et de la caractéris.</v>
      </c>
      <c r="C65" s="166" t="s">
        <v>151</v>
      </c>
      <c r="D65" s="186" t="s">
        <v>145</v>
      </c>
      <c r="F65" s="185" t="s">
        <v>22</v>
      </c>
      <c r="G65" s="210">
        <f>_xlfn.XLOOKUP(T_4[[#This Row],[Partenaires]],Partenaires2[Partenaire],Partenaires2[Tx Ch Connexe])</f>
        <v>0.2</v>
      </c>
      <c r="H65" s="210">
        <f>_xlfn.XLOOKUP(T_4[[#This Row],[Partenaires]],Partenaires2[Partenaire],Partenaires2[Tx Sub])</f>
        <v>0.5</v>
      </c>
      <c r="I65" s="178" t="s">
        <v>217</v>
      </c>
      <c r="J65" s="186" t="s">
        <v>82</v>
      </c>
      <c r="K65" s="5">
        <v>80</v>
      </c>
      <c r="L65" s="4">
        <v>280</v>
      </c>
      <c r="M65" s="31">
        <f>T_4[[#This Row],[P Qu]]*T_4[[#This Row],[P PU]]</f>
        <v>22400</v>
      </c>
      <c r="N65" s="180" t="s">
        <v>218</v>
      </c>
      <c r="O65" s="7">
        <v>1</v>
      </c>
      <c r="P65" s="8">
        <v>7000</v>
      </c>
      <c r="Q65" s="31">
        <f>T_4[[#This Row],[ACh Qu]]*T_4[[#This Row],[ACh PU]]</f>
        <v>7000</v>
      </c>
      <c r="R65" s="30">
        <f>T_4[[#This Row],[P CT]]+T_4[[#This Row],[ACh CT]]</f>
        <v>29400</v>
      </c>
      <c r="S65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35280</v>
      </c>
      <c r="T65" s="184">
        <f>T_4[[#This Row],[Mt Elligible]]*T_4[[#This Row],[Tx Sub]]</f>
        <v>17640</v>
      </c>
    </row>
    <row r="66" spans="1:20" hidden="1">
      <c r="A66" s="182" t="str">
        <f t="shared" si="10"/>
        <v>Lot_4</v>
      </c>
      <c r="B66" s="113" t="str">
        <f>_xlfn.XLOOKUP(T_4[[#This Row],[N° Lot]],Tableau4[NoLot],Tableau4[Lot])</f>
        <v>Test de validation des procédures et de la caractéris.</v>
      </c>
      <c r="C66" s="166" t="s">
        <v>151</v>
      </c>
      <c r="D66" s="186" t="s">
        <v>146</v>
      </c>
      <c r="F66" s="185" t="s">
        <v>22</v>
      </c>
      <c r="G66" s="210">
        <f>_xlfn.XLOOKUP(T_4[[#This Row],[Partenaires]],Partenaires2[Partenaire],Partenaires2[Tx Ch Connexe])</f>
        <v>0.2</v>
      </c>
      <c r="H66" s="210">
        <f>_xlfn.XLOOKUP(T_4[[#This Row],[Partenaires]],Partenaires2[Partenaire],Partenaires2[Tx Sub])</f>
        <v>0.5</v>
      </c>
      <c r="I66" s="178" t="s">
        <v>216</v>
      </c>
      <c r="J66" s="186" t="s">
        <v>82</v>
      </c>
      <c r="K66" s="5">
        <v>3</v>
      </c>
      <c r="L66" s="4">
        <v>380</v>
      </c>
      <c r="M66" s="31">
        <f>T_4[[#This Row],[P Qu]]*T_4[[#This Row],[P PU]]</f>
        <v>1140</v>
      </c>
      <c r="N66" s="180"/>
      <c r="O66" s="7"/>
      <c r="P66" s="8"/>
      <c r="Q66" s="31">
        <f>T_4[[#This Row],[ACh Qu]]*T_4[[#This Row],[ACh PU]]</f>
        <v>0</v>
      </c>
      <c r="R66" s="30">
        <f>T_4[[#This Row],[P CT]]+T_4[[#This Row],[ACh CT]]</f>
        <v>1140</v>
      </c>
      <c r="S66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1368</v>
      </c>
      <c r="T66" s="184">
        <f>T_4[[#This Row],[Mt Elligible]]*T_4[[#This Row],[Tx Sub]]</f>
        <v>684</v>
      </c>
    </row>
    <row r="67" spans="1:20" hidden="1">
      <c r="A67" s="182" t="str">
        <f t="shared" si="10"/>
        <v>Lot_4</v>
      </c>
      <c r="B67" s="113" t="str">
        <f>_xlfn.XLOOKUP(T_4[[#This Row],[N° Lot]],Tableau4[NoLot],Tableau4[Lot])</f>
        <v>Test de validation des procédures et de la caractéris.</v>
      </c>
      <c r="C67" s="166" t="s">
        <v>147</v>
      </c>
      <c r="D67" s="186" t="s">
        <v>148</v>
      </c>
      <c r="F67" s="185" t="s">
        <v>22</v>
      </c>
      <c r="G67" s="210">
        <f>_xlfn.XLOOKUP(T_4[[#This Row],[Partenaires]],Partenaires2[Partenaire],Partenaires2[Tx Ch Connexe])</f>
        <v>0.2</v>
      </c>
      <c r="H67" s="210">
        <f>_xlfn.XLOOKUP(T_4[[#This Row],[Partenaires]],Partenaires2[Partenaire],Partenaires2[Tx Sub])</f>
        <v>0.5</v>
      </c>
      <c r="I67" s="178" t="s">
        <v>216</v>
      </c>
      <c r="J67" s="186" t="s">
        <v>82</v>
      </c>
      <c r="K67" s="5">
        <v>1</v>
      </c>
      <c r="L67" s="4">
        <v>380</v>
      </c>
      <c r="M67" s="31">
        <f>T_4[[#This Row],[P Qu]]*T_4[[#This Row],[P PU]]</f>
        <v>380</v>
      </c>
      <c r="N67" s="180"/>
      <c r="O67" s="7"/>
      <c r="P67" s="8"/>
      <c r="Q67" s="31">
        <f>T_4[[#This Row],[ACh Qu]]*T_4[[#This Row],[ACh PU]]</f>
        <v>0</v>
      </c>
      <c r="R67" s="30">
        <f>T_4[[#This Row],[P CT]]+T_4[[#This Row],[ACh CT]]</f>
        <v>380</v>
      </c>
      <c r="S67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456</v>
      </c>
      <c r="T67" s="184">
        <f>T_4[[#This Row],[Mt Elligible]]*T_4[[#This Row],[Tx Sub]]</f>
        <v>228</v>
      </c>
    </row>
    <row r="68" spans="1:20" hidden="1">
      <c r="A68" s="182" t="str">
        <f t="shared" si="10"/>
        <v>Lot_4</v>
      </c>
      <c r="B68" s="113" t="str">
        <f>_xlfn.XLOOKUP(T_4[[#This Row],[N° Lot]],Tableau4[NoLot],Tableau4[Lot])</f>
        <v>Test de validation des procédures et de la caractéris.</v>
      </c>
      <c r="C68" s="166" t="s">
        <v>147</v>
      </c>
      <c r="D68" s="186" t="s">
        <v>149</v>
      </c>
      <c r="F68" s="185" t="s">
        <v>22</v>
      </c>
      <c r="G68" s="210">
        <f>_xlfn.XLOOKUP(T_4[[#This Row],[Partenaires]],Partenaires2[Partenaire],Partenaires2[Tx Ch Connexe])</f>
        <v>0.2</v>
      </c>
      <c r="H68" s="210">
        <f>_xlfn.XLOOKUP(T_4[[#This Row],[Partenaires]],Partenaires2[Partenaire],Partenaires2[Tx Sub])</f>
        <v>0.5</v>
      </c>
      <c r="I68" s="178" t="s">
        <v>216</v>
      </c>
      <c r="J68" s="186" t="s">
        <v>82</v>
      </c>
      <c r="K68" s="5">
        <v>1</v>
      </c>
      <c r="L68" s="4">
        <v>380</v>
      </c>
      <c r="M68" s="31">
        <f>T_4[[#This Row],[P Qu]]*T_4[[#This Row],[P PU]]</f>
        <v>380</v>
      </c>
      <c r="N68" s="180"/>
      <c r="O68" s="7"/>
      <c r="P68" s="8"/>
      <c r="Q68" s="31">
        <f>T_4[[#This Row],[ACh Qu]]*T_4[[#This Row],[ACh PU]]</f>
        <v>0</v>
      </c>
      <c r="R68" s="30">
        <f>T_4[[#This Row],[P CT]]+T_4[[#This Row],[ACh CT]]</f>
        <v>380</v>
      </c>
      <c r="S68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456</v>
      </c>
      <c r="T68" s="184">
        <f>T_4[[#This Row],[Mt Elligible]]*T_4[[#This Row],[Tx Sub]]</f>
        <v>228</v>
      </c>
    </row>
    <row r="69" spans="1:20" hidden="1">
      <c r="A69" s="182" t="str">
        <f t="shared" si="10"/>
        <v>Lot_4</v>
      </c>
      <c r="B69" s="113" t="str">
        <f>_xlfn.XLOOKUP(T_4[[#This Row],[N° Lot]],Tableau4[NoLot],Tableau4[Lot])</f>
        <v>Test de validation des procédures et de la caractéris.</v>
      </c>
      <c r="C69" s="166" t="s">
        <v>152</v>
      </c>
      <c r="D69" s="186" t="s">
        <v>150</v>
      </c>
      <c r="F69" s="185" t="s">
        <v>22</v>
      </c>
      <c r="G69" s="210">
        <f>_xlfn.XLOOKUP(T_4[[#This Row],[Partenaires]],Partenaires2[Partenaire],Partenaires2[Tx Ch Connexe])</f>
        <v>0.2</v>
      </c>
      <c r="H69" s="210">
        <f>_xlfn.XLOOKUP(T_4[[#This Row],[Partenaires]],Partenaires2[Partenaire],Partenaires2[Tx Sub])</f>
        <v>0.5</v>
      </c>
      <c r="I69" s="178" t="s">
        <v>216</v>
      </c>
      <c r="J69" s="186" t="s">
        <v>82</v>
      </c>
      <c r="K69" s="5">
        <v>1</v>
      </c>
      <c r="L69" s="4">
        <v>380</v>
      </c>
      <c r="M69" s="31">
        <f>T_4[[#This Row],[P Qu]]*T_4[[#This Row],[P PU]]</f>
        <v>380</v>
      </c>
      <c r="N69" s="180"/>
      <c r="O69" s="7"/>
      <c r="P69" s="8"/>
      <c r="Q69" s="31">
        <f>T_4[[#This Row],[ACh Qu]]*T_4[[#This Row],[ACh PU]]</f>
        <v>0</v>
      </c>
      <c r="R69" s="30">
        <f>T_4[[#This Row],[P CT]]+T_4[[#This Row],[ACh CT]]</f>
        <v>380</v>
      </c>
      <c r="S69" s="184">
        <f>IF(T_4[[#This Row],[Eligible]]="Oui",T_4[[#This Row],[Ct TOTAL]]+T_4[[#This Row],[Ct TOTAL]]*T_4[[#This Row],[Tx Charge Connexe]],T_4[[#This Row],[P CT]]*T_4[[#This Row],[Tx Charge Connexe]]+T_4[[#This Row],[ACh CT]]+T_4[[#This Row],[ACh CT]]*T_4[[#This Row],[Tx Charge Connexe]])</f>
        <v>456</v>
      </c>
      <c r="T69" s="184">
        <f>T_4[[#This Row],[Mt Elligible]]*T_4[[#This Row],[Tx Sub]]</f>
        <v>228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A3:A69" xr:uid="{2FC60EE9-2C95-47AF-9DFC-56D78AF6B74D}">
      <formula1>NoLot</formula1>
    </dataValidation>
    <dataValidation type="list" allowBlank="1" showInputMessage="1" showErrorMessage="1" sqref="F3:H69" xr:uid="{127859C8-93C3-43CE-BABD-9CD1FF66D65F}">
      <formula1>Partenaires</formula1>
    </dataValidation>
    <dataValidation type="list" allowBlank="1" showInputMessage="1" showErrorMessage="1" sqref="C3:C69" xr:uid="{C02EB212-0FC5-4E23-AE92-B3E636680BA8}">
      <formula1>INDIRECT(A3)</formula1>
    </dataValidation>
    <dataValidation type="list" allowBlank="1" showInputMessage="1" showErrorMessage="1" sqref="D3:D69" xr:uid="{4FA47456-0EB3-4F13-A9FF-A7CD88BB95A1}">
      <formula1>INDIRECT(C3)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ECC8C0-AE8E-4165-A3D1-9BD31DAE0826}">
          <x14:formula1>
            <xm:f>Liste!$H$3:$H$4</xm:f>
          </x14:formula1>
          <xm:sqref>J3:J59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607C8-AC89-4DE4-A2B4-8BBD8132B2EE}">
  <sheetPr codeName="Feuil6">
    <tabColor theme="9" tint="0.39997558519241921"/>
  </sheetPr>
  <dimension ref="A1:T65"/>
  <sheetViews>
    <sheetView zoomScale="90" zoomScaleNormal="90" workbookViewId="0">
      <pane ySplit="2" topLeftCell="A3" activePane="bottomLeft" state="frozenSplit"/>
      <selection activeCell="G7" sqref="G7"/>
      <selection pane="bottomLeft" activeCell="F73" sqref="F73"/>
    </sheetView>
  </sheetViews>
  <sheetFormatPr baseColWidth="10" defaultRowHeight="15"/>
  <cols>
    <col min="1" max="1" width="8.140625" style="1" customWidth="1"/>
    <col min="2" max="2" width="3.85546875" style="3" customWidth="1"/>
    <col min="3" max="3" width="16.140625" style="178" customWidth="1"/>
    <col min="4" max="4" width="31" style="178" customWidth="1"/>
    <col min="5" max="5" width="26" style="178" customWidth="1"/>
    <col min="6" max="6" width="12.28515625" style="2" customWidth="1"/>
    <col min="7" max="8" width="7.42578125" style="197" customWidth="1"/>
    <col min="9" max="9" width="11.42578125" style="1" customWidth="1"/>
    <col min="10" max="10" width="8" style="1" customWidth="1"/>
    <col min="11" max="11" width="7.42578125" style="1" customWidth="1"/>
    <col min="12" max="12" width="11.42578125" style="1"/>
    <col min="13" max="13" width="15.28515625" style="3" customWidth="1"/>
    <col min="14" max="14" width="14.42578125" style="1" customWidth="1"/>
    <col min="15" max="15" width="11.42578125" style="5"/>
    <col min="16" max="16" width="11.42578125" style="1"/>
    <col min="17" max="17" width="11.42578125" style="3"/>
    <col min="18" max="18" width="14" style="3" customWidth="1"/>
    <col min="19" max="16384" width="11.42578125" style="1"/>
  </cols>
  <sheetData>
    <row r="1" spans="1:20" s="10" customFormat="1" ht="36.75" customHeight="1">
      <c r="A1" s="33" t="s">
        <v>34</v>
      </c>
      <c r="F1" s="11"/>
      <c r="G1" s="193"/>
      <c r="H1" s="193"/>
      <c r="I1" s="239" t="s">
        <v>47</v>
      </c>
      <c r="J1" s="239"/>
      <c r="K1" s="239"/>
      <c r="L1" s="239"/>
      <c r="M1" s="239"/>
      <c r="N1" s="20" t="s">
        <v>4</v>
      </c>
      <c r="O1" s="20"/>
      <c r="P1" s="20"/>
      <c r="Q1" s="20"/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0" t="s">
        <v>37</v>
      </c>
      <c r="F2" s="11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10" t="s">
        <v>11</v>
      </c>
      <c r="M2" s="10" t="s">
        <v>12</v>
      </c>
      <c r="N2" s="10" t="s">
        <v>5</v>
      </c>
      <c r="O2" s="12" t="s">
        <v>6</v>
      </c>
      <c r="P2" s="10" t="s">
        <v>7</v>
      </c>
      <c r="Q2" s="10" t="s">
        <v>8</v>
      </c>
      <c r="R2" s="10" t="s">
        <v>13</v>
      </c>
      <c r="S2" s="50" t="s">
        <v>83</v>
      </c>
      <c r="T2" s="50" t="s">
        <v>84</v>
      </c>
    </row>
    <row r="3" spans="1:20">
      <c r="A3" s="182" t="str">
        <f>'[1]Lot 5'!A3</f>
        <v>Lot_5</v>
      </c>
      <c r="B3" s="113" t="str">
        <f>'[1]Lot 5'!B3</f>
        <v>Structuration d’une prénorme</v>
      </c>
      <c r="C3" s="166" t="str">
        <f>'[1]Lot 5'!C3</f>
        <v>T1_Commission_prénormalisation</v>
      </c>
      <c r="D3" s="186" t="s">
        <v>126</v>
      </c>
      <c r="E3" s="178">
        <f>'[1]Lot 5'!E3</f>
        <v>0</v>
      </c>
      <c r="F3" s="105" t="str">
        <f>'[1]Lot 5'!F3</f>
        <v>AKTA</v>
      </c>
      <c r="G3" s="196">
        <f>_xlfn.XLOOKUP(T_5[[#This Row],[Partenaires]],Partenaires2[Partenaire],Partenaires2[Tx Ch Connexe])</f>
        <v>0.25</v>
      </c>
      <c r="H3" s="196">
        <f>_xlfn.XLOOKUP(T_5[[#This Row],[Partenaires]],Partenaires2[Partenaire],Partenaires2[Tx Sub])</f>
        <v>0.7</v>
      </c>
      <c r="I3" s="1">
        <f>'[1]Lot 5'!I3</f>
        <v>0</v>
      </c>
      <c r="J3" s="107" t="str">
        <f>'[1]Lot 5'!J3</f>
        <v>Oui</v>
      </c>
      <c r="K3" s="5">
        <f>'[1]Lot 5'!K3</f>
        <v>1.5</v>
      </c>
      <c r="L3" s="4">
        <f>'[1]Lot 5'!L3</f>
        <v>490</v>
      </c>
      <c r="M3" s="31">
        <f>T_5[[#This Row],[P Qu]]*T_5[[#This Row],[P PU]]</f>
        <v>735</v>
      </c>
      <c r="N3" s="6" t="str">
        <f>'[1]Lot 5'!N3</f>
        <v>Déplacements</v>
      </c>
      <c r="O3" s="7">
        <f>'[1]Lot 5'!O3</f>
        <v>1</v>
      </c>
      <c r="P3" s="8">
        <f>'[1]Lot 5'!P3</f>
        <v>150</v>
      </c>
      <c r="Q3" s="31">
        <f>T_5[[#This Row],[ACh Qu]]*T_5[[#This Row],[ACh PU]]</f>
        <v>150</v>
      </c>
      <c r="R3" s="30">
        <f>T_5[[#This Row],[P CT]]+T_5[[#This Row],[ACh CT]]</f>
        <v>885</v>
      </c>
      <c r="S3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1106.25</v>
      </c>
      <c r="T3" s="53">
        <f>T_5[[#This Row],[Mt Elligible]]*T_5[[#This Row],[Tx Sub]]</f>
        <v>774.375</v>
      </c>
    </row>
    <row r="4" spans="1:20" hidden="1">
      <c r="A4" s="16" t="str">
        <f>A$1</f>
        <v>Lot_5</v>
      </c>
      <c r="B4" s="113" t="str">
        <f>_xlfn.XLOOKUP(T_5[[#This Row],[N° Lot]],Tableau4[NoLot],Tableau4[Lot])</f>
        <v>Structuration d’une prénorme</v>
      </c>
      <c r="C4" s="166" t="s">
        <v>63</v>
      </c>
      <c r="D4" s="186" t="s">
        <v>126</v>
      </c>
      <c r="F4" s="105" t="s">
        <v>16</v>
      </c>
      <c r="G4" s="196">
        <f>_xlfn.XLOOKUP(T_5[[#This Row],[Partenaires]],Partenaires2[Partenaire],Partenaires2[Tx Ch Connexe])</f>
        <v>0.25</v>
      </c>
      <c r="H4" s="196">
        <f>_xlfn.XLOOKUP(T_5[[#This Row],[Partenaires]],Partenaires2[Partenaire],Partenaires2[Tx Sub])</f>
        <v>0.7</v>
      </c>
      <c r="J4" s="107" t="s">
        <v>82</v>
      </c>
      <c r="K4" s="5"/>
      <c r="L4" s="4"/>
      <c r="M4" s="31">
        <f>T_5[[#This Row],[P Qu]]*T_5[[#This Row],[P PU]]</f>
        <v>0</v>
      </c>
      <c r="N4" s="6" t="s">
        <v>163</v>
      </c>
      <c r="O4" s="7">
        <v>2</v>
      </c>
      <c r="P4" s="8">
        <v>520</v>
      </c>
      <c r="Q4" s="31">
        <f>T_5[[#This Row],[ACh Qu]]*T_5[[#This Row],[ACh PU]]</f>
        <v>1040</v>
      </c>
      <c r="R4" s="30">
        <f>T_5[[#This Row],[P CT]]+T_5[[#This Row],[ACh CT]]</f>
        <v>1040</v>
      </c>
      <c r="S4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1300</v>
      </c>
      <c r="T4" s="53">
        <f>T_5[[#This Row],[Mt Elligible]]*T_5[[#This Row],[Tx Sub]]</f>
        <v>909.99999999999989</v>
      </c>
    </row>
    <row r="5" spans="1:20" s="178" customFormat="1" ht="30" hidden="1">
      <c r="A5" s="16" t="str">
        <f>A$1</f>
        <v>Lot_5</v>
      </c>
      <c r="B5" s="113" t="str">
        <f>_xlfn.XLOOKUP(T_5[[#This Row],[N° Lot]],Tableau4[NoLot],Tableau4[Lot])</f>
        <v>Structuration d’une prénorme</v>
      </c>
      <c r="C5" s="166" t="s">
        <v>63</v>
      </c>
      <c r="D5" s="186" t="s">
        <v>126</v>
      </c>
      <c r="F5" s="185" t="s">
        <v>38</v>
      </c>
      <c r="G5" s="196">
        <f>_xlfn.XLOOKUP(T_5[[#This Row],[Partenaires]],Partenaires2[Partenaire],Partenaires2[Tx Ch Connexe])</f>
        <v>0.22</v>
      </c>
      <c r="H5" s="196">
        <f>_xlfn.XLOOKUP(T_5[[#This Row],[Partenaires]],Partenaires2[Partenaire],Partenaires2[Tx Sub])</f>
        <v>0.7</v>
      </c>
      <c r="I5" s="178" t="s">
        <v>46</v>
      </c>
      <c r="J5" s="186" t="s">
        <v>82</v>
      </c>
      <c r="K5" s="5">
        <v>2</v>
      </c>
      <c r="L5" s="4">
        <v>406</v>
      </c>
      <c r="M5" s="31">
        <f>T_5[[#This Row],[P Qu]]*T_5[[#This Row],[P PU]]</f>
        <v>812</v>
      </c>
      <c r="N5" s="180"/>
      <c r="O5" s="7"/>
      <c r="P5" s="8"/>
      <c r="Q5" s="31">
        <f>T_5[[#This Row],[ACh Qu]]*T_5[[#This Row],[ACh PU]]</f>
        <v>0</v>
      </c>
      <c r="R5" s="30">
        <f>T_5[[#This Row],[P CT]]+T_5[[#This Row],[ACh CT]]</f>
        <v>812</v>
      </c>
      <c r="S5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990.64</v>
      </c>
      <c r="T5" s="184">
        <f>T_5[[#This Row],[Mt Elligible]]*T_5[[#This Row],[Tx Sub]]</f>
        <v>693.44799999999998</v>
      </c>
    </row>
    <row r="6" spans="1:20">
      <c r="A6" s="182" t="str">
        <f>'[1]Lot 5'!A4</f>
        <v>Lot_5</v>
      </c>
      <c r="B6" s="113" t="str">
        <f>'[1]Lot 5'!B4</f>
        <v>Structuration d’une prénorme</v>
      </c>
      <c r="C6" s="166" t="str">
        <f>'[1]Lot 5'!C4</f>
        <v>T1_Commission_prénormalisation</v>
      </c>
      <c r="D6" s="186" t="str">
        <f>'[1]Lot 5'!D4</f>
        <v>ST2 Mise en place du "comité de suivi" et de "groupes techniques"</v>
      </c>
      <c r="E6" s="178">
        <f>'[1]Lot 5'!E4</f>
        <v>0</v>
      </c>
      <c r="F6" s="105" t="str">
        <f>'[1]Lot 5'!F4</f>
        <v>AKTA</v>
      </c>
      <c r="G6" s="196">
        <f>_xlfn.XLOOKUP(T_5[[#This Row],[Partenaires]],Partenaires2[Partenaire],Partenaires2[Tx Ch Connexe])</f>
        <v>0.25</v>
      </c>
      <c r="H6" s="196">
        <f>_xlfn.XLOOKUP(T_5[[#This Row],[Partenaires]],Partenaires2[Partenaire],Partenaires2[Tx Sub])</f>
        <v>0.7</v>
      </c>
      <c r="I6" s="1">
        <f>'[1]Lot 5'!I4</f>
        <v>0</v>
      </c>
      <c r="J6" s="107" t="str">
        <f>'[1]Lot 5'!J4</f>
        <v>Oui</v>
      </c>
      <c r="K6" s="5">
        <f>'[1]Lot 5'!K4</f>
        <v>2</v>
      </c>
      <c r="L6" s="4">
        <f>'[1]Lot 5'!L4</f>
        <v>490</v>
      </c>
      <c r="M6" s="31">
        <f>T_5[[#This Row],[P Qu]]*T_5[[#This Row],[P PU]]</f>
        <v>980</v>
      </c>
      <c r="N6" s="6" t="str">
        <f>'[1]Lot 5'!N4</f>
        <v>Déplacements</v>
      </c>
      <c r="O6" s="7">
        <f>'[1]Lot 5'!O4</f>
        <v>2</v>
      </c>
      <c r="P6" s="8">
        <f>'[1]Lot 5'!P4</f>
        <v>150</v>
      </c>
      <c r="Q6" s="31">
        <f>T_5[[#This Row],[ACh Qu]]*T_5[[#This Row],[ACh PU]]</f>
        <v>300</v>
      </c>
      <c r="R6" s="30">
        <f>T_5[[#This Row],[P CT]]+T_5[[#This Row],[ACh CT]]</f>
        <v>1280</v>
      </c>
      <c r="S6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1600</v>
      </c>
      <c r="T6" s="53">
        <f>T_5[[#This Row],[Mt Elligible]]*T_5[[#This Row],[Tx Sub]]</f>
        <v>1120</v>
      </c>
    </row>
    <row r="7" spans="1:20" ht="30" hidden="1">
      <c r="A7" s="16" t="str">
        <f>A$1</f>
        <v>Lot_5</v>
      </c>
      <c r="B7" s="113" t="str">
        <f>_xlfn.XLOOKUP(T_5[[#This Row],[N° Lot]],Tableau4[NoLot],Tableau4[Lot])</f>
        <v>Structuration d’une prénorme</v>
      </c>
      <c r="C7" s="166" t="s">
        <v>63</v>
      </c>
      <c r="D7" s="186" t="s">
        <v>127</v>
      </c>
      <c r="F7" s="105" t="s">
        <v>38</v>
      </c>
      <c r="G7" s="196">
        <f>_xlfn.XLOOKUP(T_5[[#This Row],[Partenaires]],Partenaires2[Partenaire],Partenaires2[Tx Ch Connexe])</f>
        <v>0.22</v>
      </c>
      <c r="H7" s="196">
        <f>_xlfn.XLOOKUP(T_5[[#This Row],[Partenaires]],Partenaires2[Partenaire],Partenaires2[Tx Sub])</f>
        <v>0.7</v>
      </c>
      <c r="I7" s="1" t="s">
        <v>46</v>
      </c>
      <c r="J7" s="107" t="s">
        <v>82</v>
      </c>
      <c r="K7" s="5">
        <v>2</v>
      </c>
      <c r="L7" s="4">
        <v>406</v>
      </c>
      <c r="M7" s="31">
        <f>T_5[[#This Row],[P Qu]]*T_5[[#This Row],[P PU]]</f>
        <v>812</v>
      </c>
      <c r="N7" s="6"/>
      <c r="O7" s="7"/>
      <c r="P7" s="8"/>
      <c r="Q7" s="31">
        <f>T_5[[#This Row],[ACh Qu]]*T_5[[#This Row],[ACh PU]]</f>
        <v>0</v>
      </c>
      <c r="R7" s="30">
        <f>T_5[[#This Row],[P CT]]+T_5[[#This Row],[ACh CT]]</f>
        <v>812</v>
      </c>
      <c r="S7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990.64</v>
      </c>
      <c r="T7" s="53">
        <f>T_5[[#This Row],[Mt Elligible]]*T_5[[#This Row],[Tx Sub]]</f>
        <v>693.44799999999998</v>
      </c>
    </row>
    <row r="8" spans="1:20" hidden="1">
      <c r="A8" s="16" t="str">
        <f>A$1</f>
        <v>Lot_5</v>
      </c>
      <c r="B8" s="113" t="str">
        <f>_xlfn.XLOOKUP(T_5[[#This Row],[N° Lot]],Tableau4[NoLot],Tableau4[Lot])</f>
        <v>Structuration d’une prénorme</v>
      </c>
      <c r="C8" s="166" t="s">
        <v>63</v>
      </c>
      <c r="D8" s="186" t="s">
        <v>127</v>
      </c>
      <c r="F8" s="105" t="s">
        <v>16</v>
      </c>
      <c r="G8" s="196">
        <f>_xlfn.XLOOKUP(T_5[[#This Row],[Partenaires]],Partenaires2[Partenaire],Partenaires2[Tx Ch Connexe])</f>
        <v>0.25</v>
      </c>
      <c r="H8" s="196">
        <f>_xlfn.XLOOKUP(T_5[[#This Row],[Partenaires]],Partenaires2[Partenaire],Partenaires2[Tx Sub])</f>
        <v>0.7</v>
      </c>
      <c r="J8" s="107" t="s">
        <v>82</v>
      </c>
      <c r="K8" s="5"/>
      <c r="L8" s="4"/>
      <c r="M8" s="31">
        <f>T_5[[#This Row],[P Qu]]*T_5[[#This Row],[P PU]]</f>
        <v>0</v>
      </c>
      <c r="N8" s="6" t="s">
        <v>163</v>
      </c>
      <c r="O8" s="7">
        <v>2</v>
      </c>
      <c r="P8" s="8">
        <v>520</v>
      </c>
      <c r="Q8" s="31">
        <f>T_5[[#This Row],[ACh Qu]]*T_5[[#This Row],[ACh PU]]</f>
        <v>1040</v>
      </c>
      <c r="R8" s="30">
        <f>T_5[[#This Row],[P CT]]+T_5[[#This Row],[ACh CT]]</f>
        <v>1040</v>
      </c>
      <c r="S8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1300</v>
      </c>
      <c r="T8" s="53">
        <f>T_5[[#This Row],[Mt Elligible]]*T_5[[#This Row],[Tx Sub]]</f>
        <v>909.99999999999989</v>
      </c>
    </row>
    <row r="9" spans="1:20" ht="30" hidden="1">
      <c r="A9" s="16" t="str">
        <f>A$1</f>
        <v>Lot_5</v>
      </c>
      <c r="B9" s="113" t="str">
        <f>_xlfn.XLOOKUP(T_5[[#This Row],[N° Lot]],Tableau4[NoLot],Tableau4[Lot])</f>
        <v>Structuration d’une prénorme</v>
      </c>
      <c r="C9" s="166" t="s">
        <v>63</v>
      </c>
      <c r="D9" s="186" t="s">
        <v>128</v>
      </c>
      <c r="E9" s="178" t="s">
        <v>164</v>
      </c>
      <c r="F9" s="105" t="s">
        <v>38</v>
      </c>
      <c r="G9" s="196">
        <f>_xlfn.XLOOKUP(T_5[[#This Row],[Partenaires]],Partenaires2[Partenaire],Partenaires2[Tx Ch Connexe])</f>
        <v>0.22</v>
      </c>
      <c r="H9" s="196">
        <f>_xlfn.XLOOKUP(T_5[[#This Row],[Partenaires]],Partenaires2[Partenaire],Partenaires2[Tx Sub])</f>
        <v>0.7</v>
      </c>
      <c r="I9" s="1" t="s">
        <v>46</v>
      </c>
      <c r="J9" s="107" t="s">
        <v>82</v>
      </c>
      <c r="K9" s="5">
        <v>2</v>
      </c>
      <c r="L9" s="4">
        <v>406</v>
      </c>
      <c r="M9" s="31">
        <f>T_5[[#This Row],[P Qu]]*T_5[[#This Row],[P PU]]</f>
        <v>812</v>
      </c>
      <c r="N9" s="6"/>
      <c r="O9" s="7"/>
      <c r="P9" s="8"/>
      <c r="Q9" s="31">
        <f>T_5[[#This Row],[ACh Qu]]*T_5[[#This Row],[ACh PU]]</f>
        <v>0</v>
      </c>
      <c r="R9" s="30">
        <f>T_5[[#This Row],[P CT]]+T_5[[#This Row],[ACh CT]]</f>
        <v>812</v>
      </c>
      <c r="S9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990.64</v>
      </c>
      <c r="T9" s="53">
        <f>T_5[[#This Row],[Mt Elligible]]*T_5[[#This Row],[Tx Sub]]</f>
        <v>693.44799999999998</v>
      </c>
    </row>
    <row r="10" spans="1:20" ht="30" hidden="1">
      <c r="A10" s="16" t="str">
        <f>A$1</f>
        <v>Lot_5</v>
      </c>
      <c r="B10" s="113" t="str">
        <f>_xlfn.XLOOKUP(T_5[[#This Row],[N° Lot]],Tableau4[NoLot],Tableau4[Lot])</f>
        <v>Structuration d’une prénorme</v>
      </c>
      <c r="C10" s="166" t="s">
        <v>63</v>
      </c>
      <c r="D10" s="186" t="s">
        <v>128</v>
      </c>
      <c r="E10" s="178" t="s">
        <v>164</v>
      </c>
      <c r="F10" s="105" t="s">
        <v>38</v>
      </c>
      <c r="G10" s="196">
        <f>_xlfn.XLOOKUP(T_5[[#This Row],[Partenaires]],Partenaires2[Partenaire],Partenaires2[Tx Ch Connexe])</f>
        <v>0.22</v>
      </c>
      <c r="H10" s="196">
        <f>_xlfn.XLOOKUP(T_5[[#This Row],[Partenaires]],Partenaires2[Partenaire],Partenaires2[Tx Sub])</f>
        <v>0.7</v>
      </c>
      <c r="I10" s="1" t="s">
        <v>155</v>
      </c>
      <c r="J10" s="107" t="s">
        <v>82</v>
      </c>
      <c r="K10" s="5">
        <v>6</v>
      </c>
      <c r="L10" s="4">
        <v>304</v>
      </c>
      <c r="M10" s="31">
        <f>T_5[[#This Row],[P Qu]]*T_5[[#This Row],[P PU]]</f>
        <v>1824</v>
      </c>
      <c r="N10" s="6"/>
      <c r="O10" s="7"/>
      <c r="P10" s="8"/>
      <c r="Q10" s="31">
        <f>T_5[[#This Row],[ACh Qu]]*T_5[[#This Row],[ACh PU]]</f>
        <v>0</v>
      </c>
      <c r="R10" s="30">
        <f>T_5[[#This Row],[P CT]]+T_5[[#This Row],[ACh CT]]</f>
        <v>1824</v>
      </c>
      <c r="S10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2225.2800000000002</v>
      </c>
      <c r="T10" s="53">
        <f>T_5[[#This Row],[Mt Elligible]]*T_5[[#This Row],[Tx Sub]]</f>
        <v>1557.6960000000001</v>
      </c>
    </row>
    <row r="11" spans="1:20" hidden="1">
      <c r="A11" s="16" t="str">
        <f>A$1</f>
        <v>Lot_5</v>
      </c>
      <c r="B11" s="113" t="str">
        <f>_xlfn.XLOOKUP(T_5[[#This Row],[N° Lot]],Tableau4[NoLot],Tableau4[Lot])</f>
        <v>Structuration d’une prénorme</v>
      </c>
      <c r="C11" s="166" t="s">
        <v>63</v>
      </c>
      <c r="D11" s="186" t="s">
        <v>128</v>
      </c>
      <c r="E11" s="178" t="s">
        <v>164</v>
      </c>
      <c r="F11" s="105" t="s">
        <v>16</v>
      </c>
      <c r="G11" s="196">
        <f>_xlfn.XLOOKUP(T_5[[#This Row],[Partenaires]],Partenaires2[Partenaire],Partenaires2[Tx Ch Connexe])</f>
        <v>0.25</v>
      </c>
      <c r="H11" s="196">
        <f>_xlfn.XLOOKUP(T_5[[#This Row],[Partenaires]],Partenaires2[Partenaire],Partenaires2[Tx Sub])</f>
        <v>0.7</v>
      </c>
      <c r="J11" s="107" t="s">
        <v>82</v>
      </c>
      <c r="K11" s="5"/>
      <c r="L11" s="4"/>
      <c r="M11" s="31">
        <f>T_5[[#This Row],[P Qu]]*T_5[[#This Row],[P PU]]</f>
        <v>0</v>
      </c>
      <c r="N11" s="6" t="s">
        <v>163</v>
      </c>
      <c r="O11" s="7">
        <v>1</v>
      </c>
      <c r="P11" s="8">
        <v>520</v>
      </c>
      <c r="Q11" s="31">
        <f>T_5[[#This Row],[ACh Qu]]*T_5[[#This Row],[ACh PU]]</f>
        <v>520</v>
      </c>
      <c r="R11" s="30">
        <f>T_5[[#This Row],[P CT]]+T_5[[#This Row],[ACh CT]]</f>
        <v>520</v>
      </c>
      <c r="S11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650</v>
      </c>
      <c r="T11" s="53">
        <f>T_5[[#This Row],[Mt Elligible]]*T_5[[#This Row],[Tx Sub]]</f>
        <v>454.99999999999994</v>
      </c>
    </row>
    <row r="12" spans="1:20">
      <c r="A12" s="23" t="str">
        <f>'[1]Lot 5'!A5</f>
        <v>Lot_5</v>
      </c>
      <c r="B12" s="113" t="str">
        <f>'[1]Lot 5'!B5</f>
        <v>Structuration d’une prénorme</v>
      </c>
      <c r="C12" s="166" t="str">
        <f>'[1]Lot 5'!C5</f>
        <v>T1_Commission_prénormalisation</v>
      </c>
      <c r="D12" s="186" t="str">
        <f>'[1]Lot 5'!D5</f>
        <v>ST4 Participation aux réunions de la commission</v>
      </c>
      <c r="E12" s="178">
        <f>'[1]Lot 5'!E5</f>
        <v>0</v>
      </c>
      <c r="F12" s="105" t="str">
        <f>'[1]Lot 5'!F5</f>
        <v>AKTA</v>
      </c>
      <c r="G12" s="196">
        <f>_xlfn.XLOOKUP(T_5[[#This Row],[Partenaires]],Partenaires2[Partenaire],Partenaires2[Tx Ch Connexe])</f>
        <v>0.25</v>
      </c>
      <c r="H12" s="196">
        <f>_xlfn.XLOOKUP(T_5[[#This Row],[Partenaires]],Partenaires2[Partenaire],Partenaires2[Tx Sub])</f>
        <v>0.7</v>
      </c>
      <c r="I12" s="1">
        <f>'[1]Lot 5'!I5</f>
        <v>0</v>
      </c>
      <c r="J12" s="107" t="str">
        <f>'[1]Lot 5'!J5</f>
        <v>Oui</v>
      </c>
      <c r="K12" s="5">
        <f>'[1]Lot 5'!K5</f>
        <v>4</v>
      </c>
      <c r="L12" s="4">
        <f>'[1]Lot 5'!L5</f>
        <v>490</v>
      </c>
      <c r="M12" s="31">
        <f>T_5[[#This Row],[P Qu]]*T_5[[#This Row],[P PU]]</f>
        <v>1960</v>
      </c>
      <c r="N12" s="6" t="str">
        <f>'[1]Lot 5'!N5</f>
        <v>Déplacements</v>
      </c>
      <c r="O12" s="7">
        <f>'[1]Lot 5'!O5</f>
        <v>2</v>
      </c>
      <c r="P12" s="8">
        <f>'[1]Lot 5'!P5</f>
        <v>150</v>
      </c>
      <c r="Q12" s="31">
        <f>T_5[[#This Row],[ACh Qu]]*T_5[[#This Row],[ACh PU]]</f>
        <v>300</v>
      </c>
      <c r="R12" s="30">
        <f>T_5[[#This Row],[P CT]]+T_5[[#This Row],[ACh CT]]</f>
        <v>2260</v>
      </c>
      <c r="S12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2825</v>
      </c>
      <c r="T12" s="53">
        <f>T_5[[#This Row],[Mt Elligible]]*T_5[[#This Row],[Tx Sub]]</f>
        <v>1977.4999999999998</v>
      </c>
    </row>
    <row r="13" spans="1:20" ht="30" hidden="1">
      <c r="A13" s="23" t="str">
        <f>A$1</f>
        <v>Lot_5</v>
      </c>
      <c r="B13" s="113" t="str">
        <f>_xlfn.XLOOKUP(T_5[[#This Row],[N° Lot]],Tableau4[NoLot],Tableau4[Lot])</f>
        <v>Structuration d’une prénorme</v>
      </c>
      <c r="C13" s="166" t="s">
        <v>63</v>
      </c>
      <c r="D13" s="186" t="s">
        <v>129</v>
      </c>
      <c r="E13" s="178" t="s">
        <v>164</v>
      </c>
      <c r="F13" s="105" t="s">
        <v>38</v>
      </c>
      <c r="G13" s="196">
        <f>_xlfn.XLOOKUP(T_5[[#This Row],[Partenaires]],Partenaires2[Partenaire],Partenaires2[Tx Ch Connexe])</f>
        <v>0.22</v>
      </c>
      <c r="H13" s="196">
        <f>_xlfn.XLOOKUP(T_5[[#This Row],[Partenaires]],Partenaires2[Partenaire],Partenaires2[Tx Sub])</f>
        <v>0.7</v>
      </c>
      <c r="I13" s="1" t="s">
        <v>46</v>
      </c>
      <c r="J13" s="107" t="s">
        <v>82</v>
      </c>
      <c r="K13" s="5">
        <v>3</v>
      </c>
      <c r="L13" s="4">
        <v>406</v>
      </c>
      <c r="M13" s="31">
        <f>T_5[[#This Row],[P Qu]]*T_5[[#This Row],[P PU]]</f>
        <v>1218</v>
      </c>
      <c r="N13" s="6" t="s">
        <v>45</v>
      </c>
      <c r="O13" s="7">
        <v>2</v>
      </c>
      <c r="P13" s="8">
        <v>150</v>
      </c>
      <c r="Q13" s="31">
        <f>T_5[[#This Row],[ACh Qu]]*T_5[[#This Row],[ACh PU]]</f>
        <v>300</v>
      </c>
      <c r="R13" s="30">
        <f>T_5[[#This Row],[P CT]]+T_5[[#This Row],[ACh CT]]</f>
        <v>1518</v>
      </c>
      <c r="S13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1851.96</v>
      </c>
      <c r="T13" s="53">
        <f>T_5[[#This Row],[Mt Elligible]]*T_5[[#This Row],[Tx Sub]]</f>
        <v>1296.3719999999998</v>
      </c>
    </row>
    <row r="14" spans="1:20" ht="30" hidden="1">
      <c r="A14" s="23" t="s">
        <v>34</v>
      </c>
      <c r="B14" s="113" t="str">
        <f>_xlfn.XLOOKUP(T_5[[#This Row],[N° Lot]],Tableau4[NoLot],Tableau4[Lot])</f>
        <v>Structuration d’une prénorme</v>
      </c>
      <c r="C14" s="166" t="s">
        <v>63</v>
      </c>
      <c r="D14" s="186" t="s">
        <v>129</v>
      </c>
      <c r="E14" s="178" t="s">
        <v>164</v>
      </c>
      <c r="F14" s="105" t="s">
        <v>38</v>
      </c>
      <c r="G14" s="196">
        <f>_xlfn.XLOOKUP(T_5[[#This Row],[Partenaires]],Partenaires2[Partenaire],Partenaires2[Tx Ch Connexe])</f>
        <v>0.22</v>
      </c>
      <c r="H14" s="196">
        <f>_xlfn.XLOOKUP(T_5[[#This Row],[Partenaires]],Partenaires2[Partenaire],Partenaires2[Tx Sub])</f>
        <v>0.7</v>
      </c>
      <c r="I14" s="1" t="s">
        <v>155</v>
      </c>
      <c r="J14" s="107" t="s">
        <v>82</v>
      </c>
      <c r="K14" s="5">
        <v>3</v>
      </c>
      <c r="L14" s="4">
        <v>304</v>
      </c>
      <c r="M14" s="31">
        <f>T_5[[#This Row],[P Qu]]*T_5[[#This Row],[P PU]]</f>
        <v>912</v>
      </c>
      <c r="N14" s="6" t="s">
        <v>45</v>
      </c>
      <c r="O14" s="7">
        <v>2</v>
      </c>
      <c r="P14" s="8">
        <v>150</v>
      </c>
      <c r="Q14" s="31">
        <f>T_5[[#This Row],[ACh Qu]]*T_5[[#This Row],[ACh PU]]</f>
        <v>300</v>
      </c>
      <c r="R14" s="30">
        <f>T_5[[#This Row],[P CT]]+T_5[[#This Row],[ACh CT]]</f>
        <v>1212</v>
      </c>
      <c r="S14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1478.6399999999999</v>
      </c>
      <c r="T14" s="53">
        <f>T_5[[#This Row],[Mt Elligible]]*T_5[[#This Row],[Tx Sub]]</f>
        <v>1035.0479999999998</v>
      </c>
    </row>
    <row r="15" spans="1:20" hidden="1">
      <c r="A15" s="23" t="str">
        <f>A$1</f>
        <v>Lot_5</v>
      </c>
      <c r="B15" s="113" t="str">
        <f>_xlfn.XLOOKUP(T_5[[#This Row],[N° Lot]],Tableau4[NoLot],Tableau4[Lot])</f>
        <v>Structuration d’une prénorme</v>
      </c>
      <c r="C15" s="166" t="str">
        <f>'[2]Lot 5'!C3</f>
        <v>T1_Commission_prénormalisation</v>
      </c>
      <c r="D15" s="186" t="str">
        <f>'[2]Lot 5'!D3</f>
        <v>ST4 Participation aux réunions de la commission</v>
      </c>
      <c r="E15" s="178">
        <f>'[2]Lot 5'!E3</f>
        <v>0</v>
      </c>
      <c r="F15" s="105" t="str">
        <f>'[2]Lot 5'!F3</f>
        <v>CEREMA</v>
      </c>
      <c r="G15" s="196">
        <f>_xlfn.XLOOKUP(T_5[[#This Row],[Partenaires]],Partenaires2[Partenaire],Partenaires2[Tx Ch Connexe])</f>
        <v>0.25</v>
      </c>
      <c r="H15" s="196">
        <f>_xlfn.XLOOKUP(T_5[[#This Row],[Partenaires]],Partenaires2[Partenaire],Partenaires2[Tx Sub])</f>
        <v>0.5</v>
      </c>
      <c r="I15" s="1" t="str">
        <f>'[2]Lot 5'!I3</f>
        <v>Expert</v>
      </c>
      <c r="J15" s="107" t="str">
        <f>'[2]Lot 5'!J3</f>
        <v>Non</v>
      </c>
      <c r="K15" s="5">
        <f>'[2]Lot 5'!K3</f>
        <v>4</v>
      </c>
      <c r="L15" s="4">
        <f>'[2]Lot 5'!L3</f>
        <v>792</v>
      </c>
      <c r="M15" s="31">
        <f>T_5[[#This Row],[P Qu]]*T_5[[#This Row],[P PU]]</f>
        <v>3168</v>
      </c>
      <c r="N15" s="6" t="str">
        <f>'[2]Lot 5'!N3</f>
        <v>Déplacements</v>
      </c>
      <c r="O15" s="7">
        <f>'[2]Lot 5'!O3</f>
        <v>2</v>
      </c>
      <c r="P15" s="8">
        <f>'[2]Lot 5'!P3</f>
        <v>150</v>
      </c>
      <c r="Q15" s="31">
        <f>T_5[[#This Row],[ACh Qu]]*T_5[[#This Row],[ACh PU]]</f>
        <v>300</v>
      </c>
      <c r="R15" s="30">
        <f>T_5[[#This Row],[P CT]]+T_5[[#This Row],[ACh CT]]</f>
        <v>3468</v>
      </c>
      <c r="S15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1167</v>
      </c>
      <c r="T15" s="53">
        <f>T_5[[#This Row],[Mt Elligible]]*T_5[[#This Row],[Tx Sub]]</f>
        <v>583.5</v>
      </c>
    </row>
    <row r="16" spans="1:20" hidden="1">
      <c r="A16" s="16" t="str">
        <f>A$1</f>
        <v>Lot_5</v>
      </c>
      <c r="B16" s="113" t="str">
        <f>_xlfn.XLOOKUP(T_5[[#This Row],[N° Lot]],Tableau4[NoLot],Tableau4[Lot])</f>
        <v>Structuration d’une prénorme</v>
      </c>
      <c r="C16" s="166" t="s">
        <v>63</v>
      </c>
      <c r="D16" s="186" t="s">
        <v>129</v>
      </c>
      <c r="E16" s="178" t="s">
        <v>164</v>
      </c>
      <c r="F16" s="105" t="s">
        <v>16</v>
      </c>
      <c r="G16" s="196">
        <f>_xlfn.XLOOKUP(T_5[[#This Row],[Partenaires]],Partenaires2[Partenaire],Partenaires2[Tx Ch Connexe])</f>
        <v>0.25</v>
      </c>
      <c r="H16" s="196">
        <f>_xlfn.XLOOKUP(T_5[[#This Row],[Partenaires]],Partenaires2[Partenaire],Partenaires2[Tx Sub])</f>
        <v>0.7</v>
      </c>
      <c r="J16" s="107" t="s">
        <v>82</v>
      </c>
      <c r="K16" s="5"/>
      <c r="L16" s="4"/>
      <c r="M16" s="31">
        <f>T_5[[#This Row],[P Qu]]*T_5[[#This Row],[P PU]]</f>
        <v>0</v>
      </c>
      <c r="N16" s="6" t="s">
        <v>163</v>
      </c>
      <c r="O16" s="7">
        <v>3</v>
      </c>
      <c r="P16" s="8">
        <v>520</v>
      </c>
      <c r="Q16" s="31">
        <f>T_5[[#This Row],[ACh Qu]]*T_5[[#This Row],[ACh PU]]</f>
        <v>1560</v>
      </c>
      <c r="R16" s="30">
        <f>T_5[[#This Row],[P CT]]+T_5[[#This Row],[ACh CT]]</f>
        <v>1560</v>
      </c>
      <c r="S16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1950</v>
      </c>
      <c r="T16" s="53">
        <f>T_5[[#This Row],[Mt Elligible]]*T_5[[#This Row],[Tx Sub]]</f>
        <v>1365</v>
      </c>
    </row>
    <row r="17" spans="1:20" hidden="1">
      <c r="A17" s="16" t="str">
        <f>A$1</f>
        <v>Lot_5</v>
      </c>
      <c r="B17" s="113" t="str">
        <f>_xlfn.XLOOKUP(T_5[[#This Row],[N° Lot]],Tableau4[NoLot],Tableau4[Lot])</f>
        <v>Structuration d’une prénorme</v>
      </c>
      <c r="C17" s="166" t="s">
        <v>63</v>
      </c>
      <c r="D17" s="186" t="s">
        <v>129</v>
      </c>
      <c r="E17" s="178" t="s">
        <v>165</v>
      </c>
      <c r="F17" s="105" t="s">
        <v>16</v>
      </c>
      <c r="G17" s="196">
        <f>_xlfn.XLOOKUP(T_5[[#This Row],[Partenaires]],Partenaires2[Partenaire],Partenaires2[Tx Ch Connexe])</f>
        <v>0.25</v>
      </c>
      <c r="H17" s="196">
        <f>_xlfn.XLOOKUP(T_5[[#This Row],[Partenaires]],Partenaires2[Partenaire],Partenaires2[Tx Sub])</f>
        <v>0.7</v>
      </c>
      <c r="J17" s="107" t="s">
        <v>82</v>
      </c>
      <c r="K17" s="5"/>
      <c r="L17" s="4"/>
      <c r="M17" s="31">
        <f>T_5[[#This Row],[P Qu]]*T_5[[#This Row],[P PU]]</f>
        <v>0</v>
      </c>
      <c r="N17" s="6" t="s">
        <v>45</v>
      </c>
      <c r="O17" s="7">
        <v>62</v>
      </c>
      <c r="P17" s="8">
        <v>150</v>
      </c>
      <c r="Q17" s="31">
        <f>T_5[[#This Row],[ACh Qu]]*T_5[[#This Row],[ACh PU]]</f>
        <v>9300</v>
      </c>
      <c r="R17" s="30">
        <f>T_5[[#This Row],[P CT]]+T_5[[#This Row],[ACh CT]]</f>
        <v>9300</v>
      </c>
      <c r="S17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11625</v>
      </c>
      <c r="T17" s="53">
        <f>T_5[[#This Row],[Mt Elligible]]*T_5[[#This Row],[Tx Sub]]</f>
        <v>8137.4999999999991</v>
      </c>
    </row>
    <row r="18" spans="1:20">
      <c r="A18" s="23" t="str">
        <f>'[1]Lot 5'!A6</f>
        <v>Lot_5</v>
      </c>
      <c r="B18" s="113" t="str">
        <f>'[1]Lot 5'!B6</f>
        <v>Structuration d’une prénorme</v>
      </c>
      <c r="C18" s="166" t="str">
        <f>'[1]Lot 5'!C6</f>
        <v>T2_Vocabulaire_définition_termes_utilisés</v>
      </c>
      <c r="D18" s="186" t="str">
        <f>'[1]Lot 5'!D6</f>
        <v>ST1 Identification des termes techniques nécessitant d’être spécifiés et des définitions préexistante</v>
      </c>
      <c r="E18" s="178">
        <f>'[1]Lot 5'!E6</f>
        <v>0</v>
      </c>
      <c r="F18" s="105" t="str">
        <f>'[1]Lot 5'!F6</f>
        <v>AKTA</v>
      </c>
      <c r="G18" s="196">
        <f>_xlfn.XLOOKUP(T_5[[#This Row],[Partenaires]],Partenaires2[Partenaire],Partenaires2[Tx Ch Connexe])</f>
        <v>0.25</v>
      </c>
      <c r="H18" s="196">
        <f>_xlfn.XLOOKUP(T_5[[#This Row],[Partenaires]],Partenaires2[Partenaire],Partenaires2[Tx Sub])</f>
        <v>0.7</v>
      </c>
      <c r="I18" s="1">
        <f>'[1]Lot 5'!I6</f>
        <v>0</v>
      </c>
      <c r="J18" s="107" t="str">
        <f>'[1]Lot 5'!J6</f>
        <v>Oui</v>
      </c>
      <c r="K18" s="5">
        <f>'[1]Lot 5'!K6</f>
        <v>4</v>
      </c>
      <c r="L18" s="4">
        <f>'[1]Lot 5'!L6</f>
        <v>490</v>
      </c>
      <c r="M18" s="31">
        <f>T_5[[#This Row],[P Qu]]*T_5[[#This Row],[P PU]]</f>
        <v>1960</v>
      </c>
      <c r="N18" s="6">
        <f>'[1]Lot 5'!N6</f>
        <v>0</v>
      </c>
      <c r="O18" s="7">
        <f>'[1]Lot 5'!O6</f>
        <v>0</v>
      </c>
      <c r="P18" s="8">
        <f>'[1]Lot 5'!P6</f>
        <v>0</v>
      </c>
      <c r="Q18" s="31">
        <f>T_5[[#This Row],[ACh Qu]]*T_5[[#This Row],[ACh PU]]</f>
        <v>0</v>
      </c>
      <c r="R18" s="30">
        <f>T_5[[#This Row],[P CT]]+T_5[[#This Row],[ACh CT]]</f>
        <v>1960</v>
      </c>
      <c r="S18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2450</v>
      </c>
      <c r="T18" s="53">
        <f>T_5[[#This Row],[Mt Elligible]]*T_5[[#This Row],[Tx Sub]]</f>
        <v>1715</v>
      </c>
    </row>
    <row r="19" spans="1:20">
      <c r="A19" s="23" t="str">
        <f>'[1]Lot 5'!A7</f>
        <v>Lot_5</v>
      </c>
      <c r="B19" s="113" t="str">
        <f>'[1]Lot 5'!B7</f>
        <v>Structuration d’une prénorme</v>
      </c>
      <c r="C19" s="166" t="str">
        <f>'[1]Lot 5'!C7</f>
        <v>T3_Rédaction_proposition_prénorme</v>
      </c>
      <c r="D19" s="186" t="str">
        <f>'[1]Lot 5'!D7</f>
        <v>ST1 Phase préliminaire : définir la stratégie normative</v>
      </c>
      <c r="E19" s="178">
        <f>'[1]Lot 5'!E7</f>
        <v>0</v>
      </c>
      <c r="F19" s="105" t="str">
        <f>'[1]Lot 5'!F7</f>
        <v>AKTA</v>
      </c>
      <c r="G19" s="196">
        <f>_xlfn.XLOOKUP(T_5[[#This Row],[Partenaires]],Partenaires2[Partenaire],Partenaires2[Tx Ch Connexe])</f>
        <v>0.25</v>
      </c>
      <c r="H19" s="196">
        <f>_xlfn.XLOOKUP(T_5[[#This Row],[Partenaires]],Partenaires2[Partenaire],Partenaires2[Tx Sub])</f>
        <v>0.7</v>
      </c>
      <c r="I19" s="1">
        <f>'[1]Lot 5'!I7</f>
        <v>0</v>
      </c>
      <c r="J19" s="107" t="str">
        <f>'[1]Lot 5'!J7</f>
        <v>Oui</v>
      </c>
      <c r="K19" s="5">
        <f>'[1]Lot 5'!K7</f>
        <v>2</v>
      </c>
      <c r="L19" s="4">
        <f>'[1]Lot 5'!L7</f>
        <v>490</v>
      </c>
      <c r="M19" s="31">
        <f>T_5[[#This Row],[P Qu]]*T_5[[#This Row],[P PU]]</f>
        <v>980</v>
      </c>
      <c r="N19" s="6">
        <f>'[1]Lot 5'!N7</f>
        <v>0</v>
      </c>
      <c r="O19" s="7">
        <f>'[1]Lot 5'!O7</f>
        <v>0</v>
      </c>
      <c r="P19" s="8">
        <f>'[1]Lot 5'!P7</f>
        <v>0</v>
      </c>
      <c r="Q19" s="31">
        <f>T_5[[#This Row],[ACh Qu]]*T_5[[#This Row],[ACh PU]]</f>
        <v>0</v>
      </c>
      <c r="R19" s="30">
        <f>T_5[[#This Row],[P CT]]+T_5[[#This Row],[ACh CT]]</f>
        <v>980</v>
      </c>
      <c r="S19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1225</v>
      </c>
      <c r="T19" s="53">
        <f>T_5[[#This Row],[Mt Elligible]]*T_5[[#This Row],[Tx Sub]]</f>
        <v>857.5</v>
      </c>
    </row>
    <row r="20" spans="1:20" ht="30" hidden="1">
      <c r="A20" s="23" t="str">
        <f>A$1</f>
        <v>Lot_5</v>
      </c>
      <c r="B20" s="113" t="str">
        <f>_xlfn.XLOOKUP(T_5[[#This Row],[N° Lot]],Tableau4[NoLot],Tableau4[Lot])</f>
        <v>Structuration d’une prénorme</v>
      </c>
      <c r="C20" s="166" t="s">
        <v>63</v>
      </c>
      <c r="D20" s="186" t="s">
        <v>130</v>
      </c>
      <c r="F20" s="105" t="s">
        <v>38</v>
      </c>
      <c r="G20" s="196">
        <f>_xlfn.XLOOKUP(T_5[[#This Row],[Partenaires]],Partenaires2[Partenaire],Partenaires2[Tx Ch Connexe])</f>
        <v>0.22</v>
      </c>
      <c r="H20" s="196">
        <f>_xlfn.XLOOKUP(T_5[[#This Row],[Partenaires]],Partenaires2[Partenaire],Partenaires2[Tx Sub])</f>
        <v>0.7</v>
      </c>
      <c r="I20" s="1" t="s">
        <v>46</v>
      </c>
      <c r="J20" s="107" t="s">
        <v>82</v>
      </c>
      <c r="K20" s="5">
        <v>1</v>
      </c>
      <c r="L20" s="4">
        <v>406</v>
      </c>
      <c r="M20" s="31">
        <f>T_5[[#This Row],[P Qu]]*T_5[[#This Row],[P PU]]</f>
        <v>406</v>
      </c>
      <c r="N20" s="6"/>
      <c r="O20" s="7"/>
      <c r="P20" s="8"/>
      <c r="Q20" s="31">
        <f>T_5[[#This Row],[ACh Qu]]*T_5[[#This Row],[ACh PU]]</f>
        <v>0</v>
      </c>
      <c r="R20" s="30">
        <f>T_5[[#This Row],[P CT]]+T_5[[#This Row],[ACh CT]]</f>
        <v>406</v>
      </c>
      <c r="S20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495.32</v>
      </c>
      <c r="T20" s="53">
        <f>T_5[[#This Row],[Mt Elligible]]*T_5[[#This Row],[Tx Sub]]</f>
        <v>346.72399999999999</v>
      </c>
    </row>
    <row r="21" spans="1:20" ht="30" hidden="1">
      <c r="A21" s="23" t="str">
        <f>A$1</f>
        <v>Lot_5</v>
      </c>
      <c r="B21" s="113" t="str">
        <f>_xlfn.XLOOKUP(T_5[[#This Row],[N° Lot]],Tableau4[NoLot],Tableau4[Lot])</f>
        <v>Structuration d’une prénorme</v>
      </c>
      <c r="C21" s="166" t="s">
        <v>63</v>
      </c>
      <c r="D21" s="186" t="s">
        <v>130</v>
      </c>
      <c r="F21" s="105" t="s">
        <v>38</v>
      </c>
      <c r="G21" s="196">
        <f>_xlfn.XLOOKUP(T_5[[#This Row],[Partenaires]],Partenaires2[Partenaire],Partenaires2[Tx Ch Connexe])</f>
        <v>0.22</v>
      </c>
      <c r="H21" s="196">
        <f>_xlfn.XLOOKUP(T_5[[#This Row],[Partenaires]],Partenaires2[Partenaire],Partenaires2[Tx Sub])</f>
        <v>0.7</v>
      </c>
      <c r="I21" s="1" t="s">
        <v>155</v>
      </c>
      <c r="J21" s="107" t="s">
        <v>82</v>
      </c>
      <c r="K21" s="5">
        <v>3</v>
      </c>
      <c r="L21" s="4">
        <v>304</v>
      </c>
      <c r="M21" s="31">
        <f>T_5[[#This Row],[P Qu]]*T_5[[#This Row],[P PU]]</f>
        <v>912</v>
      </c>
      <c r="N21" s="6"/>
      <c r="O21" s="7"/>
      <c r="P21" s="8"/>
      <c r="Q21" s="31">
        <f>T_5[[#This Row],[ACh Qu]]*T_5[[#This Row],[ACh PU]]</f>
        <v>0</v>
      </c>
      <c r="R21" s="30">
        <f>T_5[[#This Row],[P CT]]+T_5[[#This Row],[ACh CT]]</f>
        <v>912</v>
      </c>
      <c r="S21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1112.6400000000001</v>
      </c>
      <c r="T21" s="53">
        <f>T_5[[#This Row],[Mt Elligible]]*T_5[[#This Row],[Tx Sub]]</f>
        <v>778.84800000000007</v>
      </c>
    </row>
    <row r="22" spans="1:20" hidden="1">
      <c r="A22" s="23" t="str">
        <f>A$1</f>
        <v>Lot_5</v>
      </c>
      <c r="B22" s="113" t="str">
        <f>_xlfn.XLOOKUP(T_5[[#This Row],[N° Lot]],Tableau4[NoLot],Tableau4[Lot])</f>
        <v>Structuration d’une prénorme</v>
      </c>
      <c r="C22" s="166" t="s">
        <v>63</v>
      </c>
      <c r="D22" s="186" t="s">
        <v>130</v>
      </c>
      <c r="E22" s="178" t="s">
        <v>164</v>
      </c>
      <c r="F22" s="105" t="s">
        <v>16</v>
      </c>
      <c r="G22" s="196">
        <f>_xlfn.XLOOKUP(T_5[[#This Row],[Partenaires]],Partenaires2[Partenaire],Partenaires2[Tx Ch Connexe])</f>
        <v>0.25</v>
      </c>
      <c r="H22" s="196">
        <f>_xlfn.XLOOKUP(T_5[[#This Row],[Partenaires]],Partenaires2[Partenaire],Partenaires2[Tx Sub])</f>
        <v>0.7</v>
      </c>
      <c r="J22" s="107" t="s">
        <v>82</v>
      </c>
      <c r="K22" s="5"/>
      <c r="L22" s="4"/>
      <c r="M22" s="31">
        <f>T_5[[#This Row],[P Qu]]*T_5[[#This Row],[P PU]]</f>
        <v>0</v>
      </c>
      <c r="N22" s="6" t="s">
        <v>163</v>
      </c>
      <c r="O22" s="7">
        <v>1</v>
      </c>
      <c r="P22" s="8">
        <v>520</v>
      </c>
      <c r="Q22" s="31">
        <f>T_5[[#This Row],[ACh Qu]]*T_5[[#This Row],[ACh PU]]</f>
        <v>520</v>
      </c>
      <c r="R22" s="30">
        <f>T_5[[#This Row],[P CT]]+T_5[[#This Row],[ACh CT]]</f>
        <v>520</v>
      </c>
      <c r="S22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650</v>
      </c>
      <c r="T22" s="53">
        <f>T_5[[#This Row],[Mt Elligible]]*T_5[[#This Row],[Tx Sub]]</f>
        <v>454.99999999999994</v>
      </c>
    </row>
    <row r="23" spans="1:20">
      <c r="A23" s="23" t="str">
        <f>'[1]Lot 5'!A8</f>
        <v>Lot_5</v>
      </c>
      <c r="B23" s="113" t="str">
        <f>'[1]Lot 5'!B8</f>
        <v>Structuration d’une prénorme</v>
      </c>
      <c r="C23" s="166" t="str">
        <f>'[1]Lot 5'!C8</f>
        <v>T3_Rédaction_proposition_prénorme</v>
      </c>
      <c r="D23" s="186" t="str">
        <f>'[1]Lot 5'!D8</f>
        <v xml:space="preserve">ST2 Phase de rédaction  de la prénorme </v>
      </c>
      <c r="E23" s="178">
        <f>'[1]Lot 5'!E8</f>
        <v>0</v>
      </c>
      <c r="F23" s="105" t="str">
        <f>'[1]Lot 5'!F8</f>
        <v>AKTA</v>
      </c>
      <c r="G23" s="196">
        <f>_xlfn.XLOOKUP(T_5[[#This Row],[Partenaires]],Partenaires2[Partenaire],Partenaires2[Tx Ch Connexe])</f>
        <v>0.25</v>
      </c>
      <c r="H23" s="196">
        <f>_xlfn.XLOOKUP(T_5[[#This Row],[Partenaires]],Partenaires2[Partenaire],Partenaires2[Tx Sub])</f>
        <v>0.7</v>
      </c>
      <c r="I23" s="1">
        <f>'[1]Lot 5'!I8</f>
        <v>0</v>
      </c>
      <c r="J23" s="107" t="str">
        <f>'[1]Lot 5'!J8</f>
        <v>Oui</v>
      </c>
      <c r="K23" s="5">
        <f>'[1]Lot 5'!K8</f>
        <v>3</v>
      </c>
      <c r="L23" s="4">
        <f>'[1]Lot 5'!L8</f>
        <v>490</v>
      </c>
      <c r="M23" s="31">
        <f>T_5[[#This Row],[P Qu]]*T_5[[#This Row],[P PU]]</f>
        <v>1470</v>
      </c>
      <c r="N23" s="6">
        <f>'[1]Lot 5'!N8</f>
        <v>0</v>
      </c>
      <c r="O23" s="7">
        <f>'[1]Lot 5'!O8</f>
        <v>0</v>
      </c>
      <c r="P23" s="8">
        <f>'[1]Lot 5'!P8</f>
        <v>0</v>
      </c>
      <c r="Q23" s="31">
        <f>T_5[[#This Row],[ACh Qu]]*T_5[[#This Row],[ACh PU]]</f>
        <v>0</v>
      </c>
      <c r="R23" s="30">
        <f>T_5[[#This Row],[P CT]]+T_5[[#This Row],[ACh CT]]</f>
        <v>1470</v>
      </c>
      <c r="S23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1837.5</v>
      </c>
      <c r="T23" s="53">
        <f>T_5[[#This Row],[Mt Elligible]]*T_5[[#This Row],[Tx Sub]]</f>
        <v>1286.25</v>
      </c>
    </row>
    <row r="24" spans="1:20" ht="30" hidden="1">
      <c r="A24" s="23" t="str">
        <f>A$1</f>
        <v>Lot_5</v>
      </c>
      <c r="B24" s="113" t="str">
        <f>_xlfn.XLOOKUP(T_5[[#This Row],[N° Lot]],Tableau4[NoLot],Tableau4[Lot])</f>
        <v>Structuration d’une prénorme</v>
      </c>
      <c r="C24" s="166" t="s">
        <v>64</v>
      </c>
      <c r="D24" s="186" t="s">
        <v>131</v>
      </c>
      <c r="F24" s="105" t="s">
        <v>38</v>
      </c>
      <c r="G24" s="196">
        <f>_xlfn.XLOOKUP(T_5[[#This Row],[Partenaires]],Partenaires2[Partenaire],Partenaires2[Tx Ch Connexe])</f>
        <v>0.22</v>
      </c>
      <c r="H24" s="196">
        <f>_xlfn.XLOOKUP(T_5[[#This Row],[Partenaires]],Partenaires2[Partenaire],Partenaires2[Tx Sub])</f>
        <v>0.7</v>
      </c>
      <c r="I24" s="1" t="s">
        <v>46</v>
      </c>
      <c r="J24" s="107" t="s">
        <v>82</v>
      </c>
      <c r="K24" s="5">
        <v>2</v>
      </c>
      <c r="L24" s="4">
        <v>406</v>
      </c>
      <c r="M24" s="31">
        <f>T_5[[#This Row],[P Qu]]*T_5[[#This Row],[P PU]]</f>
        <v>812</v>
      </c>
      <c r="N24" s="6"/>
      <c r="O24" s="7"/>
      <c r="P24" s="8"/>
      <c r="Q24" s="31">
        <f>T_5[[#This Row],[ACh Qu]]*T_5[[#This Row],[ACh PU]]</f>
        <v>0</v>
      </c>
      <c r="R24" s="30">
        <f>T_5[[#This Row],[P CT]]+T_5[[#This Row],[ACh CT]]</f>
        <v>812</v>
      </c>
      <c r="S24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990.64</v>
      </c>
      <c r="T24" s="53">
        <f>T_5[[#This Row],[Mt Elligible]]*T_5[[#This Row],[Tx Sub]]</f>
        <v>693.44799999999998</v>
      </c>
    </row>
    <row r="25" spans="1:20" hidden="1">
      <c r="A25" s="23" t="str">
        <f>A$1</f>
        <v>Lot_5</v>
      </c>
      <c r="B25" s="113" t="str">
        <f>_xlfn.XLOOKUP(T_5[[#This Row],[N° Lot]],Tableau4[NoLot],Tableau4[Lot])</f>
        <v>Structuration d’une prénorme</v>
      </c>
      <c r="C25" s="166" t="str">
        <f>'[2]Lot 5'!C5</f>
        <v>T2_Vocabulaire_définition_termes_utilisés</v>
      </c>
      <c r="D25" s="186" t="str">
        <f>'[2]Lot 5'!D5</f>
        <v>ST1 Identification des termes techniques nécessitant d’être spécifiés et des définitions préexistante</v>
      </c>
      <c r="E25" s="178">
        <f>'[2]Lot 5'!E5</f>
        <v>0</v>
      </c>
      <c r="F25" s="105" t="str">
        <f>'[2]Lot 5'!F5</f>
        <v>CEREMA</v>
      </c>
      <c r="G25" s="196">
        <f>_xlfn.XLOOKUP(T_5[[#This Row],[Partenaires]],Partenaires2[Partenaire],Partenaires2[Tx Ch Connexe])</f>
        <v>0.25</v>
      </c>
      <c r="H25" s="196">
        <f>_xlfn.XLOOKUP(T_5[[#This Row],[Partenaires]],Partenaires2[Partenaire],Partenaires2[Tx Sub])</f>
        <v>0.5</v>
      </c>
      <c r="I25" s="1" t="str">
        <f>'[2]Lot 5'!I5</f>
        <v>Expert</v>
      </c>
      <c r="J25" s="107" t="str">
        <f>'[2]Lot 5'!J5</f>
        <v>Non</v>
      </c>
      <c r="K25" s="5">
        <f>'[2]Lot 5'!K5</f>
        <v>2</v>
      </c>
      <c r="L25" s="4">
        <f>'[2]Lot 5'!L5</f>
        <v>792</v>
      </c>
      <c r="M25" s="31">
        <f>T_5[[#This Row],[P Qu]]*T_5[[#This Row],[P PU]]</f>
        <v>1584</v>
      </c>
      <c r="N25" s="6">
        <f>'[2]Lot 5'!N5</f>
        <v>0</v>
      </c>
      <c r="O25" s="7">
        <f>'[2]Lot 5'!O5</f>
        <v>0</v>
      </c>
      <c r="P25" s="8">
        <f>'[2]Lot 5'!P5</f>
        <v>0</v>
      </c>
      <c r="Q25" s="31">
        <f>T_5[[#This Row],[ACh Qu]]*T_5[[#This Row],[ACh PU]]</f>
        <v>0</v>
      </c>
      <c r="R25" s="30">
        <f>T_5[[#This Row],[P CT]]+T_5[[#This Row],[ACh CT]]</f>
        <v>1584</v>
      </c>
      <c r="S25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396</v>
      </c>
      <c r="T25" s="53">
        <f>T_5[[#This Row],[Mt Elligible]]*T_5[[#This Row],[Tx Sub]]</f>
        <v>198</v>
      </c>
    </row>
    <row r="26" spans="1:20" hidden="1">
      <c r="A26" s="23" t="str">
        <f>A$1</f>
        <v>Lot_5</v>
      </c>
      <c r="B26" s="113" t="str">
        <f>_xlfn.XLOOKUP(T_5[[#This Row],[N° Lot]],Tableau4[NoLot],Tableau4[Lot])</f>
        <v>Structuration d’une prénorme</v>
      </c>
      <c r="C26" s="166" t="str">
        <f>'[2]Lot 5'!C6</f>
        <v>T2_Vocabulaire_définition_termes_utilisés</v>
      </c>
      <c r="D26" s="186" t="str">
        <f>'[2]Lot 5'!D6</f>
        <v>ST1 Identification des termes techniques nécessitant d’être spécifiés et des définitions préexistante</v>
      </c>
      <c r="E26" s="178">
        <f>'[2]Lot 5'!E6</f>
        <v>0</v>
      </c>
      <c r="F26" s="105" t="str">
        <f>'[2]Lot 5'!F6</f>
        <v>CEREMA</v>
      </c>
      <c r="G26" s="196">
        <f>_xlfn.XLOOKUP(T_5[[#This Row],[Partenaires]],Partenaires2[Partenaire],Partenaires2[Tx Ch Connexe])</f>
        <v>0.25</v>
      </c>
      <c r="H26" s="196">
        <f>_xlfn.XLOOKUP(T_5[[#This Row],[Partenaires]],Partenaires2[Partenaire],Partenaires2[Tx Sub])</f>
        <v>0.5</v>
      </c>
      <c r="I26" s="1" t="str">
        <f>'[2]Lot 5'!I6</f>
        <v>Ingénieur</v>
      </c>
      <c r="J26" s="107" t="str">
        <f>'[2]Lot 5'!J6</f>
        <v>Non</v>
      </c>
      <c r="K26" s="5">
        <f>'[2]Lot 5'!K6</f>
        <v>2</v>
      </c>
      <c r="L26" s="4">
        <f>'[2]Lot 5'!L6</f>
        <v>376</v>
      </c>
      <c r="M26" s="31">
        <f>T_5[[#This Row],[P Qu]]*T_5[[#This Row],[P PU]]</f>
        <v>752</v>
      </c>
      <c r="N26" s="6">
        <f>'[2]Lot 5'!N6</f>
        <v>0</v>
      </c>
      <c r="O26" s="7">
        <f>'[2]Lot 5'!O6</f>
        <v>0</v>
      </c>
      <c r="P26" s="8">
        <f>'[2]Lot 5'!P6</f>
        <v>0</v>
      </c>
      <c r="Q26" s="31">
        <f>T_5[[#This Row],[ACh Qu]]*T_5[[#This Row],[ACh PU]]</f>
        <v>0</v>
      </c>
      <c r="R26" s="30">
        <f>T_5[[#This Row],[P CT]]+T_5[[#This Row],[ACh CT]]</f>
        <v>752</v>
      </c>
      <c r="S26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188</v>
      </c>
      <c r="T26" s="53">
        <f>T_5[[#This Row],[Mt Elligible]]*T_5[[#This Row],[Tx Sub]]</f>
        <v>94</v>
      </c>
    </row>
    <row r="27" spans="1:20" hidden="1">
      <c r="A27" s="23" t="s">
        <v>34</v>
      </c>
      <c r="B27" s="113" t="str">
        <f>_xlfn.XLOOKUP(T_5[[#This Row],[N° Lot]],Tableau4[NoLot],Tableau4[Lot])</f>
        <v>Structuration d’une prénorme</v>
      </c>
      <c r="C27" s="166" t="s">
        <v>64</v>
      </c>
      <c r="D27" s="186" t="s">
        <v>131</v>
      </c>
      <c r="F27" s="105" t="s">
        <v>16</v>
      </c>
      <c r="G27" s="196">
        <f>_xlfn.XLOOKUP(T_5[[#This Row],[Partenaires]],Partenaires2[Partenaire],Partenaires2[Tx Ch Connexe])</f>
        <v>0.25</v>
      </c>
      <c r="H27" s="196">
        <f>_xlfn.XLOOKUP(T_5[[#This Row],[Partenaires]],Partenaires2[Partenaire],Partenaires2[Tx Sub])</f>
        <v>0.7</v>
      </c>
      <c r="J27" s="107" t="s">
        <v>82</v>
      </c>
      <c r="K27" s="5"/>
      <c r="L27" s="4"/>
      <c r="M27" s="31">
        <f>T_5[[#This Row],[P Qu]]*T_5[[#This Row],[P PU]]</f>
        <v>0</v>
      </c>
      <c r="N27" s="6" t="s">
        <v>163</v>
      </c>
      <c r="O27" s="7">
        <v>2</v>
      </c>
      <c r="P27" s="8">
        <v>520</v>
      </c>
      <c r="Q27" s="31">
        <f>T_5[[#This Row],[ACh Qu]]*T_5[[#This Row],[ACh PU]]</f>
        <v>1040</v>
      </c>
      <c r="R27" s="30">
        <f>T_5[[#This Row],[P CT]]+T_5[[#This Row],[ACh CT]]</f>
        <v>1040</v>
      </c>
      <c r="S27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1300</v>
      </c>
      <c r="T27" s="53">
        <f>T_5[[#This Row],[Mt Elligible]]*T_5[[#This Row],[Tx Sub]]</f>
        <v>909.99999999999989</v>
      </c>
    </row>
    <row r="28" spans="1:20" ht="30" hidden="1">
      <c r="A28" s="23" t="str">
        <f>A$1</f>
        <v>Lot_5</v>
      </c>
      <c r="B28" s="113" t="str">
        <f>_xlfn.XLOOKUP(T_5[[#This Row],[N° Lot]],Tableau4[NoLot],Tableau4[Lot])</f>
        <v>Structuration d’une prénorme</v>
      </c>
      <c r="C28" s="166" t="s">
        <v>64</v>
      </c>
      <c r="D28" s="186" t="s">
        <v>132</v>
      </c>
      <c r="F28" s="105" t="s">
        <v>38</v>
      </c>
      <c r="G28" s="196">
        <f>_xlfn.XLOOKUP(T_5[[#This Row],[Partenaires]],Partenaires2[Partenaire],Partenaires2[Tx Ch Connexe])</f>
        <v>0.22</v>
      </c>
      <c r="H28" s="196">
        <f>_xlfn.XLOOKUP(T_5[[#This Row],[Partenaires]],Partenaires2[Partenaire],Partenaires2[Tx Sub])</f>
        <v>0.7</v>
      </c>
      <c r="I28" s="1" t="s">
        <v>46</v>
      </c>
      <c r="J28" s="107" t="s">
        <v>82</v>
      </c>
      <c r="K28" s="5">
        <v>1</v>
      </c>
      <c r="L28" s="4">
        <v>406</v>
      </c>
      <c r="M28" s="31">
        <f>T_5[[#This Row],[P Qu]]*T_5[[#This Row],[P PU]]</f>
        <v>406</v>
      </c>
      <c r="N28" s="6"/>
      <c r="O28" s="7"/>
      <c r="P28" s="8"/>
      <c r="Q28" s="31">
        <f>T_5[[#This Row],[ACh Qu]]*T_5[[#This Row],[ACh PU]]</f>
        <v>0</v>
      </c>
      <c r="R28" s="30">
        <f>T_5[[#This Row],[P CT]]+T_5[[#This Row],[ACh CT]]</f>
        <v>406</v>
      </c>
      <c r="S28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495.32</v>
      </c>
      <c r="T28" s="53">
        <f>T_5[[#This Row],[Mt Elligible]]*T_5[[#This Row],[Tx Sub]]</f>
        <v>346.72399999999999</v>
      </c>
    </row>
    <row r="29" spans="1:20" hidden="1">
      <c r="A29" s="23" t="str">
        <f>A$1</f>
        <v>Lot_5</v>
      </c>
      <c r="B29" s="113" t="str">
        <f>_xlfn.XLOOKUP(T_5[[#This Row],[N° Lot]],Tableau4[NoLot],Tableau4[Lot])</f>
        <v>Structuration d’une prénorme</v>
      </c>
      <c r="C29" s="166" t="str">
        <f>'[2]Lot 5'!C7</f>
        <v>T2_Vocabulaire_définition_termes_utilisés</v>
      </c>
      <c r="D29" s="186" t="str">
        <f>'[2]Lot 5'!D7</f>
        <v>ST2 Propositions de définitions complémentaires au comité scientifique et à la commission de pré-normalisation</v>
      </c>
      <c r="E29" s="178">
        <f>'[2]Lot 5'!E7</f>
        <v>0</v>
      </c>
      <c r="F29" s="105" t="str">
        <f>'[2]Lot 5'!F7</f>
        <v>CEREMA</v>
      </c>
      <c r="G29" s="196">
        <f>_xlfn.XLOOKUP(T_5[[#This Row],[Partenaires]],Partenaires2[Partenaire],Partenaires2[Tx Ch Connexe])</f>
        <v>0.25</v>
      </c>
      <c r="H29" s="196">
        <f>_xlfn.XLOOKUP(T_5[[#This Row],[Partenaires]],Partenaires2[Partenaire],Partenaires2[Tx Sub])</f>
        <v>0.5</v>
      </c>
      <c r="I29" s="1" t="str">
        <f>'[2]Lot 5'!I7</f>
        <v>Expert</v>
      </c>
      <c r="J29" s="107" t="str">
        <f>'[2]Lot 5'!J7</f>
        <v>Non</v>
      </c>
      <c r="K29" s="5">
        <f>'[2]Lot 5'!K7</f>
        <v>2</v>
      </c>
      <c r="L29" s="4">
        <f>'[2]Lot 5'!L7</f>
        <v>792</v>
      </c>
      <c r="M29" s="31">
        <f>T_5[[#This Row],[P Qu]]*T_5[[#This Row],[P PU]]</f>
        <v>1584</v>
      </c>
      <c r="N29" s="6">
        <f>'[2]Lot 5'!N7</f>
        <v>0</v>
      </c>
      <c r="O29" s="7">
        <f>'[2]Lot 5'!O7</f>
        <v>0</v>
      </c>
      <c r="P29" s="8">
        <f>'[2]Lot 5'!P7</f>
        <v>0</v>
      </c>
      <c r="Q29" s="31">
        <f>T_5[[#This Row],[ACh Qu]]*T_5[[#This Row],[ACh PU]]</f>
        <v>0</v>
      </c>
      <c r="R29" s="30">
        <f>T_5[[#This Row],[P CT]]+T_5[[#This Row],[ACh CT]]</f>
        <v>1584</v>
      </c>
      <c r="S29" s="53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396</v>
      </c>
      <c r="T29" s="53">
        <f>T_5[[#This Row],[Mt Elligible]]*T_5[[#This Row],[Tx Sub]]</f>
        <v>198</v>
      </c>
    </row>
    <row r="30" spans="1:20" hidden="1">
      <c r="A30" s="182" t="str">
        <f>A$1</f>
        <v>Lot_5</v>
      </c>
      <c r="B30" s="113" t="str">
        <f>_xlfn.XLOOKUP(T_5[[#This Row],[N° Lot]],Tableau4[NoLot],Tableau4[Lot])</f>
        <v>Structuration d’une prénorme</v>
      </c>
      <c r="C30" s="166" t="str">
        <f>'[2]Lot 5'!C8</f>
        <v>T2_Vocabulaire_définition_termes_utilisés</v>
      </c>
      <c r="D30" s="186" t="str">
        <f>'[2]Lot 5'!D8</f>
        <v>ST2 Propositions de définitions complémentaires au comité scientifique et à la commission de pré-normalisation</v>
      </c>
      <c r="E30" s="178">
        <f>'[2]Lot 5'!E8</f>
        <v>0</v>
      </c>
      <c r="F30" s="185" t="str">
        <f>'[2]Lot 5'!F8</f>
        <v>CEREMA</v>
      </c>
      <c r="G30" s="196">
        <f>_xlfn.XLOOKUP(T_5[[#This Row],[Partenaires]],Partenaires2[Partenaire],Partenaires2[Tx Ch Connexe])</f>
        <v>0.25</v>
      </c>
      <c r="H30" s="196">
        <f>_xlfn.XLOOKUP(T_5[[#This Row],[Partenaires]],Partenaires2[Partenaire],Partenaires2[Tx Sub])</f>
        <v>0.5</v>
      </c>
      <c r="I30" s="178" t="str">
        <f>'[2]Lot 5'!I8</f>
        <v>Ingénieur</v>
      </c>
      <c r="J30" s="186" t="str">
        <f>'[2]Lot 5'!J8</f>
        <v>Non</v>
      </c>
      <c r="K30" s="5">
        <f>'[2]Lot 5'!K8</f>
        <v>2</v>
      </c>
      <c r="L30" s="4">
        <f>'[2]Lot 5'!L8</f>
        <v>376</v>
      </c>
      <c r="M30" s="31">
        <f>T_5[[#This Row],[P Qu]]*T_5[[#This Row],[P PU]]</f>
        <v>752</v>
      </c>
      <c r="N30" s="180">
        <f>'[2]Lot 5'!N8</f>
        <v>0</v>
      </c>
      <c r="O30" s="7">
        <f>'[2]Lot 5'!O8</f>
        <v>0</v>
      </c>
      <c r="P30" s="8">
        <f>'[2]Lot 5'!P8</f>
        <v>0</v>
      </c>
      <c r="Q30" s="31">
        <f>T_5[[#This Row],[ACh Qu]]*T_5[[#This Row],[ACh PU]]</f>
        <v>0</v>
      </c>
      <c r="R30" s="30">
        <f>T_5[[#This Row],[P CT]]+T_5[[#This Row],[ACh CT]]</f>
        <v>752</v>
      </c>
      <c r="S30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188</v>
      </c>
      <c r="T30" s="184">
        <f>T_5[[#This Row],[Mt Elligible]]*T_5[[#This Row],[Tx Sub]]</f>
        <v>94</v>
      </c>
    </row>
    <row r="31" spans="1:20" hidden="1">
      <c r="A31" s="182" t="str">
        <f>A$1</f>
        <v>Lot_5</v>
      </c>
      <c r="B31" s="113" t="str">
        <f>_xlfn.XLOOKUP(T_5[[#This Row],[N° Lot]],Tableau4[NoLot],Tableau4[Lot])</f>
        <v>Structuration d’une prénorme</v>
      </c>
      <c r="C31" s="166" t="s">
        <v>64</v>
      </c>
      <c r="D31" s="186" t="s">
        <v>132</v>
      </c>
      <c r="F31" s="185" t="s">
        <v>16</v>
      </c>
      <c r="G31" s="196">
        <f>_xlfn.XLOOKUP(T_5[[#This Row],[Partenaires]],Partenaires2[Partenaire],Partenaires2[Tx Ch Connexe])</f>
        <v>0.25</v>
      </c>
      <c r="H31" s="196">
        <f>_xlfn.XLOOKUP(T_5[[#This Row],[Partenaires]],Partenaires2[Partenaire],Partenaires2[Tx Sub])</f>
        <v>0.7</v>
      </c>
      <c r="I31" s="178"/>
      <c r="J31" s="186" t="s">
        <v>82</v>
      </c>
      <c r="K31" s="5"/>
      <c r="L31" s="4"/>
      <c r="M31" s="31">
        <f>T_5[[#This Row],[P Qu]]*T_5[[#This Row],[P PU]]</f>
        <v>0</v>
      </c>
      <c r="N31" s="180" t="s">
        <v>163</v>
      </c>
      <c r="O31" s="7">
        <v>1</v>
      </c>
      <c r="P31" s="8">
        <v>520</v>
      </c>
      <c r="Q31" s="31">
        <f>T_5[[#This Row],[ACh Qu]]*T_5[[#This Row],[ACh PU]]</f>
        <v>520</v>
      </c>
      <c r="R31" s="30">
        <f>T_5[[#This Row],[P CT]]+T_5[[#This Row],[ACh CT]]</f>
        <v>520</v>
      </c>
      <c r="S31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650</v>
      </c>
      <c r="T31" s="184">
        <f>T_5[[#This Row],[Mt Elligible]]*T_5[[#This Row],[Tx Sub]]</f>
        <v>454.99999999999994</v>
      </c>
    </row>
    <row r="32" spans="1:20" ht="30" hidden="1">
      <c r="A32" s="182" t="str">
        <f>A$1</f>
        <v>Lot_5</v>
      </c>
      <c r="B32" s="113" t="str">
        <f>_xlfn.XLOOKUP(T_5[[#This Row],[N° Lot]],Tableau4[NoLot],Tableau4[Lot])</f>
        <v>Structuration d’une prénorme</v>
      </c>
      <c r="C32" s="166" t="s">
        <v>65</v>
      </c>
      <c r="D32" s="186" t="s">
        <v>133</v>
      </c>
      <c r="F32" s="185" t="s">
        <v>38</v>
      </c>
      <c r="G32" s="196">
        <f>_xlfn.XLOOKUP(T_5[[#This Row],[Partenaires]],Partenaires2[Partenaire],Partenaires2[Tx Ch Connexe])</f>
        <v>0.22</v>
      </c>
      <c r="H32" s="196">
        <f>_xlfn.XLOOKUP(T_5[[#This Row],[Partenaires]],Partenaires2[Partenaire],Partenaires2[Tx Sub])</f>
        <v>0.7</v>
      </c>
      <c r="I32" s="178" t="s">
        <v>46</v>
      </c>
      <c r="J32" s="186" t="s">
        <v>82</v>
      </c>
      <c r="K32" s="5">
        <v>1</v>
      </c>
      <c r="L32" s="4">
        <v>406</v>
      </c>
      <c r="M32" s="31">
        <f>T_5[[#This Row],[P Qu]]*T_5[[#This Row],[P PU]]</f>
        <v>406</v>
      </c>
      <c r="N32" s="180"/>
      <c r="O32" s="7"/>
      <c r="P32" s="8"/>
      <c r="Q32" s="31">
        <f>T_5[[#This Row],[ACh Qu]]*T_5[[#This Row],[ACh PU]]</f>
        <v>0</v>
      </c>
      <c r="R32" s="30">
        <f>T_5[[#This Row],[P CT]]+T_5[[#This Row],[ACh CT]]</f>
        <v>406</v>
      </c>
      <c r="S32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495.32</v>
      </c>
      <c r="T32" s="184">
        <f>T_5[[#This Row],[Mt Elligible]]*T_5[[#This Row],[Tx Sub]]</f>
        <v>346.72399999999999</v>
      </c>
    </row>
    <row r="33" spans="1:20" hidden="1">
      <c r="A33" s="182" t="s">
        <v>34</v>
      </c>
      <c r="B33" s="113" t="str">
        <f>_xlfn.XLOOKUP(T_5[[#This Row],[N° Lot]],Tableau4[NoLot],Tableau4[Lot])</f>
        <v>Structuration d’une prénorme</v>
      </c>
      <c r="C33" s="166" t="s">
        <v>65</v>
      </c>
      <c r="D33" s="186" t="s">
        <v>133</v>
      </c>
      <c r="F33" s="185" t="s">
        <v>16</v>
      </c>
      <c r="G33" s="196">
        <f>_xlfn.XLOOKUP(T_5[[#This Row],[Partenaires]],Partenaires2[Partenaire],Partenaires2[Tx Ch Connexe])</f>
        <v>0.25</v>
      </c>
      <c r="H33" s="196">
        <f>_xlfn.XLOOKUP(T_5[[#This Row],[Partenaires]],Partenaires2[Partenaire],Partenaires2[Tx Sub])</f>
        <v>0.7</v>
      </c>
      <c r="I33" s="178"/>
      <c r="J33" s="186" t="s">
        <v>82</v>
      </c>
      <c r="K33" s="5"/>
      <c r="L33" s="4"/>
      <c r="M33" s="31">
        <f>T_5[[#This Row],[P Qu]]*T_5[[#This Row],[P PU]]</f>
        <v>0</v>
      </c>
      <c r="N33" s="180" t="s">
        <v>163</v>
      </c>
      <c r="O33" s="7">
        <v>3</v>
      </c>
      <c r="P33" s="8">
        <v>520</v>
      </c>
      <c r="Q33" s="31">
        <f>T_5[[#This Row],[ACh Qu]]*T_5[[#This Row],[ACh PU]]</f>
        <v>1560</v>
      </c>
      <c r="R33" s="30">
        <f>T_5[[#This Row],[P CT]]+T_5[[#This Row],[ACh CT]]</f>
        <v>1560</v>
      </c>
      <c r="S33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1950</v>
      </c>
      <c r="T33" s="184">
        <f>T_5[[#This Row],[Mt Elligible]]*T_5[[#This Row],[Tx Sub]]</f>
        <v>1365</v>
      </c>
    </row>
    <row r="34" spans="1:20" hidden="1">
      <c r="A34" s="182" t="s">
        <v>34</v>
      </c>
      <c r="B34" s="113" t="str">
        <f>_xlfn.XLOOKUP(T_5[[#This Row],[N° Lot]],Tableau4[NoLot],Tableau4[Lot])</f>
        <v>Structuration d’une prénorme</v>
      </c>
      <c r="C34" s="166" t="s">
        <v>65</v>
      </c>
      <c r="D34" s="186" t="s">
        <v>133</v>
      </c>
      <c r="F34" s="185" t="s">
        <v>16</v>
      </c>
      <c r="G34" s="196">
        <f>_xlfn.XLOOKUP(T_5[[#This Row],[Partenaires]],Partenaires2[Partenaire],Partenaires2[Tx Ch Connexe])</f>
        <v>0.25</v>
      </c>
      <c r="H34" s="196">
        <f>_xlfn.XLOOKUP(T_5[[#This Row],[Partenaires]],Partenaires2[Partenaire],Partenaires2[Tx Sub])</f>
        <v>0.7</v>
      </c>
      <c r="I34" s="178"/>
      <c r="J34" s="186"/>
      <c r="K34" s="5"/>
      <c r="L34" s="4"/>
      <c r="M34" s="31">
        <f>T_5[[#This Row],[P Qu]]*T_5[[#This Row],[P PU]]</f>
        <v>0</v>
      </c>
      <c r="N34" s="180" t="s">
        <v>45</v>
      </c>
      <c r="O34" s="7">
        <v>1</v>
      </c>
      <c r="P34" s="8">
        <v>150</v>
      </c>
      <c r="Q34" s="31">
        <f>T_5[[#This Row],[ACh Qu]]*T_5[[#This Row],[ACh PU]]</f>
        <v>150</v>
      </c>
      <c r="R34" s="30">
        <f>T_5[[#This Row],[P CT]]+T_5[[#This Row],[ACh CT]]</f>
        <v>150</v>
      </c>
      <c r="S34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187.5</v>
      </c>
      <c r="T34" s="184">
        <f>T_5[[#This Row],[Mt Elligible]]*T_5[[#This Row],[Tx Sub]]</f>
        <v>131.25</v>
      </c>
    </row>
    <row r="35" spans="1:20" ht="30" hidden="1">
      <c r="A35" s="182" t="str">
        <f>A$1</f>
        <v>Lot_5</v>
      </c>
      <c r="B35" s="113" t="str">
        <f>_xlfn.XLOOKUP(T_5[[#This Row],[N° Lot]],Tableau4[NoLot],Tableau4[Lot])</f>
        <v>Structuration d’une prénorme</v>
      </c>
      <c r="C35" s="166" t="s">
        <v>65</v>
      </c>
      <c r="D35" s="186" t="s">
        <v>134</v>
      </c>
      <c r="F35" s="185" t="s">
        <v>38</v>
      </c>
      <c r="G35" s="196">
        <f>_xlfn.XLOOKUP(T_5[[#This Row],[Partenaires]],Partenaires2[Partenaire],Partenaires2[Tx Ch Connexe])</f>
        <v>0.22</v>
      </c>
      <c r="H35" s="196">
        <f>_xlfn.XLOOKUP(T_5[[#This Row],[Partenaires]],Partenaires2[Partenaire],Partenaires2[Tx Sub])</f>
        <v>0.7</v>
      </c>
      <c r="I35" s="178" t="s">
        <v>46</v>
      </c>
      <c r="J35" s="186" t="s">
        <v>82</v>
      </c>
      <c r="K35" s="5">
        <v>3</v>
      </c>
      <c r="L35" s="4">
        <v>406</v>
      </c>
      <c r="M35" s="31">
        <f>T_5[[#This Row],[P Qu]]*T_5[[#This Row],[P PU]]</f>
        <v>1218</v>
      </c>
      <c r="N35" s="180"/>
      <c r="O35" s="7"/>
      <c r="P35" s="8"/>
      <c r="Q35" s="31">
        <f>T_5[[#This Row],[ACh Qu]]*T_5[[#This Row],[ACh PU]]</f>
        <v>0</v>
      </c>
      <c r="R35" s="30">
        <f>T_5[[#This Row],[P CT]]+T_5[[#This Row],[ACh CT]]</f>
        <v>1218</v>
      </c>
      <c r="S35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1485.96</v>
      </c>
      <c r="T35" s="184">
        <f>T_5[[#This Row],[Mt Elligible]]*T_5[[#This Row],[Tx Sub]]</f>
        <v>1040.172</v>
      </c>
    </row>
    <row r="36" spans="1:20" hidden="1">
      <c r="A36" s="182" t="str">
        <f>A$1</f>
        <v>Lot_5</v>
      </c>
      <c r="B36" s="113" t="str">
        <f>_xlfn.XLOOKUP(T_5[[#This Row],[N° Lot]],Tableau4[NoLot],Tableau4[Lot])</f>
        <v>Structuration d’une prénorme</v>
      </c>
      <c r="C36" s="166" t="s">
        <v>65</v>
      </c>
      <c r="D36" s="186" t="s">
        <v>134</v>
      </c>
      <c r="F36" s="185" t="s">
        <v>16</v>
      </c>
      <c r="G36" s="196">
        <f>_xlfn.XLOOKUP(T_5[[#This Row],[Partenaires]],Partenaires2[Partenaire],Partenaires2[Tx Ch Connexe])</f>
        <v>0.25</v>
      </c>
      <c r="H36" s="196">
        <f>_xlfn.XLOOKUP(T_5[[#This Row],[Partenaires]],Partenaires2[Partenaire],Partenaires2[Tx Sub])</f>
        <v>0.7</v>
      </c>
      <c r="I36" s="178"/>
      <c r="J36" s="186" t="s">
        <v>82</v>
      </c>
      <c r="K36" s="5"/>
      <c r="L36" s="4"/>
      <c r="M36" s="31">
        <f>T_5[[#This Row],[P Qu]]*T_5[[#This Row],[P PU]]</f>
        <v>0</v>
      </c>
      <c r="N36" s="180" t="s">
        <v>163</v>
      </c>
      <c r="O36" s="7">
        <v>3</v>
      </c>
      <c r="P36" s="8">
        <v>520</v>
      </c>
      <c r="Q36" s="31">
        <f>T_5[[#This Row],[ACh Qu]]*T_5[[#This Row],[ACh PU]]</f>
        <v>1560</v>
      </c>
      <c r="R36" s="30">
        <f>T_5[[#This Row],[P CT]]+T_5[[#This Row],[ACh CT]]</f>
        <v>1560</v>
      </c>
      <c r="S36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1950</v>
      </c>
      <c r="T36" s="184">
        <f>T_5[[#This Row],[Mt Elligible]]*T_5[[#This Row],[Tx Sub]]</f>
        <v>1365</v>
      </c>
    </row>
    <row r="37" spans="1:20" hidden="1">
      <c r="A37" s="182" t="str">
        <f t="shared" ref="A37:A41" si="0">A$1</f>
        <v>Lot_5</v>
      </c>
      <c r="B37" s="113" t="str">
        <f>_xlfn.XLOOKUP(T_5[[#This Row],[N° Lot]],Tableau4[NoLot],Tableau4[Lot])</f>
        <v>Structuration d’une prénorme</v>
      </c>
      <c r="C37" s="166" t="s">
        <v>63</v>
      </c>
      <c r="D37" s="186" t="s">
        <v>129</v>
      </c>
      <c r="E37" s="178" t="s">
        <v>164</v>
      </c>
      <c r="F37" s="185" t="s">
        <v>19</v>
      </c>
      <c r="G37" s="196">
        <f>_xlfn.XLOOKUP(T_5[[#This Row],[Partenaires]],Partenaires2[Partenaire],Partenaires2[Tx Ch Connexe])</f>
        <v>0.25</v>
      </c>
      <c r="H37" s="196">
        <f>_xlfn.XLOOKUP(T_5[[#This Row],[Partenaires]],Partenaires2[Partenaire],Partenaires2[Tx Sub])</f>
        <v>0.5</v>
      </c>
      <c r="I37" s="178"/>
      <c r="J37" s="186" t="s">
        <v>82</v>
      </c>
      <c r="K37" s="5">
        <v>3</v>
      </c>
      <c r="L37" s="4">
        <v>350</v>
      </c>
      <c r="M37" s="31">
        <f>T_5[[#This Row],[P Qu]]*T_5[[#This Row],[P PU]]</f>
        <v>1050</v>
      </c>
      <c r="N37" s="178" t="s">
        <v>242</v>
      </c>
      <c r="O37" s="7">
        <v>2</v>
      </c>
      <c r="P37" s="8">
        <v>150</v>
      </c>
      <c r="Q37" s="31">
        <f>T_5[[#This Row],[ACh Qu]]*T_5[[#This Row],[ACh PU]]</f>
        <v>300</v>
      </c>
      <c r="R37" s="30">
        <f>T_5[[#This Row],[P CT]]+T_5[[#This Row],[ACh CT]]</f>
        <v>1350</v>
      </c>
      <c r="S37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1687.5</v>
      </c>
      <c r="T37" s="184">
        <f>T_5[[#This Row],[Mt Elligible]]*T_5[[#This Row],[Tx Sub]]</f>
        <v>843.75</v>
      </c>
    </row>
    <row r="38" spans="1:20" hidden="1">
      <c r="A38" s="182" t="str">
        <f t="shared" si="0"/>
        <v>Lot_5</v>
      </c>
      <c r="B38" s="113" t="str">
        <f>_xlfn.XLOOKUP(T_5[[#This Row],[N° Lot]],Tableau4[NoLot],Tableau4[Lot])</f>
        <v>Structuration d’une prénorme</v>
      </c>
      <c r="C38" s="166" t="s">
        <v>64</v>
      </c>
      <c r="D38" s="186" t="s">
        <v>131</v>
      </c>
      <c r="F38" s="185" t="s">
        <v>19</v>
      </c>
      <c r="G38" s="196">
        <f>_xlfn.XLOOKUP(T_5[[#This Row],[Partenaires]],Partenaires2[Partenaire],Partenaires2[Tx Ch Connexe])</f>
        <v>0.25</v>
      </c>
      <c r="H38" s="196">
        <f>_xlfn.XLOOKUP(T_5[[#This Row],[Partenaires]],Partenaires2[Partenaire],Partenaires2[Tx Sub])</f>
        <v>0.5</v>
      </c>
      <c r="I38" s="178"/>
      <c r="J38" s="186" t="s">
        <v>82</v>
      </c>
      <c r="K38" s="5">
        <v>5</v>
      </c>
      <c r="L38" s="4">
        <v>350</v>
      </c>
      <c r="M38" s="31">
        <f>T_5[[#This Row],[P Qu]]*T_5[[#This Row],[P PU]]</f>
        <v>1750</v>
      </c>
      <c r="N38" s="178"/>
      <c r="O38" s="7"/>
      <c r="P38" s="8"/>
      <c r="Q38" s="31">
        <f>T_5[[#This Row],[ACh Qu]]*T_5[[#This Row],[ACh PU]]</f>
        <v>0</v>
      </c>
      <c r="R38" s="30">
        <f>T_5[[#This Row],[P CT]]+T_5[[#This Row],[ACh CT]]</f>
        <v>1750</v>
      </c>
      <c r="S38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2187.5</v>
      </c>
      <c r="T38" s="184">
        <f>T_5[[#This Row],[Mt Elligible]]*T_5[[#This Row],[Tx Sub]]</f>
        <v>1093.75</v>
      </c>
    </row>
    <row r="39" spans="1:20" hidden="1">
      <c r="A39" s="182" t="str">
        <f t="shared" si="0"/>
        <v>Lot_5</v>
      </c>
      <c r="B39" s="113" t="str">
        <f>_xlfn.XLOOKUP(T_5[[#This Row],[N° Lot]],Tableau4[NoLot],Tableau4[Lot])</f>
        <v>Structuration d’une prénorme</v>
      </c>
      <c r="C39" s="166" t="s">
        <v>64</v>
      </c>
      <c r="D39" s="186" t="s">
        <v>132</v>
      </c>
      <c r="F39" s="185" t="s">
        <v>19</v>
      </c>
      <c r="G39" s="196">
        <f>_xlfn.XLOOKUP(T_5[[#This Row],[Partenaires]],Partenaires2[Partenaire],Partenaires2[Tx Ch Connexe])</f>
        <v>0.25</v>
      </c>
      <c r="H39" s="196">
        <f>_xlfn.XLOOKUP(T_5[[#This Row],[Partenaires]],Partenaires2[Partenaire],Partenaires2[Tx Sub])</f>
        <v>0.5</v>
      </c>
      <c r="I39" s="178"/>
      <c r="J39" s="186" t="s">
        <v>82</v>
      </c>
      <c r="K39" s="5">
        <v>5</v>
      </c>
      <c r="L39" s="4">
        <v>350</v>
      </c>
      <c r="M39" s="31">
        <f>T_5[[#This Row],[P Qu]]*T_5[[#This Row],[P PU]]</f>
        <v>1750</v>
      </c>
      <c r="N39" s="178"/>
      <c r="O39" s="7"/>
      <c r="P39" s="8"/>
      <c r="Q39" s="31">
        <f>T_5[[#This Row],[ACh Qu]]*T_5[[#This Row],[ACh PU]]</f>
        <v>0</v>
      </c>
      <c r="R39" s="30">
        <f>T_5[[#This Row],[P CT]]+T_5[[#This Row],[ACh CT]]</f>
        <v>1750</v>
      </c>
      <c r="S39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2187.5</v>
      </c>
      <c r="T39" s="184">
        <f>T_5[[#This Row],[Mt Elligible]]*T_5[[#This Row],[Tx Sub]]</f>
        <v>1093.75</v>
      </c>
    </row>
    <row r="40" spans="1:20" hidden="1">
      <c r="A40" s="182" t="str">
        <f t="shared" si="0"/>
        <v>Lot_5</v>
      </c>
      <c r="B40" s="113" t="str">
        <f>_xlfn.XLOOKUP(T_5[[#This Row],[N° Lot]],Tableau4[NoLot],Tableau4[Lot])</f>
        <v>Structuration d’une prénorme</v>
      </c>
      <c r="C40" s="166" t="s">
        <v>65</v>
      </c>
      <c r="D40" s="186" t="s">
        <v>133</v>
      </c>
      <c r="F40" s="185" t="s">
        <v>19</v>
      </c>
      <c r="G40" s="196">
        <f>_xlfn.XLOOKUP(T_5[[#This Row],[Partenaires]],Partenaires2[Partenaire],Partenaires2[Tx Ch Connexe])</f>
        <v>0.25</v>
      </c>
      <c r="H40" s="196">
        <f>_xlfn.XLOOKUP(T_5[[#This Row],[Partenaires]],Partenaires2[Partenaire],Partenaires2[Tx Sub])</f>
        <v>0.5</v>
      </c>
      <c r="I40" s="178"/>
      <c r="J40" s="186" t="s">
        <v>82</v>
      </c>
      <c r="K40" s="5">
        <v>5</v>
      </c>
      <c r="L40" s="4">
        <v>350</v>
      </c>
      <c r="M40" s="31">
        <f>T_5[[#This Row],[P Qu]]*T_5[[#This Row],[P PU]]</f>
        <v>1750</v>
      </c>
      <c r="N40" s="178"/>
      <c r="O40" s="7"/>
      <c r="P40" s="8"/>
      <c r="Q40" s="31">
        <f>T_5[[#This Row],[ACh Qu]]*T_5[[#This Row],[ACh PU]]</f>
        <v>0</v>
      </c>
      <c r="R40" s="30">
        <f>T_5[[#This Row],[P CT]]+T_5[[#This Row],[ACh CT]]</f>
        <v>1750</v>
      </c>
      <c r="S40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2187.5</v>
      </c>
      <c r="T40" s="184">
        <f>T_5[[#This Row],[Mt Elligible]]*T_5[[#This Row],[Tx Sub]]</f>
        <v>1093.75</v>
      </c>
    </row>
    <row r="41" spans="1:20" hidden="1">
      <c r="A41" s="182" t="str">
        <f t="shared" si="0"/>
        <v>Lot_5</v>
      </c>
      <c r="B41" s="113" t="str">
        <f>_xlfn.XLOOKUP(T_5[[#This Row],[N° Lot]],Tableau4[NoLot],Tableau4[Lot])</f>
        <v>Structuration d’une prénorme</v>
      </c>
      <c r="C41" s="166" t="s">
        <v>65</v>
      </c>
      <c r="D41" s="186" t="s">
        <v>134</v>
      </c>
      <c r="F41" s="185" t="s">
        <v>19</v>
      </c>
      <c r="G41" s="196">
        <f>_xlfn.XLOOKUP(T_5[[#This Row],[Partenaires]],Partenaires2[Partenaire],Partenaires2[Tx Ch Connexe])</f>
        <v>0.25</v>
      </c>
      <c r="H41" s="196">
        <f>_xlfn.XLOOKUP(T_5[[#This Row],[Partenaires]],Partenaires2[Partenaire],Partenaires2[Tx Sub])</f>
        <v>0.5</v>
      </c>
      <c r="I41" s="178"/>
      <c r="J41" s="186" t="s">
        <v>82</v>
      </c>
      <c r="K41" s="5">
        <v>15</v>
      </c>
      <c r="L41" s="4">
        <v>350</v>
      </c>
      <c r="M41" s="31">
        <f>T_5[[#This Row],[P Qu]]*T_5[[#This Row],[P PU]]</f>
        <v>5250</v>
      </c>
      <c r="N41" s="178" t="s">
        <v>242</v>
      </c>
      <c r="O41" s="7">
        <v>1</v>
      </c>
      <c r="P41" s="8">
        <v>150</v>
      </c>
      <c r="Q41" s="31">
        <f>T_5[[#This Row],[ACh Qu]]*T_5[[#This Row],[ACh PU]]</f>
        <v>150</v>
      </c>
      <c r="R41" s="30">
        <f>T_5[[#This Row],[P CT]]+T_5[[#This Row],[ACh CT]]</f>
        <v>5400</v>
      </c>
      <c r="S41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6750</v>
      </c>
      <c r="T41" s="184">
        <f>T_5[[#This Row],[Mt Elligible]]*T_5[[#This Row],[Tx Sub]]</f>
        <v>3375</v>
      </c>
    </row>
    <row r="42" spans="1:20" hidden="1">
      <c r="A42" s="182" t="s">
        <v>34</v>
      </c>
      <c r="B42" s="113" t="str">
        <f>_xlfn.XLOOKUP(T_5[[#This Row],[N° Lot]],Tableau4[NoLot],Tableau4[Lot])</f>
        <v>Structuration d’une prénorme</v>
      </c>
      <c r="C42" s="166" t="s">
        <v>63</v>
      </c>
      <c r="D42" s="186" t="s">
        <v>129</v>
      </c>
      <c r="E42" s="178" t="s">
        <v>233</v>
      </c>
      <c r="F42" s="185" t="s">
        <v>17</v>
      </c>
      <c r="G42" s="196">
        <f>_xlfn.XLOOKUP(T_5[[#This Row],[Partenaires]],Partenaires2[Partenaire],Partenaires2[Tx Ch Connexe])</f>
        <v>0.18</v>
      </c>
      <c r="H42" s="196">
        <f>_xlfn.XLOOKUP(T_5[[#This Row],[Partenaires]],Partenaires2[Partenaire],Partenaires2[Tx Sub])</f>
        <v>0.5</v>
      </c>
      <c r="I42" s="178" t="s">
        <v>222</v>
      </c>
      <c r="J42" s="186" t="s">
        <v>81</v>
      </c>
      <c r="K42" s="5">
        <v>5</v>
      </c>
      <c r="L42" s="4">
        <v>572</v>
      </c>
      <c r="M42" s="31">
        <f>T_5[[#This Row],[P Qu]]*T_5[[#This Row],[P PU]]</f>
        <v>2860</v>
      </c>
      <c r="N42" s="178" t="s">
        <v>45</v>
      </c>
      <c r="O42" s="7">
        <v>5</v>
      </c>
      <c r="P42" s="8">
        <v>150</v>
      </c>
      <c r="Q42" s="31">
        <f>T_5[[#This Row],[ACh Qu]]*T_5[[#This Row],[ACh PU]]</f>
        <v>750</v>
      </c>
      <c r="R42" s="30">
        <f>T_5[[#This Row],[P CT]]+T_5[[#This Row],[ACh CT]]</f>
        <v>3610</v>
      </c>
      <c r="S42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1399.8</v>
      </c>
      <c r="T42" s="184">
        <f>T_5[[#This Row],[Mt Elligible]]*T_5[[#This Row],[Tx Sub]]</f>
        <v>699.9</v>
      </c>
    </row>
    <row r="43" spans="1:20" hidden="1">
      <c r="A43" s="182" t="str">
        <f t="shared" ref="A43:A44" si="1">A$1</f>
        <v>Lot_5</v>
      </c>
      <c r="B43" s="113" t="str">
        <f>_xlfn.XLOOKUP(T_5[[#This Row],[N° Lot]],Tableau4[NoLot],Tableau4[Lot])</f>
        <v>Structuration d’une prénorme</v>
      </c>
      <c r="C43" s="166" t="s">
        <v>63</v>
      </c>
      <c r="D43" s="186" t="s">
        <v>129</v>
      </c>
      <c r="E43" s="178" t="s">
        <v>233</v>
      </c>
      <c r="F43" s="185" t="s">
        <v>17</v>
      </c>
      <c r="G43" s="196">
        <f>_xlfn.XLOOKUP(T_5[[#This Row],[Partenaires]],Partenaires2[Partenaire],Partenaires2[Tx Ch Connexe])</f>
        <v>0.18</v>
      </c>
      <c r="H43" s="196">
        <f>_xlfn.XLOOKUP(T_5[[#This Row],[Partenaires]],Partenaires2[Partenaire],Partenaires2[Tx Sub])</f>
        <v>0.5</v>
      </c>
      <c r="I43" s="178" t="s">
        <v>220</v>
      </c>
      <c r="J43" s="186" t="s">
        <v>81</v>
      </c>
      <c r="K43" s="5">
        <v>5</v>
      </c>
      <c r="L43" s="4">
        <v>494</v>
      </c>
      <c r="M43" s="31">
        <f>T_5[[#This Row],[P Qu]]*T_5[[#This Row],[P PU]]</f>
        <v>2470</v>
      </c>
      <c r="N43" s="178" t="s">
        <v>45</v>
      </c>
      <c r="O43" s="7">
        <v>5</v>
      </c>
      <c r="P43" s="8">
        <v>150</v>
      </c>
      <c r="Q43" s="31">
        <f>T_5[[#This Row],[ACh Qu]]*T_5[[#This Row],[ACh PU]]</f>
        <v>750</v>
      </c>
      <c r="R43" s="30">
        <f>T_5[[#This Row],[P CT]]+T_5[[#This Row],[ACh CT]]</f>
        <v>3220</v>
      </c>
      <c r="S43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1329.6</v>
      </c>
      <c r="T43" s="184">
        <f>T_5[[#This Row],[Mt Elligible]]*T_5[[#This Row],[Tx Sub]]</f>
        <v>664.8</v>
      </c>
    </row>
    <row r="44" spans="1:20" hidden="1">
      <c r="A44" s="182" t="str">
        <f t="shared" si="1"/>
        <v>Lot_5</v>
      </c>
      <c r="B44" s="113" t="str">
        <f>_xlfn.XLOOKUP(T_5[[#This Row],[N° Lot]],Tableau4[NoLot],Tableau4[Lot])</f>
        <v>Structuration d’une prénorme</v>
      </c>
      <c r="C44" s="166" t="s">
        <v>63</v>
      </c>
      <c r="D44" s="186" t="s">
        <v>129</v>
      </c>
      <c r="E44" s="178" t="s">
        <v>233</v>
      </c>
      <c r="F44" s="185" t="s">
        <v>17</v>
      </c>
      <c r="G44" s="196">
        <f>_xlfn.XLOOKUP(T_5[[#This Row],[Partenaires]],Partenaires2[Partenaire],Partenaires2[Tx Ch Connexe])</f>
        <v>0.18</v>
      </c>
      <c r="H44" s="196">
        <f>_xlfn.XLOOKUP(T_5[[#This Row],[Partenaires]],Partenaires2[Partenaire],Partenaires2[Tx Sub])</f>
        <v>0.5</v>
      </c>
      <c r="I44" s="178" t="s">
        <v>221</v>
      </c>
      <c r="J44" s="186" t="s">
        <v>81</v>
      </c>
      <c r="K44" s="5">
        <v>5</v>
      </c>
      <c r="L44" s="4">
        <v>119</v>
      </c>
      <c r="M44" s="31">
        <f>T_5[[#This Row],[P Qu]]*T_5[[#This Row],[P PU]]</f>
        <v>595</v>
      </c>
      <c r="N44" s="178" t="s">
        <v>45</v>
      </c>
      <c r="O44" s="7">
        <v>5</v>
      </c>
      <c r="P44" s="8">
        <v>150</v>
      </c>
      <c r="Q44" s="31">
        <f>T_5[[#This Row],[ACh Qu]]*T_5[[#This Row],[ACh PU]]</f>
        <v>750</v>
      </c>
      <c r="R44" s="30">
        <f>T_5[[#This Row],[P CT]]+T_5[[#This Row],[ACh CT]]</f>
        <v>1345</v>
      </c>
      <c r="S44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992.1</v>
      </c>
      <c r="T44" s="184">
        <f>T_5[[#This Row],[Mt Elligible]]*T_5[[#This Row],[Tx Sub]]</f>
        <v>496.05</v>
      </c>
    </row>
    <row r="45" spans="1:20" hidden="1">
      <c r="A45" s="182" t="str">
        <f t="shared" ref="A45:A47" si="2">A$1</f>
        <v>Lot_5</v>
      </c>
      <c r="B45" s="113" t="str">
        <f>_xlfn.XLOOKUP(T_5[[#This Row],[N° Lot]],Tableau4[NoLot],Tableau4[Lot])</f>
        <v>Structuration d’une prénorme</v>
      </c>
      <c r="C45" s="166" t="s">
        <v>64</v>
      </c>
      <c r="D45" s="186" t="s">
        <v>131</v>
      </c>
      <c r="E45" s="178" t="s">
        <v>233</v>
      </c>
      <c r="F45" s="185" t="s">
        <v>17</v>
      </c>
      <c r="G45" s="196">
        <f>_xlfn.XLOOKUP(T_5[[#This Row],[Partenaires]],Partenaires2[Partenaire],Partenaires2[Tx Ch Connexe])</f>
        <v>0.18</v>
      </c>
      <c r="H45" s="196">
        <f>_xlfn.XLOOKUP(T_5[[#This Row],[Partenaires]],Partenaires2[Partenaire],Partenaires2[Tx Sub])</f>
        <v>0.5</v>
      </c>
      <c r="I45" s="178" t="s">
        <v>222</v>
      </c>
      <c r="J45" s="186" t="s">
        <v>81</v>
      </c>
      <c r="K45" s="5">
        <v>5</v>
      </c>
      <c r="L45" s="4">
        <v>572</v>
      </c>
      <c r="M45" s="31">
        <f>T_5[[#This Row],[P Qu]]*T_5[[#This Row],[P PU]]</f>
        <v>2860</v>
      </c>
      <c r="N45" s="178" t="s">
        <v>45</v>
      </c>
      <c r="O45" s="7">
        <v>5</v>
      </c>
      <c r="P45" s="8">
        <v>150</v>
      </c>
      <c r="Q45" s="31">
        <f>T_5[[#This Row],[ACh Qu]]*T_5[[#This Row],[ACh PU]]</f>
        <v>750</v>
      </c>
      <c r="R45" s="30">
        <f>T_5[[#This Row],[P CT]]+T_5[[#This Row],[ACh CT]]</f>
        <v>3610</v>
      </c>
      <c r="S45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1399.8</v>
      </c>
      <c r="T45" s="184">
        <f>T_5[[#This Row],[Mt Elligible]]*T_5[[#This Row],[Tx Sub]]</f>
        <v>699.9</v>
      </c>
    </row>
    <row r="46" spans="1:20" hidden="1">
      <c r="A46" s="182" t="str">
        <f t="shared" si="2"/>
        <v>Lot_5</v>
      </c>
      <c r="B46" s="113" t="str">
        <f>_xlfn.XLOOKUP(T_5[[#This Row],[N° Lot]],Tableau4[NoLot],Tableau4[Lot])</f>
        <v>Structuration d’une prénorme</v>
      </c>
      <c r="C46" s="166" t="s">
        <v>64</v>
      </c>
      <c r="D46" s="186" t="s">
        <v>131</v>
      </c>
      <c r="E46" s="178" t="s">
        <v>233</v>
      </c>
      <c r="F46" s="185" t="s">
        <v>17</v>
      </c>
      <c r="G46" s="196">
        <f>_xlfn.XLOOKUP(T_5[[#This Row],[Partenaires]],Partenaires2[Partenaire],Partenaires2[Tx Ch Connexe])</f>
        <v>0.18</v>
      </c>
      <c r="H46" s="196">
        <f>_xlfn.XLOOKUP(T_5[[#This Row],[Partenaires]],Partenaires2[Partenaire],Partenaires2[Tx Sub])</f>
        <v>0.5</v>
      </c>
      <c r="I46" s="178" t="s">
        <v>220</v>
      </c>
      <c r="J46" s="186" t="s">
        <v>81</v>
      </c>
      <c r="K46" s="5">
        <v>5</v>
      </c>
      <c r="L46" s="4">
        <v>494</v>
      </c>
      <c r="M46" s="31">
        <f>T_5[[#This Row],[P Qu]]*T_5[[#This Row],[P PU]]</f>
        <v>2470</v>
      </c>
      <c r="N46" s="178" t="s">
        <v>45</v>
      </c>
      <c r="O46" s="7">
        <v>5</v>
      </c>
      <c r="P46" s="8">
        <v>150</v>
      </c>
      <c r="Q46" s="31">
        <f>T_5[[#This Row],[ACh Qu]]*T_5[[#This Row],[ACh PU]]</f>
        <v>750</v>
      </c>
      <c r="R46" s="30">
        <f>T_5[[#This Row],[P CT]]+T_5[[#This Row],[ACh CT]]</f>
        <v>3220</v>
      </c>
      <c r="S46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1329.6</v>
      </c>
      <c r="T46" s="184">
        <f>T_5[[#This Row],[Mt Elligible]]*T_5[[#This Row],[Tx Sub]]</f>
        <v>664.8</v>
      </c>
    </row>
    <row r="47" spans="1:20" hidden="1">
      <c r="A47" s="182" t="str">
        <f t="shared" si="2"/>
        <v>Lot_5</v>
      </c>
      <c r="B47" s="113" t="str">
        <f>_xlfn.XLOOKUP(T_5[[#This Row],[N° Lot]],Tableau4[NoLot],Tableau4[Lot])</f>
        <v>Structuration d’une prénorme</v>
      </c>
      <c r="C47" s="166" t="s">
        <v>64</v>
      </c>
      <c r="D47" s="186" t="s">
        <v>131</v>
      </c>
      <c r="E47" s="178" t="s">
        <v>233</v>
      </c>
      <c r="F47" s="185" t="s">
        <v>17</v>
      </c>
      <c r="G47" s="196">
        <f>_xlfn.XLOOKUP(T_5[[#This Row],[Partenaires]],Partenaires2[Partenaire],Partenaires2[Tx Ch Connexe])</f>
        <v>0.18</v>
      </c>
      <c r="H47" s="196">
        <f>_xlfn.XLOOKUP(T_5[[#This Row],[Partenaires]],Partenaires2[Partenaire],Partenaires2[Tx Sub])</f>
        <v>0.5</v>
      </c>
      <c r="I47" s="178" t="s">
        <v>221</v>
      </c>
      <c r="J47" s="186" t="s">
        <v>81</v>
      </c>
      <c r="K47" s="5">
        <v>5</v>
      </c>
      <c r="L47" s="4">
        <v>119</v>
      </c>
      <c r="M47" s="31">
        <f>T_5[[#This Row],[P Qu]]*T_5[[#This Row],[P PU]]</f>
        <v>595</v>
      </c>
      <c r="N47" s="178" t="s">
        <v>45</v>
      </c>
      <c r="O47" s="7">
        <v>5</v>
      </c>
      <c r="P47" s="8">
        <v>150</v>
      </c>
      <c r="Q47" s="31">
        <f>T_5[[#This Row],[ACh Qu]]*T_5[[#This Row],[ACh PU]]</f>
        <v>750</v>
      </c>
      <c r="R47" s="30">
        <f>T_5[[#This Row],[P CT]]+T_5[[#This Row],[ACh CT]]</f>
        <v>1345</v>
      </c>
      <c r="S47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992.1</v>
      </c>
      <c r="T47" s="184">
        <f>T_5[[#This Row],[Mt Elligible]]*T_5[[#This Row],[Tx Sub]]</f>
        <v>496.05</v>
      </c>
    </row>
    <row r="48" spans="1:20" hidden="1">
      <c r="A48" s="182" t="str">
        <f t="shared" ref="A48:A51" si="3">A$1</f>
        <v>Lot_5</v>
      </c>
      <c r="B48" s="113" t="str">
        <f>_xlfn.XLOOKUP(T_5[[#This Row],[N° Lot]],Tableau4[NoLot],Tableau4[Lot])</f>
        <v>Structuration d’une prénorme</v>
      </c>
      <c r="C48" s="166" t="s">
        <v>63</v>
      </c>
      <c r="D48" s="186" t="s">
        <v>256</v>
      </c>
      <c r="E48" s="178" t="s">
        <v>257</v>
      </c>
      <c r="F48" s="185" t="s">
        <v>20</v>
      </c>
      <c r="G48" s="196">
        <f>_xlfn.XLOOKUP(T_5[[#This Row],[Partenaires]],Partenaires2[Partenaire],Partenaires2[Tx Ch Connexe])</f>
        <v>0.25</v>
      </c>
      <c r="H48" s="196">
        <f>_xlfn.XLOOKUP(T_5[[#This Row],[Partenaires]],Partenaires2[Partenaire],Partenaires2[Tx Sub])</f>
        <v>0.5</v>
      </c>
      <c r="I48" s="178"/>
      <c r="J48" s="186" t="s">
        <v>82</v>
      </c>
      <c r="K48" s="5">
        <v>1</v>
      </c>
      <c r="L48" s="4">
        <v>350</v>
      </c>
      <c r="M48" s="31">
        <f>T_5[[#This Row],[P Qu]]*T_5[[#This Row],[P PU]]</f>
        <v>350</v>
      </c>
      <c r="N48" s="178"/>
      <c r="O48" s="7"/>
      <c r="P48" s="8"/>
      <c r="Q48" s="31">
        <f>T_5[[#This Row],[ACh Qu]]*T_5[[#This Row],[ACh PU]]</f>
        <v>0</v>
      </c>
      <c r="R48" s="30">
        <f>T_5[[#This Row],[P CT]]+T_5[[#This Row],[ACh CT]]</f>
        <v>350</v>
      </c>
      <c r="S48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437.5</v>
      </c>
      <c r="T48" s="184">
        <f>T_5[[#This Row],[Mt Elligible]]*T_5[[#This Row],[Tx Sub]]</f>
        <v>218.75</v>
      </c>
    </row>
    <row r="49" spans="1:20" hidden="1">
      <c r="A49" s="182" t="str">
        <f t="shared" si="3"/>
        <v>Lot_5</v>
      </c>
      <c r="B49" s="113" t="str">
        <f>_xlfn.XLOOKUP(T_5[[#This Row],[N° Lot]],Tableau4[NoLot],Tableau4[Lot])</f>
        <v>Structuration d’une prénorme</v>
      </c>
      <c r="C49" s="166" t="s">
        <v>63</v>
      </c>
      <c r="D49" s="186" t="s">
        <v>128</v>
      </c>
      <c r="F49" s="185" t="s">
        <v>20</v>
      </c>
      <c r="G49" s="196">
        <f>_xlfn.XLOOKUP(T_5[[#This Row],[Partenaires]],Partenaires2[Partenaire],Partenaires2[Tx Ch Connexe])</f>
        <v>0.25</v>
      </c>
      <c r="H49" s="196">
        <f>_xlfn.XLOOKUP(T_5[[#This Row],[Partenaires]],Partenaires2[Partenaire],Partenaires2[Tx Sub])</f>
        <v>0.5</v>
      </c>
      <c r="I49" s="178"/>
      <c r="J49" s="186" t="s">
        <v>82</v>
      </c>
      <c r="K49" s="5">
        <v>1</v>
      </c>
      <c r="L49" s="4">
        <v>350</v>
      </c>
      <c r="M49" s="31">
        <f>T_5[[#This Row],[P Qu]]*T_5[[#This Row],[P PU]]</f>
        <v>350</v>
      </c>
      <c r="N49" s="178"/>
      <c r="O49" s="7"/>
      <c r="P49" s="8"/>
      <c r="Q49" s="31">
        <f>T_5[[#This Row],[ACh Qu]]*T_5[[#This Row],[ACh PU]]</f>
        <v>0</v>
      </c>
      <c r="R49" s="30">
        <f>T_5[[#This Row],[P CT]]+T_5[[#This Row],[ACh CT]]</f>
        <v>350</v>
      </c>
      <c r="S49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437.5</v>
      </c>
      <c r="T49" s="184">
        <f>T_5[[#This Row],[Mt Elligible]]*T_5[[#This Row],[Tx Sub]]</f>
        <v>218.75</v>
      </c>
    </row>
    <row r="50" spans="1:20" hidden="1">
      <c r="A50" s="182" t="str">
        <f t="shared" si="3"/>
        <v>Lot_5</v>
      </c>
      <c r="B50" s="113" t="str">
        <f>_xlfn.XLOOKUP(T_5[[#This Row],[N° Lot]],Tableau4[NoLot],Tableau4[Lot])</f>
        <v>Structuration d’une prénorme</v>
      </c>
      <c r="C50" s="166" t="s">
        <v>63</v>
      </c>
      <c r="D50" s="186" t="s">
        <v>129</v>
      </c>
      <c r="E50" s="178" t="s">
        <v>255</v>
      </c>
      <c r="F50" s="185" t="s">
        <v>20</v>
      </c>
      <c r="G50" s="196">
        <f>_xlfn.XLOOKUP(T_5[[#This Row],[Partenaires]],Partenaires2[Partenaire],Partenaires2[Tx Ch Connexe])</f>
        <v>0.25</v>
      </c>
      <c r="H50" s="196">
        <f>_xlfn.XLOOKUP(T_5[[#This Row],[Partenaires]],Partenaires2[Partenaire],Partenaires2[Tx Sub])</f>
        <v>0.5</v>
      </c>
      <c r="I50" s="178"/>
      <c r="J50" s="186" t="s">
        <v>82</v>
      </c>
      <c r="K50" s="5">
        <v>3</v>
      </c>
      <c r="L50" s="4">
        <v>350</v>
      </c>
      <c r="M50" s="31">
        <f>T_5[[#This Row],[P Qu]]*T_5[[#This Row],[P PU]]</f>
        <v>1050</v>
      </c>
      <c r="N50" s="178" t="s">
        <v>242</v>
      </c>
      <c r="O50" s="7">
        <v>2</v>
      </c>
      <c r="P50" s="8">
        <v>150</v>
      </c>
      <c r="Q50" s="31">
        <f>T_5[[#This Row],[ACh Qu]]*T_5[[#This Row],[ACh PU]]</f>
        <v>300</v>
      </c>
      <c r="R50" s="30">
        <f>T_5[[#This Row],[P CT]]+T_5[[#This Row],[ACh CT]]</f>
        <v>1350</v>
      </c>
      <c r="S50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1687.5</v>
      </c>
      <c r="T50" s="184">
        <f>T_5[[#This Row],[Mt Elligible]]*T_5[[#This Row],[Tx Sub]]</f>
        <v>843.75</v>
      </c>
    </row>
    <row r="51" spans="1:20" hidden="1">
      <c r="A51" s="182" t="str">
        <f t="shared" si="3"/>
        <v>Lot_5</v>
      </c>
      <c r="B51" s="113" t="str">
        <f>_xlfn.XLOOKUP(T_5[[#This Row],[N° Lot]],Tableau4[NoLot],Tableau4[Lot])</f>
        <v>Structuration d’une prénorme</v>
      </c>
      <c r="C51" s="166" t="s">
        <v>64</v>
      </c>
      <c r="D51" s="186" t="s">
        <v>131</v>
      </c>
      <c r="F51" s="185" t="s">
        <v>20</v>
      </c>
      <c r="G51" s="196">
        <f>_xlfn.XLOOKUP(T_5[[#This Row],[Partenaires]],Partenaires2[Partenaire],Partenaires2[Tx Ch Connexe])</f>
        <v>0.25</v>
      </c>
      <c r="H51" s="196">
        <f>_xlfn.XLOOKUP(T_5[[#This Row],[Partenaires]],Partenaires2[Partenaire],Partenaires2[Tx Sub])</f>
        <v>0.5</v>
      </c>
      <c r="I51" s="178"/>
      <c r="J51" s="186" t="s">
        <v>82</v>
      </c>
      <c r="K51" s="5">
        <v>5</v>
      </c>
      <c r="L51" s="4">
        <v>350</v>
      </c>
      <c r="M51" s="31">
        <f>T_5[[#This Row],[P Qu]]*T_5[[#This Row],[P PU]]</f>
        <v>1750</v>
      </c>
      <c r="N51" s="178"/>
      <c r="O51" s="7"/>
      <c r="P51" s="8"/>
      <c r="Q51" s="31">
        <f>T_5[[#This Row],[ACh Qu]]*T_5[[#This Row],[ACh PU]]</f>
        <v>0</v>
      </c>
      <c r="R51" s="30">
        <f>T_5[[#This Row],[P CT]]+T_5[[#This Row],[ACh CT]]</f>
        <v>1750</v>
      </c>
      <c r="S51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2187.5</v>
      </c>
      <c r="T51" s="184">
        <f>T_5[[#This Row],[Mt Elligible]]*T_5[[#This Row],[Tx Sub]]</f>
        <v>1093.75</v>
      </c>
    </row>
    <row r="52" spans="1:20" hidden="1">
      <c r="A52" s="182" t="str">
        <f>A$1</f>
        <v>Lot_5</v>
      </c>
      <c r="B52" s="113" t="str">
        <f>_xlfn.XLOOKUP(T_5[[#This Row],[N° Lot]],Tableau4[NoLot],Tableau4[Lot])</f>
        <v>Structuration d’une prénorme</v>
      </c>
      <c r="C52" s="166" t="s">
        <v>64</v>
      </c>
      <c r="D52" s="186" t="s">
        <v>132</v>
      </c>
      <c r="F52" s="185" t="s">
        <v>20</v>
      </c>
      <c r="G52" s="196">
        <f>_xlfn.XLOOKUP(T_5[[#This Row],[Partenaires]],Partenaires2[Partenaire],Partenaires2[Tx Ch Connexe])</f>
        <v>0.25</v>
      </c>
      <c r="H52" s="196">
        <f>_xlfn.XLOOKUP(T_5[[#This Row],[Partenaires]],Partenaires2[Partenaire],Partenaires2[Tx Sub])</f>
        <v>0.5</v>
      </c>
      <c r="I52" s="178"/>
      <c r="J52" s="186" t="s">
        <v>251</v>
      </c>
      <c r="K52" s="5">
        <v>5</v>
      </c>
      <c r="L52" s="4">
        <v>350</v>
      </c>
      <c r="M52" s="31">
        <f>T_5[[#This Row],[P Qu]]*T_5[[#This Row],[P PU]]</f>
        <v>1750</v>
      </c>
      <c r="N52" s="178"/>
      <c r="O52" s="7"/>
      <c r="P52" s="8"/>
      <c r="Q52" s="31">
        <f>T_5[[#This Row],[ACh Qu]]*T_5[[#This Row],[ACh PU]]</f>
        <v>0</v>
      </c>
      <c r="R52" s="30">
        <f>T_5[[#This Row],[P CT]]+T_5[[#This Row],[ACh CT]]</f>
        <v>1750</v>
      </c>
      <c r="S52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2187.5</v>
      </c>
      <c r="T52" s="184">
        <f>T_5[[#This Row],[Mt Elligible]]*T_5[[#This Row],[Tx Sub]]</f>
        <v>1093.75</v>
      </c>
    </row>
    <row r="53" spans="1:20" hidden="1">
      <c r="A53" s="182" t="str">
        <f t="shared" ref="A53:A60" si="4">A$1</f>
        <v>Lot_5</v>
      </c>
      <c r="B53" s="113" t="str">
        <f>_xlfn.XLOOKUP(T_5[[#This Row],[N° Lot]],Tableau4[NoLot],Tableau4[Lot])</f>
        <v>Structuration d’une prénorme</v>
      </c>
      <c r="C53" s="166" t="s">
        <v>63</v>
      </c>
      <c r="D53" s="186" t="s">
        <v>129</v>
      </c>
      <c r="F53" s="185" t="s">
        <v>79</v>
      </c>
      <c r="G53" s="196">
        <f>_xlfn.XLOOKUP(T_5[[#This Row],[Partenaires]],Partenaires2[Partenaire],Partenaires2[Tx Ch Connexe])</f>
        <v>0.16</v>
      </c>
      <c r="H53" s="196">
        <f>_xlfn.XLOOKUP(T_5[[#This Row],[Partenaires]],Partenaires2[Partenaire],Partenaires2[Tx Sub])</f>
        <v>0.5</v>
      </c>
      <c r="I53" s="178" t="s">
        <v>238</v>
      </c>
      <c r="J53" s="186" t="s">
        <v>81</v>
      </c>
      <c r="K53" s="5">
        <v>3</v>
      </c>
      <c r="L53" s="4">
        <v>446</v>
      </c>
      <c r="M53" s="31">
        <f>T_5[[#This Row],[P Qu]]*T_5[[#This Row],[P PU]]</f>
        <v>1338</v>
      </c>
      <c r="N53" s="180" t="s">
        <v>242</v>
      </c>
      <c r="O53" s="7">
        <v>2</v>
      </c>
      <c r="P53" s="8">
        <v>150</v>
      </c>
      <c r="Q53" s="31">
        <f>T_5[[#This Row],[ACh Qu]]*T_5[[#This Row],[ACh PU]]</f>
        <v>300</v>
      </c>
      <c r="R53" s="30">
        <f>T_5[[#This Row],[P CT]]+T_5[[#This Row],[ACh CT]]</f>
        <v>1638</v>
      </c>
      <c r="S53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562.08000000000004</v>
      </c>
      <c r="T53" s="184">
        <f>T_5[[#This Row],[Mt Elligible]]*T_5[[#This Row],[Tx Sub]]</f>
        <v>281.04000000000002</v>
      </c>
    </row>
    <row r="54" spans="1:20" hidden="1">
      <c r="A54" s="182" t="str">
        <f t="shared" si="4"/>
        <v>Lot_5</v>
      </c>
      <c r="B54" s="113" t="str">
        <f>_xlfn.XLOOKUP(T_5[[#This Row],[N° Lot]],Tableau4[NoLot],Tableau4[Lot])</f>
        <v>Structuration d’une prénorme</v>
      </c>
      <c r="C54" s="166" t="s">
        <v>63</v>
      </c>
      <c r="D54" s="186" t="s">
        <v>129</v>
      </c>
      <c r="F54" s="185" t="s">
        <v>79</v>
      </c>
      <c r="G54" s="196">
        <f>_xlfn.XLOOKUP(T_5[[#This Row],[Partenaires]],Partenaires2[Partenaire],Partenaires2[Tx Ch Connexe])</f>
        <v>0.16</v>
      </c>
      <c r="H54" s="196">
        <f>_xlfn.XLOOKUP(T_5[[#This Row],[Partenaires]],Partenaires2[Partenaire],Partenaires2[Tx Sub])</f>
        <v>0.5</v>
      </c>
      <c r="I54" s="178" t="s">
        <v>241</v>
      </c>
      <c r="J54" s="186" t="s">
        <v>81</v>
      </c>
      <c r="K54" s="5">
        <v>3</v>
      </c>
      <c r="L54" s="4">
        <v>275</v>
      </c>
      <c r="M54" s="31">
        <f>T_5[[#This Row],[P Qu]]*T_5[[#This Row],[P PU]]</f>
        <v>825</v>
      </c>
      <c r="N54" s="180" t="s">
        <v>242</v>
      </c>
      <c r="O54" s="7">
        <v>2</v>
      </c>
      <c r="P54" s="8">
        <v>150</v>
      </c>
      <c r="Q54" s="31">
        <f>T_5[[#This Row],[ACh Qu]]*T_5[[#This Row],[ACh PU]]</f>
        <v>300</v>
      </c>
      <c r="R54" s="30">
        <f>T_5[[#This Row],[P CT]]+T_5[[#This Row],[ACh CT]]</f>
        <v>1125</v>
      </c>
      <c r="S54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480</v>
      </c>
      <c r="T54" s="184">
        <f>T_5[[#This Row],[Mt Elligible]]*T_5[[#This Row],[Tx Sub]]</f>
        <v>240</v>
      </c>
    </row>
    <row r="55" spans="1:20" hidden="1">
      <c r="A55" s="182" t="str">
        <f t="shared" si="4"/>
        <v>Lot_5</v>
      </c>
      <c r="B55" s="113" t="str">
        <f>_xlfn.XLOOKUP(T_5[[#This Row],[N° Lot]],Tableau4[NoLot],Tableau4[Lot])</f>
        <v>Structuration d’une prénorme</v>
      </c>
      <c r="C55" s="166" t="s">
        <v>64</v>
      </c>
      <c r="D55" s="186" t="s">
        <v>131</v>
      </c>
      <c r="F55" s="185" t="s">
        <v>79</v>
      </c>
      <c r="G55" s="196">
        <f>_xlfn.XLOOKUP(T_5[[#This Row],[Partenaires]],Partenaires2[Partenaire],Partenaires2[Tx Ch Connexe])</f>
        <v>0.16</v>
      </c>
      <c r="H55" s="196">
        <f>_xlfn.XLOOKUP(T_5[[#This Row],[Partenaires]],Partenaires2[Partenaire],Partenaires2[Tx Sub])</f>
        <v>0.5</v>
      </c>
      <c r="I55" s="178" t="s">
        <v>238</v>
      </c>
      <c r="J55" s="186" t="s">
        <v>81</v>
      </c>
      <c r="K55" s="5">
        <v>5</v>
      </c>
      <c r="L55" s="4">
        <v>446</v>
      </c>
      <c r="M55" s="31">
        <f>T_5[[#This Row],[P Qu]]*T_5[[#This Row],[P PU]]</f>
        <v>2230</v>
      </c>
      <c r="N55" s="180" t="s">
        <v>45</v>
      </c>
      <c r="O55" s="7">
        <v>5</v>
      </c>
      <c r="P55" s="8">
        <v>150</v>
      </c>
      <c r="Q55" s="31">
        <f>T_5[[#This Row],[ACh Qu]]*T_5[[#This Row],[ACh PU]]</f>
        <v>750</v>
      </c>
      <c r="R55" s="30">
        <f>T_5[[#This Row],[P CT]]+T_5[[#This Row],[ACh CT]]</f>
        <v>2980</v>
      </c>
      <c r="S55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1226.8</v>
      </c>
      <c r="T55" s="184">
        <f>T_5[[#This Row],[Mt Elligible]]*T_5[[#This Row],[Tx Sub]]</f>
        <v>613.4</v>
      </c>
    </row>
    <row r="56" spans="1:20" hidden="1">
      <c r="A56" s="182" t="str">
        <f t="shared" si="4"/>
        <v>Lot_5</v>
      </c>
      <c r="B56" s="113" t="str">
        <f>_xlfn.XLOOKUP(T_5[[#This Row],[N° Lot]],Tableau4[NoLot],Tableau4[Lot])</f>
        <v>Structuration d’une prénorme</v>
      </c>
      <c r="C56" s="166" t="s">
        <v>64</v>
      </c>
      <c r="D56" s="186" t="s">
        <v>131</v>
      </c>
      <c r="F56" s="185" t="s">
        <v>79</v>
      </c>
      <c r="G56" s="196">
        <f>_xlfn.XLOOKUP(T_5[[#This Row],[Partenaires]],Partenaires2[Partenaire],Partenaires2[Tx Ch Connexe])</f>
        <v>0.16</v>
      </c>
      <c r="H56" s="196">
        <f>_xlfn.XLOOKUP(T_5[[#This Row],[Partenaires]],Partenaires2[Partenaire],Partenaires2[Tx Sub])</f>
        <v>0.5</v>
      </c>
      <c r="I56" s="178" t="s">
        <v>241</v>
      </c>
      <c r="J56" s="186" t="s">
        <v>81</v>
      </c>
      <c r="K56" s="5">
        <v>2</v>
      </c>
      <c r="L56" s="4">
        <v>275</v>
      </c>
      <c r="M56" s="31">
        <f>T_5[[#This Row],[P Qu]]*T_5[[#This Row],[P PU]]</f>
        <v>550</v>
      </c>
      <c r="N56" s="180" t="s">
        <v>45</v>
      </c>
      <c r="O56" s="7">
        <v>5</v>
      </c>
      <c r="P56" s="8">
        <v>150</v>
      </c>
      <c r="Q56" s="31">
        <f>T_5[[#This Row],[ACh Qu]]*T_5[[#This Row],[ACh PU]]</f>
        <v>750</v>
      </c>
      <c r="R56" s="30">
        <f>T_5[[#This Row],[P CT]]+T_5[[#This Row],[ACh CT]]</f>
        <v>1300</v>
      </c>
      <c r="S56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958</v>
      </c>
      <c r="T56" s="184">
        <f>T_5[[#This Row],[Mt Elligible]]*T_5[[#This Row],[Tx Sub]]</f>
        <v>479</v>
      </c>
    </row>
    <row r="57" spans="1:20" hidden="1">
      <c r="A57" s="182" t="str">
        <f t="shared" si="4"/>
        <v>Lot_5</v>
      </c>
      <c r="B57" s="113" t="str">
        <f>_xlfn.XLOOKUP(T_5[[#This Row],[N° Lot]],Tableau4[NoLot],Tableau4[Lot])</f>
        <v>Structuration d’une prénorme</v>
      </c>
      <c r="C57" s="166" t="s">
        <v>64</v>
      </c>
      <c r="D57" s="186" t="s">
        <v>132</v>
      </c>
      <c r="F57" s="185" t="s">
        <v>79</v>
      </c>
      <c r="G57" s="196">
        <f>_xlfn.XLOOKUP(T_5[[#This Row],[Partenaires]],Partenaires2[Partenaire],Partenaires2[Tx Ch Connexe])</f>
        <v>0.16</v>
      </c>
      <c r="H57" s="196">
        <f>_xlfn.XLOOKUP(T_5[[#This Row],[Partenaires]],Partenaires2[Partenaire],Partenaires2[Tx Sub])</f>
        <v>0.5</v>
      </c>
      <c r="I57" s="178" t="s">
        <v>238</v>
      </c>
      <c r="J57" s="186" t="s">
        <v>81</v>
      </c>
      <c r="K57" s="5">
        <v>2</v>
      </c>
      <c r="L57" s="4">
        <v>446</v>
      </c>
      <c r="M57" s="31">
        <f>T_5[[#This Row],[P Qu]]*T_5[[#This Row],[P PU]]</f>
        <v>892</v>
      </c>
      <c r="N57" s="180"/>
      <c r="O57" s="7"/>
      <c r="P57" s="8"/>
      <c r="Q57" s="31">
        <f>T_5[[#This Row],[ACh Qu]]*T_5[[#This Row],[ACh PU]]</f>
        <v>0</v>
      </c>
      <c r="R57" s="30">
        <f>T_5[[#This Row],[P CT]]+T_5[[#This Row],[ACh CT]]</f>
        <v>892</v>
      </c>
      <c r="S57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142.72</v>
      </c>
      <c r="T57" s="184">
        <f>T_5[[#This Row],[Mt Elligible]]*T_5[[#This Row],[Tx Sub]]</f>
        <v>71.36</v>
      </c>
    </row>
    <row r="58" spans="1:20" hidden="1">
      <c r="A58" s="182" t="str">
        <f t="shared" si="4"/>
        <v>Lot_5</v>
      </c>
      <c r="B58" s="113" t="str">
        <f>_xlfn.XLOOKUP(T_5[[#This Row],[N° Lot]],Tableau4[NoLot],Tableau4[Lot])</f>
        <v>Structuration d’une prénorme</v>
      </c>
      <c r="C58" s="166" t="s">
        <v>65</v>
      </c>
      <c r="D58" s="186" t="s">
        <v>133</v>
      </c>
      <c r="F58" s="185" t="s">
        <v>79</v>
      </c>
      <c r="G58" s="196">
        <f>_xlfn.XLOOKUP(T_5[[#This Row],[Partenaires]],Partenaires2[Partenaire],Partenaires2[Tx Ch Connexe])</f>
        <v>0.16</v>
      </c>
      <c r="H58" s="196">
        <f>_xlfn.XLOOKUP(T_5[[#This Row],[Partenaires]],Partenaires2[Partenaire],Partenaires2[Tx Sub])</f>
        <v>0.5</v>
      </c>
      <c r="I58" s="178" t="s">
        <v>238</v>
      </c>
      <c r="J58" s="186" t="s">
        <v>81</v>
      </c>
      <c r="K58" s="5">
        <v>2</v>
      </c>
      <c r="L58" s="4">
        <v>446</v>
      </c>
      <c r="M58" s="31">
        <f>T_5[[#This Row],[P Qu]]*T_5[[#This Row],[P PU]]</f>
        <v>892</v>
      </c>
      <c r="N58" s="180"/>
      <c r="O58" s="7"/>
      <c r="P58" s="8"/>
      <c r="Q58" s="31">
        <f>T_5[[#This Row],[ACh Qu]]*T_5[[#This Row],[ACh PU]]</f>
        <v>0</v>
      </c>
      <c r="R58" s="30">
        <f>T_5[[#This Row],[P CT]]+T_5[[#This Row],[ACh CT]]</f>
        <v>892</v>
      </c>
      <c r="S58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142.72</v>
      </c>
      <c r="T58" s="184">
        <f>T_5[[#This Row],[Mt Elligible]]*T_5[[#This Row],[Tx Sub]]</f>
        <v>71.36</v>
      </c>
    </row>
    <row r="59" spans="1:20" hidden="1">
      <c r="A59" s="182" t="str">
        <f t="shared" si="4"/>
        <v>Lot_5</v>
      </c>
      <c r="B59" s="113" t="str">
        <f>_xlfn.XLOOKUP(T_5[[#This Row],[N° Lot]],Tableau4[NoLot],Tableau4[Lot])</f>
        <v>Structuration d’une prénorme</v>
      </c>
      <c r="C59" s="166" t="s">
        <v>65</v>
      </c>
      <c r="D59" s="186" t="s">
        <v>134</v>
      </c>
      <c r="F59" s="185" t="s">
        <v>79</v>
      </c>
      <c r="G59" s="196">
        <f>_xlfn.XLOOKUP(T_5[[#This Row],[Partenaires]],Partenaires2[Partenaire],Partenaires2[Tx Ch Connexe])</f>
        <v>0.16</v>
      </c>
      <c r="H59" s="196">
        <f>_xlfn.XLOOKUP(T_5[[#This Row],[Partenaires]],Partenaires2[Partenaire],Partenaires2[Tx Sub])</f>
        <v>0.5</v>
      </c>
      <c r="I59" s="178" t="s">
        <v>238</v>
      </c>
      <c r="J59" s="186" t="s">
        <v>81</v>
      </c>
      <c r="K59" s="5">
        <v>2</v>
      </c>
      <c r="L59" s="4">
        <v>446</v>
      </c>
      <c r="M59" s="31">
        <f>T_5[[#This Row],[P Qu]]*T_5[[#This Row],[P PU]]</f>
        <v>892</v>
      </c>
      <c r="N59" s="180"/>
      <c r="O59" s="7"/>
      <c r="P59" s="8"/>
      <c r="Q59" s="31">
        <f>T_5[[#This Row],[ACh Qu]]*T_5[[#This Row],[ACh PU]]</f>
        <v>0</v>
      </c>
      <c r="R59" s="30">
        <f>T_5[[#This Row],[P CT]]+T_5[[#This Row],[ACh CT]]</f>
        <v>892</v>
      </c>
      <c r="S59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142.72</v>
      </c>
      <c r="T59" s="184">
        <f>T_5[[#This Row],[Mt Elligible]]*T_5[[#This Row],[Tx Sub]]</f>
        <v>71.36</v>
      </c>
    </row>
    <row r="60" spans="1:20" hidden="1">
      <c r="A60" s="182" t="str">
        <f t="shared" si="4"/>
        <v>Lot_5</v>
      </c>
      <c r="B60" s="113" t="str">
        <f>_xlfn.XLOOKUP(T_5[[#This Row],[N° Lot]],Tableau4[NoLot],Tableau4[Lot])</f>
        <v>Structuration d’une prénorme</v>
      </c>
      <c r="C60" s="166" t="s">
        <v>65</v>
      </c>
      <c r="D60" s="186" t="s">
        <v>134</v>
      </c>
      <c r="F60" s="185" t="s">
        <v>79</v>
      </c>
      <c r="G60" s="196">
        <f>_xlfn.XLOOKUP(T_5[[#This Row],[Partenaires]],Partenaires2[Partenaire],Partenaires2[Tx Ch Connexe])</f>
        <v>0.16</v>
      </c>
      <c r="H60" s="196">
        <f>_xlfn.XLOOKUP(T_5[[#This Row],[Partenaires]],Partenaires2[Partenaire],Partenaires2[Tx Sub])</f>
        <v>0.5</v>
      </c>
      <c r="I60" s="178" t="s">
        <v>240</v>
      </c>
      <c r="J60" s="186" t="s">
        <v>82</v>
      </c>
      <c r="K60" s="5"/>
      <c r="L60" s="4">
        <v>328</v>
      </c>
      <c r="M60" s="31">
        <f>T_5[[#This Row],[P Qu]]*T_5[[#This Row],[P PU]]</f>
        <v>0</v>
      </c>
      <c r="N60" s="180"/>
      <c r="O60" s="7"/>
      <c r="P60" s="8"/>
      <c r="Q60" s="31">
        <f>T_5[[#This Row],[ACh Qu]]*T_5[[#This Row],[ACh PU]]</f>
        <v>0</v>
      </c>
      <c r="R60" s="30">
        <f>T_5[[#This Row],[P CT]]+T_5[[#This Row],[ACh CT]]</f>
        <v>0</v>
      </c>
      <c r="S60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0</v>
      </c>
      <c r="T60" s="184">
        <f>T_5[[#This Row],[Mt Elligible]]*T_5[[#This Row],[Tx Sub]]</f>
        <v>0</v>
      </c>
    </row>
    <row r="61" spans="1:20" hidden="1">
      <c r="A61" s="182" t="str">
        <f>A$1</f>
        <v>Lot_5</v>
      </c>
      <c r="B61" s="113" t="str">
        <f>_xlfn.XLOOKUP(T_5[[#This Row],[N° Lot]],Tableau4[NoLot],Tableau4[Lot])</f>
        <v>Structuration d’une prénorme</v>
      </c>
      <c r="C61" s="166" t="s">
        <v>63</v>
      </c>
      <c r="D61" s="186" t="s">
        <v>129</v>
      </c>
      <c r="F61" s="185" t="s">
        <v>135</v>
      </c>
      <c r="G61" s="196">
        <f>_xlfn.XLOOKUP(T_5[[#This Row],[Partenaires]],Partenaires2[Partenaire],Partenaires2[Tx Ch Connexe])</f>
        <v>0.25</v>
      </c>
      <c r="H61" s="196">
        <f>_xlfn.XLOOKUP(T_5[[#This Row],[Partenaires]],Partenaires2[Partenaire],Partenaires2[Tx Sub])</f>
        <v>0.7</v>
      </c>
      <c r="I61" s="178"/>
      <c r="J61" s="186" t="s">
        <v>82</v>
      </c>
      <c r="K61" s="5">
        <v>6</v>
      </c>
      <c r="L61" s="4">
        <v>422</v>
      </c>
      <c r="M61" s="31">
        <f>T_5[[#This Row],[P Qu]]*T_5[[#This Row],[P PU]]</f>
        <v>2532</v>
      </c>
      <c r="N61" s="178" t="s">
        <v>45</v>
      </c>
      <c r="O61" s="7">
        <v>3</v>
      </c>
      <c r="P61" s="8">
        <v>150</v>
      </c>
      <c r="Q61" s="31">
        <f>T_5[[#This Row],[ACh Qu]]*T_5[[#This Row],[ACh PU]]</f>
        <v>450</v>
      </c>
      <c r="R61" s="30">
        <f>T_5[[#This Row],[P CT]]+T_5[[#This Row],[ACh CT]]</f>
        <v>2982</v>
      </c>
      <c r="S61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3727.5</v>
      </c>
      <c r="T61" s="184">
        <f>T_5[[#This Row],[Mt Elligible]]*T_5[[#This Row],[Tx Sub]]</f>
        <v>2609.25</v>
      </c>
    </row>
    <row r="62" spans="1:20" hidden="1">
      <c r="A62" s="182" t="str">
        <f t="shared" ref="A62:A64" si="5">A$1</f>
        <v>Lot_5</v>
      </c>
      <c r="B62" s="113" t="str">
        <f>_xlfn.XLOOKUP(T_5[[#This Row],[N° Lot]],Tableau4[NoLot],Tableau4[Lot])</f>
        <v>Structuration d’une prénorme</v>
      </c>
      <c r="C62" s="166" t="s">
        <v>63</v>
      </c>
      <c r="D62" s="186" t="s">
        <v>129</v>
      </c>
      <c r="F62" s="185" t="s">
        <v>21</v>
      </c>
      <c r="G62" s="196">
        <f>_xlfn.XLOOKUP(T_5[[#This Row],[Partenaires]],Partenaires2[Partenaire],Partenaires2[Tx Ch Connexe])</f>
        <v>0.25</v>
      </c>
      <c r="H62" s="196">
        <f>_xlfn.XLOOKUP(T_5[[#This Row],[Partenaires]],Partenaires2[Partenaire],Partenaires2[Tx Sub])</f>
        <v>0.7</v>
      </c>
      <c r="I62" s="178" t="s">
        <v>259</v>
      </c>
      <c r="J62" s="186" t="s">
        <v>82</v>
      </c>
      <c r="K62" s="5">
        <v>6</v>
      </c>
      <c r="L62" s="4">
        <v>430</v>
      </c>
      <c r="M62" s="31">
        <f>T_5[[#This Row],[P Qu]]*T_5[[#This Row],[P PU]]</f>
        <v>2580</v>
      </c>
      <c r="N62" s="178" t="s">
        <v>45</v>
      </c>
      <c r="O62" s="7">
        <v>6</v>
      </c>
      <c r="P62" s="8">
        <v>150</v>
      </c>
      <c r="Q62" s="31">
        <f>T_5[[#This Row],[ACh Qu]]*T_5[[#This Row],[ACh PU]]</f>
        <v>900</v>
      </c>
      <c r="R62" s="30">
        <f>T_5[[#This Row],[P CT]]+T_5[[#This Row],[ACh CT]]</f>
        <v>3480</v>
      </c>
      <c r="S62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4350</v>
      </c>
      <c r="T62" s="184">
        <f>T_5[[#This Row],[Mt Elligible]]*T_5[[#This Row],[Tx Sub]]</f>
        <v>3045</v>
      </c>
    </row>
    <row r="63" spans="1:20" hidden="1">
      <c r="A63" s="182" t="str">
        <f t="shared" si="5"/>
        <v>Lot_5</v>
      </c>
      <c r="B63" s="113" t="str">
        <f>_xlfn.XLOOKUP(T_5[[#This Row],[N° Lot]],Tableau4[NoLot],Tableau4[Lot])</f>
        <v>Structuration d’une prénorme</v>
      </c>
      <c r="C63" s="166" t="s">
        <v>64</v>
      </c>
      <c r="D63" s="186" t="s">
        <v>131</v>
      </c>
      <c r="F63" s="185" t="s">
        <v>21</v>
      </c>
      <c r="G63" s="196">
        <f>_xlfn.XLOOKUP(T_5[[#This Row],[Partenaires]],Partenaires2[Partenaire],Partenaires2[Tx Ch Connexe])</f>
        <v>0.25</v>
      </c>
      <c r="H63" s="196">
        <f>_xlfn.XLOOKUP(T_5[[#This Row],[Partenaires]],Partenaires2[Partenaire],Partenaires2[Tx Sub])</f>
        <v>0.7</v>
      </c>
      <c r="I63" s="178" t="s">
        <v>259</v>
      </c>
      <c r="J63" s="186" t="s">
        <v>82</v>
      </c>
      <c r="K63" s="5">
        <v>2</v>
      </c>
      <c r="L63" s="4">
        <v>430</v>
      </c>
      <c r="M63" s="31">
        <f>T_5[[#This Row],[P Qu]]*T_5[[#This Row],[P PU]]</f>
        <v>860</v>
      </c>
      <c r="N63" s="178" t="s">
        <v>45</v>
      </c>
      <c r="O63" s="7">
        <v>2</v>
      </c>
      <c r="P63" s="8">
        <v>150</v>
      </c>
      <c r="Q63" s="31">
        <f>T_5[[#This Row],[ACh Qu]]*T_5[[#This Row],[ACh PU]]</f>
        <v>300</v>
      </c>
      <c r="R63" s="30">
        <f>T_5[[#This Row],[P CT]]+T_5[[#This Row],[ACh CT]]</f>
        <v>1160</v>
      </c>
      <c r="S63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1450</v>
      </c>
      <c r="T63" s="184">
        <f>T_5[[#This Row],[Mt Elligible]]*T_5[[#This Row],[Tx Sub]]</f>
        <v>1014.9999999999999</v>
      </c>
    </row>
    <row r="64" spans="1:20" hidden="1">
      <c r="A64" s="182" t="str">
        <f t="shared" si="5"/>
        <v>Lot_5</v>
      </c>
      <c r="B64" s="113" t="str">
        <f>_xlfn.XLOOKUP(T_5[[#This Row],[N° Lot]],Tableau4[NoLot],Tableau4[Lot])</f>
        <v>Structuration d’une prénorme</v>
      </c>
      <c r="C64" s="166" t="s">
        <v>65</v>
      </c>
      <c r="D64" s="186" t="s">
        <v>134</v>
      </c>
      <c r="F64" s="185" t="s">
        <v>21</v>
      </c>
      <c r="G64" s="196">
        <f>_xlfn.XLOOKUP(T_5[[#This Row],[Partenaires]],Partenaires2[Partenaire],Partenaires2[Tx Ch Connexe])</f>
        <v>0.25</v>
      </c>
      <c r="H64" s="196">
        <f>_xlfn.XLOOKUP(T_5[[#This Row],[Partenaires]],Partenaires2[Partenaire],Partenaires2[Tx Sub])</f>
        <v>0.7</v>
      </c>
      <c r="I64" s="178" t="s">
        <v>259</v>
      </c>
      <c r="J64" s="186" t="s">
        <v>82</v>
      </c>
      <c r="K64" s="5">
        <v>2</v>
      </c>
      <c r="L64" s="4">
        <v>430</v>
      </c>
      <c r="M64" s="31">
        <f>T_5[[#This Row],[P Qu]]*T_5[[#This Row],[P PU]]</f>
        <v>860</v>
      </c>
      <c r="N64" s="178" t="s">
        <v>45</v>
      </c>
      <c r="O64" s="7">
        <v>2</v>
      </c>
      <c r="P64" s="8">
        <v>150</v>
      </c>
      <c r="Q64" s="31">
        <f>T_5[[#This Row],[ACh Qu]]*T_5[[#This Row],[ACh PU]]</f>
        <v>300</v>
      </c>
      <c r="R64" s="30">
        <f>T_5[[#This Row],[P CT]]+T_5[[#This Row],[ACh CT]]</f>
        <v>1160</v>
      </c>
      <c r="S64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1450</v>
      </c>
      <c r="T64" s="184">
        <f>T_5[[#This Row],[Mt Elligible]]*T_5[[#This Row],[Tx Sub]]</f>
        <v>1014.9999999999999</v>
      </c>
    </row>
    <row r="65" spans="1:20">
      <c r="A65" s="182" t="str">
        <f>A$1</f>
        <v>Lot_5</v>
      </c>
      <c r="B65" s="113" t="str">
        <f>_xlfn.XLOOKUP(T_5[[#This Row],[N° Lot]],Tableau4[NoLot],Tableau4[Lot])</f>
        <v>Structuration d’une prénorme</v>
      </c>
      <c r="C65" s="166" t="s">
        <v>63</v>
      </c>
      <c r="D65" s="186" t="s">
        <v>129</v>
      </c>
      <c r="F65" s="185" t="s">
        <v>22</v>
      </c>
      <c r="G65" s="196">
        <f>_xlfn.XLOOKUP(T_5[[#This Row],[Partenaires]],Partenaires2[Partenaire],Partenaires2[Tx Ch Connexe])</f>
        <v>0.2</v>
      </c>
      <c r="H65" s="196">
        <f>_xlfn.XLOOKUP(T_5[[#This Row],[Partenaires]],Partenaires2[Partenaire],Partenaires2[Tx Sub])</f>
        <v>0.5</v>
      </c>
      <c r="I65" s="178" t="s">
        <v>202</v>
      </c>
      <c r="J65" s="186" t="s">
        <v>82</v>
      </c>
      <c r="K65" s="5">
        <v>4</v>
      </c>
      <c r="L65" s="4">
        <v>380</v>
      </c>
      <c r="M65" s="31">
        <f>T_5[[#This Row],[P Qu]]*T_5[[#This Row],[P PU]]</f>
        <v>1520</v>
      </c>
      <c r="N65" s="180" t="s">
        <v>203</v>
      </c>
      <c r="O65" s="7">
        <v>4</v>
      </c>
      <c r="P65" s="8">
        <v>150</v>
      </c>
      <c r="Q65" s="31">
        <f>T_5[[#This Row],[ACh Qu]]*T_5[[#This Row],[ACh PU]]</f>
        <v>600</v>
      </c>
      <c r="R65" s="30">
        <f>T_5[[#This Row],[P CT]]+T_5[[#This Row],[ACh CT]]</f>
        <v>2120</v>
      </c>
      <c r="S65" s="184">
        <f>IF(T_5[[#This Row],[Eligible]]="Oui",T_5[[#This Row],[Ct TOTAL]]+T_5[[#This Row],[Ct TOTAL]]*T_5[[#This Row],[Tx Charge Connexe]],T_5[[#This Row],[P CT]]*T_5[[#This Row],[Tx Charge Connexe]]+T_5[[#This Row],[ACh CT]]+T_5[[#This Row],[ACh CT]]*T_5[[#This Row],[Tx Charge Connexe]])</f>
        <v>2544</v>
      </c>
      <c r="T65" s="184">
        <f>T_5[[#This Row],[Mt Elligible]]*T_5[[#This Row],[Tx Sub]]</f>
        <v>1272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F3:F65" xr:uid="{AC8E2C2C-A101-45CF-A27F-521FED6054AB}">
      <formula1>Partenaires</formula1>
    </dataValidation>
    <dataValidation type="list" allowBlank="1" showInputMessage="1" showErrorMessage="1" sqref="A3:A65" xr:uid="{B0C87811-F331-4B54-99D0-34E2C00F39A9}">
      <formula1>NoLot</formula1>
    </dataValidation>
    <dataValidation type="list" allowBlank="1" showInputMessage="1" showErrorMessage="1" sqref="C3:C65" xr:uid="{A712CC52-45D0-4BD8-AE6B-FE8FC8C33478}">
      <formula1>INDIRECT(A3)</formula1>
    </dataValidation>
    <dataValidation type="list" allowBlank="1" showInputMessage="1" showErrorMessage="1" sqref="D3:D65" xr:uid="{5BBDC716-3083-44B5-9C9E-0B2456894FCC}">
      <formula1>INDIRECT(C3)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66E5072-8A6E-4FA4-B8D6-DB01E366B88A}">
          <x14:formula1>
            <xm:f>Liste!$H$3:$H$4</xm:f>
          </x14:formula1>
          <xm:sqref>J3:J36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49837-5EE4-4D9B-9D45-808287240015}">
  <sheetPr codeName="Feuil7">
    <tabColor theme="9" tint="0.39997558519241921"/>
  </sheetPr>
  <dimension ref="A1:T64"/>
  <sheetViews>
    <sheetView topLeftCell="D1" zoomScale="90" zoomScaleNormal="90" workbookViewId="0">
      <pane ySplit="2" topLeftCell="A36" activePane="bottomLeft" state="frozenSplit"/>
      <selection activeCell="G7" sqref="G7"/>
      <selection pane="bottomLeft" activeCell="M67" sqref="M67"/>
    </sheetView>
  </sheetViews>
  <sheetFormatPr baseColWidth="10" defaultRowHeight="15"/>
  <cols>
    <col min="1" max="1" width="8.140625" style="1" customWidth="1"/>
    <col min="2" max="2" width="21.5703125" style="3" customWidth="1"/>
    <col min="3" max="3" width="28.85546875" style="178" customWidth="1"/>
    <col min="4" max="4" width="24" style="178" customWidth="1"/>
    <col min="5" max="5" width="28.85546875" style="2" customWidth="1"/>
    <col min="6" max="6" width="17" style="2" customWidth="1"/>
    <col min="7" max="8" width="8.140625" style="197" customWidth="1"/>
    <col min="9" max="9" width="17.42578125" style="1" customWidth="1"/>
    <col min="10" max="10" width="8.5703125" style="1" customWidth="1"/>
    <col min="11" max="11" width="7.42578125" style="1" customWidth="1"/>
    <col min="12" max="12" width="11.42578125" style="1"/>
    <col min="13" max="13" width="15.28515625" style="3" customWidth="1"/>
    <col min="14" max="14" width="14.42578125" style="1" customWidth="1"/>
    <col min="15" max="15" width="11.42578125" style="5"/>
    <col min="16" max="16" width="11.42578125" style="1"/>
    <col min="17" max="17" width="11.42578125" style="3"/>
    <col min="18" max="18" width="14" style="3" customWidth="1"/>
    <col min="19" max="16384" width="11.42578125" style="1"/>
  </cols>
  <sheetData>
    <row r="1" spans="1:20" s="10" customFormat="1" ht="36.75" customHeight="1">
      <c r="A1" s="32" t="s">
        <v>35</v>
      </c>
      <c r="E1" s="11"/>
      <c r="F1" s="11"/>
      <c r="G1" s="193"/>
      <c r="H1" s="193"/>
      <c r="I1" s="239" t="s">
        <v>47</v>
      </c>
      <c r="J1" s="239"/>
      <c r="K1" s="239"/>
      <c r="L1" s="239"/>
      <c r="M1" s="239"/>
      <c r="N1" s="20" t="s">
        <v>4</v>
      </c>
      <c r="O1" s="20"/>
      <c r="P1" s="20"/>
      <c r="Q1" s="20"/>
    </row>
    <row r="2" spans="1:20" s="10" customFormat="1" ht="20.100000000000001" customHeight="1">
      <c r="A2" s="10" t="s">
        <v>36</v>
      </c>
      <c r="B2" s="10" t="s">
        <v>0</v>
      </c>
      <c r="C2" s="10" t="s">
        <v>1</v>
      </c>
      <c r="D2" s="10" t="s">
        <v>2</v>
      </c>
      <c r="E2" s="11" t="s">
        <v>37</v>
      </c>
      <c r="F2" s="11" t="s">
        <v>3</v>
      </c>
      <c r="G2" s="39" t="s">
        <v>75</v>
      </c>
      <c r="H2" s="39" t="s">
        <v>77</v>
      </c>
      <c r="I2" s="10" t="s">
        <v>9</v>
      </c>
      <c r="J2" s="10" t="s">
        <v>76</v>
      </c>
      <c r="K2" s="10" t="s">
        <v>10</v>
      </c>
      <c r="L2" s="10" t="s">
        <v>11</v>
      </c>
      <c r="M2" s="10" t="s">
        <v>12</v>
      </c>
      <c r="N2" s="10" t="s">
        <v>5</v>
      </c>
      <c r="O2" s="12" t="s">
        <v>6</v>
      </c>
      <c r="P2" s="10" t="s">
        <v>7</v>
      </c>
      <c r="Q2" s="10" t="s">
        <v>8</v>
      </c>
      <c r="R2" s="10" t="s">
        <v>13</v>
      </c>
      <c r="S2" s="50" t="s">
        <v>83</v>
      </c>
      <c r="T2" s="50" t="s">
        <v>84</v>
      </c>
    </row>
    <row r="3" spans="1:20">
      <c r="A3" s="182" t="str">
        <f>'[1]Lot 6'!A3</f>
        <v>Lot_6</v>
      </c>
      <c r="B3" s="113" t="str">
        <f>'[1]Lot 6'!B3</f>
        <v>Communication et valorisation</v>
      </c>
      <c r="C3" s="166" t="str">
        <f>'[1]Lot 6'!C3</f>
        <v>T3_Conférences_Séminaires</v>
      </c>
      <c r="D3" s="186" t="str">
        <f>'[1]Lot 6'!D3</f>
        <v>ST 2 Conférences organisées par Sable Vert</v>
      </c>
      <c r="E3" s="2">
        <f>'[1]Lot 6'!E3</f>
        <v>0</v>
      </c>
      <c r="F3" s="105" t="str">
        <f>'[1]Lot 6'!F3</f>
        <v>AKTA</v>
      </c>
      <c r="G3" s="55">
        <f>_xlfn.XLOOKUP(T_6[[#This Row],[Partenaires]],Partenaires2[Partenaire],Partenaires2[Tx Ch Connexe])</f>
        <v>0.25</v>
      </c>
      <c r="H3" s="55">
        <f>_xlfn.XLOOKUP(T_6[[#This Row],[Partenaires]],Partenaires2[Partenaire],Partenaires2[Tx Sub])</f>
        <v>0.7</v>
      </c>
      <c r="I3" s="1">
        <f>'[1]Lot 6'!I3</f>
        <v>0</v>
      </c>
      <c r="J3" s="107" t="str">
        <f>'[1]Lot 6'!J3</f>
        <v>Oui</v>
      </c>
      <c r="K3" s="5">
        <f>'[1]Lot 6'!K3</f>
        <v>6</v>
      </c>
      <c r="L3" s="4">
        <f>'[1]Lot 6'!L3</f>
        <v>490</v>
      </c>
      <c r="M3" s="31">
        <f>T_6[[#This Row],[P Qu]]*T_6[[#This Row],[P PU]]</f>
        <v>2940</v>
      </c>
      <c r="N3" s="6" t="str">
        <f>'[1]Lot 6'!N3</f>
        <v>Déplacements</v>
      </c>
      <c r="O3" s="7">
        <f>'[1]Lot 6'!O3</f>
        <v>6</v>
      </c>
      <c r="P3" s="8">
        <f>'[1]Lot 6'!P3</f>
        <v>150</v>
      </c>
      <c r="Q3" s="31">
        <f>T_6[[#This Row],[ACh Qu]]*T_6[[#This Row],[ACh PU]]</f>
        <v>900</v>
      </c>
      <c r="R3" s="30">
        <f>T_6[[#This Row],[P CT]]+T_6[[#This Row],[ACh CT]]</f>
        <v>3840</v>
      </c>
      <c r="S3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4800</v>
      </c>
      <c r="T3" s="109">
        <f>T_6[[#This Row],[Mt Elligible]]*T_6[[#This Row],[Tx Sub]]</f>
        <v>3360</v>
      </c>
    </row>
    <row r="4" spans="1:20">
      <c r="A4" s="182" t="str">
        <f>'[1]Lot 6'!A4</f>
        <v>Lot_6</v>
      </c>
      <c r="B4" s="113" t="str">
        <f>'[1]Lot 6'!B4</f>
        <v>Communication et valorisation</v>
      </c>
      <c r="C4" s="166" t="str">
        <f>'[1]Lot 6'!C4</f>
        <v>T3_Conférences_Séminaires</v>
      </c>
      <c r="D4" s="186" t="str">
        <f>'[1]Lot 6'!D4</f>
        <v>ST 3 Participation à des événements externes</v>
      </c>
      <c r="E4" s="2">
        <f>'[1]Lot 6'!E4</f>
        <v>0</v>
      </c>
      <c r="F4" s="105" t="str">
        <f>'[1]Lot 6'!F4</f>
        <v>AKTA</v>
      </c>
      <c r="G4" s="55">
        <f>_xlfn.XLOOKUP(T_6[[#This Row],[Partenaires]],Partenaires2[Partenaire],Partenaires2[Tx Ch Connexe])</f>
        <v>0.25</v>
      </c>
      <c r="H4" s="55">
        <f>_xlfn.XLOOKUP(T_6[[#This Row],[Partenaires]],Partenaires2[Partenaire],Partenaires2[Tx Sub])</f>
        <v>0.7</v>
      </c>
      <c r="I4" s="1">
        <f>'[1]Lot 6'!I4</f>
        <v>0</v>
      </c>
      <c r="J4" s="107" t="str">
        <f>'[1]Lot 6'!J4</f>
        <v>Oui</v>
      </c>
      <c r="K4" s="5">
        <f>'[1]Lot 6'!K4</f>
        <v>4</v>
      </c>
      <c r="L4" s="4">
        <f>'[1]Lot 6'!L4</f>
        <v>490</v>
      </c>
      <c r="M4" s="31">
        <f>T_6[[#This Row],[P Qu]]*T_6[[#This Row],[P PU]]</f>
        <v>1960</v>
      </c>
      <c r="N4" s="6" t="str">
        <f>'[1]Lot 6'!N4</f>
        <v>Déplacements</v>
      </c>
      <c r="O4" s="7">
        <f>'[1]Lot 6'!O4</f>
        <v>4</v>
      </c>
      <c r="P4" s="8">
        <f>'[1]Lot 6'!P4</f>
        <v>150</v>
      </c>
      <c r="Q4" s="31">
        <f>T_6[[#This Row],[ACh Qu]]*T_6[[#This Row],[ACh PU]]</f>
        <v>600</v>
      </c>
      <c r="R4" s="30">
        <f>T_6[[#This Row],[P CT]]+T_6[[#This Row],[ACh CT]]</f>
        <v>2560</v>
      </c>
      <c r="S4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3200</v>
      </c>
      <c r="T4" s="109">
        <f>T_6[[#This Row],[Mt Elligible]]*T_6[[#This Row],[Tx Sub]]</f>
        <v>2240</v>
      </c>
    </row>
    <row r="5" spans="1:20">
      <c r="A5" s="16" t="str">
        <f>A$1</f>
        <v>Lot_6</v>
      </c>
      <c r="B5" s="113" t="str">
        <f>_xlfn.XLOOKUP(T_6[[#This Row],[N° Lot]],Tableau4[NoLot],Tableau4[Lot])</f>
        <v>Communication et valorisation</v>
      </c>
      <c r="C5" s="166" t="s">
        <v>66</v>
      </c>
      <c r="D5" s="186" t="s">
        <v>95</v>
      </c>
      <c r="F5" s="105" t="s">
        <v>38</v>
      </c>
      <c r="G5" s="55">
        <f>_xlfn.XLOOKUP(T_6[[#This Row],[Partenaires]],Partenaires2[Partenaire],Partenaires2[Tx Ch Connexe])</f>
        <v>0.22</v>
      </c>
      <c r="H5" s="55">
        <f>_xlfn.XLOOKUP(T_6[[#This Row],[Partenaires]],Partenaires2[Partenaire],Partenaires2[Tx Sub])</f>
        <v>0.7</v>
      </c>
      <c r="I5" s="1" t="s">
        <v>46</v>
      </c>
      <c r="J5" s="107" t="s">
        <v>82</v>
      </c>
      <c r="K5" s="5">
        <v>1</v>
      </c>
      <c r="L5" s="4">
        <v>406</v>
      </c>
      <c r="M5" s="31">
        <f>T_6[[#This Row],[P Qu]]*T_6[[#This Row],[P PU]]</f>
        <v>406</v>
      </c>
      <c r="N5" s="6" t="s">
        <v>166</v>
      </c>
      <c r="O5" s="7">
        <v>1</v>
      </c>
      <c r="P5" s="8">
        <v>3500</v>
      </c>
      <c r="Q5" s="31">
        <f>T_6[[#This Row],[ACh Qu]]*T_6[[#This Row],[ACh PU]]</f>
        <v>3500</v>
      </c>
      <c r="R5" s="30">
        <f>T_6[[#This Row],[P CT]]+T_6[[#This Row],[ACh CT]]</f>
        <v>3906</v>
      </c>
      <c r="S5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4765.32</v>
      </c>
      <c r="T5" s="109">
        <f>T_6[[#This Row],[Mt Elligible]]*T_6[[#This Row],[Tx Sub]]</f>
        <v>3335.7239999999997</v>
      </c>
    </row>
    <row r="6" spans="1:20">
      <c r="A6" s="16" t="str">
        <f>A$1</f>
        <v>Lot_6</v>
      </c>
      <c r="B6" s="113" t="str">
        <f>_xlfn.XLOOKUP(T_6[[#This Row],[N° Lot]],Tableau4[NoLot],Tableau4[Lot])</f>
        <v>Communication et valorisation</v>
      </c>
      <c r="C6" s="166" t="s">
        <v>66</v>
      </c>
      <c r="D6" s="186" t="s">
        <v>95</v>
      </c>
      <c r="F6" s="105" t="s">
        <v>38</v>
      </c>
      <c r="G6" s="55">
        <f>_xlfn.XLOOKUP(T_6[[#This Row],[Partenaires]],Partenaires2[Partenaire],Partenaires2[Tx Ch Connexe])</f>
        <v>0.22</v>
      </c>
      <c r="H6" s="55">
        <f>_xlfn.XLOOKUP(T_6[[#This Row],[Partenaires]],Partenaires2[Partenaire],Partenaires2[Tx Sub])</f>
        <v>0.7</v>
      </c>
      <c r="I6" s="1" t="s">
        <v>155</v>
      </c>
      <c r="J6" s="107" t="s">
        <v>82</v>
      </c>
      <c r="K6" s="5">
        <v>4</v>
      </c>
      <c r="L6" s="4">
        <v>304</v>
      </c>
      <c r="M6" s="31">
        <f>T_6[[#This Row],[P Qu]]*T_6[[#This Row],[P PU]]</f>
        <v>1216</v>
      </c>
      <c r="N6" s="6"/>
      <c r="O6" s="7"/>
      <c r="P6" s="8"/>
      <c r="Q6" s="31">
        <f>T_6[[#This Row],[ACh Qu]]*T_6[[#This Row],[ACh PU]]</f>
        <v>0</v>
      </c>
      <c r="R6" s="30">
        <f>T_6[[#This Row],[P CT]]+T_6[[#This Row],[ACh CT]]</f>
        <v>1216</v>
      </c>
      <c r="S6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1483.52</v>
      </c>
      <c r="T6" s="109">
        <f>T_6[[#This Row],[Mt Elligible]]*T_6[[#This Row],[Tx Sub]]</f>
        <v>1038.4639999999999</v>
      </c>
    </row>
    <row r="7" spans="1:20">
      <c r="A7" s="16" t="str">
        <f>A$1</f>
        <v>Lot_6</v>
      </c>
      <c r="B7" s="113" t="str">
        <f>_xlfn.XLOOKUP(T_6[[#This Row],[N° Lot]],Tableau4[NoLot],Tableau4[Lot])</f>
        <v>Communication et valorisation</v>
      </c>
      <c r="C7" s="166" t="s">
        <v>66</v>
      </c>
      <c r="D7" s="186" t="s">
        <v>102</v>
      </c>
      <c r="F7" s="105" t="s">
        <v>38</v>
      </c>
      <c r="G7" s="55">
        <f>_xlfn.XLOOKUP(T_6[[#This Row],[Partenaires]],Partenaires2[Partenaire],Partenaires2[Tx Ch Connexe])</f>
        <v>0.22</v>
      </c>
      <c r="H7" s="55">
        <f>_xlfn.XLOOKUP(T_6[[#This Row],[Partenaires]],Partenaires2[Partenaire],Partenaires2[Tx Sub])</f>
        <v>0.7</v>
      </c>
      <c r="I7" s="1" t="s">
        <v>46</v>
      </c>
      <c r="J7" s="107" t="s">
        <v>82</v>
      </c>
      <c r="K7" s="5">
        <v>4</v>
      </c>
      <c r="L7" s="4">
        <v>406</v>
      </c>
      <c r="M7" s="31">
        <f>T_6[[#This Row],[P Qu]]*T_6[[#This Row],[P PU]]</f>
        <v>1624</v>
      </c>
      <c r="N7" s="6"/>
      <c r="O7" s="7"/>
      <c r="P7" s="8"/>
      <c r="Q7" s="31">
        <f>T_6[[#This Row],[ACh Qu]]*T_6[[#This Row],[ACh PU]]</f>
        <v>0</v>
      </c>
      <c r="R7" s="30">
        <f>T_6[[#This Row],[P CT]]+T_6[[#This Row],[ACh CT]]</f>
        <v>1624</v>
      </c>
      <c r="S7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1981.28</v>
      </c>
      <c r="T7" s="109">
        <f>T_6[[#This Row],[Mt Elligible]]*T_6[[#This Row],[Tx Sub]]</f>
        <v>1386.896</v>
      </c>
    </row>
    <row r="8" spans="1:20">
      <c r="A8" s="16" t="str">
        <f>A$1</f>
        <v>Lot_6</v>
      </c>
      <c r="B8" s="113" t="str">
        <f>_xlfn.XLOOKUP(T_6[[#This Row],[N° Lot]],Tableau4[NoLot],Tableau4[Lot])</f>
        <v>Communication et valorisation</v>
      </c>
      <c r="C8" s="166" t="s">
        <v>66</v>
      </c>
      <c r="D8" s="186" t="s">
        <v>94</v>
      </c>
      <c r="F8" s="105" t="s">
        <v>38</v>
      </c>
      <c r="G8" s="55">
        <f>_xlfn.XLOOKUP(T_6[[#This Row],[Partenaires]],Partenaires2[Partenaire],Partenaires2[Tx Ch Connexe])</f>
        <v>0.22</v>
      </c>
      <c r="H8" s="55">
        <f>_xlfn.XLOOKUP(T_6[[#This Row],[Partenaires]],Partenaires2[Partenaire],Partenaires2[Tx Sub])</f>
        <v>0.7</v>
      </c>
      <c r="I8" s="1" t="s">
        <v>155</v>
      </c>
      <c r="J8" s="107" t="s">
        <v>82</v>
      </c>
      <c r="K8" s="5">
        <v>9</v>
      </c>
      <c r="L8" s="4">
        <v>304</v>
      </c>
      <c r="M8" s="31">
        <f>T_6[[#This Row],[P Qu]]*T_6[[#This Row],[P PU]]</f>
        <v>2736</v>
      </c>
      <c r="N8" s="6"/>
      <c r="O8" s="7"/>
      <c r="P8" s="8"/>
      <c r="Q8" s="31">
        <f>T_6[[#This Row],[ACh Qu]]*T_6[[#This Row],[ACh PU]]</f>
        <v>0</v>
      </c>
      <c r="R8" s="30">
        <f>T_6[[#This Row],[P CT]]+T_6[[#This Row],[ACh CT]]</f>
        <v>2736</v>
      </c>
      <c r="S8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3337.92</v>
      </c>
      <c r="T8" s="109">
        <f>T_6[[#This Row],[Mt Elligible]]*T_6[[#This Row],[Tx Sub]]</f>
        <v>2336.5439999999999</v>
      </c>
    </row>
    <row r="9" spans="1:20">
      <c r="A9" s="16" t="str">
        <f>A$1</f>
        <v>Lot_6</v>
      </c>
      <c r="B9" s="113" t="str">
        <f>_xlfn.XLOOKUP(T_6[[#This Row],[N° Lot]],Tableau4[NoLot],Tableau4[Lot])</f>
        <v>Communication et valorisation</v>
      </c>
      <c r="C9" s="166" t="s">
        <v>67</v>
      </c>
      <c r="D9" s="186" t="s">
        <v>96</v>
      </c>
      <c r="E9" s="2" t="s">
        <v>158</v>
      </c>
      <c r="F9" s="105" t="s">
        <v>38</v>
      </c>
      <c r="G9" s="55">
        <f>_xlfn.XLOOKUP(T_6[[#This Row],[Partenaires]],Partenaires2[Partenaire],Partenaires2[Tx Ch Connexe])</f>
        <v>0.22</v>
      </c>
      <c r="H9" s="55">
        <f>_xlfn.XLOOKUP(T_6[[#This Row],[Partenaires]],Partenaires2[Partenaire],Partenaires2[Tx Sub])</f>
        <v>0.7</v>
      </c>
      <c r="I9" s="1" t="s">
        <v>46</v>
      </c>
      <c r="J9" s="107" t="s">
        <v>82</v>
      </c>
      <c r="K9" s="5">
        <v>1</v>
      </c>
      <c r="L9" s="4">
        <v>406</v>
      </c>
      <c r="M9" s="31">
        <f>T_6[[#This Row],[P Qu]]*T_6[[#This Row],[P PU]]</f>
        <v>406</v>
      </c>
      <c r="N9" s="6"/>
      <c r="O9" s="7"/>
      <c r="P9" s="8"/>
      <c r="Q9" s="31">
        <f>T_6[[#This Row],[ACh Qu]]*T_6[[#This Row],[ACh PU]]</f>
        <v>0</v>
      </c>
      <c r="R9" s="30">
        <f>T_6[[#This Row],[P CT]]+T_6[[#This Row],[ACh CT]]</f>
        <v>406</v>
      </c>
      <c r="S9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495.32</v>
      </c>
      <c r="T9" s="109">
        <f>T_6[[#This Row],[Mt Elligible]]*T_6[[#This Row],[Tx Sub]]</f>
        <v>346.72399999999999</v>
      </c>
    </row>
    <row r="10" spans="1:20">
      <c r="A10" s="16" t="str">
        <f>A$1</f>
        <v>Lot_6</v>
      </c>
      <c r="B10" s="113" t="str">
        <f>_xlfn.XLOOKUP(T_6[[#This Row],[N° Lot]],Tableau4[NoLot],Tableau4[Lot])</f>
        <v>Communication et valorisation</v>
      </c>
      <c r="C10" s="166" t="s">
        <v>67</v>
      </c>
      <c r="D10" s="186" t="s">
        <v>97</v>
      </c>
      <c r="F10" s="105" t="s">
        <v>38</v>
      </c>
      <c r="G10" s="55">
        <f>_xlfn.XLOOKUP(T_6[[#This Row],[Partenaires]],Partenaires2[Partenaire],Partenaires2[Tx Ch Connexe])</f>
        <v>0.22</v>
      </c>
      <c r="H10" s="55">
        <f>_xlfn.XLOOKUP(T_6[[#This Row],[Partenaires]],Partenaires2[Partenaire],Partenaires2[Tx Sub])</f>
        <v>0.7</v>
      </c>
      <c r="I10" s="1" t="s">
        <v>46</v>
      </c>
      <c r="J10" s="107" t="s">
        <v>82</v>
      </c>
      <c r="K10" s="5">
        <v>3</v>
      </c>
      <c r="L10" s="4">
        <v>406</v>
      </c>
      <c r="M10" s="31">
        <f>T_6[[#This Row],[P Qu]]*T_6[[#This Row],[P PU]]</f>
        <v>1218</v>
      </c>
      <c r="N10" s="6"/>
      <c r="O10" s="7"/>
      <c r="P10" s="8"/>
      <c r="Q10" s="31">
        <f>T_6[[#This Row],[ACh Qu]]*T_6[[#This Row],[ACh PU]]</f>
        <v>0</v>
      </c>
      <c r="R10" s="30">
        <f>T_6[[#This Row],[P CT]]+T_6[[#This Row],[ACh CT]]</f>
        <v>1218</v>
      </c>
      <c r="S10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1485.96</v>
      </c>
      <c r="T10" s="109">
        <f>T_6[[#This Row],[Mt Elligible]]*T_6[[#This Row],[Tx Sub]]</f>
        <v>1040.172</v>
      </c>
    </row>
    <row r="11" spans="1:20">
      <c r="A11" s="182" t="str">
        <f>A$1</f>
        <v>Lot_6</v>
      </c>
      <c r="B11" s="113" t="str">
        <f>_xlfn.XLOOKUP(T_6[[#This Row],[N° Lot]],Tableau4[NoLot],Tableau4[Lot])</f>
        <v>Communication et valorisation</v>
      </c>
      <c r="C11" s="166" t="s">
        <v>67</v>
      </c>
      <c r="D11" s="186" t="s">
        <v>97</v>
      </c>
      <c r="F11" s="105" t="s">
        <v>38</v>
      </c>
      <c r="G11" s="55">
        <f>_xlfn.XLOOKUP(T_6[[#This Row],[Partenaires]],Partenaires2[Partenaire],Partenaires2[Tx Ch Connexe])</f>
        <v>0.22</v>
      </c>
      <c r="H11" s="55">
        <f>_xlfn.XLOOKUP(T_6[[#This Row],[Partenaires]],Partenaires2[Partenaire],Partenaires2[Tx Sub])</f>
        <v>0.7</v>
      </c>
      <c r="I11" s="1" t="s">
        <v>155</v>
      </c>
      <c r="J11" s="107" t="s">
        <v>82</v>
      </c>
      <c r="K11" s="5">
        <v>6</v>
      </c>
      <c r="L11" s="4">
        <v>304</v>
      </c>
      <c r="M11" s="31">
        <f>T_6[[#This Row],[P Qu]]*T_6[[#This Row],[P PU]]</f>
        <v>1824</v>
      </c>
      <c r="N11" s="6"/>
      <c r="O11" s="7"/>
      <c r="P11" s="8"/>
      <c r="Q11" s="31">
        <f>T_6[[#This Row],[ACh Qu]]*T_6[[#This Row],[ACh PU]]</f>
        <v>0</v>
      </c>
      <c r="R11" s="30">
        <f>T_6[[#This Row],[P CT]]+T_6[[#This Row],[ACh CT]]</f>
        <v>1824</v>
      </c>
      <c r="S11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2225.2800000000002</v>
      </c>
      <c r="T11" s="109">
        <f>T_6[[#This Row],[Mt Elligible]]*T_6[[#This Row],[Tx Sub]]</f>
        <v>1557.6960000000001</v>
      </c>
    </row>
    <row r="12" spans="1:20">
      <c r="A12" s="182" t="str">
        <f>A$1</f>
        <v>Lot_6</v>
      </c>
      <c r="B12" s="113" t="str">
        <f>_xlfn.XLOOKUP(T_6[[#This Row],[N° Lot]],Tableau4[NoLot],Tableau4[Lot])</f>
        <v>Communication et valorisation</v>
      </c>
      <c r="C12" s="166" t="s">
        <v>67</v>
      </c>
      <c r="D12" s="186" t="s">
        <v>98</v>
      </c>
      <c r="F12" s="105" t="s">
        <v>38</v>
      </c>
      <c r="G12" s="55">
        <f>_xlfn.XLOOKUP(T_6[[#This Row],[Partenaires]],Partenaires2[Partenaire],Partenaires2[Tx Ch Connexe])</f>
        <v>0.22</v>
      </c>
      <c r="H12" s="55">
        <f>_xlfn.XLOOKUP(T_6[[#This Row],[Partenaires]],Partenaires2[Partenaire],Partenaires2[Tx Sub])</f>
        <v>0.7</v>
      </c>
      <c r="I12" s="1" t="s">
        <v>46</v>
      </c>
      <c r="J12" s="107" t="s">
        <v>82</v>
      </c>
      <c r="K12" s="5">
        <v>3</v>
      </c>
      <c r="L12" s="4">
        <v>406</v>
      </c>
      <c r="M12" s="31">
        <f>T_6[[#This Row],[P Qu]]*T_6[[#This Row],[P PU]]</f>
        <v>1218</v>
      </c>
      <c r="N12" s="6" t="s">
        <v>45</v>
      </c>
      <c r="O12" s="7">
        <v>3</v>
      </c>
      <c r="P12" s="8">
        <v>150</v>
      </c>
      <c r="Q12" s="31">
        <f>T_6[[#This Row],[ACh Qu]]*T_6[[#This Row],[ACh PU]]</f>
        <v>450</v>
      </c>
      <c r="R12" s="30">
        <f>T_6[[#This Row],[P CT]]+T_6[[#This Row],[ACh CT]]</f>
        <v>1668</v>
      </c>
      <c r="S12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2034.96</v>
      </c>
      <c r="T12" s="109">
        <f>T_6[[#This Row],[Mt Elligible]]*T_6[[#This Row],[Tx Sub]]</f>
        <v>1424.472</v>
      </c>
    </row>
    <row r="13" spans="1:20">
      <c r="A13" s="23" t="str">
        <f>A$1</f>
        <v>Lot_6</v>
      </c>
      <c r="B13" s="113" t="str">
        <f>_xlfn.XLOOKUP(T_6[[#This Row],[N° Lot]],Tableau4[NoLot],Tableau4[Lot])</f>
        <v>Communication et valorisation</v>
      </c>
      <c r="C13" s="166" t="s">
        <v>67</v>
      </c>
      <c r="D13" s="186" t="s">
        <v>98</v>
      </c>
      <c r="F13" s="105" t="s">
        <v>38</v>
      </c>
      <c r="G13" s="55">
        <f>_xlfn.XLOOKUP(T_6[[#This Row],[Partenaires]],Partenaires2[Partenaire],Partenaires2[Tx Ch Connexe])</f>
        <v>0.22</v>
      </c>
      <c r="H13" s="55">
        <f>_xlfn.XLOOKUP(T_6[[#This Row],[Partenaires]],Partenaires2[Partenaire],Partenaires2[Tx Sub])</f>
        <v>0.7</v>
      </c>
      <c r="I13" s="1" t="s">
        <v>155</v>
      </c>
      <c r="J13" s="107" t="s">
        <v>82</v>
      </c>
      <c r="K13" s="5">
        <v>3</v>
      </c>
      <c r="L13" s="4">
        <v>304</v>
      </c>
      <c r="M13" s="31">
        <f>T_6[[#This Row],[P Qu]]*T_6[[#This Row],[P PU]]</f>
        <v>912</v>
      </c>
      <c r="N13" s="6" t="s">
        <v>166</v>
      </c>
      <c r="O13" s="7">
        <v>1</v>
      </c>
      <c r="P13" s="8">
        <v>7000</v>
      </c>
      <c r="Q13" s="31">
        <f>T_6[[#This Row],[ACh Qu]]*T_6[[#This Row],[ACh PU]]</f>
        <v>7000</v>
      </c>
      <c r="R13" s="30">
        <f>T_6[[#This Row],[P CT]]+T_6[[#This Row],[ACh CT]]</f>
        <v>7912</v>
      </c>
      <c r="S13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9652.64</v>
      </c>
      <c r="T13" s="109">
        <f>T_6[[#This Row],[Mt Elligible]]*T_6[[#This Row],[Tx Sub]]</f>
        <v>6756.847999999999</v>
      </c>
    </row>
    <row r="14" spans="1:20">
      <c r="A14" s="23" t="s">
        <v>35</v>
      </c>
      <c r="B14" s="113" t="str">
        <f>_xlfn.XLOOKUP(T_6[[#This Row],[N° Lot]],Tableau4[NoLot],Tableau4[Lot])</f>
        <v>Communication et valorisation</v>
      </c>
      <c r="C14" s="166" t="s">
        <v>68</v>
      </c>
      <c r="D14" s="186" t="s">
        <v>100</v>
      </c>
      <c r="F14" s="105" t="s">
        <v>38</v>
      </c>
      <c r="G14" s="55">
        <f>_xlfn.XLOOKUP(T_6[[#This Row],[Partenaires]],Partenaires2[Partenaire],Partenaires2[Tx Ch Connexe])</f>
        <v>0.22</v>
      </c>
      <c r="H14" s="55">
        <f>_xlfn.XLOOKUP(T_6[[#This Row],[Partenaires]],Partenaires2[Partenaire],Partenaires2[Tx Sub])</f>
        <v>0.7</v>
      </c>
      <c r="I14" s="1" t="s">
        <v>46</v>
      </c>
      <c r="J14" s="107" t="s">
        <v>82</v>
      </c>
      <c r="K14" s="5">
        <v>3</v>
      </c>
      <c r="L14" s="4">
        <v>406</v>
      </c>
      <c r="M14" s="31">
        <f>T_6[[#This Row],[P Qu]]*T_6[[#This Row],[P PU]]</f>
        <v>1218</v>
      </c>
      <c r="N14" s="6" t="s">
        <v>45</v>
      </c>
      <c r="O14" s="7">
        <v>2</v>
      </c>
      <c r="P14" s="8">
        <v>150</v>
      </c>
      <c r="Q14" s="31">
        <f>T_6[[#This Row],[ACh Qu]]*T_6[[#This Row],[ACh PU]]</f>
        <v>300</v>
      </c>
      <c r="R14" s="30">
        <f>T_6[[#This Row],[P CT]]+T_6[[#This Row],[ACh CT]]</f>
        <v>1518</v>
      </c>
      <c r="S14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1851.96</v>
      </c>
      <c r="T14" s="109">
        <f>T_6[[#This Row],[Mt Elligible]]*T_6[[#This Row],[Tx Sub]]</f>
        <v>1296.3719999999998</v>
      </c>
    </row>
    <row r="15" spans="1:20">
      <c r="A15" s="23" t="s">
        <v>35</v>
      </c>
      <c r="B15" s="113" t="str">
        <f>_xlfn.XLOOKUP(T_6[[#This Row],[N° Lot]],Tableau4[NoLot],Tableau4[Lot])</f>
        <v>Communication et valorisation</v>
      </c>
      <c r="C15" s="166" t="s">
        <v>68</v>
      </c>
      <c r="D15" s="186" t="s">
        <v>100</v>
      </c>
      <c r="F15" s="105" t="s">
        <v>38</v>
      </c>
      <c r="G15" s="55">
        <f>_xlfn.XLOOKUP(T_6[[#This Row],[Partenaires]],Partenaires2[Partenaire],Partenaires2[Tx Ch Connexe])</f>
        <v>0.22</v>
      </c>
      <c r="H15" s="55">
        <f>_xlfn.XLOOKUP(T_6[[#This Row],[Partenaires]],Partenaires2[Partenaire],Partenaires2[Tx Sub])</f>
        <v>0.7</v>
      </c>
      <c r="I15" s="1" t="s">
        <v>155</v>
      </c>
      <c r="J15" s="107" t="s">
        <v>82</v>
      </c>
      <c r="K15" s="5">
        <v>6</v>
      </c>
      <c r="L15" s="4">
        <v>304</v>
      </c>
      <c r="M15" s="31">
        <f>T_6[[#This Row],[P Qu]]*T_6[[#This Row],[P PU]]</f>
        <v>1824</v>
      </c>
      <c r="N15" s="6" t="s">
        <v>45</v>
      </c>
      <c r="O15" s="7">
        <v>2</v>
      </c>
      <c r="P15" s="8">
        <v>150</v>
      </c>
      <c r="Q15" s="31">
        <f>T_6[[#This Row],[ACh Qu]]*T_6[[#This Row],[ACh PU]]</f>
        <v>300</v>
      </c>
      <c r="R15" s="30">
        <f>T_6[[#This Row],[P CT]]+T_6[[#This Row],[ACh CT]]</f>
        <v>2124</v>
      </c>
      <c r="S15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2591.2800000000002</v>
      </c>
      <c r="T15" s="109">
        <f>T_6[[#This Row],[Mt Elligible]]*T_6[[#This Row],[Tx Sub]]</f>
        <v>1813.896</v>
      </c>
    </row>
    <row r="16" spans="1:20">
      <c r="A16" s="23" t="s">
        <v>35</v>
      </c>
      <c r="B16" s="113" t="str">
        <f>_xlfn.XLOOKUP(T_6[[#This Row],[N° Lot]],Tableau4[NoLot],Tableau4[Lot])</f>
        <v>Communication et valorisation</v>
      </c>
      <c r="C16" s="166" t="s">
        <v>68</v>
      </c>
      <c r="D16" s="186" t="s">
        <v>101</v>
      </c>
      <c r="F16" s="105" t="s">
        <v>38</v>
      </c>
      <c r="G16" s="55">
        <f>_xlfn.XLOOKUP(T_6[[#This Row],[Partenaires]],Partenaires2[Partenaire],Partenaires2[Tx Ch Connexe])</f>
        <v>0.22</v>
      </c>
      <c r="H16" s="55">
        <f>_xlfn.XLOOKUP(T_6[[#This Row],[Partenaires]],Partenaires2[Partenaire],Partenaires2[Tx Sub])</f>
        <v>0.7</v>
      </c>
      <c r="I16" s="1" t="s">
        <v>46</v>
      </c>
      <c r="J16" s="107" t="s">
        <v>82</v>
      </c>
      <c r="K16" s="5">
        <v>3</v>
      </c>
      <c r="L16" s="4">
        <v>406</v>
      </c>
      <c r="M16" s="31">
        <f>T_6[[#This Row],[P Qu]]*T_6[[#This Row],[P PU]]</f>
        <v>1218</v>
      </c>
      <c r="N16" s="6" t="s">
        <v>45</v>
      </c>
      <c r="O16" s="7">
        <v>3</v>
      </c>
      <c r="P16" s="8">
        <v>150</v>
      </c>
      <c r="Q16" s="31">
        <f>T_6[[#This Row],[ACh Qu]]*T_6[[#This Row],[ACh PU]]</f>
        <v>450</v>
      </c>
      <c r="R16" s="30">
        <f>T_6[[#This Row],[P CT]]+T_6[[#This Row],[ACh CT]]</f>
        <v>1668</v>
      </c>
      <c r="S16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2034.96</v>
      </c>
      <c r="T16" s="109">
        <f>T_6[[#This Row],[Mt Elligible]]*T_6[[#This Row],[Tx Sub]]</f>
        <v>1424.472</v>
      </c>
    </row>
    <row r="17" spans="1:20">
      <c r="A17" s="23" t="s">
        <v>35</v>
      </c>
      <c r="B17" s="113" t="str">
        <f>_xlfn.XLOOKUP(T_6[[#This Row],[N° Lot]],Tableau4[NoLot],Tableau4[Lot])</f>
        <v>Communication et valorisation</v>
      </c>
      <c r="C17" s="166" t="s">
        <v>68</v>
      </c>
      <c r="D17" s="186" t="s">
        <v>101</v>
      </c>
      <c r="F17" s="105" t="s">
        <v>38</v>
      </c>
      <c r="G17" s="55">
        <f>_xlfn.XLOOKUP(T_6[[#This Row],[Partenaires]],Partenaires2[Partenaire],Partenaires2[Tx Ch Connexe])</f>
        <v>0.22</v>
      </c>
      <c r="H17" s="55">
        <f>_xlfn.XLOOKUP(T_6[[#This Row],[Partenaires]],Partenaires2[Partenaire],Partenaires2[Tx Sub])</f>
        <v>0.7</v>
      </c>
      <c r="I17" s="1" t="s">
        <v>155</v>
      </c>
      <c r="J17" s="107" t="s">
        <v>82</v>
      </c>
      <c r="K17" s="5">
        <v>3</v>
      </c>
      <c r="L17" s="4">
        <v>304</v>
      </c>
      <c r="M17" s="31">
        <f>T_6[[#This Row],[P Qu]]*T_6[[#This Row],[P PU]]</f>
        <v>912</v>
      </c>
      <c r="N17" s="6" t="s">
        <v>45</v>
      </c>
      <c r="O17" s="7">
        <v>3</v>
      </c>
      <c r="P17" s="8">
        <v>150</v>
      </c>
      <c r="Q17" s="31">
        <f>T_6[[#This Row],[ACh Qu]]*T_6[[#This Row],[ACh PU]]</f>
        <v>450</v>
      </c>
      <c r="R17" s="30">
        <f>T_6[[#This Row],[P CT]]+T_6[[#This Row],[ACh CT]]</f>
        <v>1362</v>
      </c>
      <c r="S17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1661.6399999999999</v>
      </c>
      <c r="T17" s="109">
        <f>T_6[[#This Row],[Mt Elligible]]*T_6[[#This Row],[Tx Sub]]</f>
        <v>1163.1479999999999</v>
      </c>
    </row>
    <row r="18" spans="1:20">
      <c r="A18" s="182" t="s">
        <v>35</v>
      </c>
      <c r="B18" s="113" t="str">
        <f>_xlfn.XLOOKUP(T_6[[#This Row],[N° Lot]],Tableau4[NoLot],Tableau4[Lot])</f>
        <v>Communication et valorisation</v>
      </c>
      <c r="C18" s="166" t="s">
        <v>68</v>
      </c>
      <c r="D18" s="186" t="s">
        <v>99</v>
      </c>
      <c r="F18" s="105" t="s">
        <v>38</v>
      </c>
      <c r="G18" s="55">
        <f>_xlfn.XLOOKUP(T_6[[#This Row],[Partenaires]],Partenaires2[Partenaire],Partenaires2[Tx Ch Connexe])</f>
        <v>0.22</v>
      </c>
      <c r="H18" s="55">
        <f>_xlfn.XLOOKUP(T_6[[#This Row],[Partenaires]],Partenaires2[Partenaire],Partenaires2[Tx Sub])</f>
        <v>0.7</v>
      </c>
      <c r="I18" s="1" t="s">
        <v>46</v>
      </c>
      <c r="J18" s="107" t="s">
        <v>82</v>
      </c>
      <c r="K18" s="5">
        <v>2</v>
      </c>
      <c r="L18" s="4">
        <v>406</v>
      </c>
      <c r="M18" s="31">
        <f>T_6[[#This Row],[P Qu]]*T_6[[#This Row],[P PU]]</f>
        <v>812</v>
      </c>
      <c r="N18" s="6"/>
      <c r="O18" s="7"/>
      <c r="P18" s="8"/>
      <c r="Q18" s="31">
        <f>T_6[[#This Row],[ACh Qu]]*T_6[[#This Row],[ACh PU]]</f>
        <v>0</v>
      </c>
      <c r="R18" s="30">
        <f>T_6[[#This Row],[P CT]]+T_6[[#This Row],[ACh CT]]</f>
        <v>812</v>
      </c>
      <c r="S18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990.64</v>
      </c>
      <c r="T18" s="109">
        <f>T_6[[#This Row],[Mt Elligible]]*T_6[[#This Row],[Tx Sub]]</f>
        <v>693.44799999999998</v>
      </c>
    </row>
    <row r="19" spans="1:20">
      <c r="A19" s="23" t="str">
        <f>A$1</f>
        <v>Lot_6</v>
      </c>
      <c r="B19" s="113" t="str">
        <f>_xlfn.XLOOKUP(T_6[[#This Row],[N° Lot]],Tableau4[NoLot],Tableau4[Lot])</f>
        <v>Communication et valorisation</v>
      </c>
      <c r="C19" s="166" t="str">
        <f>'[2]Lot 6'!C3</f>
        <v>T2_Publications</v>
      </c>
      <c r="D19" s="186" t="str">
        <f>'[2]Lot 6'!D3</f>
        <v>ST 1 Publications scientifiques</v>
      </c>
      <c r="E19" s="2">
        <f>'[2]Lot 6'!E3</f>
        <v>0</v>
      </c>
      <c r="F19" s="105" t="str">
        <f>'[2]Lot 6'!F3</f>
        <v>CEREMA</v>
      </c>
      <c r="G19" s="55">
        <f>_xlfn.XLOOKUP(T_6[[#This Row],[Partenaires]],Partenaires2[Partenaire],Partenaires2[Tx Ch Connexe])</f>
        <v>0.25</v>
      </c>
      <c r="H19" s="55">
        <f>_xlfn.XLOOKUP(T_6[[#This Row],[Partenaires]],Partenaires2[Partenaire],Partenaires2[Tx Sub])</f>
        <v>0.5</v>
      </c>
      <c r="I19" s="1" t="str">
        <f>'[2]Lot 6'!I3</f>
        <v>Ingénieur</v>
      </c>
      <c r="J19" s="107" t="str">
        <f>'[2]Lot 6'!J3</f>
        <v>Non</v>
      </c>
      <c r="K19" s="5">
        <f>'[2]Lot 6'!K3</f>
        <v>10</v>
      </c>
      <c r="L19" s="4">
        <f>'[2]Lot 6'!L3</f>
        <v>376</v>
      </c>
      <c r="M19" s="31">
        <f>T_6[[#This Row],[P Qu]]*T_6[[#This Row],[P PU]]</f>
        <v>3760</v>
      </c>
      <c r="N19" s="6">
        <f>'[2]Lot 6'!N3</f>
        <v>0</v>
      </c>
      <c r="O19" s="7">
        <f>'[2]Lot 6'!O3</f>
        <v>0</v>
      </c>
      <c r="P19" s="8">
        <f>'[2]Lot 6'!P3</f>
        <v>0</v>
      </c>
      <c r="Q19" s="31">
        <f>T_6[[#This Row],[ACh Qu]]*T_6[[#This Row],[ACh PU]]</f>
        <v>0</v>
      </c>
      <c r="R19" s="30">
        <f>T_6[[#This Row],[P CT]]+T_6[[#This Row],[ACh CT]]</f>
        <v>3760</v>
      </c>
      <c r="S19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940</v>
      </c>
      <c r="T19" s="198">
        <f>T_6[[#This Row],[Mt Elligible]]*T_6[[#This Row],[Tx Sub]]</f>
        <v>470</v>
      </c>
    </row>
    <row r="20" spans="1:20">
      <c r="A20" s="23" t="str">
        <f>A$1</f>
        <v>Lot_6</v>
      </c>
      <c r="B20" s="113" t="str">
        <f>_xlfn.XLOOKUP(T_6[[#This Row],[N° Lot]],Tableau4[NoLot],Tableau4[Lot])</f>
        <v>Communication et valorisation</v>
      </c>
      <c r="C20" s="166" t="str">
        <f>'[2]Lot 6'!C4</f>
        <v>T2_Publications</v>
      </c>
      <c r="D20" s="186" t="str">
        <f>'[2]Lot 6'!D4</f>
        <v>ST 1 Publications scientifiques</v>
      </c>
      <c r="E20" s="2">
        <f>'[2]Lot 6'!E4</f>
        <v>0</v>
      </c>
      <c r="F20" s="105" t="str">
        <f>'[2]Lot 6'!F4</f>
        <v>CEREMA</v>
      </c>
      <c r="G20" s="55">
        <f>_xlfn.XLOOKUP(T_6[[#This Row],[Partenaires]],Partenaires2[Partenaire],Partenaires2[Tx Ch Connexe])</f>
        <v>0.25</v>
      </c>
      <c r="H20" s="55">
        <f>_xlfn.XLOOKUP(T_6[[#This Row],[Partenaires]],Partenaires2[Partenaire],Partenaires2[Tx Sub])</f>
        <v>0.5</v>
      </c>
      <c r="I20" s="1" t="str">
        <f>'[2]Lot 6'!I4</f>
        <v>Post-doctorant</v>
      </c>
      <c r="J20" s="107" t="str">
        <f>'[2]Lot 6'!J4</f>
        <v>Oui</v>
      </c>
      <c r="K20" s="5">
        <f>'[2]Lot 6'!K4</f>
        <v>20</v>
      </c>
      <c r="L20" s="4">
        <f>'[2]Lot 6'!L4</f>
        <v>277</v>
      </c>
      <c r="M20" s="31">
        <f>T_6[[#This Row],[P Qu]]*T_6[[#This Row],[P PU]]</f>
        <v>5540</v>
      </c>
      <c r="N20" s="6">
        <f>'[2]Lot 6'!N4</f>
        <v>0</v>
      </c>
      <c r="O20" s="7">
        <f>'[2]Lot 6'!O4</f>
        <v>0</v>
      </c>
      <c r="P20" s="8">
        <f>'[2]Lot 6'!P4</f>
        <v>0</v>
      </c>
      <c r="Q20" s="31">
        <f>T_6[[#This Row],[ACh Qu]]*T_6[[#This Row],[ACh PU]]</f>
        <v>0</v>
      </c>
      <c r="R20" s="30">
        <f>T_6[[#This Row],[P CT]]+T_6[[#This Row],[ACh CT]]</f>
        <v>5540</v>
      </c>
      <c r="S20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6925</v>
      </c>
      <c r="T20" s="198">
        <f>T_6[[#This Row],[Mt Elligible]]*T_6[[#This Row],[Tx Sub]]</f>
        <v>3462.5</v>
      </c>
    </row>
    <row r="21" spans="1:20">
      <c r="A21" s="23" t="str">
        <f>A$1</f>
        <v>Lot_6</v>
      </c>
      <c r="B21" s="113" t="str">
        <f>_xlfn.XLOOKUP(T_6[[#This Row],[N° Lot]],Tableau4[NoLot],Tableau4[Lot])</f>
        <v>Communication et valorisation</v>
      </c>
      <c r="C21" s="166" t="str">
        <f>'[2]Lot 6'!C5</f>
        <v>T2_Publications</v>
      </c>
      <c r="D21" s="186" t="str">
        <f>'[2]Lot 6'!D5</f>
        <v>ST 2 Publications techniques</v>
      </c>
      <c r="E21" s="2">
        <f>'[2]Lot 6'!E5</f>
        <v>0</v>
      </c>
      <c r="F21" s="105" t="str">
        <f>'[2]Lot 6'!F5</f>
        <v>CEREMA</v>
      </c>
      <c r="G21" s="55">
        <f>_xlfn.XLOOKUP(T_6[[#This Row],[Partenaires]],Partenaires2[Partenaire],Partenaires2[Tx Ch Connexe])</f>
        <v>0.25</v>
      </c>
      <c r="H21" s="55">
        <f>_xlfn.XLOOKUP(T_6[[#This Row],[Partenaires]],Partenaires2[Partenaire],Partenaires2[Tx Sub])</f>
        <v>0.5</v>
      </c>
      <c r="I21" s="1" t="str">
        <f>'[2]Lot 6'!I5</f>
        <v>Ingénieur</v>
      </c>
      <c r="J21" s="107" t="str">
        <f>'[2]Lot 6'!J5</f>
        <v>Non</v>
      </c>
      <c r="K21" s="5">
        <f>'[2]Lot 6'!K5</f>
        <v>5</v>
      </c>
      <c r="L21" s="4">
        <f>'[2]Lot 6'!L5</f>
        <v>376</v>
      </c>
      <c r="M21" s="31">
        <f>T_6[[#This Row],[P Qu]]*T_6[[#This Row],[P PU]]</f>
        <v>1880</v>
      </c>
      <c r="N21" s="6">
        <f>'[2]Lot 6'!N5</f>
        <v>0</v>
      </c>
      <c r="O21" s="7">
        <f>'[2]Lot 6'!O5</f>
        <v>0</v>
      </c>
      <c r="P21" s="8">
        <f>'[2]Lot 6'!P5</f>
        <v>0</v>
      </c>
      <c r="Q21" s="31">
        <f>T_6[[#This Row],[ACh Qu]]*T_6[[#This Row],[ACh PU]]</f>
        <v>0</v>
      </c>
      <c r="R21" s="30">
        <f>T_6[[#This Row],[P CT]]+T_6[[#This Row],[ACh CT]]</f>
        <v>1880</v>
      </c>
      <c r="S21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470</v>
      </c>
      <c r="T21" s="198">
        <f>T_6[[#This Row],[Mt Elligible]]*T_6[[#This Row],[Tx Sub]]</f>
        <v>235</v>
      </c>
    </row>
    <row r="22" spans="1:20">
      <c r="A22" s="182" t="str">
        <f>A$1</f>
        <v>Lot_6</v>
      </c>
      <c r="B22" s="113" t="str">
        <f>_xlfn.XLOOKUP(T_6[[#This Row],[N° Lot]],Tableau4[NoLot],Tableau4[Lot])</f>
        <v>Communication et valorisation</v>
      </c>
      <c r="C22" s="166" t="str">
        <f>'[2]Lot 6'!C6</f>
        <v>T2_Publications</v>
      </c>
      <c r="D22" s="186" t="str">
        <f>'[2]Lot 6'!D6</f>
        <v>ST 2 Publications techniques</v>
      </c>
      <c r="E22" s="2">
        <f>'[2]Lot 6'!E6</f>
        <v>0</v>
      </c>
      <c r="F22" s="105" t="str">
        <f>'[2]Lot 6'!F6</f>
        <v>CEREMA</v>
      </c>
      <c r="G22" s="55">
        <f>_xlfn.XLOOKUP(T_6[[#This Row],[Partenaires]],Partenaires2[Partenaire],Partenaires2[Tx Ch Connexe])</f>
        <v>0.25</v>
      </c>
      <c r="H22" s="55">
        <f>_xlfn.XLOOKUP(T_6[[#This Row],[Partenaires]],Partenaires2[Partenaire],Partenaires2[Tx Sub])</f>
        <v>0.5</v>
      </c>
      <c r="I22" s="1" t="str">
        <f>'[2]Lot 6'!I6</f>
        <v>Post-doctorant</v>
      </c>
      <c r="J22" s="107" t="str">
        <f>'[2]Lot 6'!J6</f>
        <v>Oui</v>
      </c>
      <c r="K22" s="5">
        <f>'[2]Lot 6'!K6</f>
        <v>10</v>
      </c>
      <c r="L22" s="4">
        <f>'[2]Lot 6'!L6</f>
        <v>277</v>
      </c>
      <c r="M22" s="31">
        <f>T_6[[#This Row],[P Qu]]*T_6[[#This Row],[P PU]]</f>
        <v>2770</v>
      </c>
      <c r="N22" s="6">
        <f>'[2]Lot 6'!N6</f>
        <v>0</v>
      </c>
      <c r="O22" s="7">
        <f>'[2]Lot 6'!O6</f>
        <v>0</v>
      </c>
      <c r="P22" s="8">
        <f>'[2]Lot 6'!P6</f>
        <v>0</v>
      </c>
      <c r="Q22" s="31">
        <f>T_6[[#This Row],[ACh Qu]]*T_6[[#This Row],[ACh PU]]</f>
        <v>0</v>
      </c>
      <c r="R22" s="30">
        <f>T_6[[#This Row],[P CT]]+T_6[[#This Row],[ACh CT]]</f>
        <v>2770</v>
      </c>
      <c r="S22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3462.5</v>
      </c>
      <c r="T22" s="198">
        <f>T_6[[#This Row],[Mt Elligible]]*T_6[[#This Row],[Tx Sub]]</f>
        <v>1731.25</v>
      </c>
    </row>
    <row r="23" spans="1:20">
      <c r="A23" s="23" t="str">
        <f>A$1</f>
        <v>Lot_6</v>
      </c>
      <c r="B23" s="113" t="str">
        <f>_xlfn.XLOOKUP(T_6[[#This Row],[N° Lot]],Tableau4[NoLot],Tableau4[Lot])</f>
        <v>Communication et valorisation</v>
      </c>
      <c r="C23" s="166" t="str">
        <f>'[2]Lot 6'!C7</f>
        <v>T3_Conférences_Séminaires</v>
      </c>
      <c r="D23" s="186" t="str">
        <f>'[2]Lot 6'!D7</f>
        <v>ST 2 Conférences organisées par Sable Vert</v>
      </c>
      <c r="E23" s="2">
        <f>'[2]Lot 6'!E7</f>
        <v>0</v>
      </c>
      <c r="F23" s="105" t="str">
        <f>'[2]Lot 6'!F7</f>
        <v>CEREMA</v>
      </c>
      <c r="G23" s="55">
        <f>_xlfn.XLOOKUP(T_6[[#This Row],[Partenaires]],Partenaires2[Partenaire],Partenaires2[Tx Ch Connexe])</f>
        <v>0.25</v>
      </c>
      <c r="H23" s="55">
        <f>_xlfn.XLOOKUP(T_6[[#This Row],[Partenaires]],Partenaires2[Partenaire],Partenaires2[Tx Sub])</f>
        <v>0.5</v>
      </c>
      <c r="I23" s="1" t="s">
        <v>244</v>
      </c>
      <c r="J23" s="107" t="str">
        <f>'[2]Lot 6'!J7</f>
        <v>Non</v>
      </c>
      <c r="K23" s="5">
        <f>'[2]Lot 6'!K7</f>
        <v>3</v>
      </c>
      <c r="L23" s="4">
        <v>792</v>
      </c>
      <c r="M23" s="31">
        <f>T_6[[#This Row],[P Qu]]*T_6[[#This Row],[P PU]]</f>
        <v>2376</v>
      </c>
      <c r="N23" s="6" t="str">
        <f>'[2]Lot 6'!N7</f>
        <v>Déplacements</v>
      </c>
      <c r="O23" s="7">
        <f>'[2]Lot 6'!O7</f>
        <v>3</v>
      </c>
      <c r="P23" s="8">
        <f>'[2]Lot 6'!P7</f>
        <v>150</v>
      </c>
      <c r="Q23" s="31">
        <f>T_6[[#This Row],[ACh Qu]]*T_6[[#This Row],[ACh PU]]</f>
        <v>450</v>
      </c>
      <c r="R23" s="30">
        <f>T_6[[#This Row],[P CT]]+T_6[[#This Row],[ACh CT]]</f>
        <v>2826</v>
      </c>
      <c r="S23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1156.5</v>
      </c>
      <c r="T23" s="198">
        <f>T_6[[#This Row],[Mt Elligible]]*T_6[[#This Row],[Tx Sub]]</f>
        <v>578.25</v>
      </c>
    </row>
    <row r="24" spans="1:20">
      <c r="A24" s="23" t="str">
        <f>A$1</f>
        <v>Lot_6</v>
      </c>
      <c r="B24" s="113" t="str">
        <f>_xlfn.XLOOKUP(T_6[[#This Row],[N° Lot]],Tableau4[NoLot],Tableau4[Lot])</f>
        <v>Communication et valorisation</v>
      </c>
      <c r="C24" s="166" t="str">
        <f>'[2]Lot 6'!C8</f>
        <v>T3_Conférences_Séminaires</v>
      </c>
      <c r="D24" s="186" t="str">
        <f>'[2]Lot 6'!D8</f>
        <v>ST 2 Conférences organisées par Sable Vert</v>
      </c>
      <c r="E24" s="2">
        <f>'[2]Lot 6'!E8</f>
        <v>0</v>
      </c>
      <c r="F24" s="105" t="str">
        <f>'[2]Lot 6'!F8</f>
        <v>CEREMA</v>
      </c>
      <c r="G24" s="55">
        <f>_xlfn.XLOOKUP(T_6[[#This Row],[Partenaires]],Partenaires2[Partenaire],Partenaires2[Tx Ch Connexe])</f>
        <v>0.25</v>
      </c>
      <c r="H24" s="55">
        <f>_xlfn.XLOOKUP(T_6[[#This Row],[Partenaires]],Partenaires2[Partenaire],Partenaires2[Tx Sub])</f>
        <v>0.5</v>
      </c>
      <c r="I24" s="1" t="str">
        <f>'[2]Lot 6'!I8</f>
        <v>Ingénieur</v>
      </c>
      <c r="J24" s="107" t="str">
        <f>'[2]Lot 6'!J8</f>
        <v>Non</v>
      </c>
      <c r="K24" s="5">
        <f>'[2]Lot 6'!K8</f>
        <v>2</v>
      </c>
      <c r="L24" s="4">
        <f>'[2]Lot 6'!L8</f>
        <v>376</v>
      </c>
      <c r="M24" s="31">
        <f>T_6[[#This Row],[P Qu]]*T_6[[#This Row],[P PU]]</f>
        <v>752</v>
      </c>
      <c r="N24" s="6" t="str">
        <f>'[2]Lot 6'!N8</f>
        <v>Déplacements</v>
      </c>
      <c r="O24" s="7">
        <f>'[2]Lot 6'!O8</f>
        <v>2</v>
      </c>
      <c r="P24" s="8">
        <f>'[2]Lot 6'!P8</f>
        <v>150</v>
      </c>
      <c r="Q24" s="31">
        <f>T_6[[#This Row],[ACh Qu]]*T_6[[#This Row],[ACh PU]]</f>
        <v>300</v>
      </c>
      <c r="R24" s="30">
        <f>T_6[[#This Row],[P CT]]+T_6[[#This Row],[ACh CT]]</f>
        <v>1052</v>
      </c>
      <c r="S24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563</v>
      </c>
      <c r="T24" s="198">
        <f>T_6[[#This Row],[Mt Elligible]]*T_6[[#This Row],[Tx Sub]]</f>
        <v>281.5</v>
      </c>
    </row>
    <row r="25" spans="1:20">
      <c r="A25" s="23" t="str">
        <f>A$1</f>
        <v>Lot_6</v>
      </c>
      <c r="B25" s="113" t="str">
        <f>_xlfn.XLOOKUP(T_6[[#This Row],[N° Lot]],Tableau4[NoLot],Tableau4[Lot])</f>
        <v>Communication et valorisation</v>
      </c>
      <c r="C25" s="166" t="str">
        <f>'[2]Lot 6'!C9</f>
        <v>T3_Conférences_Séminaires</v>
      </c>
      <c r="D25" s="186" t="str">
        <f>'[2]Lot 6'!D9</f>
        <v>ST 2 Conférences organisées par Sable Vert</v>
      </c>
      <c r="E25" s="2">
        <f>'[2]Lot 6'!E9</f>
        <v>0</v>
      </c>
      <c r="F25" s="105" t="str">
        <f>'[2]Lot 6'!F9</f>
        <v>CEREMA</v>
      </c>
      <c r="G25" s="55">
        <f>_xlfn.XLOOKUP(T_6[[#This Row],[Partenaires]],Partenaires2[Partenaire],Partenaires2[Tx Ch Connexe])</f>
        <v>0.25</v>
      </c>
      <c r="H25" s="55">
        <f>_xlfn.XLOOKUP(T_6[[#This Row],[Partenaires]],Partenaires2[Partenaire],Partenaires2[Tx Sub])</f>
        <v>0.5</v>
      </c>
      <c r="I25" s="1" t="str">
        <f>'[2]Lot 6'!I9</f>
        <v>Post-doctorant</v>
      </c>
      <c r="J25" s="107" t="str">
        <f>'[2]Lot 6'!J9</f>
        <v>Oui</v>
      </c>
      <c r="K25" s="5">
        <f>'[2]Lot 6'!K9</f>
        <v>2</v>
      </c>
      <c r="L25" s="4">
        <f>'[2]Lot 6'!L9</f>
        <v>277</v>
      </c>
      <c r="M25" s="31">
        <f>T_6[[#This Row],[P Qu]]*T_6[[#This Row],[P PU]]</f>
        <v>554</v>
      </c>
      <c r="N25" s="6" t="str">
        <f>'[2]Lot 6'!N9</f>
        <v>Déplacements</v>
      </c>
      <c r="O25" s="7">
        <f>'[2]Lot 6'!O9</f>
        <v>2</v>
      </c>
      <c r="P25" s="8">
        <f>'[2]Lot 6'!P9</f>
        <v>150</v>
      </c>
      <c r="Q25" s="31">
        <f>T_6[[#This Row],[ACh Qu]]*T_6[[#This Row],[ACh PU]]</f>
        <v>300</v>
      </c>
      <c r="R25" s="30">
        <f>T_6[[#This Row],[P CT]]+T_6[[#This Row],[ACh CT]]</f>
        <v>854</v>
      </c>
      <c r="S25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1067.5</v>
      </c>
      <c r="T25" s="198">
        <f>T_6[[#This Row],[Mt Elligible]]*T_6[[#This Row],[Tx Sub]]</f>
        <v>533.75</v>
      </c>
    </row>
    <row r="26" spans="1:20">
      <c r="A26" s="23" t="str">
        <f>A$1</f>
        <v>Lot_6</v>
      </c>
      <c r="B26" s="113" t="str">
        <f>_xlfn.XLOOKUP(T_6[[#This Row],[N° Lot]],Tableau4[NoLot],Tableau4[Lot])</f>
        <v>Communication et valorisation</v>
      </c>
      <c r="C26" s="166" t="str">
        <f>'[2]Lot 6'!C10</f>
        <v>T3_Conférences_Séminaires</v>
      </c>
      <c r="D26" s="186" t="str">
        <f>'[2]Lot 6'!D10</f>
        <v>ST 3 Participation à des événements externes</v>
      </c>
      <c r="E26" s="2">
        <f>'[2]Lot 6'!E10</f>
        <v>0</v>
      </c>
      <c r="F26" s="105" t="str">
        <f>'[2]Lot 6'!F10</f>
        <v>CEREMA</v>
      </c>
      <c r="G26" s="55">
        <f>_xlfn.XLOOKUP(T_6[[#This Row],[Partenaires]],Partenaires2[Partenaire],Partenaires2[Tx Ch Connexe])</f>
        <v>0.25</v>
      </c>
      <c r="H26" s="55">
        <f>_xlfn.XLOOKUP(T_6[[#This Row],[Partenaires]],Partenaires2[Partenaire],Partenaires2[Tx Sub])</f>
        <v>0.5</v>
      </c>
      <c r="I26" s="1" t="s">
        <v>244</v>
      </c>
      <c r="J26" s="107" t="str">
        <f>'[2]Lot 6'!J10</f>
        <v>Non</v>
      </c>
      <c r="K26" s="5">
        <f>'[2]Lot 6'!K10</f>
        <v>1</v>
      </c>
      <c r="L26" s="4">
        <v>792</v>
      </c>
      <c r="M26" s="31">
        <f>T_6[[#This Row],[P Qu]]*T_6[[#This Row],[P PU]]</f>
        <v>792</v>
      </c>
      <c r="N26" s="6" t="str">
        <f>'[2]Lot 6'!N10</f>
        <v>Déplacements</v>
      </c>
      <c r="O26" s="7">
        <f>'[2]Lot 6'!O10</f>
        <v>1</v>
      </c>
      <c r="P26" s="8">
        <f>'[2]Lot 6'!P10</f>
        <v>150</v>
      </c>
      <c r="Q26" s="31">
        <f>T_6[[#This Row],[ACh Qu]]*T_6[[#This Row],[ACh PU]]</f>
        <v>150</v>
      </c>
      <c r="R26" s="30">
        <f>T_6[[#This Row],[P CT]]+T_6[[#This Row],[ACh CT]]</f>
        <v>942</v>
      </c>
      <c r="S26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385.5</v>
      </c>
      <c r="T26" s="198">
        <f>T_6[[#This Row],[Mt Elligible]]*T_6[[#This Row],[Tx Sub]]</f>
        <v>192.75</v>
      </c>
    </row>
    <row r="27" spans="1:20">
      <c r="A27" s="23" t="str">
        <f>A$1</f>
        <v>Lot_6</v>
      </c>
      <c r="B27" s="113" t="str">
        <f>_xlfn.XLOOKUP(T_6[[#This Row],[N° Lot]],Tableau4[NoLot],Tableau4[Lot])</f>
        <v>Communication et valorisation</v>
      </c>
      <c r="C27" s="166" t="str">
        <f>'[2]Lot 6'!C11</f>
        <v>T3_Conférences_Séminaires</v>
      </c>
      <c r="D27" s="186" t="str">
        <f>'[2]Lot 6'!D11</f>
        <v>ST 3 Participation à des événements externes</v>
      </c>
      <c r="E27" s="2">
        <f>'[2]Lot 6'!E11</f>
        <v>0</v>
      </c>
      <c r="F27" s="105" t="str">
        <f>'[2]Lot 6'!F11</f>
        <v>CEREMA</v>
      </c>
      <c r="G27" s="55">
        <f>_xlfn.XLOOKUP(T_6[[#This Row],[Partenaires]],Partenaires2[Partenaire],Partenaires2[Tx Ch Connexe])</f>
        <v>0.25</v>
      </c>
      <c r="H27" s="55">
        <f>_xlfn.XLOOKUP(T_6[[#This Row],[Partenaires]],Partenaires2[Partenaire],Partenaires2[Tx Sub])</f>
        <v>0.5</v>
      </c>
      <c r="I27" s="1" t="str">
        <f>'[2]Lot 6'!I11</f>
        <v>Ingénieur</v>
      </c>
      <c r="J27" s="107" t="str">
        <f>'[2]Lot 6'!J11</f>
        <v>Non</v>
      </c>
      <c r="K27" s="5">
        <f>'[2]Lot 6'!K11</f>
        <v>5</v>
      </c>
      <c r="L27" s="4">
        <f>'[2]Lot 6'!L11</f>
        <v>376</v>
      </c>
      <c r="M27" s="31">
        <f>T_6[[#This Row],[P Qu]]*T_6[[#This Row],[P PU]]</f>
        <v>1880</v>
      </c>
      <c r="N27" s="6" t="str">
        <f>'[2]Lot 6'!N11</f>
        <v>Déplacements</v>
      </c>
      <c r="O27" s="7">
        <f>'[2]Lot 6'!O11</f>
        <v>5</v>
      </c>
      <c r="P27" s="8">
        <f>'[2]Lot 6'!P11</f>
        <v>150</v>
      </c>
      <c r="Q27" s="31">
        <f>T_6[[#This Row],[ACh Qu]]*T_6[[#This Row],[ACh PU]]</f>
        <v>750</v>
      </c>
      <c r="R27" s="30">
        <f>T_6[[#This Row],[P CT]]+T_6[[#This Row],[ACh CT]]</f>
        <v>2630</v>
      </c>
      <c r="S27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1407.5</v>
      </c>
      <c r="T27" s="198">
        <f>T_6[[#This Row],[Mt Elligible]]*T_6[[#This Row],[Tx Sub]]</f>
        <v>703.75</v>
      </c>
    </row>
    <row r="28" spans="1:20">
      <c r="A28" s="23" t="str">
        <f>A$1</f>
        <v>Lot_6</v>
      </c>
      <c r="B28" s="113" t="str">
        <f>_xlfn.XLOOKUP(T_6[[#This Row],[N° Lot]],Tableau4[NoLot],Tableau4[Lot])</f>
        <v>Communication et valorisation</v>
      </c>
      <c r="C28" s="166" t="str">
        <f>'[2]Lot 6'!C12</f>
        <v>T3_Conférences_Séminaires</v>
      </c>
      <c r="D28" s="186" t="str">
        <f>'[2]Lot 6'!D12</f>
        <v>ST 3 Participation à des événements externes</v>
      </c>
      <c r="E28" s="2">
        <f>'[2]Lot 6'!E12</f>
        <v>0</v>
      </c>
      <c r="F28" s="105" t="str">
        <f>'[2]Lot 6'!F12</f>
        <v>CEREMA</v>
      </c>
      <c r="G28" s="55">
        <f>_xlfn.XLOOKUP(T_6[[#This Row],[Partenaires]],Partenaires2[Partenaire],Partenaires2[Tx Ch Connexe])</f>
        <v>0.25</v>
      </c>
      <c r="H28" s="55">
        <f>_xlfn.XLOOKUP(T_6[[#This Row],[Partenaires]],Partenaires2[Partenaire],Partenaires2[Tx Sub])</f>
        <v>0.5</v>
      </c>
      <c r="I28" s="1" t="str">
        <f>'[2]Lot 6'!I12</f>
        <v>Post-doctorant</v>
      </c>
      <c r="J28" s="107" t="str">
        <f>'[2]Lot 6'!J12</f>
        <v>Oui</v>
      </c>
      <c r="K28" s="5">
        <f>'[2]Lot 6'!K12</f>
        <v>5</v>
      </c>
      <c r="L28" s="4">
        <f>'[2]Lot 6'!L12</f>
        <v>277</v>
      </c>
      <c r="M28" s="31">
        <f>T_6[[#This Row],[P Qu]]*T_6[[#This Row],[P PU]]</f>
        <v>1385</v>
      </c>
      <c r="N28" s="6" t="str">
        <f>'[2]Lot 6'!N12</f>
        <v>Déplacements</v>
      </c>
      <c r="O28" s="7">
        <f>'[2]Lot 6'!O12</f>
        <v>5</v>
      </c>
      <c r="P28" s="8">
        <f>'[2]Lot 6'!P12</f>
        <v>150</v>
      </c>
      <c r="Q28" s="31">
        <f>T_6[[#This Row],[ACh Qu]]*T_6[[#This Row],[ACh PU]]</f>
        <v>750</v>
      </c>
      <c r="R28" s="30">
        <f>T_6[[#This Row],[P CT]]+T_6[[#This Row],[ACh CT]]</f>
        <v>2135</v>
      </c>
      <c r="S28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2668.75</v>
      </c>
      <c r="T28" s="198">
        <f>T_6[[#This Row],[Mt Elligible]]*T_6[[#This Row],[Tx Sub]]</f>
        <v>1334.375</v>
      </c>
    </row>
    <row r="29" spans="1:20">
      <c r="A29" s="23" t="str">
        <f>A$1</f>
        <v>Lot_6</v>
      </c>
      <c r="B29" s="113" t="str">
        <f>_xlfn.XLOOKUP(T_6[[#This Row],[N° Lot]],Tableau4[NoLot],Tableau4[Lot])</f>
        <v>Communication et valorisation</v>
      </c>
      <c r="C29" s="166" t="s">
        <v>67</v>
      </c>
      <c r="D29" s="186" t="s">
        <v>96</v>
      </c>
      <c r="F29" s="105" t="s">
        <v>79</v>
      </c>
      <c r="G29" s="196">
        <f>_xlfn.XLOOKUP(T_6[[#This Row],[Partenaires]],Partenaires2[Partenaire],Partenaires2[Tx Ch Connexe])</f>
        <v>0.16</v>
      </c>
      <c r="H29" s="196">
        <f>_xlfn.XLOOKUP(T_6[[#This Row],[Partenaires]],Partenaires2[Partenaire],Partenaires2[Tx Sub])</f>
        <v>0.5</v>
      </c>
      <c r="I29" s="1" t="s">
        <v>238</v>
      </c>
      <c r="J29" s="107" t="s">
        <v>81</v>
      </c>
      <c r="K29" s="5">
        <v>10</v>
      </c>
      <c r="L29" s="4">
        <v>446</v>
      </c>
      <c r="M29" s="31">
        <f>T_6[[#This Row],[P Qu]]*T_6[[#This Row],[P PU]]</f>
        <v>4460</v>
      </c>
      <c r="N29" s="6"/>
      <c r="O29" s="7"/>
      <c r="P29" s="8"/>
      <c r="Q29" s="31">
        <f>T_6[[#This Row],[ACh Qu]]*T_6[[#This Row],[ACh PU]]</f>
        <v>0</v>
      </c>
      <c r="R29" s="30">
        <f>T_6[[#This Row],[P CT]]+T_6[[#This Row],[ACh CT]]</f>
        <v>4460</v>
      </c>
      <c r="S29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713.6</v>
      </c>
      <c r="T29" s="198">
        <f>T_6[[#This Row],[Mt Elligible]]*T_6[[#This Row],[Tx Sub]]</f>
        <v>356.8</v>
      </c>
    </row>
    <row r="30" spans="1:20">
      <c r="A30" s="23" t="str">
        <f>A$1</f>
        <v>Lot_6</v>
      </c>
      <c r="B30" s="113" t="str">
        <f>_xlfn.XLOOKUP(T_6[[#This Row],[N° Lot]],Tableau4[NoLot],Tableau4[Lot])</f>
        <v>Communication et valorisation</v>
      </c>
      <c r="C30" s="166" t="s">
        <v>67</v>
      </c>
      <c r="D30" s="186" t="s">
        <v>96</v>
      </c>
      <c r="F30" s="105" t="s">
        <v>79</v>
      </c>
      <c r="G30" s="196">
        <f>_xlfn.XLOOKUP(T_6[[#This Row],[Partenaires]],Partenaires2[Partenaire],Partenaires2[Tx Ch Connexe])</f>
        <v>0.16</v>
      </c>
      <c r="H30" s="196">
        <f>_xlfn.XLOOKUP(T_6[[#This Row],[Partenaires]],Partenaires2[Partenaire],Partenaires2[Tx Sub])</f>
        <v>0.5</v>
      </c>
      <c r="I30" s="1" t="s">
        <v>243</v>
      </c>
      <c r="J30" s="107" t="s">
        <v>82</v>
      </c>
      <c r="K30" s="5">
        <v>5</v>
      </c>
      <c r="L30" s="4">
        <v>328</v>
      </c>
      <c r="M30" s="31">
        <f>T_6[[#This Row],[P Qu]]*T_6[[#This Row],[P PU]]</f>
        <v>1640</v>
      </c>
      <c r="N30" s="6"/>
      <c r="O30" s="7"/>
      <c r="P30" s="8"/>
      <c r="Q30" s="31">
        <f>T_6[[#This Row],[ACh Qu]]*T_6[[#This Row],[ACh PU]]</f>
        <v>0</v>
      </c>
      <c r="R30" s="30">
        <f>T_6[[#This Row],[P CT]]+T_6[[#This Row],[ACh CT]]</f>
        <v>1640</v>
      </c>
      <c r="S30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1902.4</v>
      </c>
      <c r="T30" s="198">
        <f>T_6[[#This Row],[Mt Elligible]]*T_6[[#This Row],[Tx Sub]]</f>
        <v>951.2</v>
      </c>
    </row>
    <row r="31" spans="1:20">
      <c r="A31" s="23" t="str">
        <f>A$1</f>
        <v>Lot_6</v>
      </c>
      <c r="B31" s="113" t="str">
        <f>_xlfn.XLOOKUP(T_6[[#This Row],[N° Lot]],Tableau4[NoLot],Tableau4[Lot])</f>
        <v>Communication et valorisation</v>
      </c>
      <c r="C31" s="166" t="s">
        <v>67</v>
      </c>
      <c r="D31" s="186" t="s">
        <v>97</v>
      </c>
      <c r="F31" s="105" t="s">
        <v>79</v>
      </c>
      <c r="G31" s="196">
        <f>_xlfn.XLOOKUP(T_6[[#This Row],[Partenaires]],Partenaires2[Partenaire],Partenaires2[Tx Ch Connexe])</f>
        <v>0.16</v>
      </c>
      <c r="H31" s="196">
        <f>_xlfn.XLOOKUP(T_6[[#This Row],[Partenaires]],Partenaires2[Partenaire],Partenaires2[Tx Sub])</f>
        <v>0.5</v>
      </c>
      <c r="I31" s="1" t="s">
        <v>238</v>
      </c>
      <c r="J31" s="107" t="s">
        <v>81</v>
      </c>
      <c r="K31" s="5">
        <v>2</v>
      </c>
      <c r="L31" s="4">
        <v>446</v>
      </c>
      <c r="M31" s="31">
        <f>T_6[[#This Row],[P Qu]]*T_6[[#This Row],[P PU]]</f>
        <v>892</v>
      </c>
      <c r="N31" s="6"/>
      <c r="O31" s="7"/>
      <c r="P31" s="8"/>
      <c r="Q31" s="31">
        <f>T_6[[#This Row],[ACh Qu]]*T_6[[#This Row],[ACh PU]]</f>
        <v>0</v>
      </c>
      <c r="R31" s="30">
        <f>T_6[[#This Row],[P CT]]+T_6[[#This Row],[ACh CT]]</f>
        <v>892</v>
      </c>
      <c r="S31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142.72</v>
      </c>
      <c r="T31" s="198">
        <f>T_6[[#This Row],[Mt Elligible]]*T_6[[#This Row],[Tx Sub]]</f>
        <v>71.36</v>
      </c>
    </row>
    <row r="32" spans="1:20">
      <c r="A32" s="23" t="str">
        <f>A$1</f>
        <v>Lot_6</v>
      </c>
      <c r="B32" s="113" t="str">
        <f>_xlfn.XLOOKUP(T_6[[#This Row],[N° Lot]],Tableau4[NoLot],Tableau4[Lot])</f>
        <v>Communication et valorisation</v>
      </c>
      <c r="C32" s="166" t="s">
        <v>67</v>
      </c>
      <c r="D32" s="186" t="s">
        <v>97</v>
      </c>
      <c r="F32" s="105" t="s">
        <v>79</v>
      </c>
      <c r="G32" s="196">
        <f>_xlfn.XLOOKUP(T_6[[#This Row],[Partenaires]],Partenaires2[Partenaire],Partenaires2[Tx Ch Connexe])</f>
        <v>0.16</v>
      </c>
      <c r="H32" s="196">
        <f>_xlfn.XLOOKUP(T_6[[#This Row],[Partenaires]],Partenaires2[Partenaire],Partenaires2[Tx Sub])</f>
        <v>0.5</v>
      </c>
      <c r="I32" s="1" t="s">
        <v>241</v>
      </c>
      <c r="J32" s="107" t="s">
        <v>81</v>
      </c>
      <c r="K32" s="5">
        <v>2</v>
      </c>
      <c r="L32" s="4">
        <v>275</v>
      </c>
      <c r="M32" s="31">
        <f>T_6[[#This Row],[P Qu]]*T_6[[#This Row],[P PU]]</f>
        <v>550</v>
      </c>
      <c r="N32" s="6"/>
      <c r="O32" s="7"/>
      <c r="P32" s="8"/>
      <c r="Q32" s="31">
        <f>T_6[[#This Row],[ACh Qu]]*T_6[[#This Row],[ACh PU]]</f>
        <v>0</v>
      </c>
      <c r="R32" s="30">
        <f>T_6[[#This Row],[P CT]]+T_6[[#This Row],[ACh CT]]</f>
        <v>550</v>
      </c>
      <c r="S32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88</v>
      </c>
      <c r="T32" s="198">
        <f>T_6[[#This Row],[Mt Elligible]]*T_6[[#This Row],[Tx Sub]]</f>
        <v>44</v>
      </c>
    </row>
    <row r="33" spans="1:20">
      <c r="A33" s="23" t="str">
        <f>A$1</f>
        <v>Lot_6</v>
      </c>
      <c r="B33" s="113" t="str">
        <f>_xlfn.XLOOKUP(T_6[[#This Row],[N° Lot]],Tableau4[NoLot],Tableau4[Lot])</f>
        <v>Communication et valorisation</v>
      </c>
      <c r="C33" s="166" t="s">
        <v>67</v>
      </c>
      <c r="D33" s="186" t="s">
        <v>97</v>
      </c>
      <c r="F33" s="105" t="s">
        <v>79</v>
      </c>
      <c r="G33" s="196">
        <f>_xlfn.XLOOKUP(T_6[[#This Row],[Partenaires]],Partenaires2[Partenaire],Partenaires2[Tx Ch Connexe])</f>
        <v>0.16</v>
      </c>
      <c r="H33" s="196">
        <f>_xlfn.XLOOKUP(T_6[[#This Row],[Partenaires]],Partenaires2[Partenaire],Partenaires2[Tx Sub])</f>
        <v>0.5</v>
      </c>
      <c r="I33" s="1" t="s">
        <v>243</v>
      </c>
      <c r="J33" s="107" t="s">
        <v>82</v>
      </c>
      <c r="K33" s="5"/>
      <c r="L33" s="4">
        <v>328</v>
      </c>
      <c r="M33" s="31">
        <f>T_6[[#This Row],[P Qu]]*T_6[[#This Row],[P PU]]</f>
        <v>0</v>
      </c>
      <c r="N33" s="6"/>
      <c r="O33" s="7"/>
      <c r="P33" s="8"/>
      <c r="Q33" s="31">
        <f>T_6[[#This Row],[ACh Qu]]*T_6[[#This Row],[ACh PU]]</f>
        <v>0</v>
      </c>
      <c r="R33" s="30">
        <f>T_6[[#This Row],[P CT]]+T_6[[#This Row],[ACh CT]]</f>
        <v>0</v>
      </c>
      <c r="S33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0</v>
      </c>
      <c r="T33" s="198">
        <f>T_6[[#This Row],[Mt Elligible]]*T_6[[#This Row],[Tx Sub]]</f>
        <v>0</v>
      </c>
    </row>
    <row r="34" spans="1:20">
      <c r="A34" s="23" t="str">
        <f>A$1</f>
        <v>Lot_6</v>
      </c>
      <c r="B34" s="113" t="str">
        <f>_xlfn.XLOOKUP(T_6[[#This Row],[N° Lot]],Tableau4[NoLot],Tableau4[Lot])</f>
        <v>Communication et valorisation</v>
      </c>
      <c r="C34" s="166" t="s">
        <v>68</v>
      </c>
      <c r="D34" s="186" t="s">
        <v>100</v>
      </c>
      <c r="F34" s="105" t="s">
        <v>79</v>
      </c>
      <c r="G34" s="196">
        <f>_xlfn.XLOOKUP(T_6[[#This Row],[Partenaires]],Partenaires2[Partenaire],Partenaires2[Tx Ch Connexe])</f>
        <v>0.16</v>
      </c>
      <c r="H34" s="196">
        <f>_xlfn.XLOOKUP(T_6[[#This Row],[Partenaires]],Partenaires2[Partenaire],Partenaires2[Tx Sub])</f>
        <v>0.5</v>
      </c>
      <c r="I34" s="1" t="s">
        <v>238</v>
      </c>
      <c r="J34" s="107" t="s">
        <v>81</v>
      </c>
      <c r="K34" s="5">
        <v>2</v>
      </c>
      <c r="L34" s="4">
        <v>446</v>
      </c>
      <c r="M34" s="31">
        <f>T_6[[#This Row],[P Qu]]*T_6[[#This Row],[P PU]]</f>
        <v>892</v>
      </c>
      <c r="N34" s="6" t="s">
        <v>45</v>
      </c>
      <c r="O34" s="7">
        <v>2</v>
      </c>
      <c r="P34" s="8">
        <v>150</v>
      </c>
      <c r="Q34" s="31">
        <f>T_6[[#This Row],[ACh Qu]]*T_6[[#This Row],[ACh PU]]</f>
        <v>300</v>
      </c>
      <c r="R34" s="30">
        <f>T_6[[#This Row],[P CT]]+T_6[[#This Row],[ACh CT]]</f>
        <v>1192</v>
      </c>
      <c r="S34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490.72</v>
      </c>
      <c r="T34" s="198">
        <f>T_6[[#This Row],[Mt Elligible]]*T_6[[#This Row],[Tx Sub]]</f>
        <v>245.36</v>
      </c>
    </row>
    <row r="35" spans="1:20">
      <c r="A35" s="23" t="str">
        <f>A$1</f>
        <v>Lot_6</v>
      </c>
      <c r="B35" s="113" t="str">
        <f>_xlfn.XLOOKUP(T_6[[#This Row],[N° Lot]],Tableau4[NoLot],Tableau4[Lot])</f>
        <v>Communication et valorisation</v>
      </c>
      <c r="C35" s="166" t="s">
        <v>68</v>
      </c>
      <c r="D35" s="186" t="s">
        <v>100</v>
      </c>
      <c r="F35" s="105" t="s">
        <v>79</v>
      </c>
      <c r="G35" s="196">
        <f>_xlfn.XLOOKUP(T_6[[#This Row],[Partenaires]],Partenaires2[Partenaire],Partenaires2[Tx Ch Connexe])</f>
        <v>0.16</v>
      </c>
      <c r="H35" s="196">
        <f>_xlfn.XLOOKUP(T_6[[#This Row],[Partenaires]],Partenaires2[Partenaire],Partenaires2[Tx Sub])</f>
        <v>0.5</v>
      </c>
      <c r="I35" s="1" t="s">
        <v>243</v>
      </c>
      <c r="J35" s="107" t="s">
        <v>82</v>
      </c>
      <c r="K35" s="5"/>
      <c r="L35" s="4">
        <v>328</v>
      </c>
      <c r="M35" s="31">
        <f>T_6[[#This Row],[P Qu]]*T_6[[#This Row],[P PU]]</f>
        <v>0</v>
      </c>
      <c r="N35" s="6" t="s">
        <v>45</v>
      </c>
      <c r="O35" s="7">
        <v>2</v>
      </c>
      <c r="P35" s="8">
        <v>150</v>
      </c>
      <c r="Q35" s="31">
        <f>T_6[[#This Row],[ACh Qu]]*T_6[[#This Row],[ACh PU]]</f>
        <v>300</v>
      </c>
      <c r="R35" s="30">
        <f>T_6[[#This Row],[P CT]]+T_6[[#This Row],[ACh CT]]</f>
        <v>300</v>
      </c>
      <c r="S35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348</v>
      </c>
      <c r="T35" s="198">
        <f>T_6[[#This Row],[Mt Elligible]]*T_6[[#This Row],[Tx Sub]]</f>
        <v>174</v>
      </c>
    </row>
    <row r="36" spans="1:20">
      <c r="A36" s="23" t="str">
        <f>A$1</f>
        <v>Lot_6</v>
      </c>
      <c r="B36" s="113" t="str">
        <f>_xlfn.XLOOKUP(T_6[[#This Row],[N° Lot]],Tableau4[NoLot],Tableau4[Lot])</f>
        <v>Communication et valorisation</v>
      </c>
      <c r="C36" s="166" t="s">
        <v>68</v>
      </c>
      <c r="D36" s="186" t="s">
        <v>100</v>
      </c>
      <c r="F36" s="105" t="s">
        <v>79</v>
      </c>
      <c r="G36" s="196">
        <f>_xlfn.XLOOKUP(T_6[[#This Row],[Partenaires]],Partenaires2[Partenaire],Partenaires2[Tx Ch Connexe])</f>
        <v>0.16</v>
      </c>
      <c r="H36" s="196">
        <f>_xlfn.XLOOKUP(T_6[[#This Row],[Partenaires]],Partenaires2[Partenaire],Partenaires2[Tx Sub])</f>
        <v>0.5</v>
      </c>
      <c r="I36" s="1" t="s">
        <v>241</v>
      </c>
      <c r="J36" s="107" t="s">
        <v>82</v>
      </c>
      <c r="K36" s="5">
        <v>2</v>
      </c>
      <c r="L36" s="4">
        <v>275</v>
      </c>
      <c r="M36" s="31">
        <f>T_6[[#This Row],[P Qu]]*T_6[[#This Row],[P PU]]</f>
        <v>550</v>
      </c>
      <c r="N36" s="6" t="s">
        <v>45</v>
      </c>
      <c r="O36" s="7">
        <v>2</v>
      </c>
      <c r="P36" s="8">
        <v>150</v>
      </c>
      <c r="Q36" s="31">
        <f>T_6[[#This Row],[ACh Qu]]*T_6[[#This Row],[ACh PU]]</f>
        <v>300</v>
      </c>
      <c r="R36" s="30">
        <f>T_6[[#This Row],[P CT]]+T_6[[#This Row],[ACh CT]]</f>
        <v>850</v>
      </c>
      <c r="S36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986</v>
      </c>
      <c r="T36" s="198">
        <f>T_6[[#This Row],[Mt Elligible]]*T_6[[#This Row],[Tx Sub]]</f>
        <v>493</v>
      </c>
    </row>
    <row r="37" spans="1:20">
      <c r="A37" s="23" t="str">
        <f>A$1</f>
        <v>Lot_6</v>
      </c>
      <c r="B37" s="113" t="str">
        <f>_xlfn.XLOOKUP(T_6[[#This Row],[N° Lot]],Tableau4[NoLot],Tableau4[Lot])</f>
        <v>Communication et valorisation</v>
      </c>
      <c r="C37" s="166" t="s">
        <v>68</v>
      </c>
      <c r="D37" s="186" t="s">
        <v>100</v>
      </c>
      <c r="F37" s="105" t="s">
        <v>135</v>
      </c>
      <c r="G37" s="196">
        <f>_xlfn.XLOOKUP(T_6[[#This Row],[Partenaires]],Partenaires2[Partenaire],Partenaires2[Tx Ch Connexe])</f>
        <v>0.25</v>
      </c>
      <c r="H37" s="196">
        <f>_xlfn.XLOOKUP(T_6[[#This Row],[Partenaires]],Partenaires2[Partenaire],Partenaires2[Tx Sub])</f>
        <v>0.7</v>
      </c>
      <c r="J37" s="107" t="s">
        <v>82</v>
      </c>
      <c r="K37" s="5">
        <v>2</v>
      </c>
      <c r="L37" s="4">
        <v>422</v>
      </c>
      <c r="M37" s="31">
        <f>T_6[[#This Row],[P Qu]]*T_6[[#This Row],[P PU]]</f>
        <v>844</v>
      </c>
      <c r="N37" s="6" t="s">
        <v>45</v>
      </c>
      <c r="O37" s="7">
        <v>2</v>
      </c>
      <c r="P37" s="8">
        <v>150</v>
      </c>
      <c r="Q37" s="31">
        <f>T_6[[#This Row],[ACh Qu]]*T_6[[#This Row],[ACh PU]]</f>
        <v>300</v>
      </c>
      <c r="R37" s="30">
        <f>T_6[[#This Row],[P CT]]+T_6[[#This Row],[ACh CT]]</f>
        <v>1144</v>
      </c>
      <c r="S37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1430</v>
      </c>
      <c r="T37" s="198">
        <f>T_6[[#This Row],[Mt Elligible]]*T_6[[#This Row],[Tx Sub]]</f>
        <v>1000.9999999999999</v>
      </c>
    </row>
    <row r="38" spans="1:20">
      <c r="A38" s="23" t="str">
        <f>A$1</f>
        <v>Lot_6</v>
      </c>
      <c r="B38" s="113" t="str">
        <f>_xlfn.XLOOKUP(T_6[[#This Row],[N° Lot]],Tableau4[NoLot],Tableau4[Lot])</f>
        <v>Communication et valorisation</v>
      </c>
      <c r="C38" s="166" t="s">
        <v>68</v>
      </c>
      <c r="D38" s="186" t="s">
        <v>101</v>
      </c>
      <c r="F38" s="105" t="s">
        <v>135</v>
      </c>
      <c r="G38" s="196">
        <f>_xlfn.XLOOKUP(T_6[[#This Row],[Partenaires]],Partenaires2[Partenaire],Partenaires2[Tx Ch Connexe])</f>
        <v>0.25</v>
      </c>
      <c r="H38" s="196">
        <f>_xlfn.XLOOKUP(T_6[[#This Row],[Partenaires]],Partenaires2[Partenaire],Partenaires2[Tx Sub])</f>
        <v>0.7</v>
      </c>
      <c r="J38" s="107" t="s">
        <v>82</v>
      </c>
      <c r="K38" s="5">
        <v>2</v>
      </c>
      <c r="L38" s="4">
        <v>422</v>
      </c>
      <c r="M38" s="31">
        <f>T_6[[#This Row],[P Qu]]*T_6[[#This Row],[P PU]]</f>
        <v>844</v>
      </c>
      <c r="N38" s="6" t="s">
        <v>45</v>
      </c>
      <c r="O38" s="7">
        <v>2</v>
      </c>
      <c r="P38" s="8">
        <v>150</v>
      </c>
      <c r="Q38" s="31">
        <f>T_6[[#This Row],[ACh Qu]]*T_6[[#This Row],[ACh PU]]</f>
        <v>300</v>
      </c>
      <c r="R38" s="30">
        <f>T_6[[#This Row],[P CT]]+T_6[[#This Row],[ACh CT]]</f>
        <v>1144</v>
      </c>
      <c r="S38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1430</v>
      </c>
      <c r="T38" s="198">
        <f>T_6[[#This Row],[Mt Elligible]]*T_6[[#This Row],[Tx Sub]]</f>
        <v>1000.9999999999999</v>
      </c>
    </row>
    <row r="39" spans="1:20">
      <c r="A39" s="16" t="str">
        <f>A$1</f>
        <v>Lot_6</v>
      </c>
      <c r="B39" s="113" t="str">
        <f>_xlfn.XLOOKUP(T_6[[#This Row],[N° Lot]],Tableau4[NoLot],Tableau4[Lot])</f>
        <v>Communication et valorisation</v>
      </c>
      <c r="C39" s="166" t="s">
        <v>66</v>
      </c>
      <c r="D39" s="186" t="s">
        <v>95</v>
      </c>
      <c r="F39" s="105" t="s">
        <v>16</v>
      </c>
      <c r="G39" s="55">
        <f>_xlfn.XLOOKUP(T_6[[#This Row],[Partenaires]],Partenaires2[Partenaire],Partenaires2[Tx Ch Connexe])</f>
        <v>0.25</v>
      </c>
      <c r="H39" s="55">
        <f>_xlfn.XLOOKUP(T_6[[#This Row],[Partenaires]],Partenaires2[Partenaire],Partenaires2[Tx Sub])</f>
        <v>0.7</v>
      </c>
      <c r="J39" s="107" t="s">
        <v>82</v>
      </c>
      <c r="K39" s="5"/>
      <c r="L39" s="4"/>
      <c r="M39" s="31">
        <f>T_6[[#This Row],[P Qu]]*T_6[[#This Row],[P PU]]</f>
        <v>0</v>
      </c>
      <c r="N39" s="6" t="s">
        <v>159</v>
      </c>
      <c r="O39" s="7">
        <v>1</v>
      </c>
      <c r="P39" s="8">
        <v>520</v>
      </c>
      <c r="Q39" s="31">
        <f>T_6[[#This Row],[ACh Qu]]*T_6[[#This Row],[ACh PU]]</f>
        <v>520</v>
      </c>
      <c r="R39" s="30">
        <f>T_6[[#This Row],[P CT]]+T_6[[#This Row],[ACh CT]]</f>
        <v>520</v>
      </c>
      <c r="S39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650</v>
      </c>
      <c r="T39" s="109">
        <f>T_6[[#This Row],[Mt Elligible]]*T_6[[#This Row],[Tx Sub]]</f>
        <v>454.99999999999994</v>
      </c>
    </row>
    <row r="40" spans="1:20">
      <c r="A40" s="16" t="str">
        <f>A$1</f>
        <v>Lot_6</v>
      </c>
      <c r="B40" s="113" t="str">
        <f>_xlfn.XLOOKUP(T_6[[#This Row],[N° Lot]],Tableau4[NoLot],Tableau4[Lot])</f>
        <v>Communication et valorisation</v>
      </c>
      <c r="C40" s="166" t="s">
        <v>66</v>
      </c>
      <c r="D40" s="186" t="s">
        <v>102</v>
      </c>
      <c r="F40" s="105" t="s">
        <v>16</v>
      </c>
      <c r="G40" s="55">
        <f>_xlfn.XLOOKUP(T_6[[#This Row],[Partenaires]],Partenaires2[Partenaire],Partenaires2[Tx Ch Connexe])</f>
        <v>0.25</v>
      </c>
      <c r="H40" s="55">
        <f>_xlfn.XLOOKUP(T_6[[#This Row],[Partenaires]],Partenaires2[Partenaire],Partenaires2[Tx Sub])</f>
        <v>0.7</v>
      </c>
      <c r="J40" s="107" t="s">
        <v>82</v>
      </c>
      <c r="K40" s="5"/>
      <c r="L40" s="4"/>
      <c r="M40" s="31">
        <f>T_6[[#This Row],[P Qu]]*T_6[[#This Row],[P PU]]</f>
        <v>0</v>
      </c>
      <c r="N40" s="6" t="s">
        <v>159</v>
      </c>
      <c r="O40" s="7">
        <v>2</v>
      </c>
      <c r="P40" s="8">
        <v>520</v>
      </c>
      <c r="Q40" s="31">
        <f>T_6[[#This Row],[ACh Qu]]*T_6[[#This Row],[ACh PU]]</f>
        <v>1040</v>
      </c>
      <c r="R40" s="30">
        <f>T_6[[#This Row],[P CT]]+T_6[[#This Row],[ACh CT]]</f>
        <v>1040</v>
      </c>
      <c r="S40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1300</v>
      </c>
      <c r="T40" s="109">
        <f>T_6[[#This Row],[Mt Elligible]]*T_6[[#This Row],[Tx Sub]]</f>
        <v>909.99999999999989</v>
      </c>
    </row>
    <row r="41" spans="1:20">
      <c r="A41" s="16" t="str">
        <f>A$1</f>
        <v>Lot_6</v>
      </c>
      <c r="B41" s="113" t="str">
        <f>_xlfn.XLOOKUP(T_6[[#This Row],[N° Lot]],Tableau4[NoLot],Tableau4[Lot])</f>
        <v>Communication et valorisation</v>
      </c>
      <c r="C41" s="166" t="s">
        <v>67</v>
      </c>
      <c r="D41" s="186" t="s">
        <v>96</v>
      </c>
      <c r="E41" s="2" t="s">
        <v>158</v>
      </c>
      <c r="F41" s="105" t="s">
        <v>16</v>
      </c>
      <c r="G41" s="55">
        <f>_xlfn.XLOOKUP(T_6[[#This Row],[Partenaires]],Partenaires2[Partenaire],Partenaires2[Tx Ch Connexe])</f>
        <v>0.25</v>
      </c>
      <c r="H41" s="55">
        <f>_xlfn.XLOOKUP(T_6[[#This Row],[Partenaires]],Partenaires2[Partenaire],Partenaires2[Tx Sub])</f>
        <v>0.7</v>
      </c>
      <c r="J41" s="107" t="s">
        <v>82</v>
      </c>
      <c r="K41" s="5"/>
      <c r="L41" s="4"/>
      <c r="M41" s="31">
        <f>T_6[[#This Row],[P Qu]]*T_6[[#This Row],[P PU]]</f>
        <v>0</v>
      </c>
      <c r="N41" s="6" t="s">
        <v>159</v>
      </c>
      <c r="O41" s="7">
        <v>1</v>
      </c>
      <c r="P41" s="8">
        <v>520</v>
      </c>
      <c r="Q41" s="31">
        <f>T_6[[#This Row],[ACh Qu]]*T_6[[#This Row],[ACh PU]]</f>
        <v>520</v>
      </c>
      <c r="R41" s="30">
        <f>T_6[[#This Row],[P CT]]+T_6[[#This Row],[ACh CT]]</f>
        <v>520</v>
      </c>
      <c r="S41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650</v>
      </c>
      <c r="T41" s="109">
        <f>T_6[[#This Row],[Mt Elligible]]*T_6[[#This Row],[Tx Sub]]</f>
        <v>454.99999999999994</v>
      </c>
    </row>
    <row r="42" spans="1:20">
      <c r="A42" s="16" t="str">
        <f>A$1</f>
        <v>Lot_6</v>
      </c>
      <c r="B42" s="113" t="str">
        <f>_xlfn.XLOOKUP(T_6[[#This Row],[N° Lot]],Tableau4[NoLot],Tableau4[Lot])</f>
        <v>Communication et valorisation</v>
      </c>
      <c r="C42" s="166" t="s">
        <v>67</v>
      </c>
      <c r="D42" s="186" t="s">
        <v>97</v>
      </c>
      <c r="F42" s="105" t="s">
        <v>16</v>
      </c>
      <c r="G42" s="55">
        <f>_xlfn.XLOOKUP(T_6[[#This Row],[Partenaires]],Partenaires2[Partenaire],Partenaires2[Tx Ch Connexe])</f>
        <v>0.25</v>
      </c>
      <c r="H42" s="55">
        <f>_xlfn.XLOOKUP(T_6[[#This Row],[Partenaires]],Partenaires2[Partenaire],Partenaires2[Tx Sub])</f>
        <v>0.7</v>
      </c>
      <c r="I42" s="178"/>
      <c r="J42" s="107" t="s">
        <v>82</v>
      </c>
      <c r="K42" s="5"/>
      <c r="L42" s="4"/>
      <c r="M42" s="31">
        <f>T_6[[#This Row],[P Qu]]*T_6[[#This Row],[P PU]]</f>
        <v>0</v>
      </c>
      <c r="N42" s="6" t="s">
        <v>159</v>
      </c>
      <c r="O42" s="7">
        <v>3</v>
      </c>
      <c r="P42" s="8">
        <v>520</v>
      </c>
      <c r="Q42" s="31">
        <f>T_6[[#This Row],[ACh Qu]]*T_6[[#This Row],[ACh PU]]</f>
        <v>1560</v>
      </c>
      <c r="R42" s="30">
        <f>T_6[[#This Row],[P CT]]+T_6[[#This Row],[ACh CT]]</f>
        <v>1560</v>
      </c>
      <c r="S42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1950</v>
      </c>
      <c r="T42" s="109">
        <f>T_6[[#This Row],[Mt Elligible]]*T_6[[#This Row],[Tx Sub]]</f>
        <v>1365</v>
      </c>
    </row>
    <row r="43" spans="1:20">
      <c r="A43" s="23" t="s">
        <v>35</v>
      </c>
      <c r="B43" s="113" t="str">
        <f>_xlfn.XLOOKUP(T_6[[#This Row],[N° Lot]],Tableau4[NoLot],Tableau4[Lot])</f>
        <v>Communication et valorisation</v>
      </c>
      <c r="C43" s="166" t="s">
        <v>67</v>
      </c>
      <c r="D43" s="186" t="s">
        <v>98</v>
      </c>
      <c r="F43" s="105" t="s">
        <v>16</v>
      </c>
      <c r="G43" s="55">
        <f>_xlfn.XLOOKUP(T_6[[#This Row],[Partenaires]],Partenaires2[Partenaire],Partenaires2[Tx Ch Connexe])</f>
        <v>0.25</v>
      </c>
      <c r="H43" s="55">
        <f>_xlfn.XLOOKUP(T_6[[#This Row],[Partenaires]],Partenaires2[Partenaire],Partenaires2[Tx Sub])</f>
        <v>0.7</v>
      </c>
      <c r="J43" s="107" t="s">
        <v>82</v>
      </c>
      <c r="K43" s="5"/>
      <c r="L43" s="4"/>
      <c r="M43" s="31">
        <f>T_6[[#This Row],[P Qu]]*T_6[[#This Row],[P PU]]</f>
        <v>0</v>
      </c>
      <c r="N43" s="6" t="s">
        <v>159</v>
      </c>
      <c r="O43" s="7">
        <v>1</v>
      </c>
      <c r="P43" s="8">
        <v>520</v>
      </c>
      <c r="Q43" s="31">
        <f>T_6[[#This Row],[ACh Qu]]*T_6[[#This Row],[ACh PU]]</f>
        <v>520</v>
      </c>
      <c r="R43" s="30">
        <f>T_6[[#This Row],[P CT]]+T_6[[#This Row],[ACh CT]]</f>
        <v>520</v>
      </c>
      <c r="S43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650</v>
      </c>
      <c r="T43" s="109">
        <f>T_6[[#This Row],[Mt Elligible]]*T_6[[#This Row],[Tx Sub]]</f>
        <v>454.99999999999994</v>
      </c>
    </row>
    <row r="44" spans="1:20">
      <c r="A44" s="182" t="str">
        <f>A$1</f>
        <v>Lot_6</v>
      </c>
      <c r="B44" s="113" t="str">
        <f>_xlfn.XLOOKUP(T_6[[#This Row],[N° Lot]],Tableau4[NoLot],Tableau4[Lot])</f>
        <v>Communication et valorisation</v>
      </c>
      <c r="C44" s="166" t="s">
        <v>67</v>
      </c>
      <c r="D44" s="186" t="s">
        <v>98</v>
      </c>
      <c r="E44" s="179"/>
      <c r="F44" s="185" t="s">
        <v>16</v>
      </c>
      <c r="G44" s="55">
        <f>_xlfn.XLOOKUP(T_6[[#This Row],[Partenaires]],Partenaires2[Partenaire],Partenaires2[Tx Ch Connexe])</f>
        <v>0.25</v>
      </c>
      <c r="H44" s="55">
        <f>_xlfn.XLOOKUP(T_6[[#This Row],[Partenaires]],Partenaires2[Partenaire],Partenaires2[Tx Sub])</f>
        <v>0.7</v>
      </c>
      <c r="I44" s="178"/>
      <c r="J44" s="186" t="s">
        <v>82</v>
      </c>
      <c r="K44" s="5"/>
      <c r="L44" s="4"/>
      <c r="M44" s="31">
        <f>T_6[[#This Row],[P Qu]]*T_6[[#This Row],[P PU]]</f>
        <v>0</v>
      </c>
      <c r="N44" s="180" t="s">
        <v>45</v>
      </c>
      <c r="O44" s="7">
        <v>1</v>
      </c>
      <c r="P44" s="8">
        <v>150</v>
      </c>
      <c r="Q44" s="31">
        <f>T_6[[#This Row],[ACh Qu]]*T_6[[#This Row],[ACh PU]]</f>
        <v>150</v>
      </c>
      <c r="R44" s="30">
        <f>T_6[[#This Row],[P CT]]+T_6[[#This Row],[ACh CT]]</f>
        <v>150</v>
      </c>
      <c r="S44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187.5</v>
      </c>
      <c r="T44" s="109">
        <f>T_6[[#This Row],[Mt Elligible]]*T_6[[#This Row],[Tx Sub]]</f>
        <v>131.25</v>
      </c>
    </row>
    <row r="45" spans="1:20">
      <c r="A45" s="182" t="s">
        <v>35</v>
      </c>
      <c r="B45" s="113" t="str">
        <f>_xlfn.XLOOKUP(T_6[[#This Row],[N° Lot]],Tableau4[NoLot],Tableau4[Lot])</f>
        <v>Communication et valorisation</v>
      </c>
      <c r="C45" s="166" t="s">
        <v>68</v>
      </c>
      <c r="D45" s="186" t="s">
        <v>100</v>
      </c>
      <c r="E45" s="179"/>
      <c r="F45" s="185" t="s">
        <v>16</v>
      </c>
      <c r="G45" s="55">
        <f>_xlfn.XLOOKUP(T_6[[#This Row],[Partenaires]],Partenaires2[Partenaire],Partenaires2[Tx Ch Connexe])</f>
        <v>0.25</v>
      </c>
      <c r="H45" s="55">
        <f>_xlfn.XLOOKUP(T_6[[#This Row],[Partenaires]],Partenaires2[Partenaire],Partenaires2[Tx Sub])</f>
        <v>0.7</v>
      </c>
      <c r="I45" s="178"/>
      <c r="J45" s="186" t="s">
        <v>82</v>
      </c>
      <c r="K45" s="5"/>
      <c r="L45" s="4"/>
      <c r="M45" s="31">
        <f>T_6[[#This Row],[P Qu]]*T_6[[#This Row],[P PU]]</f>
        <v>0</v>
      </c>
      <c r="N45" s="180" t="s">
        <v>159</v>
      </c>
      <c r="O45" s="7">
        <v>3</v>
      </c>
      <c r="P45" s="8">
        <v>150</v>
      </c>
      <c r="Q45" s="31">
        <f>T_6[[#This Row],[ACh Qu]]*T_6[[#This Row],[ACh PU]]</f>
        <v>450</v>
      </c>
      <c r="R45" s="30">
        <f>T_6[[#This Row],[P CT]]+T_6[[#This Row],[ACh CT]]</f>
        <v>450</v>
      </c>
      <c r="S45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562.5</v>
      </c>
      <c r="T45" s="109">
        <f>T_6[[#This Row],[Mt Elligible]]*T_6[[#This Row],[Tx Sub]]</f>
        <v>393.75</v>
      </c>
    </row>
    <row r="46" spans="1:20">
      <c r="A46" s="182" t="s">
        <v>35</v>
      </c>
      <c r="B46" s="113" t="str">
        <f>_xlfn.XLOOKUP(T_6[[#This Row],[N° Lot]],Tableau4[NoLot],Tableau4[Lot])</f>
        <v>Communication et valorisation</v>
      </c>
      <c r="C46" s="166" t="s">
        <v>68</v>
      </c>
      <c r="D46" s="186" t="s">
        <v>100</v>
      </c>
      <c r="E46" s="179"/>
      <c r="F46" s="185" t="s">
        <v>16</v>
      </c>
      <c r="G46" s="55">
        <f>_xlfn.XLOOKUP(T_6[[#This Row],[Partenaires]],Partenaires2[Partenaire],Partenaires2[Tx Ch Connexe])</f>
        <v>0.25</v>
      </c>
      <c r="H46" s="55">
        <f>_xlfn.XLOOKUP(T_6[[#This Row],[Partenaires]],Partenaires2[Partenaire],Partenaires2[Tx Sub])</f>
        <v>0.7</v>
      </c>
      <c r="I46" s="178"/>
      <c r="J46" s="186" t="s">
        <v>82</v>
      </c>
      <c r="K46" s="5"/>
      <c r="L46" s="4"/>
      <c r="M46" s="31">
        <f>T_6[[#This Row],[P Qu]]*T_6[[#This Row],[P PU]]</f>
        <v>0</v>
      </c>
      <c r="N46" s="180" t="s">
        <v>45</v>
      </c>
      <c r="O46" s="7">
        <v>2</v>
      </c>
      <c r="P46" s="8">
        <v>150</v>
      </c>
      <c r="Q46" s="31">
        <f>T_6[[#This Row],[ACh Qu]]*T_6[[#This Row],[ACh PU]]</f>
        <v>300</v>
      </c>
      <c r="R46" s="30">
        <f>T_6[[#This Row],[P CT]]+T_6[[#This Row],[ACh CT]]</f>
        <v>300</v>
      </c>
      <c r="S46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375</v>
      </c>
      <c r="T46" s="109">
        <f>T_6[[#This Row],[Mt Elligible]]*T_6[[#This Row],[Tx Sub]]</f>
        <v>262.5</v>
      </c>
    </row>
    <row r="47" spans="1:20">
      <c r="A47" s="182" t="s">
        <v>35</v>
      </c>
      <c r="B47" s="113" t="str">
        <f>_xlfn.XLOOKUP(T_6[[#This Row],[N° Lot]],Tableau4[NoLot],Tableau4[Lot])</f>
        <v>Communication et valorisation</v>
      </c>
      <c r="C47" s="166" t="s">
        <v>68</v>
      </c>
      <c r="D47" s="186" t="s">
        <v>101</v>
      </c>
      <c r="E47" s="179"/>
      <c r="F47" s="185" t="s">
        <v>16</v>
      </c>
      <c r="G47" s="55">
        <f>_xlfn.XLOOKUP(T_6[[#This Row],[Partenaires]],Partenaires2[Partenaire],Partenaires2[Tx Ch Connexe])</f>
        <v>0.25</v>
      </c>
      <c r="H47" s="55">
        <f>_xlfn.XLOOKUP(T_6[[#This Row],[Partenaires]],Partenaires2[Partenaire],Partenaires2[Tx Sub])</f>
        <v>0.7</v>
      </c>
      <c r="I47" s="178"/>
      <c r="J47" s="186" t="s">
        <v>82</v>
      </c>
      <c r="K47" s="5"/>
      <c r="L47" s="4"/>
      <c r="M47" s="31">
        <f>T_6[[#This Row],[P Qu]]*T_6[[#This Row],[P PU]]</f>
        <v>0</v>
      </c>
      <c r="N47" s="180" t="s">
        <v>159</v>
      </c>
      <c r="O47" s="7">
        <v>3</v>
      </c>
      <c r="P47" s="8">
        <v>150</v>
      </c>
      <c r="Q47" s="31">
        <f>T_6[[#This Row],[ACh Qu]]*T_6[[#This Row],[ACh PU]]</f>
        <v>450</v>
      </c>
      <c r="R47" s="30">
        <f>T_6[[#This Row],[P CT]]+T_6[[#This Row],[ACh CT]]</f>
        <v>450</v>
      </c>
      <c r="S47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562.5</v>
      </c>
      <c r="T47" s="109">
        <f>T_6[[#This Row],[Mt Elligible]]*T_6[[#This Row],[Tx Sub]]</f>
        <v>393.75</v>
      </c>
    </row>
    <row r="48" spans="1:20">
      <c r="A48" s="182" t="s">
        <v>35</v>
      </c>
      <c r="B48" s="113" t="str">
        <f>_xlfn.XLOOKUP(T_6[[#This Row],[N° Lot]],Tableau4[NoLot],Tableau4[Lot])</f>
        <v>Communication et valorisation</v>
      </c>
      <c r="C48" s="166" t="s">
        <v>68</v>
      </c>
      <c r="D48" s="186" t="s">
        <v>101</v>
      </c>
      <c r="E48" s="179"/>
      <c r="F48" s="185" t="s">
        <v>16</v>
      </c>
      <c r="G48" s="55">
        <f>_xlfn.XLOOKUP(T_6[[#This Row],[Partenaires]],Partenaires2[Partenaire],Partenaires2[Tx Ch Connexe])</f>
        <v>0.25</v>
      </c>
      <c r="H48" s="55">
        <f>_xlfn.XLOOKUP(T_6[[#This Row],[Partenaires]],Partenaires2[Partenaire],Partenaires2[Tx Sub])</f>
        <v>0.7</v>
      </c>
      <c r="I48" s="178"/>
      <c r="J48" s="186" t="s">
        <v>82</v>
      </c>
      <c r="K48" s="5"/>
      <c r="L48" s="4"/>
      <c r="M48" s="31">
        <f>T_6[[#This Row],[P Qu]]*T_6[[#This Row],[P PU]]</f>
        <v>0</v>
      </c>
      <c r="N48" s="180" t="s">
        <v>45</v>
      </c>
      <c r="O48" s="7">
        <v>3</v>
      </c>
      <c r="P48" s="8">
        <v>150</v>
      </c>
      <c r="Q48" s="31">
        <f>T_6[[#This Row],[ACh Qu]]*T_6[[#This Row],[ACh PU]]</f>
        <v>450</v>
      </c>
      <c r="R48" s="30">
        <f>T_6[[#This Row],[P CT]]+T_6[[#This Row],[ACh CT]]</f>
        <v>450</v>
      </c>
      <c r="S48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562.5</v>
      </c>
      <c r="T48" s="109">
        <f>T_6[[#This Row],[Mt Elligible]]*T_6[[#This Row],[Tx Sub]]</f>
        <v>393.75</v>
      </c>
    </row>
    <row r="49" spans="1:20">
      <c r="A49" s="182" t="s">
        <v>35</v>
      </c>
      <c r="B49" s="113" t="str">
        <f>_xlfn.XLOOKUP(T_6[[#This Row],[N° Lot]],Tableau4[NoLot],Tableau4[Lot])</f>
        <v>Communication et valorisation</v>
      </c>
      <c r="C49" s="166" t="s">
        <v>68</v>
      </c>
      <c r="D49" s="186" t="s">
        <v>99</v>
      </c>
      <c r="E49" s="179"/>
      <c r="F49" s="185" t="s">
        <v>16</v>
      </c>
      <c r="G49" s="55">
        <f>_xlfn.XLOOKUP(T_6[[#This Row],[Partenaires]],Partenaires2[Partenaire],Partenaires2[Tx Ch Connexe])</f>
        <v>0.25</v>
      </c>
      <c r="H49" s="55">
        <f>_xlfn.XLOOKUP(T_6[[#This Row],[Partenaires]],Partenaires2[Partenaire],Partenaires2[Tx Sub])</f>
        <v>0.7</v>
      </c>
      <c r="I49" s="178"/>
      <c r="J49" s="186" t="s">
        <v>82</v>
      </c>
      <c r="K49" s="5"/>
      <c r="L49" s="4"/>
      <c r="M49" s="31">
        <f>T_6[[#This Row],[P Qu]]*T_6[[#This Row],[P PU]]</f>
        <v>0</v>
      </c>
      <c r="N49" s="180" t="s">
        <v>159</v>
      </c>
      <c r="O49" s="7">
        <v>2</v>
      </c>
      <c r="P49" s="8">
        <v>520</v>
      </c>
      <c r="Q49" s="31">
        <f>T_6[[#This Row],[ACh Qu]]*T_6[[#This Row],[ACh PU]]</f>
        <v>1040</v>
      </c>
      <c r="R49" s="30">
        <f>T_6[[#This Row],[P CT]]+T_6[[#This Row],[ACh CT]]</f>
        <v>1040</v>
      </c>
      <c r="S49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1300</v>
      </c>
      <c r="T49" s="109">
        <f>T_6[[#This Row],[Mt Elligible]]*T_6[[#This Row],[Tx Sub]]</f>
        <v>909.99999999999989</v>
      </c>
    </row>
    <row r="50" spans="1:20">
      <c r="A50" s="182" t="str">
        <f>'[4]Lot 6'!A3</f>
        <v>Lot_6</v>
      </c>
      <c r="B50" s="113" t="str">
        <f>'[4]Lot 6'!B3</f>
        <v>Communication et valorisation</v>
      </c>
      <c r="C50" s="166" t="str">
        <f>'[4]Lot 6'!C3</f>
        <v>T2_Publications</v>
      </c>
      <c r="D50" s="186" t="str">
        <f>'[4]Lot 6'!D3</f>
        <v>ST 1 Publications scientifiques</v>
      </c>
      <c r="E50" s="179">
        <f>'[4]Lot 6'!E3</f>
        <v>0</v>
      </c>
      <c r="F50" s="185" t="str">
        <f>'[4]Lot 6'!F3</f>
        <v>IP-UCA</v>
      </c>
      <c r="G50" s="55">
        <f>_xlfn.XLOOKUP(T_6[[#This Row],[Partenaires]],Partenaires2[Partenaire],Partenaires2[Tx Ch Connexe])</f>
        <v>0.18</v>
      </c>
      <c r="H50" s="55">
        <f>_xlfn.XLOOKUP(T_6[[#This Row],[Partenaires]],Partenaires2[Partenaire],Partenaires2[Tx Sub])</f>
        <v>0.5</v>
      </c>
      <c r="I50" s="178" t="str">
        <f>'[4]Lot 6'!I3</f>
        <v>PRCE</v>
      </c>
      <c r="J50" s="186" t="str">
        <f>'[4]Lot 6'!J3</f>
        <v>Non</v>
      </c>
      <c r="K50" s="5">
        <f>'[4]Lot 6'!K3</f>
        <v>10</v>
      </c>
      <c r="L50" s="4">
        <f>'[4]Lot 6'!L3</f>
        <v>572</v>
      </c>
      <c r="M50" s="31">
        <f>T_6[[#This Row],[P Qu]]*T_6[[#This Row],[P PU]]</f>
        <v>5720</v>
      </c>
      <c r="N50" s="180">
        <f>'[4]Lot 6'!N3</f>
        <v>0</v>
      </c>
      <c r="O50" s="7">
        <f>'[4]Lot 6'!O3</f>
        <v>0</v>
      </c>
      <c r="P50" s="8">
        <f>'[4]Lot 6'!P3</f>
        <v>0</v>
      </c>
      <c r="Q50" s="31">
        <f>'[4]Lot 6'!Q3</f>
        <v>0</v>
      </c>
      <c r="R50" s="30">
        <f>T_6[[#This Row],[P CT]]+T_6[[#This Row],[ACh CT]]</f>
        <v>5720</v>
      </c>
      <c r="S50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1029.5999999999999</v>
      </c>
      <c r="T50" s="109">
        <f>T_6[[#This Row],[Mt Elligible]]*T_6[[#This Row],[Tx Sub]]</f>
        <v>514.79999999999995</v>
      </c>
    </row>
    <row r="51" spans="1:20">
      <c r="A51" s="182" t="str">
        <f>'[4]Lot 6'!A7</f>
        <v>Lot_6</v>
      </c>
      <c r="B51" s="113" t="str">
        <f>'[4]Lot 6'!B7</f>
        <v>Communication et valorisation</v>
      </c>
      <c r="C51" s="166" t="str">
        <f>'[4]Lot 6'!C7</f>
        <v>T2_Publications</v>
      </c>
      <c r="D51" s="186" t="str">
        <f>'[4]Lot 6'!D7</f>
        <v>ST 1 Publications scientifiques</v>
      </c>
      <c r="E51" s="179">
        <f>'[4]Lot 6'!E7</f>
        <v>0</v>
      </c>
      <c r="F51" s="185" t="str">
        <f>'[4]Lot 6'!F7</f>
        <v>IP-UCA</v>
      </c>
      <c r="G51" s="55">
        <f>_xlfn.XLOOKUP(T_6[[#This Row],[Partenaires]],Partenaires2[Partenaire],Partenaires2[Tx Ch Connexe])</f>
        <v>0.18</v>
      </c>
      <c r="H51" s="55">
        <f>_xlfn.XLOOKUP(T_6[[#This Row],[Partenaires]],Partenaires2[Partenaire],Partenaires2[Tx Sub])</f>
        <v>0.5</v>
      </c>
      <c r="I51" s="178" t="str">
        <f>'[4]Lot 6'!I7</f>
        <v>PR1</v>
      </c>
      <c r="J51" s="186" t="str">
        <f>'[4]Lot 6'!J7</f>
        <v>Non</v>
      </c>
      <c r="K51" s="5">
        <f>'[4]Lot 6'!K7</f>
        <v>10</v>
      </c>
      <c r="L51" s="4">
        <f>'[4]Lot 6'!L7</f>
        <v>494</v>
      </c>
      <c r="M51" s="31">
        <f>T_6[[#This Row],[P Qu]]*T_6[[#This Row],[P PU]]</f>
        <v>4940</v>
      </c>
      <c r="N51" s="180">
        <f>'[4]Lot 6'!N7</f>
        <v>0</v>
      </c>
      <c r="O51" s="7">
        <f>'[4]Lot 6'!O7</f>
        <v>0</v>
      </c>
      <c r="P51" s="8">
        <f>'[4]Lot 6'!P7</f>
        <v>0</v>
      </c>
      <c r="Q51" s="31">
        <f>'[4]Lot 6'!Q7</f>
        <v>0</v>
      </c>
      <c r="R51" s="30">
        <f>T_6[[#This Row],[P CT]]+T_6[[#This Row],[ACh CT]]</f>
        <v>4940</v>
      </c>
      <c r="S51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889.19999999999993</v>
      </c>
      <c r="T51" s="109">
        <f>T_6[[#This Row],[Mt Elligible]]*T_6[[#This Row],[Tx Sub]]</f>
        <v>444.59999999999997</v>
      </c>
    </row>
    <row r="52" spans="1:20">
      <c r="A52" s="182" t="str">
        <f>'[4]Lot 6'!A11</f>
        <v>Lot_6</v>
      </c>
      <c r="B52" s="113" t="str">
        <f>'[4]Lot 6'!B11</f>
        <v>Communication et valorisation</v>
      </c>
      <c r="C52" s="166" t="str">
        <f>'[4]Lot 6'!C11</f>
        <v>T2_Publications</v>
      </c>
      <c r="D52" s="186" t="str">
        <f>'[4]Lot 6'!D11</f>
        <v>ST 1 Publications scientifiques</v>
      </c>
      <c r="E52" s="179">
        <f>'[4]Lot 6'!E11</f>
        <v>0</v>
      </c>
      <c r="F52" s="185" t="str">
        <f>'[4]Lot 6'!F11</f>
        <v>IP-UCA</v>
      </c>
      <c r="G52" s="55">
        <f>_xlfn.XLOOKUP(T_6[[#This Row],[Partenaires]],Partenaires2[Partenaire],Partenaires2[Tx Ch Connexe])</f>
        <v>0.18</v>
      </c>
      <c r="H52" s="55">
        <f>_xlfn.XLOOKUP(T_6[[#This Row],[Partenaires]],Partenaires2[Partenaire],Partenaires2[Tx Sub])</f>
        <v>0.5</v>
      </c>
      <c r="I52" s="178" t="str">
        <f>'[4]Lot 6'!I11</f>
        <v>Doctorant</v>
      </c>
      <c r="J52" s="186" t="str">
        <f>'[4]Lot 6'!J11</f>
        <v>Non</v>
      </c>
      <c r="K52" s="5">
        <f>'[4]Lot 6'!K11</f>
        <v>20</v>
      </c>
      <c r="L52" s="4">
        <f>'[4]Lot 6'!L11</f>
        <v>119</v>
      </c>
      <c r="M52" s="31">
        <f>T_6[[#This Row],[P Qu]]*T_6[[#This Row],[P PU]]</f>
        <v>2380</v>
      </c>
      <c r="N52" s="180">
        <f>'[4]Lot 6'!N11</f>
        <v>0</v>
      </c>
      <c r="O52" s="7">
        <f>'[4]Lot 6'!O11</f>
        <v>0</v>
      </c>
      <c r="P52" s="8">
        <f>'[4]Lot 6'!P11</f>
        <v>0</v>
      </c>
      <c r="Q52" s="31">
        <f>'[4]Lot 6'!Q11</f>
        <v>0</v>
      </c>
      <c r="R52" s="30">
        <f>T_6[[#This Row],[P CT]]+T_6[[#This Row],[ACh CT]]</f>
        <v>2380</v>
      </c>
      <c r="S52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428.4</v>
      </c>
      <c r="T52" s="109">
        <f>T_6[[#This Row],[Mt Elligible]]*T_6[[#This Row],[Tx Sub]]</f>
        <v>214.2</v>
      </c>
    </row>
    <row r="53" spans="1:20">
      <c r="A53" s="182" t="str">
        <f>'[4]Lot 6'!A6</f>
        <v>Lot_6</v>
      </c>
      <c r="B53" s="113" t="str">
        <f>'[4]Lot 6'!B6</f>
        <v>Communication et valorisation</v>
      </c>
      <c r="C53" s="166" t="str">
        <f>'[4]Lot 6'!C6</f>
        <v>T2_Publications</v>
      </c>
      <c r="D53" s="186" t="str">
        <f>'[4]Lot 6'!D6</f>
        <v>ST 2 Publications techniques</v>
      </c>
      <c r="E53" s="179">
        <f>'[4]Lot 6'!E6</f>
        <v>0</v>
      </c>
      <c r="F53" s="185" t="str">
        <f>'[4]Lot 6'!F6</f>
        <v>IP-UCA</v>
      </c>
      <c r="G53" s="55">
        <f>_xlfn.XLOOKUP(T_6[[#This Row],[Partenaires]],Partenaires2[Partenaire],Partenaires2[Tx Ch Connexe])</f>
        <v>0.18</v>
      </c>
      <c r="H53" s="55">
        <f>_xlfn.XLOOKUP(T_6[[#This Row],[Partenaires]],Partenaires2[Partenaire],Partenaires2[Tx Sub])</f>
        <v>0.5</v>
      </c>
      <c r="I53" s="178" t="str">
        <f>'[4]Lot 6'!I6</f>
        <v>PRCE</v>
      </c>
      <c r="J53" s="186" t="str">
        <f>'[4]Lot 6'!J6</f>
        <v>Non</v>
      </c>
      <c r="K53" s="5">
        <f>'[4]Lot 6'!K6</f>
        <v>5</v>
      </c>
      <c r="L53" s="4">
        <f>'[4]Lot 6'!L6</f>
        <v>572</v>
      </c>
      <c r="M53" s="31">
        <f>T_6[[#This Row],[P Qu]]*T_6[[#This Row],[P PU]]</f>
        <v>2860</v>
      </c>
      <c r="N53" s="180">
        <f>'[4]Lot 6'!N6</f>
        <v>0</v>
      </c>
      <c r="O53" s="7">
        <f>'[4]Lot 6'!O6</f>
        <v>0</v>
      </c>
      <c r="P53" s="8">
        <f>'[4]Lot 6'!P6</f>
        <v>0</v>
      </c>
      <c r="Q53" s="31">
        <f>'[4]Lot 6'!Q6</f>
        <v>0</v>
      </c>
      <c r="R53" s="30">
        <f>T_6[[#This Row],[P CT]]+T_6[[#This Row],[ACh CT]]</f>
        <v>2860</v>
      </c>
      <c r="S53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514.79999999999995</v>
      </c>
      <c r="T53" s="109">
        <f>T_6[[#This Row],[Mt Elligible]]*T_6[[#This Row],[Tx Sub]]</f>
        <v>257.39999999999998</v>
      </c>
    </row>
    <row r="54" spans="1:20">
      <c r="A54" s="182" t="str">
        <f>'[4]Lot 6'!A10</f>
        <v>Lot_6</v>
      </c>
      <c r="B54" s="113" t="str">
        <f>'[4]Lot 6'!B10</f>
        <v>Communication et valorisation</v>
      </c>
      <c r="C54" s="166" t="str">
        <f>'[4]Lot 6'!C10</f>
        <v>T2_Publications</v>
      </c>
      <c r="D54" s="186" t="str">
        <f>'[4]Lot 6'!D10</f>
        <v>ST 2 Publications techniques</v>
      </c>
      <c r="E54" s="179">
        <f>'[4]Lot 6'!E10</f>
        <v>0</v>
      </c>
      <c r="F54" s="185" t="str">
        <f>'[4]Lot 6'!F10</f>
        <v>IP-UCA</v>
      </c>
      <c r="G54" s="55">
        <f>_xlfn.XLOOKUP(T_6[[#This Row],[Partenaires]],Partenaires2[Partenaire],Partenaires2[Tx Ch Connexe])</f>
        <v>0.18</v>
      </c>
      <c r="H54" s="55">
        <f>_xlfn.XLOOKUP(T_6[[#This Row],[Partenaires]],Partenaires2[Partenaire],Partenaires2[Tx Sub])</f>
        <v>0.5</v>
      </c>
      <c r="I54" s="178" t="str">
        <f>'[4]Lot 6'!I10</f>
        <v>PR1</v>
      </c>
      <c r="J54" s="186" t="str">
        <f>'[4]Lot 6'!J10</f>
        <v>Non</v>
      </c>
      <c r="K54" s="5">
        <f>'[4]Lot 6'!K10</f>
        <v>5</v>
      </c>
      <c r="L54" s="4">
        <f>'[4]Lot 6'!L10</f>
        <v>494</v>
      </c>
      <c r="M54" s="31">
        <f>T_6[[#This Row],[P Qu]]*T_6[[#This Row],[P PU]]</f>
        <v>2470</v>
      </c>
      <c r="N54" s="180">
        <f>'[4]Lot 6'!N10</f>
        <v>0</v>
      </c>
      <c r="O54" s="7">
        <f>'[4]Lot 6'!O10</f>
        <v>0</v>
      </c>
      <c r="P54" s="8">
        <f>'[4]Lot 6'!P10</f>
        <v>0</v>
      </c>
      <c r="Q54" s="31">
        <f>'[4]Lot 6'!Q10</f>
        <v>0</v>
      </c>
      <c r="R54" s="30">
        <f>T_6[[#This Row],[P CT]]+T_6[[#This Row],[ACh CT]]</f>
        <v>2470</v>
      </c>
      <c r="S54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444.59999999999997</v>
      </c>
      <c r="T54" s="109">
        <f>T_6[[#This Row],[Mt Elligible]]*T_6[[#This Row],[Tx Sub]]</f>
        <v>222.29999999999998</v>
      </c>
    </row>
    <row r="55" spans="1:20">
      <c r="A55" s="182" t="str">
        <f>'[4]Lot 6'!A14</f>
        <v>Lot_6</v>
      </c>
      <c r="B55" s="113" t="str">
        <f>'[4]Lot 6'!B14</f>
        <v>Communication et valorisation</v>
      </c>
      <c r="C55" s="166" t="str">
        <f>'[4]Lot 6'!C14</f>
        <v>T2_Publications</v>
      </c>
      <c r="D55" s="186" t="str">
        <f>'[4]Lot 6'!D14</f>
        <v>ST 2 Publications techniques</v>
      </c>
      <c r="E55" s="179">
        <f>'[4]Lot 6'!E14</f>
        <v>0</v>
      </c>
      <c r="F55" s="185" t="str">
        <f>'[4]Lot 6'!F14</f>
        <v>IP-UCA</v>
      </c>
      <c r="G55" s="55">
        <f>_xlfn.XLOOKUP(T_6[[#This Row],[Partenaires]],Partenaires2[Partenaire],Partenaires2[Tx Ch Connexe])</f>
        <v>0.18</v>
      </c>
      <c r="H55" s="55">
        <f>_xlfn.XLOOKUP(T_6[[#This Row],[Partenaires]],Partenaires2[Partenaire],Partenaires2[Tx Sub])</f>
        <v>0.5</v>
      </c>
      <c r="I55" s="178" t="str">
        <f>'[4]Lot 6'!I14</f>
        <v>Doctorant</v>
      </c>
      <c r="J55" s="186" t="str">
        <f>'[4]Lot 6'!J14</f>
        <v>Non</v>
      </c>
      <c r="K55" s="5">
        <f>'[4]Lot 6'!K14</f>
        <v>10</v>
      </c>
      <c r="L55" s="4">
        <f>'[4]Lot 6'!L14</f>
        <v>119</v>
      </c>
      <c r="M55" s="31">
        <f>T_6[[#This Row],[P Qu]]*T_6[[#This Row],[P PU]]</f>
        <v>1190</v>
      </c>
      <c r="N55" s="180">
        <f>'[4]Lot 6'!N14</f>
        <v>0</v>
      </c>
      <c r="O55" s="7">
        <f>'[4]Lot 6'!O14</f>
        <v>0</v>
      </c>
      <c r="P55" s="8">
        <f>'[4]Lot 6'!P14</f>
        <v>0</v>
      </c>
      <c r="Q55" s="31">
        <f>'[4]Lot 6'!Q14</f>
        <v>0</v>
      </c>
      <c r="R55" s="30">
        <f>T_6[[#This Row],[P CT]]+T_6[[#This Row],[ACh CT]]</f>
        <v>1190</v>
      </c>
      <c r="S55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214.2</v>
      </c>
      <c r="T55" s="109">
        <f>T_6[[#This Row],[Mt Elligible]]*T_6[[#This Row],[Tx Sub]]</f>
        <v>107.1</v>
      </c>
    </row>
    <row r="56" spans="1:20">
      <c r="A56" s="182" t="str">
        <f>'[4]Lot 6'!A4</f>
        <v>Lot_6</v>
      </c>
      <c r="B56" s="113" t="str">
        <f>'[4]Lot 6'!B4</f>
        <v>Communication et valorisation</v>
      </c>
      <c r="C56" s="166" t="str">
        <f>'[4]Lot 6'!C4</f>
        <v>T3_Conférences_Séminaires</v>
      </c>
      <c r="D56" s="186" t="str">
        <f>'[4]Lot 6'!D4</f>
        <v>ST 2 Conférences organisées par Sable Vert</v>
      </c>
      <c r="E56" s="179">
        <f>'[4]Lot 6'!E4</f>
        <v>0</v>
      </c>
      <c r="F56" s="185" t="str">
        <f>'[4]Lot 6'!F4</f>
        <v>IP-UCA</v>
      </c>
      <c r="G56" s="55">
        <f>_xlfn.XLOOKUP(T_6[[#This Row],[Partenaires]],Partenaires2[Partenaire],Partenaires2[Tx Ch Connexe])</f>
        <v>0.18</v>
      </c>
      <c r="H56" s="55">
        <f>_xlfn.XLOOKUP(T_6[[#This Row],[Partenaires]],Partenaires2[Partenaire],Partenaires2[Tx Sub])</f>
        <v>0.5</v>
      </c>
      <c r="I56" s="178" t="str">
        <f>'[4]Lot 6'!I4</f>
        <v>PRCE</v>
      </c>
      <c r="J56" s="186" t="str">
        <f>'[4]Lot 6'!J4</f>
        <v>Non</v>
      </c>
      <c r="K56" s="5">
        <f>'[4]Lot 6'!K4</f>
        <v>5</v>
      </c>
      <c r="L56" s="4">
        <f>'[4]Lot 6'!L4</f>
        <v>572</v>
      </c>
      <c r="M56" s="31">
        <f>T_6[[#This Row],[P Qu]]*T_6[[#This Row],[P PU]]</f>
        <v>2860</v>
      </c>
      <c r="N56" s="180" t="str">
        <f>'[4]Lot 6'!N4</f>
        <v>Déplacements</v>
      </c>
      <c r="O56" s="7">
        <f>'[4]Lot 6'!O4</f>
        <v>5</v>
      </c>
      <c r="P56" s="8">
        <f>'[4]Lot 6'!P4</f>
        <v>150</v>
      </c>
      <c r="Q56" s="31">
        <f>'[4]Lot 6'!Q4</f>
        <v>750</v>
      </c>
      <c r="R56" s="30">
        <f>T_6[[#This Row],[P CT]]+T_6[[#This Row],[ACh CT]]</f>
        <v>3610</v>
      </c>
      <c r="S56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1399.8</v>
      </c>
      <c r="T56" s="109">
        <f>T_6[[#This Row],[Mt Elligible]]*T_6[[#This Row],[Tx Sub]]</f>
        <v>699.9</v>
      </c>
    </row>
    <row r="57" spans="1:20">
      <c r="A57" s="182" t="str">
        <f>'[4]Lot 6'!A8</f>
        <v>Lot_6</v>
      </c>
      <c r="B57" s="113" t="str">
        <f>'[4]Lot 6'!B8</f>
        <v>Communication et valorisation</v>
      </c>
      <c r="C57" s="166" t="str">
        <f>'[4]Lot 6'!C8</f>
        <v>T3_Conférences_Séminaires</v>
      </c>
      <c r="D57" s="186" t="str">
        <f>'[4]Lot 6'!D8</f>
        <v>ST 2 Conférences organisées par Sable Vert</v>
      </c>
      <c r="E57" s="179">
        <f>'[4]Lot 6'!E8</f>
        <v>0</v>
      </c>
      <c r="F57" s="185" t="str">
        <f>'[4]Lot 6'!F8</f>
        <v>IP-UCA</v>
      </c>
      <c r="G57" s="55">
        <f>_xlfn.XLOOKUP(T_6[[#This Row],[Partenaires]],Partenaires2[Partenaire],Partenaires2[Tx Ch Connexe])</f>
        <v>0.18</v>
      </c>
      <c r="H57" s="55">
        <f>_xlfn.XLOOKUP(T_6[[#This Row],[Partenaires]],Partenaires2[Partenaire],Partenaires2[Tx Sub])</f>
        <v>0.5</v>
      </c>
      <c r="I57" s="178" t="str">
        <f>'[4]Lot 6'!I8</f>
        <v>PR1</v>
      </c>
      <c r="J57" s="186" t="str">
        <f>'[4]Lot 6'!J8</f>
        <v>Non</v>
      </c>
      <c r="K57" s="5">
        <f>'[4]Lot 6'!K8</f>
        <v>5</v>
      </c>
      <c r="L57" s="4">
        <f>'[4]Lot 6'!L8</f>
        <v>494</v>
      </c>
      <c r="M57" s="31">
        <f>T_6[[#This Row],[P Qu]]*T_6[[#This Row],[P PU]]</f>
        <v>2470</v>
      </c>
      <c r="N57" s="180" t="str">
        <f>'[4]Lot 6'!N8</f>
        <v>Déplacements</v>
      </c>
      <c r="O57" s="7">
        <f>'[4]Lot 6'!O8</f>
        <v>5</v>
      </c>
      <c r="P57" s="8">
        <f>'[4]Lot 6'!P8</f>
        <v>150</v>
      </c>
      <c r="Q57" s="31">
        <f>'[4]Lot 6'!Q8</f>
        <v>750</v>
      </c>
      <c r="R57" s="30">
        <f>T_6[[#This Row],[P CT]]+T_6[[#This Row],[ACh CT]]</f>
        <v>3220</v>
      </c>
      <c r="S57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1329.6</v>
      </c>
      <c r="T57" s="109">
        <f>T_6[[#This Row],[Mt Elligible]]*T_6[[#This Row],[Tx Sub]]</f>
        <v>664.8</v>
      </c>
    </row>
    <row r="58" spans="1:20">
      <c r="A58" s="182" t="str">
        <f>'[4]Lot 6'!A12</f>
        <v>Lot_6</v>
      </c>
      <c r="B58" s="113" t="str">
        <f>'[4]Lot 6'!B12</f>
        <v>Communication et valorisation</v>
      </c>
      <c r="C58" s="166" t="str">
        <f>'[4]Lot 6'!C12</f>
        <v>T3_Conférences_Séminaires</v>
      </c>
      <c r="D58" s="186" t="str">
        <f>'[4]Lot 6'!D12</f>
        <v>ST 2 Conférences organisées par Sable Vert</v>
      </c>
      <c r="E58" s="179">
        <f>'[4]Lot 6'!E12</f>
        <v>0</v>
      </c>
      <c r="F58" s="185" t="str">
        <f>'[4]Lot 6'!F12</f>
        <v>IP-UCA</v>
      </c>
      <c r="G58" s="55">
        <f>_xlfn.XLOOKUP(T_6[[#This Row],[Partenaires]],Partenaires2[Partenaire],Partenaires2[Tx Ch Connexe])</f>
        <v>0.18</v>
      </c>
      <c r="H58" s="55">
        <f>_xlfn.XLOOKUP(T_6[[#This Row],[Partenaires]],Partenaires2[Partenaire],Partenaires2[Tx Sub])</f>
        <v>0.5</v>
      </c>
      <c r="I58" s="178" t="str">
        <f>'[4]Lot 6'!I12</f>
        <v>Doctorant</v>
      </c>
      <c r="J58" s="186" t="str">
        <f>'[4]Lot 6'!J12</f>
        <v>Non</v>
      </c>
      <c r="K58" s="5">
        <f>'[4]Lot 6'!K12</f>
        <v>5</v>
      </c>
      <c r="L58" s="4">
        <f>'[4]Lot 6'!L12</f>
        <v>119</v>
      </c>
      <c r="M58" s="31">
        <f>T_6[[#This Row],[P Qu]]*T_6[[#This Row],[P PU]]</f>
        <v>595</v>
      </c>
      <c r="N58" s="180" t="str">
        <f>'[4]Lot 6'!N12</f>
        <v>Déplacements</v>
      </c>
      <c r="O58" s="7">
        <f>'[4]Lot 6'!O12</f>
        <v>5</v>
      </c>
      <c r="P58" s="8">
        <f>'[4]Lot 6'!P12</f>
        <v>150</v>
      </c>
      <c r="Q58" s="31">
        <f>'[4]Lot 6'!Q12</f>
        <v>750</v>
      </c>
      <c r="R58" s="30">
        <f>T_6[[#This Row],[P CT]]+T_6[[#This Row],[ACh CT]]</f>
        <v>1345</v>
      </c>
      <c r="S58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992.1</v>
      </c>
      <c r="T58" s="109">
        <f>T_6[[#This Row],[Mt Elligible]]*T_6[[#This Row],[Tx Sub]]</f>
        <v>496.05</v>
      </c>
    </row>
    <row r="59" spans="1:20">
      <c r="A59" s="182" t="str">
        <f>'[4]Lot 6'!A5</f>
        <v>Lot_6</v>
      </c>
      <c r="B59" s="113" t="str">
        <f>'[4]Lot 6'!B5</f>
        <v>Communication et valorisation</v>
      </c>
      <c r="C59" s="166" t="str">
        <f>'[4]Lot 6'!C5</f>
        <v>T3_Conférences_Séminaires</v>
      </c>
      <c r="D59" s="186" t="str">
        <f>'[4]Lot 6'!D5</f>
        <v>ST 3 Participation à des événements externes</v>
      </c>
      <c r="E59" s="179">
        <f>'[4]Lot 6'!E5</f>
        <v>0</v>
      </c>
      <c r="F59" s="185" t="str">
        <f>'[4]Lot 6'!F5</f>
        <v>IP-UCA</v>
      </c>
      <c r="G59" s="55">
        <f>_xlfn.XLOOKUP(T_6[[#This Row],[Partenaires]],Partenaires2[Partenaire],Partenaires2[Tx Ch Connexe])</f>
        <v>0.18</v>
      </c>
      <c r="H59" s="55">
        <f>_xlfn.XLOOKUP(T_6[[#This Row],[Partenaires]],Partenaires2[Partenaire],Partenaires2[Tx Sub])</f>
        <v>0.5</v>
      </c>
      <c r="I59" s="178" t="str">
        <f>'[4]Lot 6'!I5</f>
        <v>PRCE</v>
      </c>
      <c r="J59" s="186" t="str">
        <f>'[4]Lot 6'!J5</f>
        <v>Non</v>
      </c>
      <c r="K59" s="5">
        <f>'[4]Lot 6'!K5</f>
        <v>5</v>
      </c>
      <c r="L59" s="4">
        <f>'[4]Lot 6'!L5</f>
        <v>572</v>
      </c>
      <c r="M59" s="31">
        <f>T_6[[#This Row],[P Qu]]*T_6[[#This Row],[P PU]]</f>
        <v>2860</v>
      </c>
      <c r="N59" s="180" t="str">
        <f>'[4]Lot 6'!N5</f>
        <v>Déplacements</v>
      </c>
      <c r="O59" s="7">
        <f>'[4]Lot 6'!O5</f>
        <v>5</v>
      </c>
      <c r="P59" s="8">
        <f>'[4]Lot 6'!P5</f>
        <v>150</v>
      </c>
      <c r="Q59" s="31">
        <f>'[4]Lot 6'!Q5</f>
        <v>750</v>
      </c>
      <c r="R59" s="30">
        <f>T_6[[#This Row],[P CT]]+T_6[[#This Row],[ACh CT]]</f>
        <v>3610</v>
      </c>
      <c r="S59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1399.8</v>
      </c>
      <c r="T59" s="109">
        <f>T_6[[#This Row],[Mt Elligible]]*T_6[[#This Row],[Tx Sub]]</f>
        <v>699.9</v>
      </c>
    </row>
    <row r="60" spans="1:20">
      <c r="A60" s="182" t="str">
        <f>'[4]Lot 6'!A9</f>
        <v>Lot_6</v>
      </c>
      <c r="B60" s="113" t="str">
        <f>'[4]Lot 6'!B9</f>
        <v>Communication et valorisation</v>
      </c>
      <c r="C60" s="166" t="str">
        <f>'[4]Lot 6'!C9</f>
        <v>T3_Conférences_Séminaires</v>
      </c>
      <c r="D60" s="186" t="str">
        <f>'[4]Lot 6'!D9</f>
        <v>ST 3 Participation à des événements externes</v>
      </c>
      <c r="E60" s="179">
        <f>'[4]Lot 6'!E9</f>
        <v>0</v>
      </c>
      <c r="F60" s="185" t="str">
        <f>'[4]Lot 6'!F9</f>
        <v>IP-UCA</v>
      </c>
      <c r="G60" s="55">
        <f>_xlfn.XLOOKUP(T_6[[#This Row],[Partenaires]],Partenaires2[Partenaire],Partenaires2[Tx Ch Connexe])</f>
        <v>0.18</v>
      </c>
      <c r="H60" s="55">
        <f>_xlfn.XLOOKUP(T_6[[#This Row],[Partenaires]],Partenaires2[Partenaire],Partenaires2[Tx Sub])</f>
        <v>0.5</v>
      </c>
      <c r="I60" s="178" t="str">
        <f>'[4]Lot 6'!I9</f>
        <v>PR1</v>
      </c>
      <c r="J60" s="186" t="str">
        <f>'[4]Lot 6'!J9</f>
        <v>Non</v>
      </c>
      <c r="K60" s="5">
        <f>'[4]Lot 6'!K9</f>
        <v>5</v>
      </c>
      <c r="L60" s="4">
        <f>'[4]Lot 6'!L9</f>
        <v>494</v>
      </c>
      <c r="M60" s="31">
        <f>T_6[[#This Row],[P Qu]]*T_6[[#This Row],[P PU]]</f>
        <v>2470</v>
      </c>
      <c r="N60" s="180" t="str">
        <f>'[4]Lot 6'!N9</f>
        <v>Déplacements</v>
      </c>
      <c r="O60" s="7">
        <f>'[4]Lot 6'!O9</f>
        <v>5</v>
      </c>
      <c r="P60" s="8">
        <f>'[4]Lot 6'!P9</f>
        <v>150</v>
      </c>
      <c r="Q60" s="31">
        <f>'[4]Lot 6'!Q9</f>
        <v>750</v>
      </c>
      <c r="R60" s="30">
        <f>T_6[[#This Row],[P CT]]+T_6[[#This Row],[ACh CT]]</f>
        <v>3220</v>
      </c>
      <c r="S60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1329.6</v>
      </c>
      <c r="T60" s="109">
        <f>T_6[[#This Row],[Mt Elligible]]*T_6[[#This Row],[Tx Sub]]</f>
        <v>664.8</v>
      </c>
    </row>
    <row r="61" spans="1:20">
      <c r="A61" s="182" t="str">
        <f>'[4]Lot 6'!A13</f>
        <v>Lot_6</v>
      </c>
      <c r="B61" s="113" t="str">
        <f>'[4]Lot 6'!B13</f>
        <v>Communication et valorisation</v>
      </c>
      <c r="C61" s="166" t="str">
        <f>'[4]Lot 6'!C13</f>
        <v>T3_Conférences_Séminaires</v>
      </c>
      <c r="D61" s="186" t="str">
        <f>'[4]Lot 6'!D13</f>
        <v>ST 3 Participation à des événements externes</v>
      </c>
      <c r="E61" s="179">
        <f>'[4]Lot 6'!E13</f>
        <v>0</v>
      </c>
      <c r="F61" s="185" t="str">
        <f>'[4]Lot 6'!F13</f>
        <v>IP-UCA</v>
      </c>
      <c r="G61" s="55">
        <f>_xlfn.XLOOKUP(T_6[[#This Row],[Partenaires]],Partenaires2[Partenaire],Partenaires2[Tx Ch Connexe])</f>
        <v>0.18</v>
      </c>
      <c r="H61" s="55">
        <f>_xlfn.XLOOKUP(T_6[[#This Row],[Partenaires]],Partenaires2[Partenaire],Partenaires2[Tx Sub])</f>
        <v>0.5</v>
      </c>
      <c r="I61" s="178" t="str">
        <f>'[4]Lot 6'!I13</f>
        <v>Doctorant</v>
      </c>
      <c r="J61" s="186" t="str">
        <f>'[4]Lot 6'!J13</f>
        <v>Non</v>
      </c>
      <c r="K61" s="5">
        <f>'[4]Lot 6'!K13</f>
        <v>5</v>
      </c>
      <c r="L61" s="4">
        <f>'[4]Lot 6'!L13</f>
        <v>119</v>
      </c>
      <c r="M61" s="31">
        <f>T_6[[#This Row],[P Qu]]*T_6[[#This Row],[P PU]]</f>
        <v>595</v>
      </c>
      <c r="N61" s="180" t="str">
        <f>'[4]Lot 6'!N13</f>
        <v>Déplacements</v>
      </c>
      <c r="O61" s="7">
        <f>'[4]Lot 6'!O13</f>
        <v>5</v>
      </c>
      <c r="P61" s="8">
        <f>'[4]Lot 6'!P13</f>
        <v>150</v>
      </c>
      <c r="Q61" s="31">
        <f>'[4]Lot 6'!Q13</f>
        <v>750</v>
      </c>
      <c r="R61" s="30">
        <f>T_6[[#This Row],[P CT]]+T_6[[#This Row],[ACh CT]]</f>
        <v>1345</v>
      </c>
      <c r="S61" s="109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992.1</v>
      </c>
      <c r="T61" s="109">
        <f>T_6[[#This Row],[Mt Elligible]]*T_6[[#This Row],[Tx Sub]]</f>
        <v>496.05</v>
      </c>
    </row>
    <row r="62" spans="1:20">
      <c r="A62" s="182" t="str">
        <f>A$1</f>
        <v>Lot_6</v>
      </c>
      <c r="B62" s="113" t="str">
        <f>_xlfn.XLOOKUP(T_6[[#This Row],[N° Lot]],Tableau4[NoLot],Tableau4[Lot])</f>
        <v>Communication et valorisation</v>
      </c>
      <c r="C62" s="166" t="s">
        <v>67</v>
      </c>
      <c r="D62" s="186" t="s">
        <v>96</v>
      </c>
      <c r="E62" s="179"/>
      <c r="F62" s="185" t="s">
        <v>22</v>
      </c>
      <c r="G62" s="196">
        <f>_xlfn.XLOOKUP(T_6[[#This Row],[Partenaires]],Partenaires2[Partenaire],Partenaires2[Tx Ch Connexe])</f>
        <v>0.2</v>
      </c>
      <c r="H62" s="196">
        <f>_xlfn.XLOOKUP(T_6[[#This Row],[Partenaires]],Partenaires2[Partenaire],Partenaires2[Tx Sub])</f>
        <v>0.5</v>
      </c>
      <c r="I62" s="178" t="s">
        <v>205</v>
      </c>
      <c r="J62" s="186" t="s">
        <v>82</v>
      </c>
      <c r="K62" s="5">
        <v>7</v>
      </c>
      <c r="L62" s="4">
        <v>380</v>
      </c>
      <c r="M62" s="31">
        <f>T_6[[#This Row],[P Qu]]*T_6[[#This Row],[P PU]]</f>
        <v>2660</v>
      </c>
      <c r="N62" s="178"/>
      <c r="O62" s="7"/>
      <c r="P62" s="8"/>
      <c r="Q62" s="31">
        <f>T_6[[#This Row],[ACh Qu]]*T_6[[#This Row],[ACh PU]]</f>
        <v>0</v>
      </c>
      <c r="R62" s="30">
        <f>T_6[[#This Row],[P CT]]+T_6[[#This Row],[ACh CT]]</f>
        <v>2660</v>
      </c>
      <c r="S62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3192</v>
      </c>
      <c r="T62" s="198">
        <f>T_6[[#This Row],[Mt Elligible]]*T_6[[#This Row],[Tx Sub]]</f>
        <v>1596</v>
      </c>
    </row>
    <row r="63" spans="1:20">
      <c r="A63" s="182" t="str">
        <f>A$1</f>
        <v>Lot_6</v>
      </c>
      <c r="B63" s="113" t="str">
        <f>_xlfn.XLOOKUP(T_6[[#This Row],[N° Lot]],Tableau4[NoLot],Tableau4[Lot])</f>
        <v>Communication et valorisation</v>
      </c>
      <c r="C63" s="166" t="s">
        <v>68</v>
      </c>
      <c r="D63" s="186" t="s">
        <v>101</v>
      </c>
      <c r="E63" s="179"/>
      <c r="F63" s="185" t="s">
        <v>22</v>
      </c>
      <c r="G63" s="196">
        <f>_xlfn.XLOOKUP(T_6[[#This Row],[Partenaires]],Partenaires2[Partenaire],Partenaires2[Tx Ch Connexe])</f>
        <v>0.2</v>
      </c>
      <c r="H63" s="196">
        <f>_xlfn.XLOOKUP(T_6[[#This Row],[Partenaires]],Partenaires2[Partenaire],Partenaires2[Tx Sub])</f>
        <v>0.5</v>
      </c>
      <c r="I63" s="178" t="s">
        <v>205</v>
      </c>
      <c r="J63" s="186" t="s">
        <v>82</v>
      </c>
      <c r="K63" s="5">
        <v>2</v>
      </c>
      <c r="L63" s="4">
        <v>380</v>
      </c>
      <c r="M63" s="31">
        <f>T_6[[#This Row],[P Qu]]*T_6[[#This Row],[P PU]]</f>
        <v>760</v>
      </c>
      <c r="N63" s="178" t="s">
        <v>45</v>
      </c>
      <c r="O63" s="7">
        <v>3</v>
      </c>
      <c r="P63" s="8">
        <v>150</v>
      </c>
      <c r="Q63" s="31">
        <f>T_6[[#This Row],[ACh Qu]]*T_6[[#This Row],[ACh PU]]</f>
        <v>450</v>
      </c>
      <c r="R63" s="30">
        <f>T_6[[#This Row],[P CT]]+T_6[[#This Row],[ACh CT]]</f>
        <v>1210</v>
      </c>
      <c r="S63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1452</v>
      </c>
      <c r="T63" s="198">
        <f>T_6[[#This Row],[Mt Elligible]]*T_6[[#This Row],[Tx Sub]]</f>
        <v>726</v>
      </c>
    </row>
    <row r="64" spans="1:20">
      <c r="A64" s="182" t="str">
        <f>A$1</f>
        <v>Lot_6</v>
      </c>
      <c r="B64" s="113" t="str">
        <f>_xlfn.XLOOKUP(T_6[[#This Row],[N° Lot]],Tableau4[NoLot],Tableau4[Lot])</f>
        <v>Communication et valorisation</v>
      </c>
      <c r="C64" s="166" t="s">
        <v>68</v>
      </c>
      <c r="D64" s="186" t="s">
        <v>100</v>
      </c>
      <c r="E64" s="179"/>
      <c r="F64" s="185" t="s">
        <v>22</v>
      </c>
      <c r="G64" s="196">
        <f>_xlfn.XLOOKUP(T_6[[#This Row],[Partenaires]],Partenaires2[Partenaire],Partenaires2[Tx Ch Connexe])</f>
        <v>0.2</v>
      </c>
      <c r="H64" s="196">
        <f>_xlfn.XLOOKUP(T_6[[#This Row],[Partenaires]],Partenaires2[Partenaire],Partenaires2[Tx Sub])</f>
        <v>0.5</v>
      </c>
      <c r="I64" s="178" t="s">
        <v>205</v>
      </c>
      <c r="J64" s="186" t="s">
        <v>82</v>
      </c>
      <c r="K64" s="5">
        <v>1</v>
      </c>
      <c r="L64" s="4">
        <v>380</v>
      </c>
      <c r="M64" s="31">
        <f>T_6[[#This Row],[P Qu]]*T_6[[#This Row],[P PU]]</f>
        <v>380</v>
      </c>
      <c r="N64" s="178" t="s">
        <v>45</v>
      </c>
      <c r="O64" s="7">
        <v>1</v>
      </c>
      <c r="P64" s="8">
        <v>150</v>
      </c>
      <c r="Q64" s="31">
        <f>T_6[[#This Row],[ACh Qu]]*T_6[[#This Row],[ACh PU]]</f>
        <v>150</v>
      </c>
      <c r="R64" s="30">
        <f>T_6[[#This Row],[P CT]]+T_6[[#This Row],[ACh CT]]</f>
        <v>530</v>
      </c>
      <c r="S64" s="198">
        <f>IF(T_6[[#This Row],[Eligible]]="Oui",T_6[[#This Row],[Ct TOTAL]]+T_6[[#This Row],[Ct TOTAL]]*T_6[[#This Row],[Tx Charge Connexe]],T_6[[#This Row],[P CT]]*T_6[[#This Row],[Tx Charge Connexe]]+T_6[[#This Row],[ACh CT]]+T_6[[#This Row],[ACh CT]]*T_6[[#This Row],[Tx Charge Connexe]])</f>
        <v>636</v>
      </c>
      <c r="T64" s="198">
        <f>T_6[[#This Row],[Mt Elligible]]*T_6[[#This Row],[Tx Sub]]</f>
        <v>318</v>
      </c>
    </row>
  </sheetData>
  <mergeCells count="1">
    <mergeCell ref="I1:M1"/>
  </mergeCells>
  <phoneticPr fontId="3" type="noConversion"/>
  <dataValidations count="4">
    <dataValidation type="list" allowBlank="1" showInputMessage="1" showErrorMessage="1" sqref="A3:A64" xr:uid="{BC6A24F1-DC24-41AB-804C-7F3E4EF1D0FD}">
      <formula1>NoLot</formula1>
    </dataValidation>
    <dataValidation type="list" allowBlank="1" showInputMessage="1" showErrorMessage="1" sqref="F3:F64" xr:uid="{23D2A5DB-2822-43F6-8DA2-5723C3E5E47E}">
      <formula1>Partenaires</formula1>
    </dataValidation>
    <dataValidation type="list" allowBlank="1" showInputMessage="1" showErrorMessage="1" sqref="C3:C64" xr:uid="{23AD360A-88CC-4270-A7D7-B5F2E1B69776}">
      <formula1>INDIRECT(A3)</formula1>
    </dataValidation>
    <dataValidation type="list" allowBlank="1" showInputMessage="1" showErrorMessage="1" sqref="D3:D64" xr:uid="{E789846A-751F-4607-AAE4-0C79768AF9C9}">
      <formula1>INDIRECT(C3)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A2633DD-ECA5-484B-B1D3-2180B91485CA}">
          <x14:formula1>
            <xm:f>Liste!$H$3:$H$4</xm:f>
          </x14:formula1>
          <xm:sqref>J3:J61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74B25-C21A-4B64-B041-6F10B9A1921F}">
  <sheetPr codeName="Feuil8">
    <tabColor theme="7"/>
  </sheetPr>
  <dimension ref="A1:AH255"/>
  <sheetViews>
    <sheetView tabSelected="1" zoomScaleNormal="100" workbookViewId="0">
      <pane ySplit="2" topLeftCell="A3" activePane="bottomLeft" state="frozenSplit"/>
      <selection pane="bottomLeft" activeCell="E19" sqref="E19"/>
    </sheetView>
  </sheetViews>
  <sheetFormatPr baseColWidth="10" defaultRowHeight="15"/>
  <cols>
    <col min="1" max="1" width="16" style="177" customWidth="1"/>
    <col min="2" max="2" width="10.5703125" style="177" customWidth="1"/>
    <col min="3" max="8" width="11.42578125" style="177"/>
    <col min="9" max="9" width="15.7109375" customWidth="1"/>
    <col min="10" max="10" width="61.140625" style="61" customWidth="1"/>
    <col min="11" max="11" width="12" customWidth="1"/>
    <col min="12" max="12" width="13.28515625" customWidth="1"/>
    <col min="13" max="13" width="12.85546875" customWidth="1"/>
    <col min="14" max="14" width="13" customWidth="1"/>
    <col min="15" max="15" width="10.140625" customWidth="1"/>
    <col min="16" max="16" width="11.140625" customWidth="1"/>
    <col min="17" max="17" width="3.7109375" customWidth="1"/>
    <col min="18" max="18" width="22.140625" customWidth="1"/>
    <col min="19" max="19" width="8.7109375" customWidth="1"/>
    <col min="26" max="26" width="3.5703125" customWidth="1"/>
    <col min="27" max="27" width="7.28515625" customWidth="1"/>
    <col min="28" max="28" width="18.42578125" customWidth="1"/>
  </cols>
  <sheetData>
    <row r="1" spans="1:34" ht="74.25" customHeight="1">
      <c r="A1"/>
      <c r="B1"/>
      <c r="C1"/>
      <c r="D1"/>
      <c r="E1"/>
      <c r="F1"/>
      <c r="G1"/>
    </row>
    <row r="2" spans="1:34" ht="30">
      <c r="A2" s="217" t="s">
        <v>39</v>
      </c>
      <c r="B2" s="215" t="s">
        <v>91</v>
      </c>
      <c r="C2" s="215" t="s">
        <v>41</v>
      </c>
      <c r="D2" s="215" t="s">
        <v>43</v>
      </c>
      <c r="E2" s="215" t="s">
        <v>42</v>
      </c>
      <c r="F2" s="215" t="s">
        <v>85</v>
      </c>
      <c r="G2" s="223" t="s">
        <v>86</v>
      </c>
      <c r="I2" s="217" t="s">
        <v>39</v>
      </c>
      <c r="J2" s="217" t="s">
        <v>0</v>
      </c>
      <c r="K2" s="225" t="s">
        <v>234</v>
      </c>
      <c r="L2" s="223" t="s">
        <v>235</v>
      </c>
      <c r="M2" s="223" t="s">
        <v>236</v>
      </c>
      <c r="N2" s="223" t="s">
        <v>42</v>
      </c>
      <c r="O2" s="223" t="s">
        <v>89</v>
      </c>
      <c r="P2" s="223" t="s">
        <v>237</v>
      </c>
      <c r="R2" s="217" t="s">
        <v>39</v>
      </c>
      <c r="S2" s="215" t="s">
        <v>91</v>
      </c>
      <c r="T2" s="215" t="s">
        <v>41</v>
      </c>
      <c r="U2" s="215" t="s">
        <v>43</v>
      </c>
      <c r="V2" s="215" t="s">
        <v>42</v>
      </c>
      <c r="W2" s="215" t="s">
        <v>85</v>
      </c>
      <c r="X2" s="223" t="s">
        <v>86</v>
      </c>
      <c r="AA2" s="217" t="s">
        <v>39</v>
      </c>
      <c r="AB2" s="217" t="s">
        <v>1</v>
      </c>
      <c r="AC2" s="215" t="s">
        <v>91</v>
      </c>
      <c r="AD2" s="215" t="s">
        <v>41</v>
      </c>
      <c r="AE2" s="215" t="s">
        <v>43</v>
      </c>
      <c r="AF2" s="215" t="s">
        <v>42</v>
      </c>
      <c r="AG2" s="215" t="s">
        <v>85</v>
      </c>
      <c r="AH2" s="223" t="s">
        <v>86</v>
      </c>
    </row>
    <row r="3" spans="1:34">
      <c r="A3" s="218" t="s">
        <v>18</v>
      </c>
      <c r="B3" s="163">
        <v>46.5</v>
      </c>
      <c r="C3" s="219">
        <v>22785</v>
      </c>
      <c r="D3" s="56">
        <v>4050</v>
      </c>
      <c r="E3" s="56">
        <v>26835</v>
      </c>
      <c r="F3" s="219">
        <v>33543.75</v>
      </c>
      <c r="G3" s="219">
        <v>23480.625</v>
      </c>
      <c r="I3" s="218" t="s">
        <v>18</v>
      </c>
      <c r="J3" s="215"/>
      <c r="K3" s="164">
        <v>46.5</v>
      </c>
      <c r="L3" s="163">
        <v>22785</v>
      </c>
      <c r="M3" s="163">
        <v>4050</v>
      </c>
      <c r="N3" s="163">
        <v>26835</v>
      </c>
      <c r="O3" s="163">
        <v>33543.75</v>
      </c>
      <c r="P3" s="163">
        <v>23480.625</v>
      </c>
      <c r="R3" s="218" t="s">
        <v>30</v>
      </c>
      <c r="S3" s="163">
        <v>140.5</v>
      </c>
      <c r="T3" s="219">
        <v>55326</v>
      </c>
      <c r="U3" s="56">
        <v>19980</v>
      </c>
      <c r="V3" s="56">
        <v>75306</v>
      </c>
      <c r="W3" s="219">
        <v>70816.36</v>
      </c>
      <c r="X3" s="219">
        <v>44560.972000000002</v>
      </c>
      <c r="AA3" s="218" t="s">
        <v>30</v>
      </c>
      <c r="AB3" s="218" t="s">
        <v>50</v>
      </c>
      <c r="AC3" s="163">
        <v>28.5</v>
      </c>
      <c r="AD3" s="219">
        <v>9582</v>
      </c>
      <c r="AE3" s="56">
        <v>4680</v>
      </c>
      <c r="AF3" s="56">
        <v>14262</v>
      </c>
      <c r="AG3" s="219">
        <v>17540.04</v>
      </c>
      <c r="AH3" s="219">
        <v>12278.028000000002</v>
      </c>
    </row>
    <row r="4" spans="1:34">
      <c r="A4" s="218" t="s">
        <v>21</v>
      </c>
      <c r="B4" s="163">
        <v>60</v>
      </c>
      <c r="C4" s="219">
        <v>25800</v>
      </c>
      <c r="D4" s="56">
        <v>20900</v>
      </c>
      <c r="E4" s="56">
        <v>46700</v>
      </c>
      <c r="F4" s="219">
        <v>55795</v>
      </c>
      <c r="G4" s="219">
        <v>39056.5</v>
      </c>
      <c r="I4" s="220" t="s">
        <v>30</v>
      </c>
      <c r="J4" s="218" t="s">
        <v>24</v>
      </c>
      <c r="K4" s="164">
        <v>7.5</v>
      </c>
      <c r="L4" s="163">
        <v>3675</v>
      </c>
      <c r="M4" s="163">
        <v>900</v>
      </c>
      <c r="N4" s="163">
        <v>4575</v>
      </c>
      <c r="O4" s="163">
        <v>5718.75</v>
      </c>
      <c r="P4" s="163">
        <v>4003.125</v>
      </c>
      <c r="R4" s="220" t="s">
        <v>18</v>
      </c>
      <c r="S4" s="163">
        <v>7.5</v>
      </c>
      <c r="T4" s="219">
        <v>3675</v>
      </c>
      <c r="U4" s="56">
        <v>900</v>
      </c>
      <c r="V4" s="56">
        <v>4575</v>
      </c>
      <c r="W4" s="219">
        <v>5718.75</v>
      </c>
      <c r="X4" s="219">
        <v>4003.125</v>
      </c>
      <c r="AA4" s="215"/>
      <c r="AB4" s="220" t="s">
        <v>18</v>
      </c>
      <c r="AC4" s="163">
        <v>0</v>
      </c>
      <c r="AD4" s="219">
        <v>0</v>
      </c>
      <c r="AE4" s="56">
        <v>0</v>
      </c>
      <c r="AF4" s="56">
        <v>0</v>
      </c>
      <c r="AG4" s="219">
        <v>0</v>
      </c>
      <c r="AH4" s="219">
        <v>0</v>
      </c>
    </row>
    <row r="5" spans="1:34">
      <c r="A5" s="218" t="s">
        <v>38</v>
      </c>
      <c r="B5" s="163">
        <v>179</v>
      </c>
      <c r="C5" s="219">
        <v>63086</v>
      </c>
      <c r="D5" s="56">
        <v>14550</v>
      </c>
      <c r="E5" s="56">
        <v>77636</v>
      </c>
      <c r="F5" s="219">
        <v>94715.920000000013</v>
      </c>
      <c r="G5" s="219">
        <v>66301.144</v>
      </c>
      <c r="I5" s="215"/>
      <c r="J5" s="220" t="s">
        <v>50</v>
      </c>
      <c r="K5" s="164">
        <v>0</v>
      </c>
      <c r="L5" s="163">
        <v>0</v>
      </c>
      <c r="M5" s="163">
        <v>0</v>
      </c>
      <c r="N5" s="163">
        <v>0</v>
      </c>
      <c r="O5" s="163">
        <v>0</v>
      </c>
      <c r="P5" s="163">
        <v>0</v>
      </c>
      <c r="R5" s="220" t="s">
        <v>38</v>
      </c>
      <c r="S5" s="163">
        <v>55.5</v>
      </c>
      <c r="T5" s="219">
        <v>19218</v>
      </c>
      <c r="U5" s="56">
        <v>900</v>
      </c>
      <c r="V5" s="56">
        <v>20118</v>
      </c>
      <c r="W5" s="219">
        <v>24543.96</v>
      </c>
      <c r="X5" s="219">
        <v>17180.772000000001</v>
      </c>
      <c r="AA5" s="215"/>
      <c r="AB5" s="220" t="s">
        <v>38</v>
      </c>
      <c r="AC5" s="163">
        <v>28.5</v>
      </c>
      <c r="AD5" s="219">
        <v>9582</v>
      </c>
      <c r="AE5" s="56">
        <v>0</v>
      </c>
      <c r="AF5" s="56">
        <v>9582</v>
      </c>
      <c r="AG5" s="219">
        <v>11690.04</v>
      </c>
      <c r="AH5" s="219">
        <v>8183.0280000000012</v>
      </c>
    </row>
    <row r="6" spans="1:34">
      <c r="A6" s="218" t="s">
        <v>15</v>
      </c>
      <c r="B6" s="163">
        <v>713.5</v>
      </c>
      <c r="C6" s="219">
        <v>193030</v>
      </c>
      <c r="D6" s="56">
        <v>21000</v>
      </c>
      <c r="E6" s="56">
        <v>214030</v>
      </c>
      <c r="F6" s="219">
        <v>134845.5</v>
      </c>
      <c r="G6" s="219">
        <v>67422.75</v>
      </c>
      <c r="I6" s="215"/>
      <c r="J6" s="220" t="s">
        <v>51</v>
      </c>
      <c r="K6" s="164">
        <v>5.5</v>
      </c>
      <c r="L6" s="163">
        <v>2695</v>
      </c>
      <c r="M6" s="163">
        <v>600</v>
      </c>
      <c r="N6" s="163">
        <v>3295</v>
      </c>
      <c r="O6" s="163">
        <v>4118.75</v>
      </c>
      <c r="P6" s="163">
        <v>2883.125</v>
      </c>
      <c r="R6" s="220" t="s">
        <v>15</v>
      </c>
      <c r="S6" s="163">
        <v>7.5</v>
      </c>
      <c r="T6" s="219">
        <v>5940</v>
      </c>
      <c r="U6" s="56">
        <v>900</v>
      </c>
      <c r="V6" s="56">
        <v>6840</v>
      </c>
      <c r="W6" s="219">
        <v>2610</v>
      </c>
      <c r="X6" s="219">
        <v>1305</v>
      </c>
      <c r="AA6" s="215"/>
      <c r="AB6" s="220" t="s">
        <v>16</v>
      </c>
      <c r="AC6" s="163"/>
      <c r="AD6" s="219">
        <v>0</v>
      </c>
      <c r="AE6" s="56">
        <v>4680</v>
      </c>
      <c r="AF6" s="56">
        <v>4680</v>
      </c>
      <c r="AG6" s="219">
        <v>5850</v>
      </c>
      <c r="AH6" s="219">
        <v>4095</v>
      </c>
    </row>
    <row r="7" spans="1:34">
      <c r="A7" s="218" t="s">
        <v>79</v>
      </c>
      <c r="B7" s="163">
        <v>375</v>
      </c>
      <c r="C7" s="219">
        <v>98673</v>
      </c>
      <c r="D7" s="56">
        <v>6900</v>
      </c>
      <c r="E7" s="56">
        <v>105573</v>
      </c>
      <c r="F7" s="219">
        <v>63867.760000000024</v>
      </c>
      <c r="G7" s="219">
        <v>31933.880000000012</v>
      </c>
      <c r="I7" s="215"/>
      <c r="J7" s="220" t="s">
        <v>52</v>
      </c>
      <c r="K7" s="164">
        <v>2</v>
      </c>
      <c r="L7" s="163">
        <v>980</v>
      </c>
      <c r="M7" s="163">
        <v>300</v>
      </c>
      <c r="N7" s="163">
        <v>1280</v>
      </c>
      <c r="O7" s="163">
        <v>1600</v>
      </c>
      <c r="P7" s="163">
        <v>1120</v>
      </c>
      <c r="R7" s="220" t="s">
        <v>79</v>
      </c>
      <c r="S7" s="163">
        <v>15</v>
      </c>
      <c r="T7" s="219">
        <v>5407</v>
      </c>
      <c r="U7" s="56">
        <v>1800</v>
      </c>
      <c r="V7" s="56">
        <v>7207</v>
      </c>
      <c r="W7" s="219">
        <v>2953.2</v>
      </c>
      <c r="X7" s="219">
        <v>1476.6</v>
      </c>
      <c r="AA7" s="215"/>
      <c r="AB7" s="218"/>
      <c r="AC7" s="163"/>
      <c r="AD7" s="219"/>
      <c r="AE7" s="56"/>
      <c r="AF7" s="56"/>
      <c r="AG7" s="219"/>
      <c r="AH7" s="219"/>
    </row>
    <row r="8" spans="1:34">
      <c r="A8" s="218" t="s">
        <v>135</v>
      </c>
      <c r="B8" s="163">
        <v>22.5</v>
      </c>
      <c r="C8" s="219">
        <v>9495</v>
      </c>
      <c r="D8" s="56">
        <v>1800</v>
      </c>
      <c r="E8" s="56">
        <v>11295</v>
      </c>
      <c r="F8" s="219">
        <v>14118.75</v>
      </c>
      <c r="G8" s="219">
        <v>9883.125</v>
      </c>
      <c r="I8" s="220"/>
      <c r="J8" s="215"/>
      <c r="K8" s="164"/>
      <c r="L8" s="163"/>
      <c r="M8" s="163"/>
      <c r="N8" s="163"/>
      <c r="O8" s="163"/>
      <c r="P8" s="163"/>
      <c r="R8" s="220" t="s">
        <v>135</v>
      </c>
      <c r="S8" s="163">
        <v>5.5</v>
      </c>
      <c r="T8" s="219">
        <v>2321</v>
      </c>
      <c r="U8" s="56">
        <v>600</v>
      </c>
      <c r="V8" s="56">
        <v>2921</v>
      </c>
      <c r="W8" s="219">
        <v>3651.25</v>
      </c>
      <c r="X8" s="219">
        <v>2555.875</v>
      </c>
      <c r="AA8" s="215"/>
      <c r="AB8" s="218" t="s">
        <v>51</v>
      </c>
      <c r="AC8" s="163">
        <v>90</v>
      </c>
      <c r="AD8" s="219">
        <v>36396</v>
      </c>
      <c r="AE8" s="56">
        <v>10660</v>
      </c>
      <c r="AF8" s="56">
        <v>47056</v>
      </c>
      <c r="AG8" s="219">
        <v>41448.36</v>
      </c>
      <c r="AH8" s="219">
        <v>25442.635999999999</v>
      </c>
    </row>
    <row r="9" spans="1:34">
      <c r="A9" s="218" t="s">
        <v>16</v>
      </c>
      <c r="B9" s="163"/>
      <c r="C9" s="219">
        <v>0</v>
      </c>
      <c r="D9" s="56">
        <v>49610</v>
      </c>
      <c r="E9" s="56">
        <v>49610</v>
      </c>
      <c r="F9" s="219">
        <v>62012.5</v>
      </c>
      <c r="G9" s="219">
        <v>43408.75</v>
      </c>
      <c r="I9" s="220" t="s">
        <v>31</v>
      </c>
      <c r="J9" s="218" t="s">
        <v>23</v>
      </c>
      <c r="K9" s="164">
        <v>7</v>
      </c>
      <c r="L9" s="163">
        <v>3430</v>
      </c>
      <c r="M9" s="163">
        <v>900</v>
      </c>
      <c r="N9" s="163">
        <v>4330</v>
      </c>
      <c r="O9" s="163">
        <v>5412.5</v>
      </c>
      <c r="P9" s="163">
        <v>3788.75</v>
      </c>
      <c r="R9" s="220" t="s">
        <v>16</v>
      </c>
      <c r="S9" s="163"/>
      <c r="T9" s="219">
        <v>0</v>
      </c>
      <c r="U9" s="56">
        <v>9480</v>
      </c>
      <c r="V9" s="56">
        <v>9480</v>
      </c>
      <c r="W9" s="219">
        <v>11850</v>
      </c>
      <c r="X9" s="219">
        <v>8295</v>
      </c>
      <c r="AA9" s="215"/>
      <c r="AB9" s="220" t="s">
        <v>18</v>
      </c>
      <c r="AC9" s="163">
        <v>5.5</v>
      </c>
      <c r="AD9" s="219">
        <v>2695</v>
      </c>
      <c r="AE9" s="56">
        <v>600</v>
      </c>
      <c r="AF9" s="56">
        <v>3295</v>
      </c>
      <c r="AG9" s="219">
        <v>4118.75</v>
      </c>
      <c r="AH9" s="219">
        <v>2883.125</v>
      </c>
    </row>
    <row r="10" spans="1:34">
      <c r="A10" s="218" t="s">
        <v>17</v>
      </c>
      <c r="B10" s="163">
        <v>879</v>
      </c>
      <c r="C10" s="219">
        <v>274212</v>
      </c>
      <c r="D10" s="56">
        <v>33900</v>
      </c>
      <c r="E10" s="56">
        <v>308112</v>
      </c>
      <c r="F10" s="219">
        <v>140054.16</v>
      </c>
      <c r="G10" s="219">
        <v>70027.08</v>
      </c>
      <c r="I10" s="215"/>
      <c r="J10" s="220" t="s">
        <v>54</v>
      </c>
      <c r="K10" s="164">
        <v>7</v>
      </c>
      <c r="L10" s="163">
        <v>3430</v>
      </c>
      <c r="M10" s="163">
        <v>900</v>
      </c>
      <c r="N10" s="163">
        <v>4330</v>
      </c>
      <c r="O10" s="163">
        <v>5412.5</v>
      </c>
      <c r="P10" s="163">
        <v>3788.75</v>
      </c>
      <c r="R10" s="220" t="s">
        <v>17</v>
      </c>
      <c r="S10" s="163">
        <v>27</v>
      </c>
      <c r="T10" s="219">
        <v>10665</v>
      </c>
      <c r="U10" s="56">
        <v>2700</v>
      </c>
      <c r="V10" s="56">
        <v>13365</v>
      </c>
      <c r="W10" s="219">
        <v>6176.7000000000007</v>
      </c>
      <c r="X10" s="219">
        <v>3088.3500000000004</v>
      </c>
      <c r="AA10" s="215"/>
      <c r="AB10" s="220" t="s">
        <v>38</v>
      </c>
      <c r="AC10" s="163">
        <v>25</v>
      </c>
      <c r="AD10" s="219">
        <v>8824</v>
      </c>
      <c r="AE10" s="56">
        <v>600</v>
      </c>
      <c r="AF10" s="56">
        <v>9424</v>
      </c>
      <c r="AG10" s="219">
        <v>11497.28</v>
      </c>
      <c r="AH10" s="219">
        <v>8048.0959999999995</v>
      </c>
    </row>
    <row r="11" spans="1:34">
      <c r="A11" s="218" t="s">
        <v>19</v>
      </c>
      <c r="B11" s="163">
        <v>51.5</v>
      </c>
      <c r="C11" s="219">
        <v>18025</v>
      </c>
      <c r="D11" s="56">
        <v>1500</v>
      </c>
      <c r="E11" s="56">
        <v>19525</v>
      </c>
      <c r="F11" s="219">
        <v>24406.25</v>
      </c>
      <c r="G11" s="219">
        <v>12203.125</v>
      </c>
      <c r="I11" s="220"/>
      <c r="J11" s="215"/>
      <c r="K11" s="164"/>
      <c r="L11" s="163"/>
      <c r="M11" s="163"/>
      <c r="N11" s="163"/>
      <c r="O11" s="163"/>
      <c r="P11" s="163"/>
      <c r="R11" s="220" t="s">
        <v>19</v>
      </c>
      <c r="S11" s="163">
        <v>7.5</v>
      </c>
      <c r="T11" s="219">
        <v>2625</v>
      </c>
      <c r="U11" s="56">
        <v>900</v>
      </c>
      <c r="V11" s="56">
        <v>3525</v>
      </c>
      <c r="W11" s="219">
        <v>4406.25</v>
      </c>
      <c r="X11" s="219">
        <v>2203.125</v>
      </c>
      <c r="AA11" s="215"/>
      <c r="AB11" s="220" t="s">
        <v>15</v>
      </c>
      <c r="AC11" s="163">
        <v>5.5</v>
      </c>
      <c r="AD11" s="219">
        <v>4356</v>
      </c>
      <c r="AE11" s="56">
        <v>600</v>
      </c>
      <c r="AF11" s="56">
        <v>4956</v>
      </c>
      <c r="AG11" s="219">
        <v>1839</v>
      </c>
      <c r="AH11" s="219">
        <v>919.5</v>
      </c>
    </row>
    <row r="12" spans="1:34">
      <c r="A12" s="218" t="s">
        <v>22</v>
      </c>
      <c r="B12" s="163">
        <v>128.5</v>
      </c>
      <c r="C12" s="219">
        <v>40830</v>
      </c>
      <c r="D12" s="56">
        <v>9250</v>
      </c>
      <c r="E12" s="56">
        <v>50080</v>
      </c>
      <c r="F12" s="219">
        <v>60096</v>
      </c>
      <c r="G12" s="219">
        <v>30048</v>
      </c>
      <c r="I12" s="220" t="s">
        <v>32</v>
      </c>
      <c r="J12" s="218" t="s">
        <v>25</v>
      </c>
      <c r="K12" s="164">
        <v>5.5</v>
      </c>
      <c r="L12" s="163">
        <v>2695</v>
      </c>
      <c r="M12" s="163">
        <v>0</v>
      </c>
      <c r="N12" s="163">
        <v>2695</v>
      </c>
      <c r="O12" s="163">
        <v>3368.75</v>
      </c>
      <c r="P12" s="163">
        <v>2358.125</v>
      </c>
      <c r="R12" s="220" t="s">
        <v>22</v>
      </c>
      <c r="S12" s="163">
        <v>7.5</v>
      </c>
      <c r="T12" s="219">
        <v>2850</v>
      </c>
      <c r="U12" s="56">
        <v>900</v>
      </c>
      <c r="V12" s="56">
        <v>3750</v>
      </c>
      <c r="W12" s="219">
        <v>4500</v>
      </c>
      <c r="X12" s="219">
        <v>2250</v>
      </c>
      <c r="AA12" s="215"/>
      <c r="AB12" s="220" t="s">
        <v>79</v>
      </c>
      <c r="AC12" s="163">
        <v>11</v>
      </c>
      <c r="AD12" s="219">
        <v>3965</v>
      </c>
      <c r="AE12" s="56">
        <v>1200</v>
      </c>
      <c r="AF12" s="56">
        <v>5165</v>
      </c>
      <c r="AG12" s="219">
        <v>2026.48</v>
      </c>
      <c r="AH12" s="219">
        <v>1013.24</v>
      </c>
    </row>
    <row r="13" spans="1:34">
      <c r="A13" s="218" t="s">
        <v>20</v>
      </c>
      <c r="B13" s="163">
        <v>27.5</v>
      </c>
      <c r="C13" s="219">
        <v>9625</v>
      </c>
      <c r="D13" s="56">
        <v>1350</v>
      </c>
      <c r="E13" s="56">
        <v>10975</v>
      </c>
      <c r="F13" s="219">
        <v>13718.75</v>
      </c>
      <c r="G13" s="219">
        <v>6859.375</v>
      </c>
      <c r="I13" s="215"/>
      <c r="J13" s="220" t="s">
        <v>60</v>
      </c>
      <c r="K13" s="164">
        <v>5.5</v>
      </c>
      <c r="L13" s="163">
        <v>2695</v>
      </c>
      <c r="M13" s="163">
        <v>0</v>
      </c>
      <c r="N13" s="163">
        <v>2695</v>
      </c>
      <c r="O13" s="163">
        <v>3368.75</v>
      </c>
      <c r="P13" s="163">
        <v>2358.125</v>
      </c>
      <c r="R13" s="220" t="s">
        <v>20</v>
      </c>
      <c r="S13" s="163">
        <v>7.5</v>
      </c>
      <c r="T13" s="219">
        <v>2625</v>
      </c>
      <c r="U13" s="56">
        <v>900</v>
      </c>
      <c r="V13" s="56">
        <v>3525</v>
      </c>
      <c r="W13" s="219">
        <v>4406.25</v>
      </c>
      <c r="X13" s="219">
        <v>2203.125</v>
      </c>
      <c r="AA13" s="215"/>
      <c r="AB13" s="220" t="s">
        <v>135</v>
      </c>
      <c r="AC13" s="163">
        <v>5.5</v>
      </c>
      <c r="AD13" s="219">
        <v>2321</v>
      </c>
      <c r="AE13" s="56">
        <v>600</v>
      </c>
      <c r="AF13" s="56">
        <v>2921</v>
      </c>
      <c r="AG13" s="219">
        <v>3651.25</v>
      </c>
      <c r="AH13" s="219">
        <v>2555.875</v>
      </c>
    </row>
    <row r="14" spans="1:34">
      <c r="A14" s="218" t="s">
        <v>40</v>
      </c>
      <c r="B14" s="163">
        <v>2483</v>
      </c>
      <c r="C14" s="219">
        <v>755561</v>
      </c>
      <c r="D14" s="56">
        <v>164810</v>
      </c>
      <c r="E14" s="56">
        <v>920371</v>
      </c>
      <c r="F14" s="219">
        <v>697174.34000000008</v>
      </c>
      <c r="G14" s="219">
        <v>400624.35399999999</v>
      </c>
      <c r="I14" s="220"/>
      <c r="J14" s="215"/>
      <c r="K14" s="164"/>
      <c r="L14" s="163"/>
      <c r="M14" s="163"/>
      <c r="N14" s="163"/>
      <c r="O14" s="163"/>
      <c r="P14" s="163"/>
      <c r="R14" s="218"/>
      <c r="S14" s="163"/>
      <c r="T14" s="219"/>
      <c r="U14" s="56"/>
      <c r="V14" s="56"/>
      <c r="W14" s="219"/>
      <c r="X14" s="219"/>
      <c r="AA14" s="215"/>
      <c r="AB14" s="220" t="s">
        <v>16</v>
      </c>
      <c r="AC14" s="163"/>
      <c r="AD14" s="219">
        <v>0</v>
      </c>
      <c r="AE14" s="56">
        <v>3460</v>
      </c>
      <c r="AF14" s="56">
        <v>3460</v>
      </c>
      <c r="AG14" s="219">
        <v>4325</v>
      </c>
      <c r="AH14" s="219">
        <v>3027.5</v>
      </c>
    </row>
    <row r="15" spans="1:34">
      <c r="I15" s="220" t="s">
        <v>34</v>
      </c>
      <c r="J15" s="218" t="s">
        <v>27</v>
      </c>
      <c r="K15" s="164">
        <v>16.5</v>
      </c>
      <c r="L15" s="163">
        <v>8085</v>
      </c>
      <c r="M15" s="163">
        <v>750</v>
      </c>
      <c r="N15" s="163">
        <v>8835</v>
      </c>
      <c r="O15" s="163">
        <v>11043.75</v>
      </c>
      <c r="P15" s="163">
        <v>7730.625</v>
      </c>
      <c r="R15" s="218" t="s">
        <v>31</v>
      </c>
      <c r="S15" s="163">
        <v>422</v>
      </c>
      <c r="T15" s="219">
        <v>142920</v>
      </c>
      <c r="U15" s="56">
        <v>17620</v>
      </c>
      <c r="V15" s="56">
        <v>160540</v>
      </c>
      <c r="W15" s="219">
        <v>115013.01999999999</v>
      </c>
      <c r="X15" s="219">
        <v>67067.902000000002</v>
      </c>
      <c r="AA15" s="215"/>
      <c r="AB15" s="220" t="s">
        <v>17</v>
      </c>
      <c r="AC15" s="163">
        <v>21</v>
      </c>
      <c r="AD15" s="219">
        <v>8295</v>
      </c>
      <c r="AE15" s="56">
        <v>1800</v>
      </c>
      <c r="AF15" s="56">
        <v>10095</v>
      </c>
      <c r="AG15" s="219">
        <v>4450.1000000000004</v>
      </c>
      <c r="AH15" s="219">
        <v>2225.0500000000002</v>
      </c>
    </row>
    <row r="16" spans="1:34">
      <c r="I16" s="215"/>
      <c r="J16" s="220" t="s">
        <v>63</v>
      </c>
      <c r="K16" s="164">
        <v>7.5</v>
      </c>
      <c r="L16" s="163">
        <v>3675</v>
      </c>
      <c r="M16" s="163">
        <v>750</v>
      </c>
      <c r="N16" s="163">
        <v>4425</v>
      </c>
      <c r="O16" s="163">
        <v>5531.25</v>
      </c>
      <c r="P16" s="163">
        <v>3871.875</v>
      </c>
      <c r="R16" s="220" t="s">
        <v>18</v>
      </c>
      <c r="S16" s="163">
        <v>7</v>
      </c>
      <c r="T16" s="219">
        <v>3430</v>
      </c>
      <c r="U16" s="56">
        <v>900</v>
      </c>
      <c r="V16" s="56">
        <v>4330</v>
      </c>
      <c r="W16" s="219">
        <v>5412.5</v>
      </c>
      <c r="X16" s="219">
        <v>3788.75</v>
      </c>
      <c r="AA16" s="215"/>
      <c r="AB16" s="220" t="s">
        <v>19</v>
      </c>
      <c r="AC16" s="163">
        <v>5.5</v>
      </c>
      <c r="AD16" s="219">
        <v>1925</v>
      </c>
      <c r="AE16" s="56">
        <v>600</v>
      </c>
      <c r="AF16" s="56">
        <v>2525</v>
      </c>
      <c r="AG16" s="219">
        <v>3156.25</v>
      </c>
      <c r="AH16" s="219">
        <v>1578.125</v>
      </c>
    </row>
    <row r="17" spans="9:34">
      <c r="I17" s="215"/>
      <c r="J17" s="220" t="s">
        <v>64</v>
      </c>
      <c r="K17" s="164">
        <v>4</v>
      </c>
      <c r="L17" s="163">
        <v>1960</v>
      </c>
      <c r="M17" s="163">
        <v>0</v>
      </c>
      <c r="N17" s="163">
        <v>1960</v>
      </c>
      <c r="O17" s="163">
        <v>2450</v>
      </c>
      <c r="P17" s="163">
        <v>1715</v>
      </c>
      <c r="R17" s="220" t="s">
        <v>21</v>
      </c>
      <c r="S17" s="163">
        <v>22</v>
      </c>
      <c r="T17" s="219">
        <v>9460</v>
      </c>
      <c r="U17" s="56">
        <v>300</v>
      </c>
      <c r="V17" s="56">
        <v>9760</v>
      </c>
      <c r="W17" s="219">
        <v>12200</v>
      </c>
      <c r="X17" s="219">
        <v>8540</v>
      </c>
      <c r="AA17" s="215"/>
      <c r="AB17" s="220" t="s">
        <v>22</v>
      </c>
      <c r="AC17" s="163">
        <v>5.5</v>
      </c>
      <c r="AD17" s="219">
        <v>2090</v>
      </c>
      <c r="AE17" s="56">
        <v>600</v>
      </c>
      <c r="AF17" s="56">
        <v>2690</v>
      </c>
      <c r="AG17" s="219">
        <v>3228</v>
      </c>
      <c r="AH17" s="219">
        <v>1614</v>
      </c>
    </row>
    <row r="18" spans="9:34">
      <c r="I18" s="215"/>
      <c r="J18" s="220" t="s">
        <v>65</v>
      </c>
      <c r="K18" s="164">
        <v>5</v>
      </c>
      <c r="L18" s="163">
        <v>2450</v>
      </c>
      <c r="M18" s="163">
        <v>0</v>
      </c>
      <c r="N18" s="163">
        <v>2450</v>
      </c>
      <c r="O18" s="163">
        <v>3062.5</v>
      </c>
      <c r="P18" s="163">
        <v>2143.75</v>
      </c>
      <c r="R18" s="220" t="s">
        <v>38</v>
      </c>
      <c r="S18" s="163">
        <v>30</v>
      </c>
      <c r="T18" s="219">
        <v>10293</v>
      </c>
      <c r="U18" s="56">
        <v>600</v>
      </c>
      <c r="V18" s="56">
        <v>10893</v>
      </c>
      <c r="W18" s="219">
        <v>13289.46</v>
      </c>
      <c r="X18" s="219">
        <v>9302.6219999999994</v>
      </c>
      <c r="AA18" s="215"/>
      <c r="AB18" s="220" t="s">
        <v>20</v>
      </c>
      <c r="AC18" s="163">
        <v>5.5</v>
      </c>
      <c r="AD18" s="219">
        <v>1925</v>
      </c>
      <c r="AE18" s="56">
        <v>600</v>
      </c>
      <c r="AF18" s="56">
        <v>2525</v>
      </c>
      <c r="AG18" s="219">
        <v>3156.25</v>
      </c>
      <c r="AH18" s="219">
        <v>1578.125</v>
      </c>
    </row>
    <row r="19" spans="9:34">
      <c r="I19" s="220"/>
      <c r="J19" s="215"/>
      <c r="K19" s="164"/>
      <c r="L19" s="163"/>
      <c r="M19" s="163"/>
      <c r="N19" s="163"/>
      <c r="O19" s="163"/>
      <c r="P19" s="163"/>
      <c r="R19" s="220" t="s">
        <v>15</v>
      </c>
      <c r="S19" s="163">
        <v>64</v>
      </c>
      <c r="T19" s="219">
        <v>23736</v>
      </c>
      <c r="U19" s="56">
        <v>1500</v>
      </c>
      <c r="V19" s="56">
        <v>25236</v>
      </c>
      <c r="W19" s="219">
        <v>16673</v>
      </c>
      <c r="X19" s="219">
        <v>8336.5</v>
      </c>
      <c r="AA19" s="215"/>
      <c r="AB19" s="218"/>
      <c r="AC19" s="163"/>
      <c r="AD19" s="219"/>
      <c r="AE19" s="56"/>
      <c r="AF19" s="56"/>
      <c r="AG19" s="219"/>
      <c r="AH19" s="219"/>
    </row>
    <row r="20" spans="9:34">
      <c r="I20" s="220" t="s">
        <v>35</v>
      </c>
      <c r="J20" s="218" t="s">
        <v>28</v>
      </c>
      <c r="K20" s="164">
        <v>10</v>
      </c>
      <c r="L20" s="163">
        <v>4900</v>
      </c>
      <c r="M20" s="163">
        <v>1500</v>
      </c>
      <c r="N20" s="163">
        <v>6400</v>
      </c>
      <c r="O20" s="163">
        <v>8000</v>
      </c>
      <c r="P20" s="163">
        <v>5600</v>
      </c>
      <c r="R20" s="220" t="s">
        <v>79</v>
      </c>
      <c r="S20" s="163">
        <v>34</v>
      </c>
      <c r="T20" s="219">
        <v>12710</v>
      </c>
      <c r="U20" s="56">
        <v>600</v>
      </c>
      <c r="V20" s="56">
        <v>13310</v>
      </c>
      <c r="W20" s="219">
        <v>7649.6</v>
      </c>
      <c r="X20" s="219">
        <v>3824.8</v>
      </c>
      <c r="AA20" s="215"/>
      <c r="AB20" s="218" t="s">
        <v>52</v>
      </c>
      <c r="AC20" s="163">
        <v>22</v>
      </c>
      <c r="AD20" s="219">
        <v>9348</v>
      </c>
      <c r="AE20" s="56">
        <v>4640</v>
      </c>
      <c r="AF20" s="56">
        <v>13988</v>
      </c>
      <c r="AG20" s="219">
        <v>11827.960000000001</v>
      </c>
      <c r="AH20" s="219">
        <v>6840.308</v>
      </c>
    </row>
    <row r="21" spans="9:34">
      <c r="I21" s="215"/>
      <c r="J21" s="220" t="s">
        <v>68</v>
      </c>
      <c r="K21" s="164">
        <v>10</v>
      </c>
      <c r="L21" s="163">
        <v>4900</v>
      </c>
      <c r="M21" s="163">
        <v>1500</v>
      </c>
      <c r="N21" s="163">
        <v>6400</v>
      </c>
      <c r="O21" s="163">
        <v>8000</v>
      </c>
      <c r="P21" s="163">
        <v>5600</v>
      </c>
      <c r="R21" s="220" t="s">
        <v>135</v>
      </c>
      <c r="S21" s="163">
        <v>7</v>
      </c>
      <c r="T21" s="219">
        <v>2954</v>
      </c>
      <c r="U21" s="56">
        <v>150</v>
      </c>
      <c r="V21" s="56">
        <v>3104</v>
      </c>
      <c r="W21" s="219">
        <v>3880</v>
      </c>
      <c r="X21" s="219">
        <v>2716</v>
      </c>
      <c r="AA21" s="215"/>
      <c r="AB21" s="220" t="s">
        <v>18</v>
      </c>
      <c r="AC21" s="163">
        <v>2</v>
      </c>
      <c r="AD21" s="219">
        <v>980</v>
      </c>
      <c r="AE21" s="56">
        <v>300</v>
      </c>
      <c r="AF21" s="56">
        <v>1280</v>
      </c>
      <c r="AG21" s="219">
        <v>1600</v>
      </c>
      <c r="AH21" s="219">
        <v>1120</v>
      </c>
    </row>
    <row r="22" spans="9:34">
      <c r="I22" s="220"/>
      <c r="J22" s="215"/>
      <c r="K22" s="164"/>
      <c r="L22" s="163"/>
      <c r="M22" s="163"/>
      <c r="N22" s="163"/>
      <c r="O22" s="163"/>
      <c r="P22" s="163"/>
      <c r="R22" s="220" t="s">
        <v>16</v>
      </c>
      <c r="S22" s="163"/>
      <c r="T22" s="219">
        <v>0</v>
      </c>
      <c r="U22" s="56">
        <v>10420</v>
      </c>
      <c r="V22" s="56">
        <v>10420</v>
      </c>
      <c r="W22" s="219">
        <v>13025</v>
      </c>
      <c r="X22" s="219">
        <v>9117.5</v>
      </c>
      <c r="AA22" s="215"/>
      <c r="AB22" s="220" t="s">
        <v>38</v>
      </c>
      <c r="AC22" s="163">
        <v>2</v>
      </c>
      <c r="AD22" s="219">
        <v>812</v>
      </c>
      <c r="AE22" s="56">
        <v>300</v>
      </c>
      <c r="AF22" s="56">
        <v>1112</v>
      </c>
      <c r="AG22" s="219">
        <v>1356.64</v>
      </c>
      <c r="AH22" s="219">
        <v>949.64800000000002</v>
      </c>
    </row>
    <row r="23" spans="9:34">
      <c r="I23" s="218" t="s">
        <v>21</v>
      </c>
      <c r="J23" s="215"/>
      <c r="K23" s="164">
        <v>60</v>
      </c>
      <c r="L23" s="163">
        <v>25800</v>
      </c>
      <c r="M23" s="163">
        <v>20900</v>
      </c>
      <c r="N23" s="163">
        <v>46700</v>
      </c>
      <c r="O23" s="163">
        <v>55795</v>
      </c>
      <c r="P23" s="163">
        <v>39056.5</v>
      </c>
      <c r="R23" s="220" t="s">
        <v>17</v>
      </c>
      <c r="S23" s="163">
        <v>234</v>
      </c>
      <c r="T23" s="219">
        <v>71697</v>
      </c>
      <c r="U23" s="56">
        <v>2700</v>
      </c>
      <c r="V23" s="56">
        <v>74397</v>
      </c>
      <c r="W23" s="219">
        <v>31680.459999999988</v>
      </c>
      <c r="X23" s="219">
        <v>15840.229999999994</v>
      </c>
      <c r="AA23" s="215"/>
      <c r="AB23" s="220" t="s">
        <v>15</v>
      </c>
      <c r="AC23" s="163">
        <v>2</v>
      </c>
      <c r="AD23" s="219">
        <v>1584</v>
      </c>
      <c r="AE23" s="56">
        <v>300</v>
      </c>
      <c r="AF23" s="56">
        <v>1884</v>
      </c>
      <c r="AG23" s="219">
        <v>771</v>
      </c>
      <c r="AH23" s="219">
        <v>385.5</v>
      </c>
    </row>
    <row r="24" spans="9:34">
      <c r="I24" s="220" t="s">
        <v>31</v>
      </c>
      <c r="J24" s="218" t="s">
        <v>23</v>
      </c>
      <c r="K24" s="164">
        <v>22</v>
      </c>
      <c r="L24" s="163">
        <v>9460</v>
      </c>
      <c r="M24" s="163">
        <v>300</v>
      </c>
      <c r="N24" s="163">
        <v>9760</v>
      </c>
      <c r="O24" s="163">
        <v>12200</v>
      </c>
      <c r="P24" s="163">
        <v>8540</v>
      </c>
      <c r="R24" s="220" t="s">
        <v>19</v>
      </c>
      <c r="S24" s="163">
        <v>11</v>
      </c>
      <c r="T24" s="219">
        <v>3850</v>
      </c>
      <c r="U24" s="56">
        <v>150</v>
      </c>
      <c r="V24" s="56">
        <v>4000</v>
      </c>
      <c r="W24" s="219">
        <v>5000</v>
      </c>
      <c r="X24" s="219">
        <v>2500</v>
      </c>
      <c r="AA24" s="215"/>
      <c r="AB24" s="220" t="s">
        <v>79</v>
      </c>
      <c r="AC24" s="163">
        <v>4</v>
      </c>
      <c r="AD24" s="219">
        <v>1442</v>
      </c>
      <c r="AE24" s="56">
        <v>600</v>
      </c>
      <c r="AF24" s="56">
        <v>2042</v>
      </c>
      <c r="AG24" s="219">
        <v>926.72</v>
      </c>
      <c r="AH24" s="219">
        <v>463.36</v>
      </c>
    </row>
    <row r="25" spans="9:34">
      <c r="I25" s="215"/>
      <c r="J25" s="220" t="s">
        <v>53</v>
      </c>
      <c r="K25" s="164">
        <v>16</v>
      </c>
      <c r="L25" s="163">
        <v>6880</v>
      </c>
      <c r="M25" s="163">
        <v>0</v>
      </c>
      <c r="N25" s="163">
        <v>6880</v>
      </c>
      <c r="O25" s="163">
        <v>8600</v>
      </c>
      <c r="P25" s="163">
        <v>6020</v>
      </c>
      <c r="R25" s="220" t="s">
        <v>22</v>
      </c>
      <c r="S25" s="163">
        <v>8</v>
      </c>
      <c r="T25" s="219">
        <v>3040</v>
      </c>
      <c r="U25" s="56">
        <v>150</v>
      </c>
      <c r="V25" s="56">
        <v>3190</v>
      </c>
      <c r="W25" s="219">
        <v>3828</v>
      </c>
      <c r="X25" s="219">
        <v>1914</v>
      </c>
      <c r="AA25" s="215"/>
      <c r="AB25" s="220" t="s">
        <v>16</v>
      </c>
      <c r="AC25" s="163"/>
      <c r="AD25" s="219">
        <v>0</v>
      </c>
      <c r="AE25" s="56">
        <v>1340</v>
      </c>
      <c r="AF25" s="56">
        <v>1340</v>
      </c>
      <c r="AG25" s="219">
        <v>1675</v>
      </c>
      <c r="AH25" s="219">
        <v>1172.5</v>
      </c>
    </row>
    <row r="26" spans="9:34">
      <c r="I26" s="215"/>
      <c r="J26" s="220" t="s">
        <v>54</v>
      </c>
      <c r="K26" s="164">
        <v>6</v>
      </c>
      <c r="L26" s="163">
        <v>2580</v>
      </c>
      <c r="M26" s="163">
        <v>300</v>
      </c>
      <c r="N26" s="163">
        <v>2880</v>
      </c>
      <c r="O26" s="163">
        <v>3600</v>
      </c>
      <c r="P26" s="163">
        <v>2520</v>
      </c>
      <c r="R26" s="220" t="s">
        <v>20</v>
      </c>
      <c r="S26" s="163">
        <v>5</v>
      </c>
      <c r="T26" s="219">
        <v>1750</v>
      </c>
      <c r="U26" s="56">
        <v>150</v>
      </c>
      <c r="V26" s="56">
        <v>1900</v>
      </c>
      <c r="W26" s="219">
        <v>2375</v>
      </c>
      <c r="X26" s="219">
        <v>1187.5</v>
      </c>
      <c r="AA26" s="215"/>
      <c r="AB26" s="220" t="s">
        <v>17</v>
      </c>
      <c r="AC26" s="163">
        <v>6</v>
      </c>
      <c r="AD26" s="219">
        <v>2370</v>
      </c>
      <c r="AE26" s="56">
        <v>900</v>
      </c>
      <c r="AF26" s="56">
        <v>3270</v>
      </c>
      <c r="AG26" s="219">
        <v>1726.6</v>
      </c>
      <c r="AH26" s="219">
        <v>863.3</v>
      </c>
    </row>
    <row r="27" spans="9:34">
      <c r="I27" s="220"/>
      <c r="J27" s="215"/>
      <c r="K27" s="164"/>
      <c r="L27" s="163"/>
      <c r="M27" s="163"/>
      <c r="N27" s="163"/>
      <c r="O27" s="163"/>
      <c r="P27" s="163"/>
      <c r="R27" s="218"/>
      <c r="S27" s="163"/>
      <c r="T27" s="219"/>
      <c r="U27" s="56"/>
      <c r="V27" s="56"/>
      <c r="W27" s="219"/>
      <c r="X27" s="219"/>
      <c r="AA27" s="215"/>
      <c r="AB27" s="220" t="s">
        <v>19</v>
      </c>
      <c r="AC27" s="163">
        <v>2</v>
      </c>
      <c r="AD27" s="219">
        <v>700</v>
      </c>
      <c r="AE27" s="56">
        <v>300</v>
      </c>
      <c r="AF27" s="56">
        <v>1000</v>
      </c>
      <c r="AG27" s="219">
        <v>1250</v>
      </c>
      <c r="AH27" s="219">
        <v>625</v>
      </c>
    </row>
    <row r="28" spans="9:34">
      <c r="I28" s="220" t="s">
        <v>32</v>
      </c>
      <c r="J28" s="218" t="s">
        <v>25</v>
      </c>
      <c r="K28" s="164">
        <v>6</v>
      </c>
      <c r="L28" s="163">
        <v>2580</v>
      </c>
      <c r="M28" s="163">
        <v>0</v>
      </c>
      <c r="N28" s="163">
        <v>2580</v>
      </c>
      <c r="O28" s="163">
        <v>645</v>
      </c>
      <c r="P28" s="163">
        <v>451.5</v>
      </c>
      <c r="R28" s="218" t="s">
        <v>32</v>
      </c>
      <c r="S28" s="163">
        <v>355</v>
      </c>
      <c r="T28" s="219">
        <v>140317</v>
      </c>
      <c r="U28" s="56">
        <v>9460</v>
      </c>
      <c r="V28" s="56">
        <v>149777</v>
      </c>
      <c r="W28" s="219">
        <v>60992.760000000009</v>
      </c>
      <c r="X28" s="219">
        <v>32757.11</v>
      </c>
      <c r="AA28" s="215"/>
      <c r="AB28" s="220" t="s">
        <v>22</v>
      </c>
      <c r="AC28" s="163">
        <v>2</v>
      </c>
      <c r="AD28" s="219">
        <v>760</v>
      </c>
      <c r="AE28" s="56">
        <v>300</v>
      </c>
      <c r="AF28" s="56">
        <v>1060</v>
      </c>
      <c r="AG28" s="219">
        <v>1272</v>
      </c>
      <c r="AH28" s="219">
        <v>636</v>
      </c>
    </row>
    <row r="29" spans="9:34">
      <c r="I29" s="215"/>
      <c r="J29" s="220" t="s">
        <v>62</v>
      </c>
      <c r="K29" s="164">
        <v>6</v>
      </c>
      <c r="L29" s="163">
        <v>2580</v>
      </c>
      <c r="M29" s="163">
        <v>0</v>
      </c>
      <c r="N29" s="163">
        <v>2580</v>
      </c>
      <c r="O29" s="163">
        <v>645</v>
      </c>
      <c r="P29" s="163">
        <v>451.5</v>
      </c>
      <c r="R29" s="220" t="s">
        <v>18</v>
      </c>
      <c r="S29" s="163">
        <v>5.5</v>
      </c>
      <c r="T29" s="219">
        <v>2695</v>
      </c>
      <c r="U29" s="56">
        <v>0</v>
      </c>
      <c r="V29" s="56">
        <v>2695</v>
      </c>
      <c r="W29" s="219">
        <v>3368.75</v>
      </c>
      <c r="X29" s="219">
        <v>2358.125</v>
      </c>
      <c r="AA29" s="215"/>
      <c r="AB29" s="220" t="s">
        <v>20</v>
      </c>
      <c r="AC29" s="163">
        <v>2</v>
      </c>
      <c r="AD29" s="219">
        <v>700</v>
      </c>
      <c r="AE29" s="56">
        <v>300</v>
      </c>
      <c r="AF29" s="56">
        <v>1000</v>
      </c>
      <c r="AG29" s="219">
        <v>1250</v>
      </c>
      <c r="AH29" s="219">
        <v>625</v>
      </c>
    </row>
    <row r="30" spans="9:34">
      <c r="I30" s="220"/>
      <c r="J30" s="215"/>
      <c r="K30" s="164"/>
      <c r="L30" s="163"/>
      <c r="M30" s="163"/>
      <c r="N30" s="163"/>
      <c r="O30" s="163"/>
      <c r="P30" s="163"/>
      <c r="R30" s="220" t="s">
        <v>21</v>
      </c>
      <c r="S30" s="163">
        <v>6</v>
      </c>
      <c r="T30" s="219">
        <v>2580</v>
      </c>
      <c r="U30" s="56">
        <v>0</v>
      </c>
      <c r="V30" s="56">
        <v>2580</v>
      </c>
      <c r="W30" s="219">
        <v>645</v>
      </c>
      <c r="X30" s="219">
        <v>451.5</v>
      </c>
      <c r="AA30" s="215"/>
      <c r="AB30" s="218"/>
      <c r="AC30" s="163"/>
      <c r="AD30" s="219"/>
      <c r="AE30" s="56"/>
      <c r="AF30" s="56"/>
      <c r="AG30" s="219"/>
      <c r="AH30" s="219"/>
    </row>
    <row r="31" spans="9:34">
      <c r="I31" s="220" t="s">
        <v>33</v>
      </c>
      <c r="J31" s="218" t="s">
        <v>26</v>
      </c>
      <c r="K31" s="164">
        <v>22</v>
      </c>
      <c r="L31" s="163">
        <v>9460</v>
      </c>
      <c r="M31" s="163">
        <v>19100</v>
      </c>
      <c r="N31" s="163">
        <v>28560</v>
      </c>
      <c r="O31" s="163">
        <v>35700</v>
      </c>
      <c r="P31" s="163">
        <v>24989.999999999996</v>
      </c>
      <c r="R31" s="220" t="s">
        <v>38</v>
      </c>
      <c r="S31" s="163">
        <v>7.5</v>
      </c>
      <c r="T31" s="219">
        <v>3045</v>
      </c>
      <c r="U31" s="56">
        <v>0</v>
      </c>
      <c r="V31" s="56">
        <v>3045</v>
      </c>
      <c r="W31" s="219">
        <v>3714.9</v>
      </c>
      <c r="X31" s="219">
        <v>2600.4300000000003</v>
      </c>
      <c r="AA31" s="218" t="s">
        <v>31</v>
      </c>
      <c r="AB31" s="218" t="s">
        <v>53</v>
      </c>
      <c r="AC31" s="163">
        <v>301</v>
      </c>
      <c r="AD31" s="219">
        <v>96564</v>
      </c>
      <c r="AE31" s="56">
        <v>2020</v>
      </c>
      <c r="AF31" s="56">
        <v>98584</v>
      </c>
      <c r="AG31" s="219">
        <v>55103.779999999992</v>
      </c>
      <c r="AH31" s="219">
        <v>29500.953999999998</v>
      </c>
    </row>
    <row r="32" spans="9:34">
      <c r="I32" s="215"/>
      <c r="J32" s="220" t="s">
        <v>151</v>
      </c>
      <c r="K32" s="164">
        <v>4</v>
      </c>
      <c r="L32" s="163">
        <v>1720</v>
      </c>
      <c r="M32" s="163">
        <v>17000</v>
      </c>
      <c r="N32" s="163">
        <v>18720</v>
      </c>
      <c r="O32" s="163">
        <v>23400</v>
      </c>
      <c r="P32" s="163">
        <v>16379.999999999998</v>
      </c>
      <c r="R32" s="220" t="s">
        <v>15</v>
      </c>
      <c r="S32" s="163">
        <v>164</v>
      </c>
      <c r="T32" s="219">
        <v>55131</v>
      </c>
      <c r="U32" s="56">
        <v>600</v>
      </c>
      <c r="V32" s="56">
        <v>55731</v>
      </c>
      <c r="W32" s="219">
        <v>19887.75</v>
      </c>
      <c r="X32" s="219">
        <v>9943.875</v>
      </c>
      <c r="AA32" s="215"/>
      <c r="AB32" s="220" t="s">
        <v>21</v>
      </c>
      <c r="AC32" s="163">
        <v>16</v>
      </c>
      <c r="AD32" s="219">
        <v>6880</v>
      </c>
      <c r="AE32" s="56">
        <v>0</v>
      </c>
      <c r="AF32" s="56">
        <v>6880</v>
      </c>
      <c r="AG32" s="219">
        <v>8600</v>
      </c>
      <c r="AH32" s="219">
        <v>6020</v>
      </c>
    </row>
    <row r="33" spans="9:34">
      <c r="I33" s="215"/>
      <c r="J33" s="220" t="s">
        <v>153</v>
      </c>
      <c r="K33" s="164">
        <v>18</v>
      </c>
      <c r="L33" s="163">
        <v>7740</v>
      </c>
      <c r="M33" s="163">
        <v>2100</v>
      </c>
      <c r="N33" s="163">
        <v>9840</v>
      </c>
      <c r="O33" s="163">
        <v>12300</v>
      </c>
      <c r="P33" s="163">
        <v>8609.9999999999982</v>
      </c>
      <c r="R33" s="220" t="s">
        <v>79</v>
      </c>
      <c r="S33" s="163">
        <v>42</v>
      </c>
      <c r="T33" s="219">
        <v>14686</v>
      </c>
      <c r="U33" s="56">
        <v>1500</v>
      </c>
      <c r="V33" s="56">
        <v>16186</v>
      </c>
      <c r="W33" s="219">
        <v>8681.760000000002</v>
      </c>
      <c r="X33" s="219">
        <v>4340.880000000001</v>
      </c>
      <c r="AA33" s="215"/>
      <c r="AB33" s="220" t="s">
        <v>38</v>
      </c>
      <c r="AC33" s="163">
        <v>1</v>
      </c>
      <c r="AD33" s="219">
        <v>406</v>
      </c>
      <c r="AE33" s="56">
        <v>0</v>
      </c>
      <c r="AF33" s="56">
        <v>406</v>
      </c>
      <c r="AG33" s="219">
        <v>495.32</v>
      </c>
      <c r="AH33" s="219">
        <v>346.72399999999999</v>
      </c>
    </row>
    <row r="34" spans="9:34">
      <c r="I34" s="220"/>
      <c r="J34" s="215"/>
      <c r="K34" s="164"/>
      <c r="L34" s="163"/>
      <c r="M34" s="163"/>
      <c r="N34" s="163"/>
      <c r="O34" s="163"/>
      <c r="P34" s="163"/>
      <c r="R34" s="220" t="s">
        <v>16</v>
      </c>
      <c r="S34" s="163"/>
      <c r="T34" s="219">
        <v>0</v>
      </c>
      <c r="U34" s="56">
        <v>2860</v>
      </c>
      <c r="V34" s="56">
        <v>2860</v>
      </c>
      <c r="W34" s="219">
        <v>3575</v>
      </c>
      <c r="X34" s="219">
        <v>2502.4999999999995</v>
      </c>
      <c r="AA34" s="215"/>
      <c r="AB34" s="220" t="s">
        <v>15</v>
      </c>
      <c r="AC34" s="163">
        <v>58</v>
      </c>
      <c r="AD34" s="219">
        <v>20846</v>
      </c>
      <c r="AE34" s="56">
        <v>600</v>
      </c>
      <c r="AF34" s="56">
        <v>21446</v>
      </c>
      <c r="AG34" s="219">
        <v>14271.5</v>
      </c>
      <c r="AH34" s="219">
        <v>7135.75</v>
      </c>
    </row>
    <row r="35" spans="9:34">
      <c r="I35" s="220" t="s">
        <v>34</v>
      </c>
      <c r="J35" s="218" t="s">
        <v>27</v>
      </c>
      <c r="K35" s="164">
        <v>10</v>
      </c>
      <c r="L35" s="163">
        <v>4300</v>
      </c>
      <c r="M35" s="163">
        <v>1500</v>
      </c>
      <c r="N35" s="163">
        <v>5800</v>
      </c>
      <c r="O35" s="163">
        <v>7250</v>
      </c>
      <c r="P35" s="163">
        <v>5075</v>
      </c>
      <c r="R35" s="220" t="s">
        <v>17</v>
      </c>
      <c r="S35" s="163">
        <v>123</v>
      </c>
      <c r="T35" s="219">
        <v>59520</v>
      </c>
      <c r="U35" s="56">
        <v>4500</v>
      </c>
      <c r="V35" s="56">
        <v>64020</v>
      </c>
      <c r="W35" s="219">
        <v>17927.600000000002</v>
      </c>
      <c r="X35" s="219">
        <v>8963.8000000000011</v>
      </c>
      <c r="AA35" s="215"/>
      <c r="AB35" s="220" t="s">
        <v>16</v>
      </c>
      <c r="AC35" s="163"/>
      <c r="AD35" s="219">
        <v>0</v>
      </c>
      <c r="AE35" s="56">
        <v>520</v>
      </c>
      <c r="AF35" s="56">
        <v>520</v>
      </c>
      <c r="AG35" s="219">
        <v>650</v>
      </c>
      <c r="AH35" s="219">
        <v>454.99999999999994</v>
      </c>
    </row>
    <row r="36" spans="9:34">
      <c r="I36" s="215"/>
      <c r="J36" s="220" t="s">
        <v>63</v>
      </c>
      <c r="K36" s="164">
        <v>6</v>
      </c>
      <c r="L36" s="163">
        <v>2580</v>
      </c>
      <c r="M36" s="163">
        <v>900</v>
      </c>
      <c r="N36" s="163">
        <v>3480</v>
      </c>
      <c r="O36" s="163">
        <v>4350</v>
      </c>
      <c r="P36" s="163">
        <v>3045</v>
      </c>
      <c r="R36" s="220" t="s">
        <v>22</v>
      </c>
      <c r="S36" s="163">
        <v>7</v>
      </c>
      <c r="T36" s="219">
        <v>2660</v>
      </c>
      <c r="U36" s="56">
        <v>0</v>
      </c>
      <c r="V36" s="56">
        <v>2660</v>
      </c>
      <c r="W36" s="219">
        <v>3192</v>
      </c>
      <c r="X36" s="219">
        <v>1596</v>
      </c>
      <c r="AA36" s="215"/>
      <c r="AB36" s="220" t="s">
        <v>17</v>
      </c>
      <c r="AC36" s="163">
        <v>219</v>
      </c>
      <c r="AD36" s="219">
        <v>65772</v>
      </c>
      <c r="AE36" s="56">
        <v>900</v>
      </c>
      <c r="AF36" s="56">
        <v>66672</v>
      </c>
      <c r="AG36" s="219">
        <v>27894.959999999992</v>
      </c>
      <c r="AH36" s="219">
        <v>13947.479999999996</v>
      </c>
    </row>
    <row r="37" spans="9:34">
      <c r="I37" s="215"/>
      <c r="J37" s="220" t="s">
        <v>64</v>
      </c>
      <c r="K37" s="164">
        <v>2</v>
      </c>
      <c r="L37" s="163">
        <v>860</v>
      </c>
      <c r="M37" s="163">
        <v>300</v>
      </c>
      <c r="N37" s="163">
        <v>1160</v>
      </c>
      <c r="O37" s="163">
        <v>1450</v>
      </c>
      <c r="P37" s="163">
        <v>1015</v>
      </c>
      <c r="R37" s="218"/>
      <c r="S37" s="163"/>
      <c r="T37" s="219"/>
      <c r="U37" s="56"/>
      <c r="V37" s="56"/>
      <c r="W37" s="219"/>
      <c r="X37" s="219"/>
      <c r="AA37" s="215"/>
      <c r="AB37" s="220" t="s">
        <v>22</v>
      </c>
      <c r="AC37" s="163">
        <v>7</v>
      </c>
      <c r="AD37" s="219">
        <v>2660</v>
      </c>
      <c r="AE37" s="56">
        <v>0</v>
      </c>
      <c r="AF37" s="56">
        <v>2660</v>
      </c>
      <c r="AG37" s="219">
        <v>3192</v>
      </c>
      <c r="AH37" s="219">
        <v>1596</v>
      </c>
    </row>
    <row r="38" spans="9:34">
      <c r="I38" s="215"/>
      <c r="J38" s="220" t="s">
        <v>65</v>
      </c>
      <c r="K38" s="164">
        <v>2</v>
      </c>
      <c r="L38" s="163">
        <v>860</v>
      </c>
      <c r="M38" s="163">
        <v>300</v>
      </c>
      <c r="N38" s="163">
        <v>1160</v>
      </c>
      <c r="O38" s="163">
        <v>1450</v>
      </c>
      <c r="P38" s="163">
        <v>1015</v>
      </c>
      <c r="R38" s="218" t="s">
        <v>33</v>
      </c>
      <c r="S38" s="163">
        <v>1140</v>
      </c>
      <c r="T38" s="219">
        <v>255887</v>
      </c>
      <c r="U38" s="56">
        <v>57140</v>
      </c>
      <c r="V38" s="56">
        <v>313027</v>
      </c>
      <c r="W38" s="219">
        <v>257136.74</v>
      </c>
      <c r="X38" s="219">
        <v>136562.75399999999</v>
      </c>
      <c r="AA38" s="215"/>
      <c r="AB38" s="218"/>
      <c r="AC38" s="163"/>
      <c r="AD38" s="219"/>
      <c r="AE38" s="56"/>
      <c r="AF38" s="56"/>
      <c r="AG38" s="219"/>
      <c r="AH38" s="219"/>
    </row>
    <row r="39" spans="9:34">
      <c r="I39" s="220"/>
      <c r="J39" s="215"/>
      <c r="K39" s="164"/>
      <c r="L39" s="163"/>
      <c r="M39" s="163"/>
      <c r="N39" s="163"/>
      <c r="O39" s="163"/>
      <c r="P39" s="163"/>
      <c r="R39" s="220" t="s">
        <v>21</v>
      </c>
      <c r="S39" s="163">
        <v>22</v>
      </c>
      <c r="T39" s="219">
        <v>9460</v>
      </c>
      <c r="U39" s="56">
        <v>19100</v>
      </c>
      <c r="V39" s="56">
        <v>28560</v>
      </c>
      <c r="W39" s="219">
        <v>35700</v>
      </c>
      <c r="X39" s="219">
        <v>24989.999999999996</v>
      </c>
      <c r="AA39" s="215"/>
      <c r="AB39" s="218" t="s">
        <v>63</v>
      </c>
      <c r="AC39" s="163">
        <v>8</v>
      </c>
      <c r="AD39" s="219">
        <v>2884</v>
      </c>
      <c r="AE39" s="56">
        <v>600</v>
      </c>
      <c r="AF39" s="56">
        <v>3484</v>
      </c>
      <c r="AG39" s="219">
        <v>1157.44</v>
      </c>
      <c r="AH39" s="219">
        <v>578.72</v>
      </c>
    </row>
    <row r="40" spans="9:34">
      <c r="I40" s="218" t="s">
        <v>38</v>
      </c>
      <c r="J40" s="215"/>
      <c r="K40" s="164">
        <v>179</v>
      </c>
      <c r="L40" s="163">
        <v>63086</v>
      </c>
      <c r="M40" s="163">
        <v>14550</v>
      </c>
      <c r="N40" s="163">
        <v>77636</v>
      </c>
      <c r="O40" s="163">
        <v>94715.92</v>
      </c>
      <c r="P40" s="163">
        <v>66301.143999999986</v>
      </c>
      <c r="R40" s="220" t="s">
        <v>38</v>
      </c>
      <c r="S40" s="163">
        <v>6</v>
      </c>
      <c r="T40" s="219">
        <v>2436</v>
      </c>
      <c r="U40" s="56">
        <v>0</v>
      </c>
      <c r="V40" s="56">
        <v>2436</v>
      </c>
      <c r="W40" s="219">
        <v>2971.92</v>
      </c>
      <c r="X40" s="219">
        <v>2080.3440000000001</v>
      </c>
      <c r="AA40" s="215"/>
      <c r="AB40" s="220" t="s">
        <v>79</v>
      </c>
      <c r="AC40" s="163">
        <v>8</v>
      </c>
      <c r="AD40" s="219">
        <v>2884</v>
      </c>
      <c r="AE40" s="56">
        <v>600</v>
      </c>
      <c r="AF40" s="56">
        <v>3484</v>
      </c>
      <c r="AG40" s="219">
        <v>1157.44</v>
      </c>
      <c r="AH40" s="219">
        <v>578.72</v>
      </c>
    </row>
    <row r="41" spans="9:34">
      <c r="I41" s="220" t="s">
        <v>30</v>
      </c>
      <c r="J41" s="218" t="s">
        <v>24</v>
      </c>
      <c r="K41" s="164">
        <v>55.5</v>
      </c>
      <c r="L41" s="163">
        <v>19218</v>
      </c>
      <c r="M41" s="163">
        <v>900</v>
      </c>
      <c r="N41" s="163">
        <v>20118</v>
      </c>
      <c r="O41" s="163">
        <v>24543.96</v>
      </c>
      <c r="P41" s="163">
        <v>17180.772000000001</v>
      </c>
      <c r="R41" s="220" t="s">
        <v>15</v>
      </c>
      <c r="S41" s="163">
        <v>403</v>
      </c>
      <c r="T41" s="219">
        <v>78694</v>
      </c>
      <c r="U41" s="56">
        <v>15000</v>
      </c>
      <c r="V41" s="56">
        <v>93694</v>
      </c>
      <c r="W41" s="219">
        <v>74293.5</v>
      </c>
      <c r="X41" s="219">
        <v>37146.75</v>
      </c>
      <c r="AA41" s="215"/>
      <c r="AB41" s="218"/>
      <c r="AC41" s="163"/>
      <c r="AD41" s="219"/>
      <c r="AE41" s="56"/>
      <c r="AF41" s="56"/>
      <c r="AG41" s="219"/>
      <c r="AH41" s="219"/>
    </row>
    <row r="42" spans="9:34">
      <c r="I42" s="215"/>
      <c r="J42" s="220" t="s">
        <v>50</v>
      </c>
      <c r="K42" s="164">
        <v>28.5</v>
      </c>
      <c r="L42" s="163">
        <v>9582</v>
      </c>
      <c r="M42" s="163">
        <v>0</v>
      </c>
      <c r="N42" s="163">
        <v>9582</v>
      </c>
      <c r="O42" s="163">
        <v>11690.04</v>
      </c>
      <c r="P42" s="163">
        <v>8183.0280000000012</v>
      </c>
      <c r="R42" s="220" t="s">
        <v>79</v>
      </c>
      <c r="S42" s="163">
        <v>242</v>
      </c>
      <c r="T42" s="219">
        <v>49267</v>
      </c>
      <c r="U42" s="56">
        <v>0</v>
      </c>
      <c r="V42" s="56">
        <v>49267</v>
      </c>
      <c r="W42" s="219">
        <v>36256.720000000001</v>
      </c>
      <c r="X42" s="219">
        <v>18128.36</v>
      </c>
      <c r="AA42" s="215"/>
      <c r="AB42" s="218" t="s">
        <v>54</v>
      </c>
      <c r="AC42" s="163">
        <v>39</v>
      </c>
      <c r="AD42" s="219">
        <v>15265</v>
      </c>
      <c r="AE42" s="56">
        <v>1760</v>
      </c>
      <c r="AF42" s="56">
        <v>17025</v>
      </c>
      <c r="AG42" s="219">
        <v>21112.560000000001</v>
      </c>
      <c r="AH42" s="219">
        <v>14428.791999999999</v>
      </c>
    </row>
    <row r="43" spans="9:34">
      <c r="I43" s="215"/>
      <c r="J43" s="220" t="s">
        <v>51</v>
      </c>
      <c r="K43" s="164">
        <v>25</v>
      </c>
      <c r="L43" s="163">
        <v>8824</v>
      </c>
      <c r="M43" s="163">
        <v>600</v>
      </c>
      <c r="N43" s="163">
        <v>9424</v>
      </c>
      <c r="O43" s="163">
        <v>11497.28</v>
      </c>
      <c r="P43" s="163">
        <v>8048.0959999999995</v>
      </c>
      <c r="R43" s="220" t="s">
        <v>16</v>
      </c>
      <c r="S43" s="163"/>
      <c r="T43" s="219">
        <v>0</v>
      </c>
      <c r="U43" s="56">
        <v>1040</v>
      </c>
      <c r="V43" s="56">
        <v>1040</v>
      </c>
      <c r="W43" s="219">
        <v>1300</v>
      </c>
      <c r="X43" s="219">
        <v>909.99999999999989</v>
      </c>
      <c r="AA43" s="215"/>
      <c r="AB43" s="220" t="s">
        <v>18</v>
      </c>
      <c r="AC43" s="163">
        <v>7</v>
      </c>
      <c r="AD43" s="219">
        <v>3430</v>
      </c>
      <c r="AE43" s="56">
        <v>900</v>
      </c>
      <c r="AF43" s="56">
        <v>4330</v>
      </c>
      <c r="AG43" s="219">
        <v>5412.5</v>
      </c>
      <c r="AH43" s="219">
        <v>3788.75</v>
      </c>
    </row>
    <row r="44" spans="9:34">
      <c r="I44" s="215"/>
      <c r="J44" s="220" t="s">
        <v>52</v>
      </c>
      <c r="K44" s="164">
        <v>2</v>
      </c>
      <c r="L44" s="163">
        <v>812</v>
      </c>
      <c r="M44" s="163">
        <v>300</v>
      </c>
      <c r="N44" s="163">
        <v>1112</v>
      </c>
      <c r="O44" s="163">
        <v>1356.64</v>
      </c>
      <c r="P44" s="163">
        <v>949.64800000000002</v>
      </c>
      <c r="R44" s="220" t="s">
        <v>17</v>
      </c>
      <c r="S44" s="163">
        <v>375</v>
      </c>
      <c r="T44" s="219">
        <v>89070</v>
      </c>
      <c r="U44" s="56">
        <v>15000</v>
      </c>
      <c r="V44" s="56">
        <v>104070</v>
      </c>
      <c r="W44" s="219">
        <v>65862.599999999991</v>
      </c>
      <c r="X44" s="219">
        <v>32931.299999999996</v>
      </c>
      <c r="AA44" s="215"/>
      <c r="AB44" s="220" t="s">
        <v>21</v>
      </c>
      <c r="AC44" s="163">
        <v>6</v>
      </c>
      <c r="AD44" s="219">
        <v>2580</v>
      </c>
      <c r="AE44" s="56">
        <v>300</v>
      </c>
      <c r="AF44" s="56">
        <v>2880</v>
      </c>
      <c r="AG44" s="219">
        <v>3600</v>
      </c>
      <c r="AH44" s="219">
        <v>2520</v>
      </c>
    </row>
    <row r="45" spans="9:34">
      <c r="I45" s="220"/>
      <c r="J45" s="215"/>
      <c r="K45" s="164"/>
      <c r="L45" s="163"/>
      <c r="M45" s="163"/>
      <c r="N45" s="163"/>
      <c r="O45" s="163"/>
      <c r="P45" s="163"/>
      <c r="R45" s="220" t="s">
        <v>22</v>
      </c>
      <c r="S45" s="163">
        <v>92</v>
      </c>
      <c r="T45" s="219">
        <v>26960</v>
      </c>
      <c r="U45" s="56">
        <v>7000</v>
      </c>
      <c r="V45" s="56">
        <v>33960</v>
      </c>
      <c r="W45" s="219">
        <v>40752</v>
      </c>
      <c r="X45" s="219">
        <v>20376</v>
      </c>
      <c r="AA45" s="215"/>
      <c r="AB45" s="220" t="s">
        <v>38</v>
      </c>
      <c r="AC45" s="163">
        <v>16</v>
      </c>
      <c r="AD45" s="219">
        <v>5323</v>
      </c>
      <c r="AE45" s="56">
        <v>300</v>
      </c>
      <c r="AF45" s="56">
        <v>5623</v>
      </c>
      <c r="AG45" s="219">
        <v>6860.06</v>
      </c>
      <c r="AH45" s="219">
        <v>4802.0419999999995</v>
      </c>
    </row>
    <row r="46" spans="9:34">
      <c r="I46" s="220" t="s">
        <v>31</v>
      </c>
      <c r="J46" s="218" t="s">
        <v>23</v>
      </c>
      <c r="K46" s="164">
        <v>30</v>
      </c>
      <c r="L46" s="163">
        <v>10293</v>
      </c>
      <c r="M46" s="163">
        <v>600</v>
      </c>
      <c r="N46" s="163">
        <v>10893</v>
      </c>
      <c r="O46" s="163">
        <v>13289.46</v>
      </c>
      <c r="P46" s="163">
        <v>9302.6219999999994</v>
      </c>
      <c r="R46" s="218"/>
      <c r="S46" s="163"/>
      <c r="T46" s="219"/>
      <c r="U46" s="56"/>
      <c r="V46" s="56"/>
      <c r="W46" s="219"/>
      <c r="X46" s="219"/>
      <c r="AA46" s="215"/>
      <c r="AB46" s="220" t="s">
        <v>135</v>
      </c>
      <c r="AC46" s="163">
        <v>6</v>
      </c>
      <c r="AD46" s="219">
        <v>2532</v>
      </c>
      <c r="AE46" s="56">
        <v>0</v>
      </c>
      <c r="AF46" s="56">
        <v>2532</v>
      </c>
      <c r="AG46" s="219">
        <v>3165</v>
      </c>
      <c r="AH46" s="219">
        <v>2215.5</v>
      </c>
    </row>
    <row r="47" spans="9:34">
      <c r="I47" s="215"/>
      <c r="J47" s="220" t="s">
        <v>53</v>
      </c>
      <c r="K47" s="164">
        <v>1</v>
      </c>
      <c r="L47" s="163">
        <v>406</v>
      </c>
      <c r="M47" s="163">
        <v>0</v>
      </c>
      <c r="N47" s="163">
        <v>406</v>
      </c>
      <c r="O47" s="163">
        <v>495.32</v>
      </c>
      <c r="P47" s="163">
        <v>346.72399999999999</v>
      </c>
      <c r="R47" s="218" t="s">
        <v>34</v>
      </c>
      <c r="S47" s="163">
        <v>174.5</v>
      </c>
      <c r="T47" s="219">
        <v>71096</v>
      </c>
      <c r="U47" s="56">
        <v>30360</v>
      </c>
      <c r="V47" s="56">
        <v>101456</v>
      </c>
      <c r="W47" s="219">
        <v>97051.290000000008</v>
      </c>
      <c r="X47" s="219">
        <v>60352.994999999995</v>
      </c>
      <c r="AA47" s="215"/>
      <c r="AB47" s="220" t="s">
        <v>16</v>
      </c>
      <c r="AC47" s="163"/>
      <c r="AD47" s="219">
        <v>0</v>
      </c>
      <c r="AE47" s="56">
        <v>260</v>
      </c>
      <c r="AF47" s="56">
        <v>260</v>
      </c>
      <c r="AG47" s="219">
        <v>325</v>
      </c>
      <c r="AH47" s="219">
        <v>227.49999999999997</v>
      </c>
    </row>
    <row r="48" spans="9:34">
      <c r="I48" s="215"/>
      <c r="J48" s="220" t="s">
        <v>54</v>
      </c>
      <c r="K48" s="164">
        <v>16</v>
      </c>
      <c r="L48" s="163">
        <v>5323</v>
      </c>
      <c r="M48" s="163">
        <v>300</v>
      </c>
      <c r="N48" s="163">
        <v>5623</v>
      </c>
      <c r="O48" s="163">
        <v>6860.06</v>
      </c>
      <c r="P48" s="163">
        <v>4802.0419999999995</v>
      </c>
      <c r="R48" s="220" t="s">
        <v>18</v>
      </c>
      <c r="S48" s="163">
        <v>16.5</v>
      </c>
      <c r="T48" s="219">
        <v>8085</v>
      </c>
      <c r="U48" s="56">
        <v>750</v>
      </c>
      <c r="V48" s="56">
        <v>8835</v>
      </c>
      <c r="W48" s="219">
        <v>11043.75</v>
      </c>
      <c r="X48" s="219">
        <v>7730.625</v>
      </c>
      <c r="AA48" s="215"/>
      <c r="AB48" s="220" t="s">
        <v>19</v>
      </c>
      <c r="AC48" s="163">
        <v>4</v>
      </c>
      <c r="AD48" s="219">
        <v>1400</v>
      </c>
      <c r="AE48" s="56">
        <v>0</v>
      </c>
      <c r="AF48" s="56">
        <v>1400</v>
      </c>
      <c r="AG48" s="219">
        <v>1750</v>
      </c>
      <c r="AH48" s="219">
        <v>875</v>
      </c>
    </row>
    <row r="49" spans="9:34">
      <c r="I49" s="215"/>
      <c r="J49" s="220" t="s">
        <v>57</v>
      </c>
      <c r="K49" s="164">
        <v>1</v>
      </c>
      <c r="L49" s="163">
        <v>406</v>
      </c>
      <c r="M49" s="163">
        <v>0</v>
      </c>
      <c r="N49" s="163">
        <v>406</v>
      </c>
      <c r="O49" s="163">
        <v>495.32</v>
      </c>
      <c r="P49" s="163">
        <v>346.72399999999999</v>
      </c>
      <c r="R49" s="220" t="s">
        <v>21</v>
      </c>
      <c r="S49" s="163">
        <v>10</v>
      </c>
      <c r="T49" s="219">
        <v>4300</v>
      </c>
      <c r="U49" s="56">
        <v>1500</v>
      </c>
      <c r="V49" s="56">
        <v>5800</v>
      </c>
      <c r="W49" s="219">
        <v>7250</v>
      </c>
      <c r="X49" s="219">
        <v>5075</v>
      </c>
      <c r="AA49" s="215"/>
      <c r="AB49" s="218"/>
      <c r="AC49" s="163"/>
      <c r="AD49" s="219"/>
      <c r="AE49" s="56"/>
      <c r="AF49" s="56"/>
      <c r="AG49" s="219"/>
      <c r="AH49" s="219"/>
    </row>
    <row r="50" spans="9:34">
      <c r="I50" s="215"/>
      <c r="J50" s="220" t="s">
        <v>55</v>
      </c>
      <c r="K50" s="164">
        <v>2</v>
      </c>
      <c r="L50" s="163">
        <v>812</v>
      </c>
      <c r="M50" s="163">
        <v>0</v>
      </c>
      <c r="N50" s="163">
        <v>812</v>
      </c>
      <c r="O50" s="163">
        <v>990.64</v>
      </c>
      <c r="P50" s="163">
        <v>693.44799999999998</v>
      </c>
      <c r="R50" s="220" t="s">
        <v>38</v>
      </c>
      <c r="S50" s="163">
        <v>29</v>
      </c>
      <c r="T50" s="219">
        <v>10550</v>
      </c>
      <c r="U50" s="56">
        <v>600</v>
      </c>
      <c r="V50" s="56">
        <v>11150</v>
      </c>
      <c r="W50" s="219">
        <v>13603</v>
      </c>
      <c r="X50" s="219">
        <v>9522.1</v>
      </c>
      <c r="AA50" s="215"/>
      <c r="AB50" s="218" t="s">
        <v>64</v>
      </c>
      <c r="AC50" s="163">
        <v>4</v>
      </c>
      <c r="AD50" s="219">
        <v>1784</v>
      </c>
      <c r="AE50" s="56">
        <v>0</v>
      </c>
      <c r="AF50" s="56">
        <v>1784</v>
      </c>
      <c r="AG50" s="219">
        <v>285.44</v>
      </c>
      <c r="AH50" s="219">
        <v>142.72</v>
      </c>
    </row>
    <row r="51" spans="9:34">
      <c r="I51" s="215"/>
      <c r="J51" s="220" t="s">
        <v>56</v>
      </c>
      <c r="K51" s="164">
        <v>10</v>
      </c>
      <c r="L51" s="163">
        <v>3346</v>
      </c>
      <c r="M51" s="163">
        <v>300</v>
      </c>
      <c r="N51" s="163">
        <v>3646</v>
      </c>
      <c r="O51" s="163">
        <v>4448.12</v>
      </c>
      <c r="P51" s="163">
        <v>3113.6840000000002</v>
      </c>
      <c r="R51" s="220" t="s">
        <v>15</v>
      </c>
      <c r="S51" s="163">
        <v>12</v>
      </c>
      <c r="T51" s="219">
        <v>7840</v>
      </c>
      <c r="U51" s="56">
        <v>300</v>
      </c>
      <c r="V51" s="56">
        <v>8140</v>
      </c>
      <c r="W51" s="219">
        <v>2335</v>
      </c>
      <c r="X51" s="219">
        <v>1167.5</v>
      </c>
      <c r="AA51" s="215"/>
      <c r="AB51" s="220" t="s">
        <v>79</v>
      </c>
      <c r="AC51" s="163">
        <v>4</v>
      </c>
      <c r="AD51" s="219">
        <v>1784</v>
      </c>
      <c r="AE51" s="56">
        <v>0</v>
      </c>
      <c r="AF51" s="56">
        <v>1784</v>
      </c>
      <c r="AG51" s="219">
        <v>285.44</v>
      </c>
      <c r="AH51" s="219">
        <v>142.72</v>
      </c>
    </row>
    <row r="52" spans="9:34">
      <c r="I52" s="220"/>
      <c r="J52" s="215"/>
      <c r="K52" s="164"/>
      <c r="L52" s="163"/>
      <c r="M52" s="163"/>
      <c r="N52" s="163"/>
      <c r="O52" s="163"/>
      <c r="P52" s="163"/>
      <c r="R52" s="220" t="s">
        <v>79</v>
      </c>
      <c r="S52" s="163">
        <v>19</v>
      </c>
      <c r="T52" s="219">
        <v>7619</v>
      </c>
      <c r="U52" s="56">
        <v>2100</v>
      </c>
      <c r="V52" s="56">
        <v>9719</v>
      </c>
      <c r="W52" s="219">
        <v>3655.0399999999995</v>
      </c>
      <c r="X52" s="219">
        <v>1827.5199999999998</v>
      </c>
      <c r="AA52" s="215"/>
      <c r="AB52" s="218"/>
      <c r="AC52" s="163"/>
      <c r="AD52" s="219"/>
      <c r="AE52" s="56"/>
      <c r="AF52" s="56"/>
      <c r="AG52" s="219"/>
      <c r="AH52" s="219"/>
    </row>
    <row r="53" spans="9:34">
      <c r="I53" s="220" t="s">
        <v>32</v>
      </c>
      <c r="J53" s="218" t="s">
        <v>25</v>
      </c>
      <c r="K53" s="164">
        <v>7.5</v>
      </c>
      <c r="L53" s="163">
        <v>3045</v>
      </c>
      <c r="M53" s="163">
        <v>0</v>
      </c>
      <c r="N53" s="163">
        <v>3045</v>
      </c>
      <c r="O53" s="163">
        <v>3714.8999999999996</v>
      </c>
      <c r="P53" s="163">
        <v>2600.4299999999998</v>
      </c>
      <c r="R53" s="220" t="s">
        <v>135</v>
      </c>
      <c r="S53" s="163">
        <v>6</v>
      </c>
      <c r="T53" s="219">
        <v>2532</v>
      </c>
      <c r="U53" s="56">
        <v>450</v>
      </c>
      <c r="V53" s="56">
        <v>2982</v>
      </c>
      <c r="W53" s="219">
        <v>3727.5</v>
      </c>
      <c r="X53" s="219">
        <v>2609.25</v>
      </c>
      <c r="AA53" s="215"/>
      <c r="AB53" s="218" t="s">
        <v>57</v>
      </c>
      <c r="AC53" s="163">
        <v>3</v>
      </c>
      <c r="AD53" s="219">
        <v>1106</v>
      </c>
      <c r="AE53" s="56">
        <v>520</v>
      </c>
      <c r="AF53" s="56">
        <v>1626</v>
      </c>
      <c r="AG53" s="219">
        <v>2020.32</v>
      </c>
      <c r="AH53" s="219">
        <v>1239.2239999999999</v>
      </c>
    </row>
    <row r="54" spans="9:34">
      <c r="I54" s="215"/>
      <c r="J54" s="220" t="s">
        <v>60</v>
      </c>
      <c r="K54" s="164">
        <v>2.5</v>
      </c>
      <c r="L54" s="163">
        <v>1015</v>
      </c>
      <c r="M54" s="163">
        <v>0</v>
      </c>
      <c r="N54" s="163">
        <v>1015</v>
      </c>
      <c r="O54" s="163">
        <v>1238.3</v>
      </c>
      <c r="P54" s="163">
        <v>866.81</v>
      </c>
      <c r="R54" s="220" t="s">
        <v>16</v>
      </c>
      <c r="S54" s="163"/>
      <c r="T54" s="219">
        <v>0</v>
      </c>
      <c r="U54" s="56">
        <v>18810</v>
      </c>
      <c r="V54" s="56">
        <v>18810</v>
      </c>
      <c r="W54" s="219">
        <v>23512.5</v>
      </c>
      <c r="X54" s="219">
        <v>16458.75</v>
      </c>
      <c r="AA54" s="215"/>
      <c r="AB54" s="220" t="s">
        <v>38</v>
      </c>
      <c r="AC54" s="163">
        <v>1</v>
      </c>
      <c r="AD54" s="219">
        <v>406</v>
      </c>
      <c r="AE54" s="56">
        <v>0</v>
      </c>
      <c r="AF54" s="56">
        <v>406</v>
      </c>
      <c r="AG54" s="219">
        <v>495.32</v>
      </c>
      <c r="AH54" s="219">
        <v>346.72399999999999</v>
      </c>
    </row>
    <row r="55" spans="9:34">
      <c r="I55" s="215"/>
      <c r="J55" s="220" t="s">
        <v>61</v>
      </c>
      <c r="K55" s="164">
        <v>1</v>
      </c>
      <c r="L55" s="163">
        <v>406</v>
      </c>
      <c r="M55" s="163">
        <v>0</v>
      </c>
      <c r="N55" s="163">
        <v>406</v>
      </c>
      <c r="O55" s="163">
        <v>495.32</v>
      </c>
      <c r="P55" s="163">
        <v>346.72399999999999</v>
      </c>
      <c r="R55" s="220" t="s">
        <v>17</v>
      </c>
      <c r="S55" s="163">
        <v>30</v>
      </c>
      <c r="T55" s="219">
        <v>11850</v>
      </c>
      <c r="U55" s="56">
        <v>4500</v>
      </c>
      <c r="V55" s="56">
        <v>16350</v>
      </c>
      <c r="W55" s="219">
        <v>7443</v>
      </c>
      <c r="X55" s="219">
        <v>3721.5</v>
      </c>
      <c r="AA55" s="215"/>
      <c r="AB55" s="220" t="s">
        <v>16</v>
      </c>
      <c r="AC55" s="163"/>
      <c r="AD55" s="219">
        <v>0</v>
      </c>
      <c r="AE55" s="56">
        <v>520</v>
      </c>
      <c r="AF55" s="56">
        <v>520</v>
      </c>
      <c r="AG55" s="219">
        <v>650</v>
      </c>
      <c r="AH55" s="219">
        <v>454.99999999999994</v>
      </c>
    </row>
    <row r="56" spans="9:34">
      <c r="I56" s="215"/>
      <c r="J56" s="220" t="s">
        <v>62</v>
      </c>
      <c r="K56" s="164">
        <v>4</v>
      </c>
      <c r="L56" s="163">
        <v>1624</v>
      </c>
      <c r="M56" s="163">
        <v>0</v>
      </c>
      <c r="N56" s="163">
        <v>1624</v>
      </c>
      <c r="O56" s="163">
        <v>1981.28</v>
      </c>
      <c r="P56" s="163">
        <v>1386.896</v>
      </c>
      <c r="R56" s="220" t="s">
        <v>19</v>
      </c>
      <c r="S56" s="163">
        <v>33</v>
      </c>
      <c r="T56" s="219">
        <v>11550</v>
      </c>
      <c r="U56" s="56">
        <v>450</v>
      </c>
      <c r="V56" s="56">
        <v>12000</v>
      </c>
      <c r="W56" s="219">
        <v>15000</v>
      </c>
      <c r="X56" s="219">
        <v>7500</v>
      </c>
      <c r="AA56" s="215"/>
      <c r="AB56" s="220" t="s">
        <v>19</v>
      </c>
      <c r="AC56" s="163">
        <v>2</v>
      </c>
      <c r="AD56" s="219">
        <v>700</v>
      </c>
      <c r="AE56" s="56">
        <v>0</v>
      </c>
      <c r="AF56" s="56">
        <v>700</v>
      </c>
      <c r="AG56" s="219">
        <v>875</v>
      </c>
      <c r="AH56" s="219">
        <v>437.5</v>
      </c>
    </row>
    <row r="57" spans="9:34">
      <c r="I57" s="220"/>
      <c r="J57" s="215"/>
      <c r="K57" s="164"/>
      <c r="L57" s="163"/>
      <c r="M57" s="163"/>
      <c r="N57" s="163"/>
      <c r="O57" s="163"/>
      <c r="P57" s="163"/>
      <c r="R57" s="220" t="s">
        <v>22</v>
      </c>
      <c r="S57" s="163">
        <v>4</v>
      </c>
      <c r="T57" s="219">
        <v>1520</v>
      </c>
      <c r="U57" s="56">
        <v>600</v>
      </c>
      <c r="V57" s="56">
        <v>2120</v>
      </c>
      <c r="W57" s="219">
        <v>2544</v>
      </c>
      <c r="X57" s="219">
        <v>1272</v>
      </c>
      <c r="AA57" s="215"/>
      <c r="AB57" s="218"/>
      <c r="AC57" s="163"/>
      <c r="AD57" s="219"/>
      <c r="AE57" s="56"/>
      <c r="AF57" s="56"/>
      <c r="AG57" s="219"/>
      <c r="AH57" s="219"/>
    </row>
    <row r="58" spans="9:34">
      <c r="I58" s="220" t="s">
        <v>33</v>
      </c>
      <c r="J58" s="218" t="s">
        <v>26</v>
      </c>
      <c r="K58" s="164">
        <v>6</v>
      </c>
      <c r="L58" s="163">
        <v>2436</v>
      </c>
      <c r="M58" s="163">
        <v>0</v>
      </c>
      <c r="N58" s="163">
        <v>2436</v>
      </c>
      <c r="O58" s="163">
        <v>2971.92</v>
      </c>
      <c r="P58" s="163">
        <v>2080.3440000000001</v>
      </c>
      <c r="R58" s="220" t="s">
        <v>20</v>
      </c>
      <c r="S58" s="163">
        <v>15</v>
      </c>
      <c r="T58" s="219">
        <v>5250</v>
      </c>
      <c r="U58" s="56">
        <v>300</v>
      </c>
      <c r="V58" s="56">
        <v>5550</v>
      </c>
      <c r="W58" s="219">
        <v>6937.5</v>
      </c>
      <c r="X58" s="219">
        <v>3468.75</v>
      </c>
      <c r="AA58" s="215"/>
      <c r="AB58" s="218" t="s">
        <v>65</v>
      </c>
      <c r="AC58" s="163">
        <v>22</v>
      </c>
      <c r="AD58" s="219">
        <v>8042</v>
      </c>
      <c r="AE58" s="56">
        <v>0</v>
      </c>
      <c r="AF58" s="56">
        <v>8042</v>
      </c>
      <c r="AG58" s="219">
        <v>6206.7199999999993</v>
      </c>
      <c r="AH58" s="219">
        <v>3103.3599999999997</v>
      </c>
    </row>
    <row r="59" spans="9:34">
      <c r="I59" s="215"/>
      <c r="J59" s="220" t="s">
        <v>151</v>
      </c>
      <c r="K59" s="164">
        <v>1</v>
      </c>
      <c r="L59" s="163">
        <v>406</v>
      </c>
      <c r="M59" s="163">
        <v>0</v>
      </c>
      <c r="N59" s="163">
        <v>406</v>
      </c>
      <c r="O59" s="163">
        <v>495.32</v>
      </c>
      <c r="P59" s="163">
        <v>346.72399999999999</v>
      </c>
      <c r="R59" s="218"/>
      <c r="S59" s="163"/>
      <c r="T59" s="219"/>
      <c r="U59" s="56"/>
      <c r="V59" s="56"/>
      <c r="W59" s="219"/>
      <c r="X59" s="219"/>
      <c r="AA59" s="215"/>
      <c r="AB59" s="220" t="s">
        <v>79</v>
      </c>
      <c r="AC59" s="163">
        <v>22</v>
      </c>
      <c r="AD59" s="219">
        <v>8042</v>
      </c>
      <c r="AE59" s="56">
        <v>0</v>
      </c>
      <c r="AF59" s="56">
        <v>8042</v>
      </c>
      <c r="AG59" s="219">
        <v>6206.7199999999993</v>
      </c>
      <c r="AH59" s="219">
        <v>3103.3599999999997</v>
      </c>
    </row>
    <row r="60" spans="9:34">
      <c r="I60" s="215"/>
      <c r="J60" s="220" t="s">
        <v>153</v>
      </c>
      <c r="K60" s="164">
        <v>5</v>
      </c>
      <c r="L60" s="163">
        <v>2030</v>
      </c>
      <c r="M60" s="163">
        <v>0</v>
      </c>
      <c r="N60" s="163">
        <v>2030</v>
      </c>
      <c r="O60" s="163">
        <v>2476.6</v>
      </c>
      <c r="P60" s="163">
        <v>1733.62</v>
      </c>
      <c r="R60" s="218" t="s">
        <v>35</v>
      </c>
      <c r="S60" s="163">
        <v>251</v>
      </c>
      <c r="T60" s="219">
        <v>90015</v>
      </c>
      <c r="U60" s="56">
        <v>30250</v>
      </c>
      <c r="V60" s="56">
        <v>120265</v>
      </c>
      <c r="W60" s="219">
        <v>96164.17</v>
      </c>
      <c r="X60" s="219">
        <v>59322.621000000006</v>
      </c>
      <c r="AA60" s="215"/>
      <c r="AB60" s="218"/>
      <c r="AC60" s="163"/>
      <c r="AD60" s="219"/>
      <c r="AE60" s="56"/>
      <c r="AF60" s="56"/>
      <c r="AG60" s="219"/>
      <c r="AH60" s="219"/>
    </row>
    <row r="61" spans="9:34">
      <c r="I61" s="220"/>
      <c r="J61" s="215"/>
      <c r="K61" s="164"/>
      <c r="L61" s="163"/>
      <c r="M61" s="163"/>
      <c r="N61" s="163"/>
      <c r="O61" s="163"/>
      <c r="P61" s="163"/>
      <c r="R61" s="220" t="s">
        <v>18</v>
      </c>
      <c r="S61" s="163">
        <v>10</v>
      </c>
      <c r="T61" s="219">
        <v>4900</v>
      </c>
      <c r="U61" s="56">
        <v>1500</v>
      </c>
      <c r="V61" s="56">
        <v>6400</v>
      </c>
      <c r="W61" s="219">
        <v>8000</v>
      </c>
      <c r="X61" s="219">
        <v>5600</v>
      </c>
      <c r="AA61" s="215"/>
      <c r="AB61" s="218" t="s">
        <v>55</v>
      </c>
      <c r="AC61" s="163">
        <v>10</v>
      </c>
      <c r="AD61" s="219">
        <v>3612</v>
      </c>
      <c r="AE61" s="56">
        <v>1040</v>
      </c>
      <c r="AF61" s="56">
        <v>4652</v>
      </c>
      <c r="AG61" s="219">
        <v>5790.6399999999994</v>
      </c>
      <c r="AH61" s="219">
        <v>3353.4479999999999</v>
      </c>
    </row>
    <row r="62" spans="9:34">
      <c r="I62" s="220" t="s">
        <v>34</v>
      </c>
      <c r="J62" s="218" t="s">
        <v>27</v>
      </c>
      <c r="K62" s="164">
        <v>29</v>
      </c>
      <c r="L62" s="163">
        <v>10550</v>
      </c>
      <c r="M62" s="163">
        <v>600</v>
      </c>
      <c r="N62" s="163">
        <v>11150</v>
      </c>
      <c r="O62" s="163">
        <v>13603.000000000002</v>
      </c>
      <c r="P62" s="163">
        <v>9522.1</v>
      </c>
      <c r="R62" s="220" t="s">
        <v>38</v>
      </c>
      <c r="S62" s="163">
        <v>51</v>
      </c>
      <c r="T62" s="219">
        <v>17544</v>
      </c>
      <c r="U62" s="56">
        <v>12450</v>
      </c>
      <c r="V62" s="56">
        <v>29994</v>
      </c>
      <c r="W62" s="219">
        <v>36592.68</v>
      </c>
      <c r="X62" s="219">
        <v>25614.876</v>
      </c>
      <c r="AA62" s="215"/>
      <c r="AB62" s="220" t="s">
        <v>38</v>
      </c>
      <c r="AC62" s="163">
        <v>2</v>
      </c>
      <c r="AD62" s="219">
        <v>812</v>
      </c>
      <c r="AE62" s="56">
        <v>0</v>
      </c>
      <c r="AF62" s="56">
        <v>812</v>
      </c>
      <c r="AG62" s="219">
        <v>990.64</v>
      </c>
      <c r="AH62" s="219">
        <v>693.44799999999998</v>
      </c>
    </row>
    <row r="63" spans="9:34">
      <c r="I63" s="215"/>
      <c r="J63" s="220" t="s">
        <v>63</v>
      </c>
      <c r="K63" s="164">
        <v>22</v>
      </c>
      <c r="L63" s="163">
        <v>7708</v>
      </c>
      <c r="M63" s="163">
        <v>600</v>
      </c>
      <c r="N63" s="163">
        <v>8308</v>
      </c>
      <c r="O63" s="163">
        <v>10135.76</v>
      </c>
      <c r="P63" s="163">
        <v>7095.0320000000002</v>
      </c>
      <c r="R63" s="220" t="s">
        <v>15</v>
      </c>
      <c r="S63" s="163">
        <v>63</v>
      </c>
      <c r="T63" s="219">
        <v>21689</v>
      </c>
      <c r="U63" s="56">
        <v>2700</v>
      </c>
      <c r="V63" s="56">
        <v>24389</v>
      </c>
      <c r="W63" s="219">
        <v>19046.25</v>
      </c>
      <c r="X63" s="219">
        <v>9523.125</v>
      </c>
      <c r="AA63" s="215"/>
      <c r="AB63" s="220" t="s">
        <v>16</v>
      </c>
      <c r="AC63" s="163"/>
      <c r="AD63" s="219">
        <v>0</v>
      </c>
      <c r="AE63" s="56">
        <v>1040</v>
      </c>
      <c r="AF63" s="56">
        <v>1040</v>
      </c>
      <c r="AG63" s="219">
        <v>1300</v>
      </c>
      <c r="AH63" s="219">
        <v>909.99999999999989</v>
      </c>
    </row>
    <row r="64" spans="9:34">
      <c r="I64" s="215"/>
      <c r="J64" s="220" t="s">
        <v>64</v>
      </c>
      <c r="K64" s="164">
        <v>3</v>
      </c>
      <c r="L64" s="163">
        <v>1218</v>
      </c>
      <c r="M64" s="163">
        <v>0</v>
      </c>
      <c r="N64" s="163">
        <v>1218</v>
      </c>
      <c r="O64" s="163">
        <v>1485.96</v>
      </c>
      <c r="P64" s="163">
        <v>1040.172</v>
      </c>
      <c r="R64" s="220" t="s">
        <v>79</v>
      </c>
      <c r="S64" s="163">
        <v>23</v>
      </c>
      <c r="T64" s="219">
        <v>8984</v>
      </c>
      <c r="U64" s="56">
        <v>900</v>
      </c>
      <c r="V64" s="56">
        <v>9884</v>
      </c>
      <c r="W64" s="219">
        <v>4671.4399999999996</v>
      </c>
      <c r="X64" s="219">
        <v>2335.7199999999998</v>
      </c>
      <c r="AA64" s="215"/>
      <c r="AB64" s="220" t="s">
        <v>19</v>
      </c>
      <c r="AC64" s="163">
        <v>4</v>
      </c>
      <c r="AD64" s="219">
        <v>1400</v>
      </c>
      <c r="AE64" s="56">
        <v>0</v>
      </c>
      <c r="AF64" s="56">
        <v>1400</v>
      </c>
      <c r="AG64" s="219">
        <v>1750</v>
      </c>
      <c r="AH64" s="219">
        <v>875</v>
      </c>
    </row>
    <row r="65" spans="9:34">
      <c r="I65" s="215"/>
      <c r="J65" s="220" t="s">
        <v>65</v>
      </c>
      <c r="K65" s="164">
        <v>4</v>
      </c>
      <c r="L65" s="163">
        <v>1624</v>
      </c>
      <c r="M65" s="163">
        <v>0</v>
      </c>
      <c r="N65" s="163">
        <v>1624</v>
      </c>
      <c r="O65" s="163">
        <v>1981.28</v>
      </c>
      <c r="P65" s="163">
        <v>1386.896</v>
      </c>
      <c r="R65" s="220" t="s">
        <v>135</v>
      </c>
      <c r="S65" s="163">
        <v>4</v>
      </c>
      <c r="T65" s="219">
        <v>1688</v>
      </c>
      <c r="U65" s="56">
        <v>600</v>
      </c>
      <c r="V65" s="56">
        <v>2288</v>
      </c>
      <c r="W65" s="219">
        <v>2860</v>
      </c>
      <c r="X65" s="219">
        <v>2002</v>
      </c>
      <c r="AA65" s="215"/>
      <c r="AB65" s="220" t="s">
        <v>20</v>
      </c>
      <c r="AC65" s="163">
        <v>4</v>
      </c>
      <c r="AD65" s="219">
        <v>1400</v>
      </c>
      <c r="AE65" s="56">
        <v>0</v>
      </c>
      <c r="AF65" s="56">
        <v>1400</v>
      </c>
      <c r="AG65" s="219">
        <v>1750</v>
      </c>
      <c r="AH65" s="219">
        <v>875</v>
      </c>
    </row>
    <row r="66" spans="9:34">
      <c r="I66" s="220"/>
      <c r="J66" s="215"/>
      <c r="K66" s="164"/>
      <c r="L66" s="163"/>
      <c r="M66" s="163"/>
      <c r="N66" s="163"/>
      <c r="O66" s="163"/>
      <c r="P66" s="163"/>
      <c r="R66" s="220" t="s">
        <v>16</v>
      </c>
      <c r="S66" s="163"/>
      <c r="T66" s="219">
        <v>0</v>
      </c>
      <c r="U66" s="56">
        <v>7000</v>
      </c>
      <c r="V66" s="56">
        <v>7000</v>
      </c>
      <c r="W66" s="219">
        <v>8750</v>
      </c>
      <c r="X66" s="219">
        <v>6125</v>
      </c>
      <c r="AA66" s="215"/>
      <c r="AB66" s="218"/>
      <c r="AC66" s="163"/>
      <c r="AD66" s="219"/>
      <c r="AE66" s="56"/>
      <c r="AF66" s="56"/>
      <c r="AG66" s="219"/>
      <c r="AH66" s="219"/>
    </row>
    <row r="67" spans="9:34">
      <c r="I67" s="220" t="s">
        <v>35</v>
      </c>
      <c r="J67" s="218" t="s">
        <v>28</v>
      </c>
      <c r="K67" s="164">
        <v>51</v>
      </c>
      <c r="L67" s="163">
        <v>17544</v>
      </c>
      <c r="M67" s="163">
        <v>12450</v>
      </c>
      <c r="N67" s="163">
        <v>29994</v>
      </c>
      <c r="O67" s="163">
        <v>36592.68</v>
      </c>
      <c r="P67" s="163">
        <v>25614.875999999997</v>
      </c>
      <c r="R67" s="220" t="s">
        <v>17</v>
      </c>
      <c r="S67" s="163">
        <v>90</v>
      </c>
      <c r="T67" s="219">
        <v>31410</v>
      </c>
      <c r="U67" s="56">
        <v>4500</v>
      </c>
      <c r="V67" s="56">
        <v>35910</v>
      </c>
      <c r="W67" s="219">
        <v>10963.8</v>
      </c>
      <c r="X67" s="219">
        <v>5481.9</v>
      </c>
      <c r="AA67" s="215"/>
      <c r="AB67" s="218" t="s">
        <v>56</v>
      </c>
      <c r="AC67" s="163">
        <v>35</v>
      </c>
      <c r="AD67" s="219">
        <v>13663</v>
      </c>
      <c r="AE67" s="56">
        <v>11680</v>
      </c>
      <c r="AF67" s="56">
        <v>25343</v>
      </c>
      <c r="AG67" s="219">
        <v>23336.12</v>
      </c>
      <c r="AH67" s="219">
        <v>14720.684000000001</v>
      </c>
    </row>
    <row r="68" spans="9:34">
      <c r="I68" s="215"/>
      <c r="J68" s="220" t="s">
        <v>66</v>
      </c>
      <c r="K68" s="164">
        <v>18</v>
      </c>
      <c r="L68" s="163">
        <v>5982</v>
      </c>
      <c r="M68" s="163">
        <v>3500</v>
      </c>
      <c r="N68" s="163">
        <v>9482</v>
      </c>
      <c r="O68" s="163">
        <v>11568.04</v>
      </c>
      <c r="P68" s="163">
        <v>8097.6279999999997</v>
      </c>
      <c r="R68" s="220" t="s">
        <v>22</v>
      </c>
      <c r="S68" s="163">
        <v>10</v>
      </c>
      <c r="T68" s="219">
        <v>3800</v>
      </c>
      <c r="U68" s="56">
        <v>600</v>
      </c>
      <c r="V68" s="56">
        <v>4400</v>
      </c>
      <c r="W68" s="219">
        <v>5280</v>
      </c>
      <c r="X68" s="219">
        <v>2640</v>
      </c>
      <c r="AA68" s="215"/>
      <c r="AB68" s="220" t="s">
        <v>38</v>
      </c>
      <c r="AC68" s="163">
        <v>10</v>
      </c>
      <c r="AD68" s="219">
        <v>3346</v>
      </c>
      <c r="AE68" s="56">
        <v>300</v>
      </c>
      <c r="AF68" s="56">
        <v>3646</v>
      </c>
      <c r="AG68" s="219">
        <v>4448.12</v>
      </c>
      <c r="AH68" s="219">
        <v>3113.6840000000002</v>
      </c>
    </row>
    <row r="69" spans="9:34">
      <c r="I69" s="215"/>
      <c r="J69" s="220" t="s">
        <v>67</v>
      </c>
      <c r="K69" s="164">
        <v>16</v>
      </c>
      <c r="L69" s="163">
        <v>5578</v>
      </c>
      <c r="M69" s="163">
        <v>7450</v>
      </c>
      <c r="N69" s="163">
        <v>13028</v>
      </c>
      <c r="O69" s="163">
        <v>15894.16</v>
      </c>
      <c r="P69" s="163">
        <v>11125.911999999998</v>
      </c>
      <c r="R69" s="218"/>
      <c r="S69" s="163"/>
      <c r="T69" s="219"/>
      <c r="U69" s="56"/>
      <c r="V69" s="56"/>
      <c r="W69" s="219"/>
      <c r="X69" s="219"/>
      <c r="AA69" s="215"/>
      <c r="AB69" s="220" t="s">
        <v>15</v>
      </c>
      <c r="AC69" s="163">
        <v>6</v>
      </c>
      <c r="AD69" s="219">
        <v>2890</v>
      </c>
      <c r="AE69" s="56">
        <v>900</v>
      </c>
      <c r="AF69" s="56">
        <v>3790</v>
      </c>
      <c r="AG69" s="219">
        <v>2401.5</v>
      </c>
      <c r="AH69" s="219">
        <v>1200.75</v>
      </c>
    </row>
    <row r="70" spans="9:34">
      <c r="I70" s="215"/>
      <c r="J70" s="220" t="s">
        <v>68</v>
      </c>
      <c r="K70" s="164">
        <v>17</v>
      </c>
      <c r="L70" s="163">
        <v>5984</v>
      </c>
      <c r="M70" s="163">
        <v>1500</v>
      </c>
      <c r="N70" s="163">
        <v>7484</v>
      </c>
      <c r="O70" s="163">
        <v>9130.48</v>
      </c>
      <c r="P70" s="163">
        <v>6391.3360000000002</v>
      </c>
      <c r="R70" s="218" t="s">
        <v>40</v>
      </c>
      <c r="S70" s="163">
        <v>2483</v>
      </c>
      <c r="T70" s="219">
        <v>755561</v>
      </c>
      <c r="U70" s="56">
        <v>164810</v>
      </c>
      <c r="V70" s="56">
        <v>920371</v>
      </c>
      <c r="W70" s="219">
        <v>697174.34000000008</v>
      </c>
      <c r="X70" s="219">
        <v>400624.35399999999</v>
      </c>
      <c r="AA70" s="215"/>
      <c r="AB70" s="220" t="s">
        <v>135</v>
      </c>
      <c r="AC70" s="163">
        <v>1</v>
      </c>
      <c r="AD70" s="219">
        <v>422</v>
      </c>
      <c r="AE70" s="56">
        <v>150</v>
      </c>
      <c r="AF70" s="56">
        <v>572</v>
      </c>
      <c r="AG70" s="219">
        <v>715</v>
      </c>
      <c r="AH70" s="219">
        <v>500.49999999999994</v>
      </c>
    </row>
    <row r="71" spans="9:34">
      <c r="I71" s="220"/>
      <c r="J71" s="215"/>
      <c r="K71" s="164"/>
      <c r="L71" s="163"/>
      <c r="M71" s="163"/>
      <c r="N71" s="163"/>
      <c r="O71" s="163"/>
      <c r="P71" s="163"/>
      <c r="AA71" s="215"/>
      <c r="AB71" s="220" t="s">
        <v>16</v>
      </c>
      <c r="AC71" s="163"/>
      <c r="AD71" s="219">
        <v>0</v>
      </c>
      <c r="AE71" s="56">
        <v>8080</v>
      </c>
      <c r="AF71" s="56">
        <v>8080</v>
      </c>
      <c r="AG71" s="219">
        <v>10100</v>
      </c>
      <c r="AH71" s="219">
        <v>7070</v>
      </c>
    </row>
    <row r="72" spans="9:34">
      <c r="I72" s="218" t="s">
        <v>15</v>
      </c>
      <c r="J72" s="215"/>
      <c r="K72" s="164">
        <v>713.5</v>
      </c>
      <c r="L72" s="163">
        <v>193030</v>
      </c>
      <c r="M72" s="163">
        <v>21000</v>
      </c>
      <c r="N72" s="163">
        <v>214030</v>
      </c>
      <c r="O72" s="163">
        <v>134845.5</v>
      </c>
      <c r="P72" s="163">
        <v>67422.75</v>
      </c>
      <c r="AA72" s="215"/>
      <c r="AB72" s="220" t="s">
        <v>17</v>
      </c>
      <c r="AC72" s="163">
        <v>15</v>
      </c>
      <c r="AD72" s="219">
        <v>5925</v>
      </c>
      <c r="AE72" s="56">
        <v>1800</v>
      </c>
      <c r="AF72" s="56">
        <v>7725</v>
      </c>
      <c r="AG72" s="219">
        <v>3785.4999999999995</v>
      </c>
      <c r="AH72" s="219">
        <v>1892.7499999999998</v>
      </c>
    </row>
    <row r="73" spans="9:34">
      <c r="I73" s="220" t="s">
        <v>30</v>
      </c>
      <c r="J73" s="218" t="s">
        <v>24</v>
      </c>
      <c r="K73" s="164">
        <v>7.5</v>
      </c>
      <c r="L73" s="163">
        <v>5940</v>
      </c>
      <c r="M73" s="163">
        <v>900</v>
      </c>
      <c r="N73" s="163">
        <v>6840</v>
      </c>
      <c r="O73" s="163">
        <v>2610</v>
      </c>
      <c r="P73" s="163">
        <v>1305</v>
      </c>
      <c r="AA73" s="215"/>
      <c r="AB73" s="220" t="s">
        <v>19</v>
      </c>
      <c r="AC73" s="163">
        <v>1</v>
      </c>
      <c r="AD73" s="219">
        <v>350</v>
      </c>
      <c r="AE73" s="56">
        <v>150</v>
      </c>
      <c r="AF73" s="56">
        <v>500</v>
      </c>
      <c r="AG73" s="219">
        <v>625</v>
      </c>
      <c r="AH73" s="219">
        <v>312.5</v>
      </c>
    </row>
    <row r="74" spans="9:34">
      <c r="I74" s="215"/>
      <c r="J74" s="220" t="s">
        <v>51</v>
      </c>
      <c r="K74" s="164">
        <v>5.5</v>
      </c>
      <c r="L74" s="163">
        <v>4356</v>
      </c>
      <c r="M74" s="163">
        <v>600</v>
      </c>
      <c r="N74" s="163">
        <v>4956</v>
      </c>
      <c r="O74" s="163">
        <v>1839</v>
      </c>
      <c r="P74" s="163">
        <v>919.5</v>
      </c>
      <c r="AA74" s="215"/>
      <c r="AB74" s="220" t="s">
        <v>22</v>
      </c>
      <c r="AC74" s="163">
        <v>1</v>
      </c>
      <c r="AD74" s="219">
        <v>380</v>
      </c>
      <c r="AE74" s="56">
        <v>150</v>
      </c>
      <c r="AF74" s="56">
        <v>530</v>
      </c>
      <c r="AG74" s="219">
        <v>636</v>
      </c>
      <c r="AH74" s="219">
        <v>318</v>
      </c>
    </row>
    <row r="75" spans="9:34">
      <c r="I75" s="215"/>
      <c r="J75" s="220" t="s">
        <v>52</v>
      </c>
      <c r="K75" s="164">
        <v>2</v>
      </c>
      <c r="L75" s="163">
        <v>1584</v>
      </c>
      <c r="M75" s="163">
        <v>300</v>
      </c>
      <c r="N75" s="163">
        <v>1884</v>
      </c>
      <c r="O75" s="163">
        <v>771</v>
      </c>
      <c r="P75" s="163">
        <v>385.5</v>
      </c>
      <c r="AA75" s="215"/>
      <c r="AB75" s="220" t="s">
        <v>20</v>
      </c>
      <c r="AC75" s="163">
        <v>1</v>
      </c>
      <c r="AD75" s="219">
        <v>350</v>
      </c>
      <c r="AE75" s="56">
        <v>150</v>
      </c>
      <c r="AF75" s="56">
        <v>500</v>
      </c>
      <c r="AG75" s="219">
        <v>625</v>
      </c>
      <c r="AH75" s="219">
        <v>312.5</v>
      </c>
    </row>
    <row r="76" spans="9:34">
      <c r="I76" s="220"/>
      <c r="J76" s="215"/>
      <c r="K76" s="164"/>
      <c r="L76" s="163"/>
      <c r="M76" s="163"/>
      <c r="N76" s="163"/>
      <c r="O76" s="163"/>
      <c r="P76" s="163"/>
      <c r="AA76" s="215"/>
      <c r="AB76" s="218"/>
      <c r="AC76" s="163"/>
      <c r="AD76" s="219"/>
      <c r="AE76" s="56"/>
      <c r="AF76" s="56"/>
      <c r="AG76" s="219"/>
      <c r="AH76" s="219"/>
    </row>
    <row r="77" spans="9:34">
      <c r="I77" s="220" t="s">
        <v>31</v>
      </c>
      <c r="J77" s="218" t="s">
        <v>23</v>
      </c>
      <c r="K77" s="164">
        <v>64</v>
      </c>
      <c r="L77" s="163">
        <v>23736</v>
      </c>
      <c r="M77" s="163">
        <v>1500</v>
      </c>
      <c r="N77" s="163">
        <v>25236</v>
      </c>
      <c r="O77" s="163">
        <v>16673</v>
      </c>
      <c r="P77" s="163">
        <v>8336.5</v>
      </c>
      <c r="AA77" s="218" t="s">
        <v>32</v>
      </c>
      <c r="AB77" s="218" t="s">
        <v>60</v>
      </c>
      <c r="AC77" s="163">
        <v>79</v>
      </c>
      <c r="AD77" s="219">
        <v>36722</v>
      </c>
      <c r="AE77" s="56">
        <v>4000</v>
      </c>
      <c r="AF77" s="56">
        <v>40722</v>
      </c>
      <c r="AG77" s="219">
        <v>17674.29</v>
      </c>
      <c r="AH77" s="219">
        <v>10083.555</v>
      </c>
    </row>
    <row r="78" spans="9:34">
      <c r="I78" s="215"/>
      <c r="J78" s="220" t="s">
        <v>53</v>
      </c>
      <c r="K78" s="164">
        <v>58</v>
      </c>
      <c r="L78" s="163">
        <v>20846</v>
      </c>
      <c r="M78" s="163">
        <v>600</v>
      </c>
      <c r="N78" s="163">
        <v>21446</v>
      </c>
      <c r="O78" s="163">
        <v>14271.5</v>
      </c>
      <c r="P78" s="163">
        <v>7135.75</v>
      </c>
      <c r="AA78" s="215"/>
      <c r="AB78" s="220" t="s">
        <v>18</v>
      </c>
      <c r="AC78" s="163">
        <v>5.5</v>
      </c>
      <c r="AD78" s="219">
        <v>2695</v>
      </c>
      <c r="AE78" s="56">
        <v>0</v>
      </c>
      <c r="AF78" s="56">
        <v>2695</v>
      </c>
      <c r="AG78" s="219">
        <v>3368.75</v>
      </c>
      <c r="AH78" s="219">
        <v>2358.125</v>
      </c>
    </row>
    <row r="79" spans="9:34">
      <c r="I79" s="215"/>
      <c r="J79" s="220" t="s">
        <v>56</v>
      </c>
      <c r="K79" s="164">
        <v>6</v>
      </c>
      <c r="L79" s="163">
        <v>2890</v>
      </c>
      <c r="M79" s="163">
        <v>900</v>
      </c>
      <c r="N79" s="163">
        <v>3790</v>
      </c>
      <c r="O79" s="163">
        <v>2401.5</v>
      </c>
      <c r="P79" s="163">
        <v>1200.75</v>
      </c>
      <c r="AA79" s="215"/>
      <c r="AB79" s="220" t="s">
        <v>38</v>
      </c>
      <c r="AC79" s="163">
        <v>2.5</v>
      </c>
      <c r="AD79" s="219">
        <v>1015</v>
      </c>
      <c r="AE79" s="56">
        <v>0</v>
      </c>
      <c r="AF79" s="56">
        <v>1015</v>
      </c>
      <c r="AG79" s="219">
        <v>1238.3</v>
      </c>
      <c r="AH79" s="219">
        <v>866.81</v>
      </c>
    </row>
    <row r="80" spans="9:34">
      <c r="I80" s="220"/>
      <c r="J80" s="215"/>
      <c r="K80" s="164"/>
      <c r="L80" s="163"/>
      <c r="M80" s="163"/>
      <c r="N80" s="163"/>
      <c r="O80" s="163"/>
      <c r="P80" s="163"/>
      <c r="AA80" s="215"/>
      <c r="AB80" s="220" t="s">
        <v>15</v>
      </c>
      <c r="AC80" s="163">
        <v>23</v>
      </c>
      <c r="AD80" s="219">
        <v>10728</v>
      </c>
      <c r="AE80" s="56">
        <v>0</v>
      </c>
      <c r="AF80" s="56">
        <v>10728</v>
      </c>
      <c r="AG80" s="219">
        <v>2682</v>
      </c>
      <c r="AH80" s="219">
        <v>1341</v>
      </c>
    </row>
    <row r="81" spans="9:34">
      <c r="I81" s="220" t="s">
        <v>32</v>
      </c>
      <c r="J81" s="218" t="s">
        <v>25</v>
      </c>
      <c r="K81" s="164">
        <v>164</v>
      </c>
      <c r="L81" s="163">
        <v>55131</v>
      </c>
      <c r="M81" s="163">
        <v>600</v>
      </c>
      <c r="N81" s="163">
        <v>55731</v>
      </c>
      <c r="O81" s="163">
        <v>19887.75</v>
      </c>
      <c r="P81" s="163">
        <v>9943.875</v>
      </c>
      <c r="AA81" s="215"/>
      <c r="AB81" s="220" t="s">
        <v>79</v>
      </c>
      <c r="AC81" s="163">
        <v>8</v>
      </c>
      <c r="AD81" s="219">
        <v>2884</v>
      </c>
      <c r="AE81" s="56">
        <v>900</v>
      </c>
      <c r="AF81" s="56">
        <v>3784</v>
      </c>
      <c r="AG81" s="219">
        <v>1505.4399999999998</v>
      </c>
      <c r="AH81" s="219">
        <v>752.71999999999991</v>
      </c>
    </row>
    <row r="82" spans="9:34">
      <c r="I82" s="215"/>
      <c r="J82" s="220" t="s">
        <v>60</v>
      </c>
      <c r="K82" s="164">
        <v>23</v>
      </c>
      <c r="L82" s="163">
        <v>10728</v>
      </c>
      <c r="M82" s="163">
        <v>0</v>
      </c>
      <c r="N82" s="163">
        <v>10728</v>
      </c>
      <c r="O82" s="163">
        <v>2682</v>
      </c>
      <c r="P82" s="163">
        <v>1341</v>
      </c>
      <c r="AA82" s="215"/>
      <c r="AB82" s="220" t="s">
        <v>16</v>
      </c>
      <c r="AC82" s="163"/>
      <c r="AD82" s="219">
        <v>0</v>
      </c>
      <c r="AE82" s="56">
        <v>1300</v>
      </c>
      <c r="AF82" s="56">
        <v>1300</v>
      </c>
      <c r="AG82" s="219">
        <v>1625</v>
      </c>
      <c r="AH82" s="219">
        <v>1137.4999999999998</v>
      </c>
    </row>
    <row r="83" spans="9:34">
      <c r="I83" s="215"/>
      <c r="J83" s="220" t="s">
        <v>61</v>
      </c>
      <c r="K83" s="164">
        <v>61</v>
      </c>
      <c r="L83" s="163">
        <v>26443</v>
      </c>
      <c r="M83" s="163">
        <v>600</v>
      </c>
      <c r="N83" s="163">
        <v>27043</v>
      </c>
      <c r="O83" s="163">
        <v>11515.75</v>
      </c>
      <c r="P83" s="163">
        <v>5757.875</v>
      </c>
      <c r="AA83" s="215"/>
      <c r="AB83" s="220" t="s">
        <v>17</v>
      </c>
      <c r="AC83" s="163">
        <v>37</v>
      </c>
      <c r="AD83" s="219">
        <v>18260</v>
      </c>
      <c r="AE83" s="56">
        <v>1800</v>
      </c>
      <c r="AF83" s="56">
        <v>20060</v>
      </c>
      <c r="AG83" s="219">
        <v>5886.8</v>
      </c>
      <c r="AH83" s="219">
        <v>2943.4</v>
      </c>
    </row>
    <row r="84" spans="9:34">
      <c r="I84" s="215"/>
      <c r="J84" s="220" t="s">
        <v>62</v>
      </c>
      <c r="K84" s="164">
        <v>80</v>
      </c>
      <c r="L84" s="163">
        <v>17960</v>
      </c>
      <c r="M84" s="163">
        <v>0</v>
      </c>
      <c r="N84" s="163">
        <v>17960</v>
      </c>
      <c r="O84" s="163">
        <v>5690</v>
      </c>
      <c r="P84" s="163">
        <v>2845</v>
      </c>
      <c r="AA84" s="215"/>
      <c r="AB84" s="220" t="s">
        <v>22</v>
      </c>
      <c r="AC84" s="163">
        <v>3</v>
      </c>
      <c r="AD84" s="219">
        <v>1140</v>
      </c>
      <c r="AE84" s="56">
        <v>0</v>
      </c>
      <c r="AF84" s="56">
        <v>1140</v>
      </c>
      <c r="AG84" s="219">
        <v>1368</v>
      </c>
      <c r="AH84" s="219">
        <v>684</v>
      </c>
    </row>
    <row r="85" spans="9:34">
      <c r="I85" s="220"/>
      <c r="J85" s="215"/>
      <c r="K85" s="164"/>
      <c r="L85" s="163"/>
      <c r="M85" s="163"/>
      <c r="N85" s="163"/>
      <c r="O85" s="163"/>
      <c r="P85" s="163"/>
      <c r="AA85" s="215"/>
      <c r="AB85" s="218"/>
      <c r="AC85" s="163"/>
      <c r="AD85" s="219"/>
      <c r="AE85" s="56"/>
      <c r="AF85" s="56"/>
      <c r="AG85" s="219"/>
      <c r="AH85" s="219"/>
    </row>
    <row r="86" spans="9:34">
      <c r="I86" s="220" t="s">
        <v>33</v>
      </c>
      <c r="J86" s="218" t="s">
        <v>26</v>
      </c>
      <c r="K86" s="164">
        <v>403</v>
      </c>
      <c r="L86" s="163">
        <v>78694</v>
      </c>
      <c r="M86" s="163">
        <v>15000</v>
      </c>
      <c r="N86" s="163">
        <v>93694</v>
      </c>
      <c r="O86" s="163">
        <v>74293.5</v>
      </c>
      <c r="P86" s="163">
        <v>37146.75</v>
      </c>
      <c r="AA86" s="215"/>
      <c r="AB86" s="218" t="s">
        <v>61</v>
      </c>
      <c r="AC86" s="163">
        <v>186</v>
      </c>
      <c r="AD86" s="219">
        <v>81431</v>
      </c>
      <c r="AE86" s="56">
        <v>4420</v>
      </c>
      <c r="AF86" s="56">
        <v>85851</v>
      </c>
      <c r="AG86" s="219">
        <v>33702.19</v>
      </c>
      <c r="AH86" s="219">
        <v>17080.159</v>
      </c>
    </row>
    <row r="87" spans="9:34">
      <c r="I87" s="215"/>
      <c r="J87" s="220" t="s">
        <v>151</v>
      </c>
      <c r="K87" s="164">
        <v>200</v>
      </c>
      <c r="L87" s="163">
        <v>33620</v>
      </c>
      <c r="M87" s="163">
        <v>15000</v>
      </c>
      <c r="N87" s="163">
        <v>48620</v>
      </c>
      <c r="O87" s="163">
        <v>46775</v>
      </c>
      <c r="P87" s="163">
        <v>23387.5</v>
      </c>
      <c r="AA87" s="215"/>
      <c r="AB87" s="220" t="s">
        <v>38</v>
      </c>
      <c r="AC87" s="163">
        <v>1</v>
      </c>
      <c r="AD87" s="219">
        <v>406</v>
      </c>
      <c r="AE87" s="56">
        <v>0</v>
      </c>
      <c r="AF87" s="56">
        <v>406</v>
      </c>
      <c r="AG87" s="219">
        <v>495.32</v>
      </c>
      <c r="AH87" s="219">
        <v>346.72399999999999</v>
      </c>
    </row>
    <row r="88" spans="9:34">
      <c r="I88" s="215"/>
      <c r="J88" s="220" t="s">
        <v>147</v>
      </c>
      <c r="K88" s="164">
        <v>60</v>
      </c>
      <c r="L88" s="163">
        <v>18600</v>
      </c>
      <c r="M88" s="163">
        <v>0</v>
      </c>
      <c r="N88" s="163">
        <v>18600</v>
      </c>
      <c r="O88" s="163">
        <v>15730</v>
      </c>
      <c r="P88" s="163">
        <v>7865</v>
      </c>
      <c r="AA88" s="215"/>
      <c r="AB88" s="220" t="s">
        <v>15</v>
      </c>
      <c r="AC88" s="163">
        <v>61</v>
      </c>
      <c r="AD88" s="219">
        <v>26443</v>
      </c>
      <c r="AE88" s="56">
        <v>600</v>
      </c>
      <c r="AF88" s="56">
        <v>27043</v>
      </c>
      <c r="AG88" s="219">
        <v>11515.75</v>
      </c>
      <c r="AH88" s="219">
        <v>5757.875</v>
      </c>
    </row>
    <row r="89" spans="9:34">
      <c r="I89" s="215"/>
      <c r="J89" s="220" t="s">
        <v>152</v>
      </c>
      <c r="K89" s="164">
        <v>15</v>
      </c>
      <c r="L89" s="163">
        <v>4650</v>
      </c>
      <c r="M89" s="163">
        <v>0</v>
      </c>
      <c r="N89" s="163">
        <v>4650</v>
      </c>
      <c r="O89" s="163">
        <v>3932.5</v>
      </c>
      <c r="P89" s="163">
        <v>1966.25</v>
      </c>
      <c r="AA89" s="215"/>
      <c r="AB89" s="220" t="s">
        <v>79</v>
      </c>
      <c r="AC89" s="163">
        <v>34</v>
      </c>
      <c r="AD89" s="219">
        <v>11802</v>
      </c>
      <c r="AE89" s="56">
        <v>600</v>
      </c>
      <c r="AF89" s="56">
        <v>12402</v>
      </c>
      <c r="AG89" s="219">
        <v>7176.32</v>
      </c>
      <c r="AH89" s="219">
        <v>3588.16</v>
      </c>
    </row>
    <row r="90" spans="9:34">
      <c r="I90" s="215"/>
      <c r="J90" s="220" t="s">
        <v>153</v>
      </c>
      <c r="K90" s="164">
        <v>128</v>
      </c>
      <c r="L90" s="163">
        <v>21824</v>
      </c>
      <c r="M90" s="163">
        <v>0</v>
      </c>
      <c r="N90" s="163">
        <v>21824</v>
      </c>
      <c r="O90" s="163">
        <v>7856</v>
      </c>
      <c r="P90" s="163">
        <v>3928</v>
      </c>
      <c r="AA90" s="215"/>
      <c r="AB90" s="220" t="s">
        <v>16</v>
      </c>
      <c r="AC90" s="163"/>
      <c r="AD90" s="219">
        <v>0</v>
      </c>
      <c r="AE90" s="56">
        <v>520</v>
      </c>
      <c r="AF90" s="56">
        <v>520</v>
      </c>
      <c r="AG90" s="219">
        <v>650</v>
      </c>
      <c r="AH90" s="219">
        <v>454.99999999999994</v>
      </c>
    </row>
    <row r="91" spans="9:34">
      <c r="I91" s="220"/>
      <c r="J91" s="215"/>
      <c r="K91" s="164"/>
      <c r="L91" s="163"/>
      <c r="M91" s="163"/>
      <c r="N91" s="163"/>
      <c r="O91" s="163"/>
      <c r="P91" s="163"/>
      <c r="AA91" s="215"/>
      <c r="AB91" s="220" t="s">
        <v>17</v>
      </c>
      <c r="AC91" s="163">
        <v>86</v>
      </c>
      <c r="AD91" s="219">
        <v>41260</v>
      </c>
      <c r="AE91" s="56">
        <v>2700</v>
      </c>
      <c r="AF91" s="56">
        <v>43960</v>
      </c>
      <c r="AG91" s="219">
        <v>12040.8</v>
      </c>
      <c r="AH91" s="219">
        <v>6020.4</v>
      </c>
    </row>
    <row r="92" spans="9:34">
      <c r="I92" s="220" t="s">
        <v>34</v>
      </c>
      <c r="J92" s="218" t="s">
        <v>27</v>
      </c>
      <c r="K92" s="164">
        <v>12</v>
      </c>
      <c r="L92" s="163">
        <v>7840</v>
      </c>
      <c r="M92" s="163">
        <v>300</v>
      </c>
      <c r="N92" s="163">
        <v>8140</v>
      </c>
      <c r="O92" s="163">
        <v>2335</v>
      </c>
      <c r="P92" s="163">
        <v>1167.5</v>
      </c>
      <c r="AA92" s="215"/>
      <c r="AB92" s="220" t="s">
        <v>22</v>
      </c>
      <c r="AC92" s="163">
        <v>4</v>
      </c>
      <c r="AD92" s="219">
        <v>1520</v>
      </c>
      <c r="AE92" s="56">
        <v>0</v>
      </c>
      <c r="AF92" s="56">
        <v>1520</v>
      </c>
      <c r="AG92" s="219">
        <v>1824</v>
      </c>
      <c r="AH92" s="219">
        <v>912</v>
      </c>
    </row>
    <row r="93" spans="9:34">
      <c r="I93" s="215"/>
      <c r="J93" s="220" t="s">
        <v>63</v>
      </c>
      <c r="K93" s="164">
        <v>4</v>
      </c>
      <c r="L93" s="163">
        <v>3168</v>
      </c>
      <c r="M93" s="163">
        <v>300</v>
      </c>
      <c r="N93" s="163">
        <v>3468</v>
      </c>
      <c r="O93" s="163">
        <v>1167</v>
      </c>
      <c r="P93" s="163">
        <v>583.5</v>
      </c>
      <c r="AA93" s="215"/>
      <c r="AB93" s="218"/>
      <c r="AC93" s="163"/>
      <c r="AD93" s="219"/>
      <c r="AE93" s="56"/>
      <c r="AF93" s="56"/>
      <c r="AG93" s="219"/>
      <c r="AH93" s="219"/>
    </row>
    <row r="94" spans="9:34">
      <c r="I94" s="215"/>
      <c r="J94" s="220" t="s">
        <v>64</v>
      </c>
      <c r="K94" s="164">
        <v>8</v>
      </c>
      <c r="L94" s="163">
        <v>4672</v>
      </c>
      <c r="M94" s="163">
        <v>0</v>
      </c>
      <c r="N94" s="163">
        <v>4672</v>
      </c>
      <c r="O94" s="163">
        <v>1168</v>
      </c>
      <c r="P94" s="163">
        <v>584</v>
      </c>
      <c r="AA94" s="215"/>
      <c r="AB94" s="218" t="s">
        <v>62</v>
      </c>
      <c r="AC94" s="163">
        <v>90</v>
      </c>
      <c r="AD94" s="219">
        <v>22164</v>
      </c>
      <c r="AE94" s="56">
        <v>1040</v>
      </c>
      <c r="AF94" s="56">
        <v>23204</v>
      </c>
      <c r="AG94" s="219">
        <v>9616.2799999999988</v>
      </c>
      <c r="AH94" s="219">
        <v>5593.3959999999997</v>
      </c>
    </row>
    <row r="95" spans="9:34">
      <c r="I95" s="220"/>
      <c r="J95" s="215"/>
      <c r="K95" s="164"/>
      <c r="L95" s="163"/>
      <c r="M95" s="163"/>
      <c r="N95" s="163"/>
      <c r="O95" s="163"/>
      <c r="P95" s="163"/>
      <c r="AA95" s="215"/>
      <c r="AB95" s="220" t="s">
        <v>21</v>
      </c>
      <c r="AC95" s="163">
        <v>6</v>
      </c>
      <c r="AD95" s="219">
        <v>2580</v>
      </c>
      <c r="AE95" s="56">
        <v>0</v>
      </c>
      <c r="AF95" s="56">
        <v>2580</v>
      </c>
      <c r="AG95" s="219">
        <v>645</v>
      </c>
      <c r="AH95" s="219">
        <v>451.5</v>
      </c>
    </row>
    <row r="96" spans="9:34">
      <c r="I96" s="220" t="s">
        <v>35</v>
      </c>
      <c r="J96" s="218" t="s">
        <v>28</v>
      </c>
      <c r="K96" s="164">
        <v>63</v>
      </c>
      <c r="L96" s="163">
        <v>21689</v>
      </c>
      <c r="M96" s="163">
        <v>2700</v>
      </c>
      <c r="N96" s="163">
        <v>24389</v>
      </c>
      <c r="O96" s="163">
        <v>19046.25</v>
      </c>
      <c r="P96" s="163">
        <v>9523.125</v>
      </c>
      <c r="AA96" s="215"/>
      <c r="AB96" s="220" t="s">
        <v>38</v>
      </c>
      <c r="AC96" s="163">
        <v>4</v>
      </c>
      <c r="AD96" s="219">
        <v>1624</v>
      </c>
      <c r="AE96" s="56">
        <v>0</v>
      </c>
      <c r="AF96" s="56">
        <v>1624</v>
      </c>
      <c r="AG96" s="219">
        <v>1981.28</v>
      </c>
      <c r="AH96" s="219">
        <v>1386.896</v>
      </c>
    </row>
    <row r="97" spans="9:34">
      <c r="I97" s="215"/>
      <c r="J97" s="220" t="s">
        <v>67</v>
      </c>
      <c r="K97" s="164">
        <v>45</v>
      </c>
      <c r="L97" s="163">
        <v>13950</v>
      </c>
      <c r="M97" s="163">
        <v>0</v>
      </c>
      <c r="N97" s="163">
        <v>13950</v>
      </c>
      <c r="O97" s="163">
        <v>11797.5</v>
      </c>
      <c r="P97" s="163">
        <v>5898.75</v>
      </c>
      <c r="AA97" s="215"/>
      <c r="AB97" s="220" t="s">
        <v>15</v>
      </c>
      <c r="AC97" s="163">
        <v>80</v>
      </c>
      <c r="AD97" s="219">
        <v>17960</v>
      </c>
      <c r="AE97" s="56">
        <v>0</v>
      </c>
      <c r="AF97" s="56">
        <v>17960</v>
      </c>
      <c r="AG97" s="219">
        <v>5690</v>
      </c>
      <c r="AH97" s="219">
        <v>2845</v>
      </c>
    </row>
    <row r="98" spans="9:34">
      <c r="I98" s="215"/>
      <c r="J98" s="220" t="s">
        <v>68</v>
      </c>
      <c r="K98" s="164">
        <v>18</v>
      </c>
      <c r="L98" s="163">
        <v>7739</v>
      </c>
      <c r="M98" s="163">
        <v>2700</v>
      </c>
      <c r="N98" s="163">
        <v>10439</v>
      </c>
      <c r="O98" s="163">
        <v>7248.75</v>
      </c>
      <c r="P98" s="163">
        <v>3624.375</v>
      </c>
      <c r="AA98" s="215"/>
      <c r="AB98" s="220" t="s">
        <v>16</v>
      </c>
      <c r="AC98" s="163"/>
      <c r="AD98" s="219">
        <v>0</v>
      </c>
      <c r="AE98" s="56">
        <v>1040</v>
      </c>
      <c r="AF98" s="56">
        <v>1040</v>
      </c>
      <c r="AG98" s="219">
        <v>1300</v>
      </c>
      <c r="AH98" s="219">
        <v>909.99999999999989</v>
      </c>
    </row>
    <row r="99" spans="9:34">
      <c r="I99" s="220"/>
      <c r="J99" s="215"/>
      <c r="K99" s="164"/>
      <c r="L99" s="163"/>
      <c r="M99" s="163"/>
      <c r="N99" s="163"/>
      <c r="O99" s="163"/>
      <c r="P99" s="163"/>
      <c r="AA99" s="215"/>
      <c r="AB99" s="220" t="s">
        <v>22</v>
      </c>
      <c r="AC99" s="163">
        <v>0</v>
      </c>
      <c r="AD99" s="219">
        <v>0</v>
      </c>
      <c r="AE99" s="56">
        <v>0</v>
      </c>
      <c r="AF99" s="56">
        <v>0</v>
      </c>
      <c r="AG99" s="219">
        <v>0</v>
      </c>
      <c r="AH99" s="219">
        <v>0</v>
      </c>
    </row>
    <row r="100" spans="9:34">
      <c r="I100" s="218" t="s">
        <v>79</v>
      </c>
      <c r="J100" s="215"/>
      <c r="K100" s="164">
        <v>370</v>
      </c>
      <c r="L100" s="163">
        <v>98523</v>
      </c>
      <c r="M100" s="163">
        <v>6900</v>
      </c>
      <c r="N100" s="163">
        <v>105423</v>
      </c>
      <c r="O100" s="163">
        <v>63693.760000000002</v>
      </c>
      <c r="P100" s="163">
        <v>31846.880000000001</v>
      </c>
      <c r="AA100" s="215"/>
      <c r="AB100" s="218"/>
      <c r="AC100" s="163"/>
      <c r="AD100" s="219"/>
      <c r="AE100" s="56"/>
      <c r="AF100" s="56"/>
      <c r="AG100" s="219"/>
      <c r="AH100" s="219"/>
    </row>
    <row r="101" spans="9:34">
      <c r="I101" s="220" t="s">
        <v>30</v>
      </c>
      <c r="J101" s="218" t="s">
        <v>24</v>
      </c>
      <c r="K101" s="164">
        <v>15</v>
      </c>
      <c r="L101" s="163">
        <v>5407</v>
      </c>
      <c r="M101" s="163">
        <v>1800</v>
      </c>
      <c r="N101" s="163">
        <v>7207</v>
      </c>
      <c r="O101" s="163">
        <v>2953.2</v>
      </c>
      <c r="P101" s="163">
        <v>1476.6</v>
      </c>
      <c r="AA101" s="218" t="s">
        <v>33</v>
      </c>
      <c r="AB101" s="218" t="s">
        <v>151</v>
      </c>
      <c r="AC101" s="163">
        <v>666</v>
      </c>
      <c r="AD101" s="219">
        <v>144191</v>
      </c>
      <c r="AE101" s="56">
        <v>54520</v>
      </c>
      <c r="AF101" s="56">
        <v>198711</v>
      </c>
      <c r="AG101" s="219">
        <v>181753.32</v>
      </c>
      <c r="AH101" s="219">
        <v>95785.724000000002</v>
      </c>
    </row>
    <row r="102" spans="9:34">
      <c r="I102" s="215"/>
      <c r="J102" s="220" t="s">
        <v>51</v>
      </c>
      <c r="K102" s="164">
        <v>11</v>
      </c>
      <c r="L102" s="163">
        <v>3965</v>
      </c>
      <c r="M102" s="163">
        <v>1200</v>
      </c>
      <c r="N102" s="163">
        <v>5165</v>
      </c>
      <c r="O102" s="163">
        <v>2026.48</v>
      </c>
      <c r="P102" s="163">
        <v>1013.24</v>
      </c>
      <c r="AA102" s="215"/>
      <c r="AB102" s="220" t="s">
        <v>21</v>
      </c>
      <c r="AC102" s="163">
        <v>4</v>
      </c>
      <c r="AD102" s="219">
        <v>1720</v>
      </c>
      <c r="AE102" s="56">
        <v>17000</v>
      </c>
      <c r="AF102" s="56">
        <v>18720</v>
      </c>
      <c r="AG102" s="219">
        <v>23400</v>
      </c>
      <c r="AH102" s="219">
        <v>16379.999999999998</v>
      </c>
    </row>
    <row r="103" spans="9:34">
      <c r="I103" s="215"/>
      <c r="J103" s="220" t="s">
        <v>52</v>
      </c>
      <c r="K103" s="164">
        <v>4</v>
      </c>
      <c r="L103" s="163">
        <v>1442</v>
      </c>
      <c r="M103" s="163">
        <v>600</v>
      </c>
      <c r="N103" s="163">
        <v>2042</v>
      </c>
      <c r="O103" s="163">
        <v>926.72</v>
      </c>
      <c r="P103" s="163">
        <v>463.36</v>
      </c>
      <c r="AA103" s="215"/>
      <c r="AB103" s="220" t="s">
        <v>38</v>
      </c>
      <c r="AC103" s="163">
        <v>1</v>
      </c>
      <c r="AD103" s="219">
        <v>406</v>
      </c>
      <c r="AE103" s="56">
        <v>0</v>
      </c>
      <c r="AF103" s="56">
        <v>406</v>
      </c>
      <c r="AG103" s="219">
        <v>495.32</v>
      </c>
      <c r="AH103" s="219">
        <v>346.72399999999999</v>
      </c>
    </row>
    <row r="104" spans="9:34">
      <c r="I104" s="220"/>
      <c r="J104" s="215"/>
      <c r="K104" s="164"/>
      <c r="L104" s="163"/>
      <c r="M104" s="163"/>
      <c r="N104" s="163"/>
      <c r="O104" s="163"/>
      <c r="P104" s="163"/>
      <c r="AA104" s="215"/>
      <c r="AB104" s="220" t="s">
        <v>15</v>
      </c>
      <c r="AC104" s="163">
        <v>200</v>
      </c>
      <c r="AD104" s="219">
        <v>33620</v>
      </c>
      <c r="AE104" s="56">
        <v>15000</v>
      </c>
      <c r="AF104" s="56">
        <v>48620</v>
      </c>
      <c r="AG104" s="219">
        <v>46775</v>
      </c>
      <c r="AH104" s="219">
        <v>23387.5</v>
      </c>
    </row>
    <row r="105" spans="9:34">
      <c r="I105" s="220" t="s">
        <v>31</v>
      </c>
      <c r="J105" s="218" t="s">
        <v>23</v>
      </c>
      <c r="K105" s="164">
        <v>34</v>
      </c>
      <c r="L105" s="163">
        <v>12710</v>
      </c>
      <c r="M105" s="163">
        <v>600</v>
      </c>
      <c r="N105" s="163">
        <v>13310</v>
      </c>
      <c r="O105" s="163">
        <v>7649.5999999999995</v>
      </c>
      <c r="P105" s="163">
        <v>3824.7999999999997</v>
      </c>
      <c r="AA105" s="215"/>
      <c r="AB105" s="220" t="s">
        <v>79</v>
      </c>
      <c r="AC105" s="163">
        <v>197</v>
      </c>
      <c r="AD105" s="219">
        <v>42975</v>
      </c>
      <c r="AE105" s="56">
        <v>0</v>
      </c>
      <c r="AF105" s="56">
        <v>42975</v>
      </c>
      <c r="AG105" s="219">
        <v>30742</v>
      </c>
      <c r="AH105" s="219">
        <v>15371</v>
      </c>
    </row>
    <row r="106" spans="9:34">
      <c r="I106" s="215"/>
      <c r="J106" s="220" t="s">
        <v>63</v>
      </c>
      <c r="K106" s="164">
        <v>8</v>
      </c>
      <c r="L106" s="163">
        <v>2884</v>
      </c>
      <c r="M106" s="163">
        <v>600</v>
      </c>
      <c r="N106" s="163">
        <v>3484</v>
      </c>
      <c r="O106" s="163">
        <v>1157.44</v>
      </c>
      <c r="P106" s="163">
        <v>578.72</v>
      </c>
      <c r="AA106" s="215"/>
      <c r="AB106" s="220" t="s">
        <v>16</v>
      </c>
      <c r="AC106" s="163"/>
      <c r="AD106" s="219">
        <v>0</v>
      </c>
      <c r="AE106" s="56">
        <v>520</v>
      </c>
      <c r="AF106" s="56">
        <v>520</v>
      </c>
      <c r="AG106" s="219">
        <v>650</v>
      </c>
      <c r="AH106" s="219">
        <v>454.99999999999994</v>
      </c>
    </row>
    <row r="107" spans="9:34">
      <c r="I107" s="215"/>
      <c r="J107" s="220" t="s">
        <v>64</v>
      </c>
      <c r="K107" s="164">
        <v>4</v>
      </c>
      <c r="L107" s="163">
        <v>1784</v>
      </c>
      <c r="M107" s="163">
        <v>0</v>
      </c>
      <c r="N107" s="163">
        <v>1784</v>
      </c>
      <c r="O107" s="163">
        <v>285.44</v>
      </c>
      <c r="P107" s="163">
        <v>142.72</v>
      </c>
      <c r="AA107" s="215"/>
      <c r="AB107" s="220" t="s">
        <v>17</v>
      </c>
      <c r="AC107" s="163">
        <v>175</v>
      </c>
      <c r="AD107" s="219">
        <v>39650</v>
      </c>
      <c r="AE107" s="56">
        <v>15000</v>
      </c>
      <c r="AF107" s="56">
        <v>54650</v>
      </c>
      <c r="AG107" s="219">
        <v>40307</v>
      </c>
      <c r="AH107" s="219">
        <v>20153.5</v>
      </c>
    </row>
    <row r="108" spans="9:34">
      <c r="I108" s="215"/>
      <c r="J108" s="220" t="s">
        <v>65</v>
      </c>
      <c r="K108" s="164">
        <v>22</v>
      </c>
      <c r="L108" s="163">
        <v>8042</v>
      </c>
      <c r="M108" s="163">
        <v>0</v>
      </c>
      <c r="N108" s="163">
        <v>8042</v>
      </c>
      <c r="O108" s="163">
        <v>6206.7199999999993</v>
      </c>
      <c r="P108" s="163">
        <v>3103.3599999999997</v>
      </c>
      <c r="AA108" s="215"/>
      <c r="AB108" s="220" t="s">
        <v>22</v>
      </c>
      <c r="AC108" s="163">
        <v>89</v>
      </c>
      <c r="AD108" s="219">
        <v>25820</v>
      </c>
      <c r="AE108" s="56">
        <v>7000</v>
      </c>
      <c r="AF108" s="56">
        <v>32820</v>
      </c>
      <c r="AG108" s="219">
        <v>39384</v>
      </c>
      <c r="AH108" s="219">
        <v>19692</v>
      </c>
    </row>
    <row r="109" spans="9:34">
      <c r="I109" s="220"/>
      <c r="J109" s="215"/>
      <c r="K109" s="164"/>
      <c r="L109" s="163"/>
      <c r="M109" s="163"/>
      <c r="N109" s="163"/>
      <c r="O109" s="163"/>
      <c r="P109" s="163"/>
      <c r="AA109" s="215"/>
      <c r="AB109" s="218"/>
      <c r="AC109" s="163"/>
      <c r="AD109" s="219"/>
      <c r="AE109" s="56"/>
      <c r="AF109" s="56"/>
      <c r="AG109" s="219"/>
      <c r="AH109" s="219"/>
    </row>
    <row r="110" spans="9:34">
      <c r="I110" s="220" t="s">
        <v>32</v>
      </c>
      <c r="J110" s="218" t="s">
        <v>25</v>
      </c>
      <c r="K110" s="164">
        <v>42</v>
      </c>
      <c r="L110" s="163">
        <v>14686</v>
      </c>
      <c r="M110" s="163">
        <v>1500</v>
      </c>
      <c r="N110" s="163">
        <v>16186</v>
      </c>
      <c r="O110" s="163">
        <v>8681.76</v>
      </c>
      <c r="P110" s="163">
        <v>4340.88</v>
      </c>
      <c r="AA110" s="215"/>
      <c r="AB110" s="218" t="s">
        <v>147</v>
      </c>
      <c r="AC110" s="163">
        <v>246</v>
      </c>
      <c r="AD110" s="219">
        <v>56786</v>
      </c>
      <c r="AE110" s="56">
        <v>0</v>
      </c>
      <c r="AF110" s="56">
        <v>56786</v>
      </c>
      <c r="AG110" s="219">
        <v>40148.559999999998</v>
      </c>
      <c r="AH110" s="219">
        <v>20074.28</v>
      </c>
    </row>
    <row r="111" spans="9:34">
      <c r="I111" s="215"/>
      <c r="J111" s="220" t="s">
        <v>60</v>
      </c>
      <c r="K111" s="164">
        <v>8</v>
      </c>
      <c r="L111" s="163">
        <v>2884</v>
      </c>
      <c r="M111" s="163">
        <v>900</v>
      </c>
      <c r="N111" s="163">
        <v>3784</v>
      </c>
      <c r="O111" s="163">
        <v>1505.4399999999998</v>
      </c>
      <c r="P111" s="163">
        <v>752.71999999999991</v>
      </c>
      <c r="AA111" s="215"/>
      <c r="AB111" s="220" t="s">
        <v>15</v>
      </c>
      <c r="AC111" s="163">
        <v>60</v>
      </c>
      <c r="AD111" s="219">
        <v>18600</v>
      </c>
      <c r="AE111" s="56">
        <v>0</v>
      </c>
      <c r="AF111" s="56">
        <v>18600</v>
      </c>
      <c r="AG111" s="219">
        <v>15730</v>
      </c>
      <c r="AH111" s="219">
        <v>7865</v>
      </c>
    </row>
    <row r="112" spans="9:34">
      <c r="I112" s="215"/>
      <c r="J112" s="220" t="s">
        <v>61</v>
      </c>
      <c r="K112" s="164">
        <v>34</v>
      </c>
      <c r="L112" s="163">
        <v>11802</v>
      </c>
      <c r="M112" s="163">
        <v>600</v>
      </c>
      <c r="N112" s="163">
        <v>12402</v>
      </c>
      <c r="O112" s="163">
        <v>7176.32</v>
      </c>
      <c r="P112" s="163">
        <v>3588.16</v>
      </c>
      <c r="AA112" s="215"/>
      <c r="AB112" s="220" t="s">
        <v>79</v>
      </c>
      <c r="AC112" s="163">
        <v>29</v>
      </c>
      <c r="AD112" s="219">
        <v>3906</v>
      </c>
      <c r="AE112" s="56">
        <v>0</v>
      </c>
      <c r="AF112" s="56">
        <v>3906</v>
      </c>
      <c r="AG112" s="219">
        <v>3192.96</v>
      </c>
      <c r="AH112" s="219">
        <v>1596.48</v>
      </c>
    </row>
    <row r="113" spans="9:34">
      <c r="I113" s="220"/>
      <c r="J113" s="215"/>
      <c r="K113" s="164"/>
      <c r="L113" s="163"/>
      <c r="M113" s="163"/>
      <c r="N113" s="163"/>
      <c r="O113" s="163"/>
      <c r="P113" s="163"/>
      <c r="AA113" s="215"/>
      <c r="AB113" s="220" t="s">
        <v>17</v>
      </c>
      <c r="AC113" s="163">
        <v>155</v>
      </c>
      <c r="AD113" s="219">
        <v>33520</v>
      </c>
      <c r="AE113" s="56">
        <v>0</v>
      </c>
      <c r="AF113" s="56">
        <v>33520</v>
      </c>
      <c r="AG113" s="219">
        <v>20313.600000000002</v>
      </c>
      <c r="AH113" s="219">
        <v>10156.800000000001</v>
      </c>
    </row>
    <row r="114" spans="9:34">
      <c r="I114" s="220" t="s">
        <v>33</v>
      </c>
      <c r="J114" s="218" t="s">
        <v>26</v>
      </c>
      <c r="K114" s="164">
        <v>237</v>
      </c>
      <c r="L114" s="163">
        <v>49117</v>
      </c>
      <c r="M114" s="163">
        <v>0</v>
      </c>
      <c r="N114" s="163">
        <v>49117</v>
      </c>
      <c r="O114" s="163">
        <v>36082.720000000001</v>
      </c>
      <c r="P114" s="163">
        <v>18041.36</v>
      </c>
      <c r="AA114" s="215"/>
      <c r="AB114" s="220" t="s">
        <v>22</v>
      </c>
      <c r="AC114" s="163">
        <v>2</v>
      </c>
      <c r="AD114" s="219">
        <v>760</v>
      </c>
      <c r="AE114" s="56">
        <v>0</v>
      </c>
      <c r="AF114" s="56">
        <v>760</v>
      </c>
      <c r="AG114" s="219">
        <v>912</v>
      </c>
      <c r="AH114" s="219">
        <v>456</v>
      </c>
    </row>
    <row r="115" spans="9:34">
      <c r="I115" s="215"/>
      <c r="J115" s="220" t="s">
        <v>151</v>
      </c>
      <c r="K115" s="164">
        <v>197</v>
      </c>
      <c r="L115" s="163">
        <v>42975</v>
      </c>
      <c r="M115" s="163">
        <v>0</v>
      </c>
      <c r="N115" s="163">
        <v>42975</v>
      </c>
      <c r="O115" s="163">
        <v>30742</v>
      </c>
      <c r="P115" s="163">
        <v>15371</v>
      </c>
      <c r="AA115" s="215"/>
      <c r="AB115" s="218"/>
      <c r="AC115" s="163"/>
      <c r="AD115" s="219"/>
      <c r="AE115" s="56"/>
      <c r="AF115" s="56"/>
      <c r="AG115" s="219"/>
      <c r="AH115" s="219"/>
    </row>
    <row r="116" spans="9:34">
      <c r="I116" s="215"/>
      <c r="J116" s="220" t="s">
        <v>147</v>
      </c>
      <c r="K116" s="164">
        <v>29</v>
      </c>
      <c r="L116" s="163">
        <v>3906</v>
      </c>
      <c r="M116" s="163">
        <v>0</v>
      </c>
      <c r="N116" s="163">
        <v>3906</v>
      </c>
      <c r="O116" s="163">
        <v>3192.96</v>
      </c>
      <c r="P116" s="163">
        <v>1596.48</v>
      </c>
      <c r="AA116" s="215"/>
      <c r="AB116" s="218" t="s">
        <v>152</v>
      </c>
      <c r="AC116" s="163">
        <v>72</v>
      </c>
      <c r="AD116" s="219">
        <v>23166</v>
      </c>
      <c r="AE116" s="56">
        <v>0</v>
      </c>
      <c r="AF116" s="56">
        <v>23166</v>
      </c>
      <c r="AG116" s="219">
        <v>11778.26</v>
      </c>
      <c r="AH116" s="219">
        <v>5889.13</v>
      </c>
    </row>
    <row r="117" spans="9:34">
      <c r="I117" s="215"/>
      <c r="J117" s="220" t="s">
        <v>152</v>
      </c>
      <c r="K117" s="164">
        <v>11</v>
      </c>
      <c r="L117" s="163">
        <v>2236</v>
      </c>
      <c r="M117" s="163">
        <v>0</v>
      </c>
      <c r="N117" s="163">
        <v>2236</v>
      </c>
      <c r="O117" s="163">
        <v>2147.7600000000002</v>
      </c>
      <c r="P117" s="163">
        <v>1073.8800000000001</v>
      </c>
      <c r="AA117" s="215"/>
      <c r="AB117" s="220" t="s">
        <v>15</v>
      </c>
      <c r="AC117" s="163">
        <v>15</v>
      </c>
      <c r="AD117" s="219">
        <v>4650</v>
      </c>
      <c r="AE117" s="56">
        <v>0</v>
      </c>
      <c r="AF117" s="56">
        <v>4650</v>
      </c>
      <c r="AG117" s="219">
        <v>3932.5</v>
      </c>
      <c r="AH117" s="219">
        <v>1966.25</v>
      </c>
    </row>
    <row r="118" spans="9:34">
      <c r="I118" s="220"/>
      <c r="J118" s="215"/>
      <c r="K118" s="164"/>
      <c r="L118" s="163"/>
      <c r="M118" s="163"/>
      <c r="N118" s="163"/>
      <c r="O118" s="163"/>
      <c r="P118" s="163"/>
      <c r="AA118" s="215"/>
      <c r="AB118" s="220" t="s">
        <v>79</v>
      </c>
      <c r="AC118" s="163">
        <v>11</v>
      </c>
      <c r="AD118" s="219">
        <v>2236</v>
      </c>
      <c r="AE118" s="56">
        <v>0</v>
      </c>
      <c r="AF118" s="56">
        <v>2236</v>
      </c>
      <c r="AG118" s="219">
        <v>2147.7600000000002</v>
      </c>
      <c r="AH118" s="219">
        <v>1073.8800000000001</v>
      </c>
    </row>
    <row r="119" spans="9:34">
      <c r="I119" s="220" t="s">
        <v>34</v>
      </c>
      <c r="J119" s="218" t="s">
        <v>27</v>
      </c>
      <c r="K119" s="164">
        <v>19</v>
      </c>
      <c r="L119" s="163">
        <v>7619</v>
      </c>
      <c r="M119" s="163">
        <v>2100</v>
      </c>
      <c r="N119" s="163">
        <v>9719</v>
      </c>
      <c r="O119" s="163">
        <v>3655.04</v>
      </c>
      <c r="P119" s="163">
        <v>1827.52</v>
      </c>
      <c r="AA119" s="215"/>
      <c r="AB119" s="220" t="s">
        <v>17</v>
      </c>
      <c r="AC119" s="163">
        <v>45</v>
      </c>
      <c r="AD119" s="219">
        <v>15900</v>
      </c>
      <c r="AE119" s="56">
        <v>0</v>
      </c>
      <c r="AF119" s="56">
        <v>15900</v>
      </c>
      <c r="AG119" s="219">
        <v>5242</v>
      </c>
      <c r="AH119" s="219">
        <v>2621</v>
      </c>
    </row>
    <row r="120" spans="9:34">
      <c r="I120" s="215"/>
      <c r="J120" s="220" t="s">
        <v>63</v>
      </c>
      <c r="K120" s="164">
        <v>6</v>
      </c>
      <c r="L120" s="163">
        <v>2163</v>
      </c>
      <c r="M120" s="163">
        <v>600</v>
      </c>
      <c r="N120" s="163">
        <v>2763</v>
      </c>
      <c r="O120" s="163">
        <v>1042.08</v>
      </c>
      <c r="P120" s="163">
        <v>521.04</v>
      </c>
      <c r="AA120" s="215"/>
      <c r="AB120" s="220" t="s">
        <v>22</v>
      </c>
      <c r="AC120" s="163">
        <v>1</v>
      </c>
      <c r="AD120" s="219">
        <v>380</v>
      </c>
      <c r="AE120" s="56">
        <v>0</v>
      </c>
      <c r="AF120" s="56">
        <v>380</v>
      </c>
      <c r="AG120" s="219">
        <v>456</v>
      </c>
      <c r="AH120" s="219">
        <v>228</v>
      </c>
    </row>
    <row r="121" spans="9:34">
      <c r="I121" s="215"/>
      <c r="J121" s="220" t="s">
        <v>64</v>
      </c>
      <c r="K121" s="164">
        <v>9</v>
      </c>
      <c r="L121" s="163">
        <v>3672</v>
      </c>
      <c r="M121" s="163">
        <v>1500</v>
      </c>
      <c r="N121" s="163">
        <v>5172</v>
      </c>
      <c r="O121" s="163">
        <v>2327.52</v>
      </c>
      <c r="P121" s="163">
        <v>1163.76</v>
      </c>
      <c r="AA121" s="215"/>
      <c r="AB121" s="218"/>
      <c r="AC121" s="163"/>
      <c r="AD121" s="219"/>
      <c r="AE121" s="56"/>
      <c r="AF121" s="56"/>
      <c r="AG121" s="219"/>
      <c r="AH121" s="219"/>
    </row>
    <row r="122" spans="9:34">
      <c r="I122" s="215"/>
      <c r="J122" s="220" t="s">
        <v>65</v>
      </c>
      <c r="K122" s="164">
        <v>4</v>
      </c>
      <c r="L122" s="163">
        <v>1784</v>
      </c>
      <c r="M122" s="163">
        <v>0</v>
      </c>
      <c r="N122" s="163">
        <v>1784</v>
      </c>
      <c r="O122" s="163">
        <v>285.44</v>
      </c>
      <c r="P122" s="163">
        <v>142.72</v>
      </c>
      <c r="AA122" s="215"/>
      <c r="AB122" s="218" t="s">
        <v>153</v>
      </c>
      <c r="AC122" s="163">
        <v>151</v>
      </c>
      <c r="AD122" s="219">
        <v>31594</v>
      </c>
      <c r="AE122" s="56">
        <v>2620</v>
      </c>
      <c r="AF122" s="56">
        <v>34214</v>
      </c>
      <c r="AG122" s="219">
        <v>23282.6</v>
      </c>
      <c r="AH122" s="219">
        <v>14726.619999999999</v>
      </c>
    </row>
    <row r="123" spans="9:34">
      <c r="I123" s="220"/>
      <c r="J123" s="215"/>
      <c r="K123" s="164"/>
      <c r="L123" s="163"/>
      <c r="M123" s="163"/>
      <c r="N123" s="163"/>
      <c r="O123" s="163"/>
      <c r="P123" s="163"/>
      <c r="AA123" s="215"/>
      <c r="AB123" s="220" t="s">
        <v>21</v>
      </c>
      <c r="AC123" s="163">
        <v>18</v>
      </c>
      <c r="AD123" s="219">
        <v>7740</v>
      </c>
      <c r="AE123" s="56">
        <v>2100</v>
      </c>
      <c r="AF123" s="56">
        <v>9840</v>
      </c>
      <c r="AG123" s="219">
        <v>12300</v>
      </c>
      <c r="AH123" s="219">
        <v>8609.9999999999982</v>
      </c>
    </row>
    <row r="124" spans="9:34">
      <c r="I124" s="220" t="s">
        <v>35</v>
      </c>
      <c r="J124" s="218" t="s">
        <v>28</v>
      </c>
      <c r="K124" s="164">
        <v>23</v>
      </c>
      <c r="L124" s="163">
        <v>8984</v>
      </c>
      <c r="M124" s="163">
        <v>900</v>
      </c>
      <c r="N124" s="163">
        <v>9884</v>
      </c>
      <c r="O124" s="163">
        <v>4671.4399999999996</v>
      </c>
      <c r="P124" s="163">
        <v>2335.7199999999998</v>
      </c>
      <c r="AA124" s="215"/>
      <c r="AB124" s="220" t="s">
        <v>38</v>
      </c>
      <c r="AC124" s="163">
        <v>5</v>
      </c>
      <c r="AD124" s="219">
        <v>2030</v>
      </c>
      <c r="AE124" s="56">
        <v>0</v>
      </c>
      <c r="AF124" s="56">
        <v>2030</v>
      </c>
      <c r="AG124" s="219">
        <v>2476.6</v>
      </c>
      <c r="AH124" s="219">
        <v>1733.62</v>
      </c>
    </row>
    <row r="125" spans="9:34">
      <c r="I125" s="215"/>
      <c r="J125" s="220" t="s">
        <v>67</v>
      </c>
      <c r="K125" s="164">
        <v>19</v>
      </c>
      <c r="L125" s="163">
        <v>7542</v>
      </c>
      <c r="M125" s="163">
        <v>0</v>
      </c>
      <c r="N125" s="163">
        <v>7542</v>
      </c>
      <c r="O125" s="163">
        <v>2846.72</v>
      </c>
      <c r="P125" s="163">
        <v>1423.36</v>
      </c>
      <c r="AA125" s="215"/>
      <c r="AB125" s="220" t="s">
        <v>15</v>
      </c>
      <c r="AC125" s="163">
        <v>128</v>
      </c>
      <c r="AD125" s="219">
        <v>21824</v>
      </c>
      <c r="AE125" s="56">
        <v>0</v>
      </c>
      <c r="AF125" s="56">
        <v>21824</v>
      </c>
      <c r="AG125" s="219">
        <v>7856</v>
      </c>
      <c r="AH125" s="219">
        <v>3928</v>
      </c>
    </row>
    <row r="126" spans="9:34">
      <c r="I126" s="215"/>
      <c r="J126" s="220" t="s">
        <v>68</v>
      </c>
      <c r="K126" s="164">
        <v>4</v>
      </c>
      <c r="L126" s="163">
        <v>1442</v>
      </c>
      <c r="M126" s="163">
        <v>900</v>
      </c>
      <c r="N126" s="163">
        <v>2342</v>
      </c>
      <c r="O126" s="163">
        <v>1824.72</v>
      </c>
      <c r="P126" s="163">
        <v>912.36</v>
      </c>
      <c r="AA126" s="215"/>
      <c r="AB126" s="220" t="s">
        <v>16</v>
      </c>
      <c r="AC126" s="163"/>
      <c r="AD126" s="219">
        <v>0</v>
      </c>
      <c r="AE126" s="56">
        <v>520</v>
      </c>
      <c r="AF126" s="56">
        <v>520</v>
      </c>
      <c r="AG126" s="219">
        <v>650</v>
      </c>
      <c r="AH126" s="219">
        <v>454.99999999999994</v>
      </c>
    </row>
    <row r="127" spans="9:34">
      <c r="I127" s="220"/>
      <c r="J127" s="215"/>
      <c r="K127" s="164"/>
      <c r="L127" s="163"/>
      <c r="M127" s="163"/>
      <c r="N127" s="163"/>
      <c r="O127" s="163"/>
      <c r="P127" s="163"/>
      <c r="AA127" s="215"/>
      <c r="AB127" s="218"/>
      <c r="AC127" s="163"/>
      <c r="AD127" s="219"/>
      <c r="AE127" s="56"/>
      <c r="AF127" s="56"/>
      <c r="AG127" s="219"/>
      <c r="AH127" s="219"/>
    </row>
    <row r="128" spans="9:34">
      <c r="I128" s="218" t="s">
        <v>135</v>
      </c>
      <c r="J128" s="215"/>
      <c r="K128" s="164">
        <v>22.5</v>
      </c>
      <c r="L128" s="163">
        <v>9495</v>
      </c>
      <c r="M128" s="163">
        <v>1800</v>
      </c>
      <c r="N128" s="163">
        <v>11295</v>
      </c>
      <c r="O128" s="163">
        <v>14118.75</v>
      </c>
      <c r="P128" s="163">
        <v>9883.125</v>
      </c>
      <c r="AA128" s="215"/>
      <c r="AB128" s="218" t="s">
        <v>198</v>
      </c>
      <c r="AC128" s="163">
        <v>5</v>
      </c>
      <c r="AD128" s="219">
        <v>150</v>
      </c>
      <c r="AE128" s="56">
        <v>0</v>
      </c>
      <c r="AF128" s="56">
        <v>150</v>
      </c>
      <c r="AG128" s="219">
        <v>174</v>
      </c>
      <c r="AH128" s="219">
        <v>87</v>
      </c>
    </row>
    <row r="129" spans="9:34">
      <c r="I129" s="220" t="s">
        <v>30</v>
      </c>
      <c r="J129" s="218" t="s">
        <v>24</v>
      </c>
      <c r="K129" s="164">
        <v>5.5</v>
      </c>
      <c r="L129" s="163">
        <v>2321</v>
      </c>
      <c r="M129" s="163">
        <v>600</v>
      </c>
      <c r="N129" s="163">
        <v>2921</v>
      </c>
      <c r="O129" s="163">
        <v>3651.25</v>
      </c>
      <c r="P129" s="163">
        <v>2555.875</v>
      </c>
      <c r="AA129" s="215"/>
      <c r="AB129" s="220" t="s">
        <v>79</v>
      </c>
      <c r="AC129" s="163">
        <v>5</v>
      </c>
      <c r="AD129" s="219">
        <v>150</v>
      </c>
      <c r="AE129" s="56">
        <v>0</v>
      </c>
      <c r="AF129" s="56">
        <v>150</v>
      </c>
      <c r="AG129" s="219">
        <v>174</v>
      </c>
      <c r="AH129" s="219">
        <v>87</v>
      </c>
    </row>
    <row r="130" spans="9:34">
      <c r="I130" s="215"/>
      <c r="J130" s="220" t="s">
        <v>51</v>
      </c>
      <c r="K130" s="164">
        <v>5.5</v>
      </c>
      <c r="L130" s="163">
        <v>2321</v>
      </c>
      <c r="M130" s="163">
        <v>600</v>
      </c>
      <c r="N130" s="163">
        <v>2921</v>
      </c>
      <c r="O130" s="163">
        <v>3651.25</v>
      </c>
      <c r="P130" s="163">
        <v>2555.875</v>
      </c>
      <c r="AA130" s="215"/>
      <c r="AB130" s="218"/>
      <c r="AC130" s="163"/>
      <c r="AD130" s="219"/>
      <c r="AE130" s="56"/>
      <c r="AF130" s="56"/>
      <c r="AG130" s="219"/>
      <c r="AH130" s="219"/>
    </row>
    <row r="131" spans="9:34">
      <c r="I131" s="220"/>
      <c r="J131" s="215"/>
      <c r="K131" s="164"/>
      <c r="L131" s="163"/>
      <c r="M131" s="163"/>
      <c r="N131" s="163"/>
      <c r="O131" s="163"/>
      <c r="P131" s="163"/>
      <c r="AA131" s="218" t="s">
        <v>34</v>
      </c>
      <c r="AB131" s="218" t="s">
        <v>63</v>
      </c>
      <c r="AC131" s="163">
        <v>78.5</v>
      </c>
      <c r="AD131" s="219">
        <v>32071</v>
      </c>
      <c r="AE131" s="56">
        <v>21030</v>
      </c>
      <c r="AF131" s="56">
        <v>53101</v>
      </c>
      <c r="AG131" s="219">
        <v>53944.090000000004</v>
      </c>
      <c r="AH131" s="219">
        <v>35215.947</v>
      </c>
    </row>
    <row r="132" spans="9:34">
      <c r="I132" s="220" t="s">
        <v>31</v>
      </c>
      <c r="J132" s="218" t="s">
        <v>23</v>
      </c>
      <c r="K132" s="164">
        <v>7</v>
      </c>
      <c r="L132" s="163">
        <v>2954</v>
      </c>
      <c r="M132" s="163">
        <v>150</v>
      </c>
      <c r="N132" s="163">
        <v>3104</v>
      </c>
      <c r="O132" s="163">
        <v>3880</v>
      </c>
      <c r="P132" s="163">
        <v>2716</v>
      </c>
      <c r="AA132" s="215"/>
      <c r="AB132" s="220" t="s">
        <v>18</v>
      </c>
      <c r="AC132" s="163">
        <v>7.5</v>
      </c>
      <c r="AD132" s="219">
        <v>3675</v>
      </c>
      <c r="AE132" s="56">
        <v>750</v>
      </c>
      <c r="AF132" s="56">
        <v>4425</v>
      </c>
      <c r="AG132" s="219">
        <v>5531.25</v>
      </c>
      <c r="AH132" s="219">
        <v>3871.875</v>
      </c>
    </row>
    <row r="133" spans="9:34">
      <c r="I133" s="215"/>
      <c r="J133" s="220" t="s">
        <v>54</v>
      </c>
      <c r="K133" s="164">
        <v>6</v>
      </c>
      <c r="L133" s="163">
        <v>2532</v>
      </c>
      <c r="M133" s="163">
        <v>0</v>
      </c>
      <c r="N133" s="163">
        <v>2532</v>
      </c>
      <c r="O133" s="163">
        <v>3165</v>
      </c>
      <c r="P133" s="163">
        <v>2215.5</v>
      </c>
      <c r="AA133" s="215"/>
      <c r="AB133" s="220" t="s">
        <v>21</v>
      </c>
      <c r="AC133" s="163">
        <v>6</v>
      </c>
      <c r="AD133" s="219">
        <v>2580</v>
      </c>
      <c r="AE133" s="56">
        <v>900</v>
      </c>
      <c r="AF133" s="56">
        <v>3480</v>
      </c>
      <c r="AG133" s="219">
        <v>4350</v>
      </c>
      <c r="AH133" s="219">
        <v>3045</v>
      </c>
    </row>
    <row r="134" spans="9:34">
      <c r="I134" s="215"/>
      <c r="J134" s="220" t="s">
        <v>56</v>
      </c>
      <c r="K134" s="164">
        <v>1</v>
      </c>
      <c r="L134" s="163">
        <v>422</v>
      </c>
      <c r="M134" s="163">
        <v>150</v>
      </c>
      <c r="N134" s="163">
        <v>572</v>
      </c>
      <c r="O134" s="163">
        <v>715</v>
      </c>
      <c r="P134" s="163">
        <v>500.49999999999994</v>
      </c>
      <c r="AA134" s="215"/>
      <c r="AB134" s="220" t="s">
        <v>38</v>
      </c>
      <c r="AC134" s="163">
        <v>22</v>
      </c>
      <c r="AD134" s="219">
        <v>7708</v>
      </c>
      <c r="AE134" s="56">
        <v>600</v>
      </c>
      <c r="AF134" s="56">
        <v>8308</v>
      </c>
      <c r="AG134" s="219">
        <v>10135.76</v>
      </c>
      <c r="AH134" s="219">
        <v>7095.0320000000002</v>
      </c>
    </row>
    <row r="135" spans="9:34">
      <c r="I135" s="220"/>
      <c r="J135" s="215"/>
      <c r="K135" s="164"/>
      <c r="L135" s="163"/>
      <c r="M135" s="163"/>
      <c r="N135" s="163"/>
      <c r="O135" s="163"/>
      <c r="P135" s="163"/>
      <c r="AA135" s="215"/>
      <c r="AB135" s="220" t="s">
        <v>15</v>
      </c>
      <c r="AC135" s="163">
        <v>4</v>
      </c>
      <c r="AD135" s="219">
        <v>3168</v>
      </c>
      <c r="AE135" s="56">
        <v>300</v>
      </c>
      <c r="AF135" s="56">
        <v>3468</v>
      </c>
      <c r="AG135" s="219">
        <v>1167</v>
      </c>
      <c r="AH135" s="219">
        <v>583.5</v>
      </c>
    </row>
    <row r="136" spans="9:34">
      <c r="I136" s="220" t="s">
        <v>34</v>
      </c>
      <c r="J136" s="218" t="s">
        <v>27</v>
      </c>
      <c r="K136" s="164">
        <v>6</v>
      </c>
      <c r="L136" s="163">
        <v>2532</v>
      </c>
      <c r="M136" s="163">
        <v>450</v>
      </c>
      <c r="N136" s="163">
        <v>2982</v>
      </c>
      <c r="O136" s="163">
        <v>3727.5</v>
      </c>
      <c r="P136" s="163">
        <v>2609.25</v>
      </c>
      <c r="AA136" s="215"/>
      <c r="AB136" s="220" t="s">
        <v>79</v>
      </c>
      <c r="AC136" s="163">
        <v>6</v>
      </c>
      <c r="AD136" s="219">
        <v>2163</v>
      </c>
      <c r="AE136" s="56">
        <v>600</v>
      </c>
      <c r="AF136" s="56">
        <v>2763</v>
      </c>
      <c r="AG136" s="219">
        <v>1042.08</v>
      </c>
      <c r="AH136" s="219">
        <v>521.04</v>
      </c>
    </row>
    <row r="137" spans="9:34">
      <c r="I137" s="215"/>
      <c r="J137" s="220" t="s">
        <v>63</v>
      </c>
      <c r="K137" s="164">
        <v>6</v>
      </c>
      <c r="L137" s="163">
        <v>2532</v>
      </c>
      <c r="M137" s="163">
        <v>450</v>
      </c>
      <c r="N137" s="163">
        <v>2982</v>
      </c>
      <c r="O137" s="163">
        <v>3727.5</v>
      </c>
      <c r="P137" s="163">
        <v>2609.25</v>
      </c>
      <c r="AA137" s="215"/>
      <c r="AB137" s="220" t="s">
        <v>135</v>
      </c>
      <c r="AC137" s="163">
        <v>6</v>
      </c>
      <c r="AD137" s="219">
        <v>2532</v>
      </c>
      <c r="AE137" s="56">
        <v>450</v>
      </c>
      <c r="AF137" s="56">
        <v>2982</v>
      </c>
      <c r="AG137" s="219">
        <v>3727.5</v>
      </c>
      <c r="AH137" s="219">
        <v>2609.25</v>
      </c>
    </row>
    <row r="138" spans="9:34">
      <c r="I138" s="220"/>
      <c r="J138" s="215"/>
      <c r="K138" s="164"/>
      <c r="L138" s="163"/>
      <c r="M138" s="163"/>
      <c r="N138" s="163"/>
      <c r="O138" s="163"/>
      <c r="P138" s="163"/>
      <c r="AA138" s="215"/>
      <c r="AB138" s="220" t="s">
        <v>16</v>
      </c>
      <c r="AC138" s="163"/>
      <c r="AD138" s="219">
        <v>0</v>
      </c>
      <c r="AE138" s="56">
        <v>13980</v>
      </c>
      <c r="AF138" s="56">
        <v>13980</v>
      </c>
      <c r="AG138" s="219">
        <v>17475</v>
      </c>
      <c r="AH138" s="219">
        <v>12232.499999999998</v>
      </c>
    </row>
    <row r="139" spans="9:34">
      <c r="I139" s="220" t="s">
        <v>35</v>
      </c>
      <c r="J139" s="218" t="s">
        <v>28</v>
      </c>
      <c r="K139" s="164">
        <v>4</v>
      </c>
      <c r="L139" s="163">
        <v>1688</v>
      </c>
      <c r="M139" s="163">
        <v>600</v>
      </c>
      <c r="N139" s="163">
        <v>2288</v>
      </c>
      <c r="O139" s="163">
        <v>2860</v>
      </c>
      <c r="P139" s="163">
        <v>2002</v>
      </c>
      <c r="AA139" s="215"/>
      <c r="AB139" s="220" t="s">
        <v>17</v>
      </c>
      <c r="AC139" s="163">
        <v>15</v>
      </c>
      <c r="AD139" s="219">
        <v>5925</v>
      </c>
      <c r="AE139" s="56">
        <v>2250</v>
      </c>
      <c r="AF139" s="56">
        <v>8175</v>
      </c>
      <c r="AG139" s="219">
        <v>3721.4999999999995</v>
      </c>
      <c r="AH139" s="219">
        <v>1860.7499999999998</v>
      </c>
    </row>
    <row r="140" spans="9:34">
      <c r="I140" s="215"/>
      <c r="J140" s="220" t="s">
        <v>68</v>
      </c>
      <c r="K140" s="164">
        <v>4</v>
      </c>
      <c r="L140" s="163">
        <v>1688</v>
      </c>
      <c r="M140" s="163">
        <v>600</v>
      </c>
      <c r="N140" s="163">
        <v>2288</v>
      </c>
      <c r="O140" s="163">
        <v>2860</v>
      </c>
      <c r="P140" s="163">
        <v>2002</v>
      </c>
      <c r="AA140" s="215"/>
      <c r="AB140" s="220" t="s">
        <v>19</v>
      </c>
      <c r="AC140" s="163">
        <v>3</v>
      </c>
      <c r="AD140" s="219">
        <v>1050</v>
      </c>
      <c r="AE140" s="56">
        <v>300</v>
      </c>
      <c r="AF140" s="56">
        <v>1350</v>
      </c>
      <c r="AG140" s="219">
        <v>1687.5</v>
      </c>
      <c r="AH140" s="219">
        <v>843.75</v>
      </c>
    </row>
    <row r="141" spans="9:34">
      <c r="I141" s="220"/>
      <c r="J141" s="215"/>
      <c r="K141" s="164"/>
      <c r="L141" s="163"/>
      <c r="M141" s="163"/>
      <c r="N141" s="163"/>
      <c r="O141" s="163"/>
      <c r="P141" s="163"/>
      <c r="AA141" s="215"/>
      <c r="AB141" s="220" t="s">
        <v>22</v>
      </c>
      <c r="AC141" s="163">
        <v>4</v>
      </c>
      <c r="AD141" s="219">
        <v>1520</v>
      </c>
      <c r="AE141" s="56">
        <v>600</v>
      </c>
      <c r="AF141" s="56">
        <v>2120</v>
      </c>
      <c r="AG141" s="219">
        <v>2544</v>
      </c>
      <c r="AH141" s="219">
        <v>1272</v>
      </c>
    </row>
    <row r="142" spans="9:34">
      <c r="I142" s="218" t="s">
        <v>16</v>
      </c>
      <c r="J142" s="215"/>
      <c r="K142" s="164"/>
      <c r="L142" s="163">
        <v>0</v>
      </c>
      <c r="M142" s="163">
        <v>49610</v>
      </c>
      <c r="N142" s="163">
        <v>49610</v>
      </c>
      <c r="O142" s="163">
        <v>62012.5</v>
      </c>
      <c r="P142" s="163">
        <v>43408.75</v>
      </c>
      <c r="AA142" s="215"/>
      <c r="AB142" s="220" t="s">
        <v>20</v>
      </c>
      <c r="AC142" s="163">
        <v>5</v>
      </c>
      <c r="AD142" s="219">
        <v>1750</v>
      </c>
      <c r="AE142" s="56">
        <v>300</v>
      </c>
      <c r="AF142" s="56">
        <v>2050</v>
      </c>
      <c r="AG142" s="219">
        <v>2562.5</v>
      </c>
      <c r="AH142" s="219">
        <v>1281.25</v>
      </c>
    </row>
    <row r="143" spans="9:34">
      <c r="I143" s="220" t="s">
        <v>30</v>
      </c>
      <c r="J143" s="218" t="s">
        <v>24</v>
      </c>
      <c r="K143" s="164"/>
      <c r="L143" s="163">
        <v>0</v>
      </c>
      <c r="M143" s="163">
        <v>9480</v>
      </c>
      <c r="N143" s="163">
        <v>9480</v>
      </c>
      <c r="O143" s="163">
        <v>11850</v>
      </c>
      <c r="P143" s="163">
        <v>8295</v>
      </c>
      <c r="AA143" s="215"/>
      <c r="AB143" s="218"/>
      <c r="AC143" s="163"/>
      <c r="AD143" s="219"/>
      <c r="AE143" s="56"/>
      <c r="AF143" s="56"/>
      <c r="AG143" s="219"/>
      <c r="AH143" s="219"/>
    </row>
    <row r="144" spans="9:34">
      <c r="I144" s="215"/>
      <c r="J144" s="220" t="s">
        <v>50</v>
      </c>
      <c r="K144" s="164"/>
      <c r="L144" s="163">
        <v>0</v>
      </c>
      <c r="M144" s="163">
        <v>4680</v>
      </c>
      <c r="N144" s="163">
        <v>4680</v>
      </c>
      <c r="O144" s="163">
        <v>5850</v>
      </c>
      <c r="P144" s="163">
        <v>4095</v>
      </c>
      <c r="AA144" s="215"/>
      <c r="AB144" s="218" t="s">
        <v>64</v>
      </c>
      <c r="AC144" s="163">
        <v>61</v>
      </c>
      <c r="AD144" s="219">
        <v>25307</v>
      </c>
      <c r="AE144" s="56">
        <v>5610</v>
      </c>
      <c r="AF144" s="56">
        <v>30917</v>
      </c>
      <c r="AG144" s="219">
        <v>23302.98</v>
      </c>
      <c r="AH144" s="219">
        <v>13118.682000000001</v>
      </c>
    </row>
    <row r="145" spans="9:34">
      <c r="I145" s="215"/>
      <c r="J145" s="220" t="s">
        <v>51</v>
      </c>
      <c r="K145" s="164"/>
      <c r="L145" s="163">
        <v>0</v>
      </c>
      <c r="M145" s="163">
        <v>3460</v>
      </c>
      <c r="N145" s="163">
        <v>3460</v>
      </c>
      <c r="O145" s="163">
        <v>4325</v>
      </c>
      <c r="P145" s="163">
        <v>3027.5</v>
      </c>
      <c r="AA145" s="215"/>
      <c r="AB145" s="220" t="s">
        <v>18</v>
      </c>
      <c r="AC145" s="163">
        <v>4</v>
      </c>
      <c r="AD145" s="219">
        <v>1960</v>
      </c>
      <c r="AE145" s="56">
        <v>0</v>
      </c>
      <c r="AF145" s="56">
        <v>1960</v>
      </c>
      <c r="AG145" s="219">
        <v>2450</v>
      </c>
      <c r="AH145" s="219">
        <v>1715</v>
      </c>
    </row>
    <row r="146" spans="9:34">
      <c r="I146" s="215"/>
      <c r="J146" s="220" t="s">
        <v>52</v>
      </c>
      <c r="K146" s="164"/>
      <c r="L146" s="163">
        <v>0</v>
      </c>
      <c r="M146" s="163">
        <v>1340</v>
      </c>
      <c r="N146" s="163">
        <v>1340</v>
      </c>
      <c r="O146" s="163">
        <v>1675</v>
      </c>
      <c r="P146" s="163">
        <v>1172.5</v>
      </c>
      <c r="AA146" s="215"/>
      <c r="AB146" s="220" t="s">
        <v>21</v>
      </c>
      <c r="AC146" s="163">
        <v>2</v>
      </c>
      <c r="AD146" s="219">
        <v>860</v>
      </c>
      <c r="AE146" s="56">
        <v>300</v>
      </c>
      <c r="AF146" s="56">
        <v>1160</v>
      </c>
      <c r="AG146" s="219">
        <v>1450</v>
      </c>
      <c r="AH146" s="219">
        <v>1015</v>
      </c>
    </row>
    <row r="147" spans="9:34">
      <c r="I147" s="220"/>
      <c r="J147" s="215"/>
      <c r="K147" s="164"/>
      <c r="L147" s="163"/>
      <c r="M147" s="163"/>
      <c r="N147" s="163"/>
      <c r="O147" s="163"/>
      <c r="P147" s="163"/>
      <c r="AA147" s="215"/>
      <c r="AB147" s="220" t="s">
        <v>38</v>
      </c>
      <c r="AC147" s="163">
        <v>3</v>
      </c>
      <c r="AD147" s="219">
        <v>1218</v>
      </c>
      <c r="AE147" s="56">
        <v>0</v>
      </c>
      <c r="AF147" s="56">
        <v>1218</v>
      </c>
      <c r="AG147" s="219">
        <v>1485.96</v>
      </c>
      <c r="AH147" s="219">
        <v>1040.172</v>
      </c>
    </row>
    <row r="148" spans="9:34">
      <c r="I148" s="220" t="s">
        <v>31</v>
      </c>
      <c r="J148" s="218" t="s">
        <v>23</v>
      </c>
      <c r="K148" s="164"/>
      <c r="L148" s="163">
        <v>0</v>
      </c>
      <c r="M148" s="163">
        <v>10420</v>
      </c>
      <c r="N148" s="163">
        <v>10420</v>
      </c>
      <c r="O148" s="163">
        <v>13025</v>
      </c>
      <c r="P148" s="163">
        <v>9117.5</v>
      </c>
      <c r="AA148" s="215"/>
      <c r="AB148" s="220" t="s">
        <v>15</v>
      </c>
      <c r="AC148" s="163">
        <v>8</v>
      </c>
      <c r="AD148" s="219">
        <v>4672</v>
      </c>
      <c r="AE148" s="56">
        <v>0</v>
      </c>
      <c r="AF148" s="56">
        <v>4672</v>
      </c>
      <c r="AG148" s="219">
        <v>1168</v>
      </c>
      <c r="AH148" s="219">
        <v>584</v>
      </c>
    </row>
    <row r="149" spans="9:34">
      <c r="I149" s="215"/>
      <c r="J149" s="220" t="s">
        <v>53</v>
      </c>
      <c r="K149" s="164"/>
      <c r="L149" s="163">
        <v>0</v>
      </c>
      <c r="M149" s="163">
        <v>520</v>
      </c>
      <c r="N149" s="163">
        <v>520</v>
      </c>
      <c r="O149" s="163">
        <v>650</v>
      </c>
      <c r="P149" s="163">
        <v>454.99999999999994</v>
      </c>
      <c r="AA149" s="215"/>
      <c r="AB149" s="220" t="s">
        <v>79</v>
      </c>
      <c r="AC149" s="163">
        <v>9</v>
      </c>
      <c r="AD149" s="219">
        <v>3672</v>
      </c>
      <c r="AE149" s="56">
        <v>1500</v>
      </c>
      <c r="AF149" s="56">
        <v>5172</v>
      </c>
      <c r="AG149" s="219">
        <v>2327.52</v>
      </c>
      <c r="AH149" s="219">
        <v>1163.76</v>
      </c>
    </row>
    <row r="150" spans="9:34">
      <c r="I150" s="215"/>
      <c r="J150" s="220" t="s">
        <v>54</v>
      </c>
      <c r="K150" s="164"/>
      <c r="L150" s="163">
        <v>0</v>
      </c>
      <c r="M150" s="163">
        <v>260</v>
      </c>
      <c r="N150" s="163">
        <v>260</v>
      </c>
      <c r="O150" s="163">
        <v>325</v>
      </c>
      <c r="P150" s="163">
        <v>227.49999999999997</v>
      </c>
      <c r="AA150" s="215"/>
      <c r="AB150" s="220" t="s">
        <v>16</v>
      </c>
      <c r="AC150" s="163"/>
      <c r="AD150" s="219">
        <v>0</v>
      </c>
      <c r="AE150" s="56">
        <v>1560</v>
      </c>
      <c r="AF150" s="56">
        <v>1560</v>
      </c>
      <c r="AG150" s="219">
        <v>1950</v>
      </c>
      <c r="AH150" s="219">
        <v>1364.9999999999998</v>
      </c>
    </row>
    <row r="151" spans="9:34">
      <c r="I151" s="215"/>
      <c r="J151" s="220" t="s">
        <v>57</v>
      </c>
      <c r="K151" s="164"/>
      <c r="L151" s="163">
        <v>0</v>
      </c>
      <c r="M151" s="163">
        <v>520</v>
      </c>
      <c r="N151" s="163">
        <v>520</v>
      </c>
      <c r="O151" s="163">
        <v>650</v>
      </c>
      <c r="P151" s="163">
        <v>454.99999999999994</v>
      </c>
      <c r="AA151" s="215"/>
      <c r="AB151" s="220" t="s">
        <v>17</v>
      </c>
      <c r="AC151" s="163">
        <v>15</v>
      </c>
      <c r="AD151" s="219">
        <v>5925</v>
      </c>
      <c r="AE151" s="56">
        <v>2250</v>
      </c>
      <c r="AF151" s="56">
        <v>8175</v>
      </c>
      <c r="AG151" s="219">
        <v>3721.4999999999995</v>
      </c>
      <c r="AH151" s="219">
        <v>1860.7499999999998</v>
      </c>
    </row>
    <row r="152" spans="9:34">
      <c r="I152" s="215"/>
      <c r="J152" s="220" t="s">
        <v>55</v>
      </c>
      <c r="K152" s="164"/>
      <c r="L152" s="163">
        <v>0</v>
      </c>
      <c r="M152" s="163">
        <v>1040</v>
      </c>
      <c r="N152" s="163">
        <v>1040</v>
      </c>
      <c r="O152" s="163">
        <v>1300</v>
      </c>
      <c r="P152" s="163">
        <v>909.99999999999989</v>
      </c>
      <c r="AA152" s="215"/>
      <c r="AB152" s="220" t="s">
        <v>19</v>
      </c>
      <c r="AC152" s="163">
        <v>10</v>
      </c>
      <c r="AD152" s="219">
        <v>3500</v>
      </c>
      <c r="AE152" s="56">
        <v>0</v>
      </c>
      <c r="AF152" s="56">
        <v>3500</v>
      </c>
      <c r="AG152" s="219">
        <v>4375</v>
      </c>
      <c r="AH152" s="219">
        <v>2187.5</v>
      </c>
    </row>
    <row r="153" spans="9:34">
      <c r="I153" s="215"/>
      <c r="J153" s="220" t="s">
        <v>56</v>
      </c>
      <c r="K153" s="164"/>
      <c r="L153" s="163">
        <v>0</v>
      </c>
      <c r="M153" s="163">
        <v>8080</v>
      </c>
      <c r="N153" s="163">
        <v>8080</v>
      </c>
      <c r="O153" s="163">
        <v>10100</v>
      </c>
      <c r="P153" s="163">
        <v>7070</v>
      </c>
      <c r="AA153" s="215"/>
      <c r="AB153" s="220" t="s">
        <v>20</v>
      </c>
      <c r="AC153" s="163">
        <v>10</v>
      </c>
      <c r="AD153" s="219">
        <v>3500</v>
      </c>
      <c r="AE153" s="56">
        <v>0</v>
      </c>
      <c r="AF153" s="56">
        <v>3500</v>
      </c>
      <c r="AG153" s="219">
        <v>4375</v>
      </c>
      <c r="AH153" s="219">
        <v>2187.5</v>
      </c>
    </row>
    <row r="154" spans="9:34">
      <c r="I154" s="220"/>
      <c r="J154" s="215"/>
      <c r="K154" s="164"/>
      <c r="L154" s="163"/>
      <c r="M154" s="163"/>
      <c r="N154" s="163"/>
      <c r="O154" s="163"/>
      <c r="P154" s="163"/>
      <c r="AA154" s="215"/>
      <c r="AB154" s="218"/>
      <c r="AC154" s="163"/>
      <c r="AD154" s="219"/>
      <c r="AE154" s="56"/>
      <c r="AF154" s="56"/>
      <c r="AG154" s="219"/>
      <c r="AH154" s="219"/>
    </row>
    <row r="155" spans="9:34">
      <c r="I155" s="220" t="s">
        <v>32</v>
      </c>
      <c r="J155" s="218" t="s">
        <v>25</v>
      </c>
      <c r="K155" s="164"/>
      <c r="L155" s="163">
        <v>0</v>
      </c>
      <c r="M155" s="163">
        <v>2860</v>
      </c>
      <c r="N155" s="163">
        <v>2860</v>
      </c>
      <c r="O155" s="163">
        <v>3575</v>
      </c>
      <c r="P155" s="163">
        <v>2502.4999999999995</v>
      </c>
      <c r="AA155" s="215"/>
      <c r="AB155" s="218" t="s">
        <v>65</v>
      </c>
      <c r="AC155" s="163">
        <v>35</v>
      </c>
      <c r="AD155" s="219">
        <v>13718</v>
      </c>
      <c r="AE155" s="56">
        <v>3720</v>
      </c>
      <c r="AF155" s="56">
        <v>17438</v>
      </c>
      <c r="AG155" s="219">
        <v>19804.22</v>
      </c>
      <c r="AH155" s="219">
        <v>12018.366</v>
      </c>
    </row>
    <row r="156" spans="9:34">
      <c r="I156" s="215"/>
      <c r="J156" s="220" t="s">
        <v>60</v>
      </c>
      <c r="K156" s="164"/>
      <c r="L156" s="163">
        <v>0</v>
      </c>
      <c r="M156" s="163">
        <v>1300</v>
      </c>
      <c r="N156" s="163">
        <v>1300</v>
      </c>
      <c r="O156" s="163">
        <v>1625</v>
      </c>
      <c r="P156" s="163">
        <v>1137.4999999999998</v>
      </c>
      <c r="AA156" s="215"/>
      <c r="AB156" s="220" t="s">
        <v>18</v>
      </c>
      <c r="AC156" s="163">
        <v>5</v>
      </c>
      <c r="AD156" s="219">
        <v>2450</v>
      </c>
      <c r="AE156" s="56">
        <v>0</v>
      </c>
      <c r="AF156" s="56">
        <v>2450</v>
      </c>
      <c r="AG156" s="219">
        <v>3062.5</v>
      </c>
      <c r="AH156" s="219">
        <v>2143.75</v>
      </c>
    </row>
    <row r="157" spans="9:34">
      <c r="I157" s="215"/>
      <c r="J157" s="220" t="s">
        <v>61</v>
      </c>
      <c r="K157" s="164"/>
      <c r="L157" s="163">
        <v>0</v>
      </c>
      <c r="M157" s="163">
        <v>520</v>
      </c>
      <c r="N157" s="163">
        <v>520</v>
      </c>
      <c r="O157" s="163">
        <v>650</v>
      </c>
      <c r="P157" s="163">
        <v>454.99999999999994</v>
      </c>
      <c r="AA157" s="215"/>
      <c r="AB157" s="220" t="s">
        <v>21</v>
      </c>
      <c r="AC157" s="163">
        <v>2</v>
      </c>
      <c r="AD157" s="219">
        <v>860</v>
      </c>
      <c r="AE157" s="56">
        <v>300</v>
      </c>
      <c r="AF157" s="56">
        <v>1160</v>
      </c>
      <c r="AG157" s="219">
        <v>1450</v>
      </c>
      <c r="AH157" s="219">
        <v>1015</v>
      </c>
    </row>
    <row r="158" spans="9:34">
      <c r="I158" s="215"/>
      <c r="J158" s="220" t="s">
        <v>62</v>
      </c>
      <c r="K158" s="164"/>
      <c r="L158" s="163">
        <v>0</v>
      </c>
      <c r="M158" s="163">
        <v>1040</v>
      </c>
      <c r="N158" s="163">
        <v>1040</v>
      </c>
      <c r="O158" s="163">
        <v>1300</v>
      </c>
      <c r="P158" s="163">
        <v>909.99999999999989</v>
      </c>
      <c r="AA158" s="215"/>
      <c r="AB158" s="220" t="s">
        <v>38</v>
      </c>
      <c r="AC158" s="163">
        <v>4</v>
      </c>
      <c r="AD158" s="219">
        <v>1624</v>
      </c>
      <c r="AE158" s="56">
        <v>0</v>
      </c>
      <c r="AF158" s="56">
        <v>1624</v>
      </c>
      <c r="AG158" s="219">
        <v>1981.28</v>
      </c>
      <c r="AH158" s="219">
        <v>1386.896</v>
      </c>
    </row>
    <row r="159" spans="9:34">
      <c r="I159" s="220"/>
      <c r="J159" s="215"/>
      <c r="K159" s="164"/>
      <c r="L159" s="163"/>
      <c r="M159" s="163"/>
      <c r="N159" s="163"/>
      <c r="O159" s="163"/>
      <c r="P159" s="163"/>
      <c r="AA159" s="215"/>
      <c r="AB159" s="220" t="s">
        <v>79</v>
      </c>
      <c r="AC159" s="163">
        <v>4</v>
      </c>
      <c r="AD159" s="219">
        <v>1784</v>
      </c>
      <c r="AE159" s="56">
        <v>0</v>
      </c>
      <c r="AF159" s="56">
        <v>1784</v>
      </c>
      <c r="AG159" s="219">
        <v>285.44</v>
      </c>
      <c r="AH159" s="219">
        <v>142.72</v>
      </c>
    </row>
    <row r="160" spans="9:34">
      <c r="I160" s="220" t="s">
        <v>33</v>
      </c>
      <c r="J160" s="218" t="s">
        <v>26</v>
      </c>
      <c r="K160" s="164"/>
      <c r="L160" s="163">
        <v>0</v>
      </c>
      <c r="M160" s="163">
        <v>1040</v>
      </c>
      <c r="N160" s="163">
        <v>1040</v>
      </c>
      <c r="O160" s="163">
        <v>1300</v>
      </c>
      <c r="P160" s="163">
        <v>909.99999999999989</v>
      </c>
      <c r="AA160" s="215"/>
      <c r="AB160" s="220" t="s">
        <v>16</v>
      </c>
      <c r="AC160" s="163"/>
      <c r="AD160" s="219">
        <v>0</v>
      </c>
      <c r="AE160" s="56">
        <v>3270</v>
      </c>
      <c r="AF160" s="56">
        <v>3270</v>
      </c>
      <c r="AG160" s="219">
        <v>4087.5</v>
      </c>
      <c r="AH160" s="219">
        <v>2861.25</v>
      </c>
    </row>
    <row r="161" spans="9:34">
      <c r="I161" s="215"/>
      <c r="J161" s="220" t="s">
        <v>151</v>
      </c>
      <c r="K161" s="164"/>
      <c r="L161" s="163">
        <v>0</v>
      </c>
      <c r="M161" s="163">
        <v>520</v>
      </c>
      <c r="N161" s="163">
        <v>520</v>
      </c>
      <c r="O161" s="163">
        <v>650</v>
      </c>
      <c r="P161" s="163">
        <v>454.99999999999994</v>
      </c>
      <c r="AA161" s="215"/>
      <c r="AB161" s="220" t="s">
        <v>19</v>
      </c>
      <c r="AC161" s="163">
        <v>20</v>
      </c>
      <c r="AD161" s="219">
        <v>7000</v>
      </c>
      <c r="AE161" s="56">
        <v>150</v>
      </c>
      <c r="AF161" s="56">
        <v>7150</v>
      </c>
      <c r="AG161" s="219">
        <v>8937.5</v>
      </c>
      <c r="AH161" s="219">
        <v>4468.75</v>
      </c>
    </row>
    <row r="162" spans="9:34">
      <c r="I162" s="215"/>
      <c r="J162" s="220" t="s">
        <v>153</v>
      </c>
      <c r="K162" s="164"/>
      <c r="L162" s="163">
        <v>0</v>
      </c>
      <c r="M162" s="163">
        <v>520</v>
      </c>
      <c r="N162" s="163">
        <v>520</v>
      </c>
      <c r="O162" s="163">
        <v>650</v>
      </c>
      <c r="P162" s="163">
        <v>454.99999999999994</v>
      </c>
      <c r="AA162" s="215"/>
      <c r="AB162" s="218"/>
      <c r="AC162" s="163"/>
      <c r="AD162" s="219"/>
      <c r="AE162" s="56"/>
      <c r="AF162" s="56"/>
      <c r="AG162" s="219"/>
      <c r="AH162" s="219"/>
    </row>
    <row r="163" spans="9:34">
      <c r="I163" s="220"/>
      <c r="J163" s="215"/>
      <c r="K163" s="164"/>
      <c r="L163" s="163"/>
      <c r="M163" s="163"/>
      <c r="N163" s="163"/>
      <c r="O163" s="163"/>
      <c r="P163" s="163"/>
      <c r="AA163" s="218" t="s">
        <v>35</v>
      </c>
      <c r="AB163" s="218" t="s">
        <v>66</v>
      </c>
      <c r="AC163" s="163">
        <v>18</v>
      </c>
      <c r="AD163" s="219">
        <v>5982</v>
      </c>
      <c r="AE163" s="56">
        <v>5060</v>
      </c>
      <c r="AF163" s="56">
        <v>11042</v>
      </c>
      <c r="AG163" s="219">
        <v>13518.04</v>
      </c>
      <c r="AH163" s="219">
        <v>9462.6279999999988</v>
      </c>
    </row>
    <row r="164" spans="9:34">
      <c r="I164" s="220" t="s">
        <v>34</v>
      </c>
      <c r="J164" s="218" t="s">
        <v>27</v>
      </c>
      <c r="K164" s="164"/>
      <c r="L164" s="163">
        <v>0</v>
      </c>
      <c r="M164" s="163">
        <v>18810</v>
      </c>
      <c r="N164" s="163">
        <v>18810</v>
      </c>
      <c r="O164" s="163">
        <v>23512.5</v>
      </c>
      <c r="P164" s="163">
        <v>16458.75</v>
      </c>
      <c r="AA164" s="215"/>
      <c r="AB164" s="220" t="s">
        <v>38</v>
      </c>
      <c r="AC164" s="163">
        <v>18</v>
      </c>
      <c r="AD164" s="219">
        <v>5982</v>
      </c>
      <c r="AE164" s="56">
        <v>3500</v>
      </c>
      <c r="AF164" s="56">
        <v>9482</v>
      </c>
      <c r="AG164" s="219">
        <v>11568.04</v>
      </c>
      <c r="AH164" s="219">
        <v>8097.6279999999997</v>
      </c>
    </row>
    <row r="165" spans="9:34">
      <c r="I165" s="215"/>
      <c r="J165" s="220" t="s">
        <v>63</v>
      </c>
      <c r="K165" s="164"/>
      <c r="L165" s="163">
        <v>0</v>
      </c>
      <c r="M165" s="163">
        <v>13980</v>
      </c>
      <c r="N165" s="163">
        <v>13980</v>
      </c>
      <c r="O165" s="163">
        <v>17475</v>
      </c>
      <c r="P165" s="163">
        <v>12232.499999999998</v>
      </c>
      <c r="AA165" s="215"/>
      <c r="AB165" s="220" t="s">
        <v>16</v>
      </c>
      <c r="AC165" s="163"/>
      <c r="AD165" s="219">
        <v>0</v>
      </c>
      <c r="AE165" s="56">
        <v>1560</v>
      </c>
      <c r="AF165" s="56">
        <v>1560</v>
      </c>
      <c r="AG165" s="219">
        <v>1950</v>
      </c>
      <c r="AH165" s="219">
        <v>1364.9999999999998</v>
      </c>
    </row>
    <row r="166" spans="9:34">
      <c r="I166" s="215"/>
      <c r="J166" s="220" t="s">
        <v>64</v>
      </c>
      <c r="K166" s="164"/>
      <c r="L166" s="163">
        <v>0</v>
      </c>
      <c r="M166" s="163">
        <v>1560</v>
      </c>
      <c r="N166" s="163">
        <v>1560</v>
      </c>
      <c r="O166" s="163">
        <v>1950</v>
      </c>
      <c r="P166" s="163">
        <v>1364.9999999999998</v>
      </c>
      <c r="AA166" s="215"/>
      <c r="AB166" s="218"/>
      <c r="AC166" s="163"/>
      <c r="AD166" s="219"/>
      <c r="AE166" s="56"/>
      <c r="AF166" s="56"/>
      <c r="AG166" s="219"/>
      <c r="AH166" s="219"/>
    </row>
    <row r="167" spans="9:34">
      <c r="I167" s="215"/>
      <c r="J167" s="220" t="s">
        <v>65</v>
      </c>
      <c r="K167" s="164"/>
      <c r="L167" s="163">
        <v>0</v>
      </c>
      <c r="M167" s="163">
        <v>3270</v>
      </c>
      <c r="N167" s="163">
        <v>3270</v>
      </c>
      <c r="O167" s="163">
        <v>4087.5</v>
      </c>
      <c r="P167" s="163">
        <v>2861.25</v>
      </c>
      <c r="AA167" s="215"/>
      <c r="AB167" s="218" t="s">
        <v>67</v>
      </c>
      <c r="AC167" s="163">
        <v>147</v>
      </c>
      <c r="AD167" s="219">
        <v>49290</v>
      </c>
      <c r="AE167" s="56">
        <v>10200</v>
      </c>
      <c r="AF167" s="56">
        <v>59490</v>
      </c>
      <c r="AG167" s="219">
        <v>40688.680000000008</v>
      </c>
      <c r="AH167" s="219">
        <v>24210.671999999999</v>
      </c>
    </row>
    <row r="168" spans="9:34">
      <c r="I168" s="220"/>
      <c r="J168" s="215"/>
      <c r="K168" s="164"/>
      <c r="L168" s="163"/>
      <c r="M168" s="163"/>
      <c r="N168" s="163"/>
      <c r="O168" s="163"/>
      <c r="P168" s="163"/>
      <c r="AA168" s="215"/>
      <c r="AB168" s="220" t="s">
        <v>38</v>
      </c>
      <c r="AC168" s="163">
        <v>16</v>
      </c>
      <c r="AD168" s="219">
        <v>5578</v>
      </c>
      <c r="AE168" s="56">
        <v>7450</v>
      </c>
      <c r="AF168" s="56">
        <v>13028</v>
      </c>
      <c r="AG168" s="219">
        <v>15894.16</v>
      </c>
      <c r="AH168" s="219">
        <v>11125.911999999998</v>
      </c>
    </row>
    <row r="169" spans="9:34">
      <c r="I169" s="220" t="s">
        <v>35</v>
      </c>
      <c r="J169" s="218" t="s">
        <v>28</v>
      </c>
      <c r="K169" s="164"/>
      <c r="L169" s="163">
        <v>0</v>
      </c>
      <c r="M169" s="163">
        <v>7000</v>
      </c>
      <c r="N169" s="163">
        <v>7000</v>
      </c>
      <c r="O169" s="163">
        <v>8750</v>
      </c>
      <c r="P169" s="163">
        <v>6125</v>
      </c>
      <c r="AA169" s="215"/>
      <c r="AB169" s="220" t="s">
        <v>15</v>
      </c>
      <c r="AC169" s="163">
        <v>45</v>
      </c>
      <c r="AD169" s="219">
        <v>13950</v>
      </c>
      <c r="AE169" s="56">
        <v>0</v>
      </c>
      <c r="AF169" s="56">
        <v>13950</v>
      </c>
      <c r="AG169" s="219">
        <v>11797.5</v>
      </c>
      <c r="AH169" s="219">
        <v>5898.75</v>
      </c>
    </row>
    <row r="170" spans="9:34">
      <c r="I170" s="215"/>
      <c r="J170" s="220" t="s">
        <v>66</v>
      </c>
      <c r="K170" s="164"/>
      <c r="L170" s="163">
        <v>0</v>
      </c>
      <c r="M170" s="163">
        <v>1560</v>
      </c>
      <c r="N170" s="163">
        <v>1560</v>
      </c>
      <c r="O170" s="163">
        <v>1950</v>
      </c>
      <c r="P170" s="163">
        <v>1364.9999999999998</v>
      </c>
      <c r="AA170" s="215"/>
      <c r="AB170" s="220" t="s">
        <v>79</v>
      </c>
      <c r="AC170" s="163">
        <v>19</v>
      </c>
      <c r="AD170" s="219">
        <v>7542</v>
      </c>
      <c r="AE170" s="56">
        <v>0</v>
      </c>
      <c r="AF170" s="56">
        <v>7542</v>
      </c>
      <c r="AG170" s="219">
        <v>2846.72</v>
      </c>
      <c r="AH170" s="219">
        <v>1423.36</v>
      </c>
    </row>
    <row r="171" spans="9:34">
      <c r="I171" s="215"/>
      <c r="J171" s="220" t="s">
        <v>67</v>
      </c>
      <c r="K171" s="164"/>
      <c r="L171" s="163">
        <v>0</v>
      </c>
      <c r="M171" s="163">
        <v>2750</v>
      </c>
      <c r="N171" s="163">
        <v>2750</v>
      </c>
      <c r="O171" s="163">
        <v>3437.5</v>
      </c>
      <c r="P171" s="163">
        <v>2406.25</v>
      </c>
      <c r="AA171" s="215"/>
      <c r="AB171" s="220" t="s">
        <v>16</v>
      </c>
      <c r="AC171" s="163"/>
      <c r="AD171" s="219">
        <v>0</v>
      </c>
      <c r="AE171" s="56">
        <v>2750</v>
      </c>
      <c r="AF171" s="56">
        <v>2750</v>
      </c>
      <c r="AG171" s="219">
        <v>3437.5</v>
      </c>
      <c r="AH171" s="219">
        <v>2406.25</v>
      </c>
    </row>
    <row r="172" spans="9:34">
      <c r="I172" s="215"/>
      <c r="J172" s="220" t="s">
        <v>68</v>
      </c>
      <c r="K172" s="164"/>
      <c r="L172" s="163">
        <v>0</v>
      </c>
      <c r="M172" s="163">
        <v>2690</v>
      </c>
      <c r="N172" s="163">
        <v>2690</v>
      </c>
      <c r="O172" s="163">
        <v>3362.5</v>
      </c>
      <c r="P172" s="163">
        <v>2353.75</v>
      </c>
      <c r="AA172" s="215"/>
      <c r="AB172" s="220" t="s">
        <v>17</v>
      </c>
      <c r="AC172" s="163">
        <v>60</v>
      </c>
      <c r="AD172" s="219">
        <v>19560</v>
      </c>
      <c r="AE172" s="56">
        <v>0</v>
      </c>
      <c r="AF172" s="56">
        <v>19560</v>
      </c>
      <c r="AG172" s="219">
        <v>3520.7999999999997</v>
      </c>
      <c r="AH172" s="219">
        <v>1760.3999999999999</v>
      </c>
    </row>
    <row r="173" spans="9:34">
      <c r="I173" s="220"/>
      <c r="J173" s="215"/>
      <c r="K173" s="164"/>
      <c r="L173" s="163"/>
      <c r="M173" s="163"/>
      <c r="N173" s="163"/>
      <c r="O173" s="163"/>
      <c r="P173" s="163"/>
      <c r="AA173" s="215"/>
      <c r="AB173" s="220" t="s">
        <v>22</v>
      </c>
      <c r="AC173" s="163">
        <v>7</v>
      </c>
      <c r="AD173" s="219">
        <v>2660</v>
      </c>
      <c r="AE173" s="56">
        <v>0</v>
      </c>
      <c r="AF173" s="56">
        <v>2660</v>
      </c>
      <c r="AG173" s="219">
        <v>3192</v>
      </c>
      <c r="AH173" s="219">
        <v>1596</v>
      </c>
    </row>
    <row r="174" spans="9:34">
      <c r="I174" s="218" t="s">
        <v>17</v>
      </c>
      <c r="J174" s="215"/>
      <c r="K174" s="164">
        <v>879</v>
      </c>
      <c r="L174" s="163">
        <v>274212</v>
      </c>
      <c r="M174" s="163">
        <v>33900</v>
      </c>
      <c r="N174" s="163">
        <v>308112</v>
      </c>
      <c r="O174" s="163">
        <v>140054.16</v>
      </c>
      <c r="P174" s="163">
        <v>70027.08</v>
      </c>
      <c r="AA174" s="215"/>
      <c r="AB174" s="218"/>
      <c r="AC174" s="163"/>
      <c r="AD174" s="219"/>
      <c r="AE174" s="56"/>
      <c r="AF174" s="56"/>
      <c r="AG174" s="219"/>
      <c r="AH174" s="219"/>
    </row>
    <row r="175" spans="9:34">
      <c r="I175" s="220" t="s">
        <v>30</v>
      </c>
      <c r="J175" s="218" t="s">
        <v>24</v>
      </c>
      <c r="K175" s="164">
        <v>27</v>
      </c>
      <c r="L175" s="163">
        <v>10665</v>
      </c>
      <c r="M175" s="163">
        <v>2700</v>
      </c>
      <c r="N175" s="163">
        <v>13365</v>
      </c>
      <c r="O175" s="163">
        <v>6176.7000000000007</v>
      </c>
      <c r="P175" s="163">
        <v>3088.3500000000004</v>
      </c>
      <c r="AA175" s="215"/>
      <c r="AB175" s="218" t="s">
        <v>68</v>
      </c>
      <c r="AC175" s="163">
        <v>86</v>
      </c>
      <c r="AD175" s="219">
        <v>34743</v>
      </c>
      <c r="AE175" s="56">
        <v>14990</v>
      </c>
      <c r="AF175" s="56">
        <v>49733</v>
      </c>
      <c r="AG175" s="219">
        <v>41957.45</v>
      </c>
      <c r="AH175" s="219">
        <v>25649.321</v>
      </c>
    </row>
    <row r="176" spans="9:34">
      <c r="I176" s="215"/>
      <c r="J176" s="220" t="s">
        <v>51</v>
      </c>
      <c r="K176" s="164">
        <v>21</v>
      </c>
      <c r="L176" s="163">
        <v>8295</v>
      </c>
      <c r="M176" s="163">
        <v>1800</v>
      </c>
      <c r="N176" s="163">
        <v>10095</v>
      </c>
      <c r="O176" s="163">
        <v>4450.1000000000004</v>
      </c>
      <c r="P176" s="163">
        <v>2225.0500000000002</v>
      </c>
      <c r="AA176" s="215"/>
      <c r="AB176" s="220" t="s">
        <v>18</v>
      </c>
      <c r="AC176" s="163">
        <v>10</v>
      </c>
      <c r="AD176" s="219">
        <v>4900</v>
      </c>
      <c r="AE176" s="56">
        <v>1500</v>
      </c>
      <c r="AF176" s="56">
        <v>6400</v>
      </c>
      <c r="AG176" s="219">
        <v>8000</v>
      </c>
      <c r="AH176" s="219">
        <v>5600</v>
      </c>
    </row>
    <row r="177" spans="9:34">
      <c r="I177" s="215"/>
      <c r="J177" s="220" t="s">
        <v>52</v>
      </c>
      <c r="K177" s="164">
        <v>6</v>
      </c>
      <c r="L177" s="163">
        <v>2370</v>
      </c>
      <c r="M177" s="163">
        <v>900</v>
      </c>
      <c r="N177" s="163">
        <v>3270</v>
      </c>
      <c r="O177" s="163">
        <v>1726.6</v>
      </c>
      <c r="P177" s="163">
        <v>863.3</v>
      </c>
      <c r="AA177" s="215"/>
      <c r="AB177" s="220" t="s">
        <v>38</v>
      </c>
      <c r="AC177" s="163">
        <v>17</v>
      </c>
      <c r="AD177" s="219">
        <v>5984</v>
      </c>
      <c r="AE177" s="56">
        <v>1500</v>
      </c>
      <c r="AF177" s="56">
        <v>7484</v>
      </c>
      <c r="AG177" s="219">
        <v>9130.48</v>
      </c>
      <c r="AH177" s="219">
        <v>6391.3360000000002</v>
      </c>
    </row>
    <row r="178" spans="9:34">
      <c r="I178" s="220"/>
      <c r="J178" s="215"/>
      <c r="K178" s="164"/>
      <c r="L178" s="163"/>
      <c r="M178" s="163"/>
      <c r="N178" s="163"/>
      <c r="O178" s="163"/>
      <c r="P178" s="163"/>
      <c r="AA178" s="215"/>
      <c r="AB178" s="220" t="s">
        <v>15</v>
      </c>
      <c r="AC178" s="163">
        <v>18</v>
      </c>
      <c r="AD178" s="219">
        <v>7739</v>
      </c>
      <c r="AE178" s="56">
        <v>2700</v>
      </c>
      <c r="AF178" s="56">
        <v>10439</v>
      </c>
      <c r="AG178" s="219">
        <v>7248.75</v>
      </c>
      <c r="AH178" s="219">
        <v>3624.375</v>
      </c>
    </row>
    <row r="179" spans="9:34">
      <c r="I179" s="220" t="s">
        <v>31</v>
      </c>
      <c r="J179" s="218" t="s">
        <v>23</v>
      </c>
      <c r="K179" s="164">
        <v>234</v>
      </c>
      <c r="L179" s="163">
        <v>71697</v>
      </c>
      <c r="M179" s="163">
        <v>2700</v>
      </c>
      <c r="N179" s="163">
        <v>74397</v>
      </c>
      <c r="O179" s="163">
        <v>31680.459999999992</v>
      </c>
      <c r="P179" s="163">
        <v>15840.229999999996</v>
      </c>
      <c r="AA179" s="215"/>
      <c r="AB179" s="220" t="s">
        <v>79</v>
      </c>
      <c r="AC179" s="163">
        <v>4</v>
      </c>
      <c r="AD179" s="219">
        <v>1442</v>
      </c>
      <c r="AE179" s="56">
        <v>900</v>
      </c>
      <c r="AF179" s="56">
        <v>2342</v>
      </c>
      <c r="AG179" s="219">
        <v>1824.72</v>
      </c>
      <c r="AH179" s="219">
        <v>912.36</v>
      </c>
    </row>
    <row r="180" spans="9:34">
      <c r="I180" s="215"/>
      <c r="J180" s="220" t="s">
        <v>53</v>
      </c>
      <c r="K180" s="164">
        <v>219</v>
      </c>
      <c r="L180" s="163">
        <v>65772</v>
      </c>
      <c r="M180" s="163">
        <v>900</v>
      </c>
      <c r="N180" s="163">
        <v>66672</v>
      </c>
      <c r="O180" s="163">
        <v>27894.959999999992</v>
      </c>
      <c r="P180" s="163">
        <v>13947.479999999996</v>
      </c>
      <c r="AA180" s="215"/>
      <c r="AB180" s="220" t="s">
        <v>135</v>
      </c>
      <c r="AC180" s="163">
        <v>4</v>
      </c>
      <c r="AD180" s="219">
        <v>1688</v>
      </c>
      <c r="AE180" s="56">
        <v>600</v>
      </c>
      <c r="AF180" s="56">
        <v>2288</v>
      </c>
      <c r="AG180" s="219">
        <v>2860</v>
      </c>
      <c r="AH180" s="219">
        <v>2002</v>
      </c>
    </row>
    <row r="181" spans="9:34">
      <c r="I181" s="215"/>
      <c r="J181" s="220" t="s">
        <v>56</v>
      </c>
      <c r="K181" s="164">
        <v>15</v>
      </c>
      <c r="L181" s="163">
        <v>5925</v>
      </c>
      <c r="M181" s="163">
        <v>1800</v>
      </c>
      <c r="N181" s="163">
        <v>7725</v>
      </c>
      <c r="O181" s="163">
        <v>3785.4999999999995</v>
      </c>
      <c r="P181" s="163">
        <v>1892.7499999999998</v>
      </c>
      <c r="AA181" s="215"/>
      <c r="AB181" s="220" t="s">
        <v>16</v>
      </c>
      <c r="AC181" s="163"/>
      <c r="AD181" s="219">
        <v>0</v>
      </c>
      <c r="AE181" s="56">
        <v>2690</v>
      </c>
      <c r="AF181" s="56">
        <v>2690</v>
      </c>
      <c r="AG181" s="219">
        <v>3362.5</v>
      </c>
      <c r="AH181" s="219">
        <v>2353.75</v>
      </c>
    </row>
    <row r="182" spans="9:34">
      <c r="I182" s="220"/>
      <c r="J182" s="215"/>
      <c r="K182" s="164"/>
      <c r="L182" s="163"/>
      <c r="M182" s="163"/>
      <c r="N182" s="163"/>
      <c r="O182" s="163"/>
      <c r="P182" s="163"/>
      <c r="AA182" s="215"/>
      <c r="AB182" s="220" t="s">
        <v>17</v>
      </c>
      <c r="AC182" s="163">
        <v>30</v>
      </c>
      <c r="AD182" s="219">
        <v>11850</v>
      </c>
      <c r="AE182" s="56">
        <v>4500</v>
      </c>
      <c r="AF182" s="56">
        <v>16350</v>
      </c>
      <c r="AG182" s="219">
        <v>7443</v>
      </c>
      <c r="AH182" s="219">
        <v>3721.5</v>
      </c>
    </row>
    <row r="183" spans="9:34">
      <c r="I183" s="220" t="s">
        <v>32</v>
      </c>
      <c r="J183" s="218" t="s">
        <v>25</v>
      </c>
      <c r="K183" s="164">
        <v>123</v>
      </c>
      <c r="L183" s="163">
        <v>59520</v>
      </c>
      <c r="M183" s="163">
        <v>4500</v>
      </c>
      <c r="N183" s="163">
        <v>64020</v>
      </c>
      <c r="O183" s="163">
        <v>17927.599999999999</v>
      </c>
      <c r="P183" s="163">
        <v>8963.7999999999993</v>
      </c>
      <c r="AA183" s="215"/>
      <c r="AB183" s="220" t="s">
        <v>22</v>
      </c>
      <c r="AC183" s="163">
        <v>3</v>
      </c>
      <c r="AD183" s="219">
        <v>1140</v>
      </c>
      <c r="AE183" s="56">
        <v>600</v>
      </c>
      <c r="AF183" s="56">
        <v>1740</v>
      </c>
      <c r="AG183" s="219">
        <v>2088</v>
      </c>
      <c r="AH183" s="219">
        <v>1044</v>
      </c>
    </row>
    <row r="184" spans="9:34">
      <c r="I184" s="215"/>
      <c r="J184" s="220" t="s">
        <v>60</v>
      </c>
      <c r="K184" s="164">
        <v>37</v>
      </c>
      <c r="L184" s="163">
        <v>18260</v>
      </c>
      <c r="M184" s="163">
        <v>1800</v>
      </c>
      <c r="N184" s="163">
        <v>20060</v>
      </c>
      <c r="O184" s="163">
        <v>5886.8</v>
      </c>
      <c r="P184" s="163">
        <v>2943.4</v>
      </c>
      <c r="AA184" s="215"/>
      <c r="AB184" s="218"/>
      <c r="AC184" s="163"/>
      <c r="AD184" s="219"/>
      <c r="AE184" s="56"/>
      <c r="AF184" s="56"/>
      <c r="AG184" s="219"/>
      <c r="AH184" s="219"/>
    </row>
    <row r="185" spans="9:34">
      <c r="I185" s="215"/>
      <c r="J185" s="220" t="s">
        <v>61</v>
      </c>
      <c r="K185" s="164">
        <v>86</v>
      </c>
      <c r="L185" s="163">
        <v>41260</v>
      </c>
      <c r="M185" s="163">
        <v>2700</v>
      </c>
      <c r="N185" s="163">
        <v>43960</v>
      </c>
      <c r="O185" s="163">
        <v>12040.8</v>
      </c>
      <c r="P185" s="163">
        <v>6020.4</v>
      </c>
      <c r="AA185" s="218" t="s">
        <v>40</v>
      </c>
      <c r="AB185" s="215"/>
      <c r="AC185" s="163">
        <v>2483</v>
      </c>
      <c r="AD185" s="219">
        <v>755561</v>
      </c>
      <c r="AE185" s="56">
        <v>164810</v>
      </c>
      <c r="AF185" s="56">
        <v>920371</v>
      </c>
      <c r="AG185" s="219">
        <v>697174.34</v>
      </c>
      <c r="AH185" s="219">
        <v>400624.35400000005</v>
      </c>
    </row>
    <row r="186" spans="9:34">
      <c r="I186" s="220"/>
      <c r="J186" s="215"/>
      <c r="K186" s="164"/>
      <c r="L186" s="163"/>
      <c r="M186" s="163"/>
      <c r="N186" s="163"/>
      <c r="O186" s="163"/>
      <c r="P186" s="163"/>
    </row>
    <row r="187" spans="9:34">
      <c r="I187" s="220" t="s">
        <v>33</v>
      </c>
      <c r="J187" s="218" t="s">
        <v>26</v>
      </c>
      <c r="K187" s="164">
        <v>375</v>
      </c>
      <c r="L187" s="163">
        <v>89070</v>
      </c>
      <c r="M187" s="163">
        <v>15000</v>
      </c>
      <c r="N187" s="163">
        <v>104070</v>
      </c>
      <c r="O187" s="163">
        <v>65862.600000000006</v>
      </c>
      <c r="P187" s="163">
        <v>32931.300000000003</v>
      </c>
    </row>
    <row r="188" spans="9:34">
      <c r="I188" s="215"/>
      <c r="J188" s="220" t="s">
        <v>151</v>
      </c>
      <c r="K188" s="164">
        <v>175</v>
      </c>
      <c r="L188" s="163">
        <v>39650</v>
      </c>
      <c r="M188" s="163">
        <v>15000</v>
      </c>
      <c r="N188" s="163">
        <v>54650</v>
      </c>
      <c r="O188" s="163">
        <v>40307</v>
      </c>
      <c r="P188" s="163">
        <v>20153.5</v>
      </c>
    </row>
    <row r="189" spans="9:34">
      <c r="I189" s="215"/>
      <c r="J189" s="220" t="s">
        <v>147</v>
      </c>
      <c r="K189" s="164">
        <v>155</v>
      </c>
      <c r="L189" s="163">
        <v>33520</v>
      </c>
      <c r="M189" s="163">
        <v>0</v>
      </c>
      <c r="N189" s="163">
        <v>33520</v>
      </c>
      <c r="O189" s="163">
        <v>20313.600000000002</v>
      </c>
      <c r="P189" s="163">
        <v>10156.800000000001</v>
      </c>
    </row>
    <row r="190" spans="9:34">
      <c r="I190" s="215"/>
      <c r="J190" s="220" t="s">
        <v>152</v>
      </c>
      <c r="K190" s="164">
        <v>45</v>
      </c>
      <c r="L190" s="163">
        <v>15900</v>
      </c>
      <c r="M190" s="163">
        <v>0</v>
      </c>
      <c r="N190" s="163">
        <v>15900</v>
      </c>
      <c r="O190" s="163">
        <v>5242</v>
      </c>
      <c r="P190" s="163">
        <v>2621</v>
      </c>
    </row>
    <row r="191" spans="9:34">
      <c r="I191" s="220"/>
      <c r="J191" s="215"/>
      <c r="K191" s="164"/>
      <c r="L191" s="163"/>
      <c r="M191" s="163"/>
      <c r="N191" s="163"/>
      <c r="O191" s="163"/>
      <c r="P191" s="163"/>
    </row>
    <row r="192" spans="9:34">
      <c r="I192" s="220" t="s">
        <v>34</v>
      </c>
      <c r="J192" s="218" t="s">
        <v>27</v>
      </c>
      <c r="K192" s="164">
        <v>30</v>
      </c>
      <c r="L192" s="163">
        <v>11850</v>
      </c>
      <c r="M192" s="163">
        <v>4500</v>
      </c>
      <c r="N192" s="163">
        <v>16350</v>
      </c>
      <c r="O192" s="163">
        <v>7442.9999999999991</v>
      </c>
      <c r="P192" s="163">
        <v>3721.4999999999995</v>
      </c>
    </row>
    <row r="193" spans="9:16">
      <c r="I193" s="215"/>
      <c r="J193" s="220" t="s">
        <v>63</v>
      </c>
      <c r="K193" s="164">
        <v>15</v>
      </c>
      <c r="L193" s="163">
        <v>5925</v>
      </c>
      <c r="M193" s="163">
        <v>2250</v>
      </c>
      <c r="N193" s="163">
        <v>8175</v>
      </c>
      <c r="O193" s="163">
        <v>3721.4999999999995</v>
      </c>
      <c r="P193" s="163">
        <v>1860.7499999999998</v>
      </c>
    </row>
    <row r="194" spans="9:16">
      <c r="I194" s="215"/>
      <c r="J194" s="220" t="s">
        <v>64</v>
      </c>
      <c r="K194" s="164">
        <v>15</v>
      </c>
      <c r="L194" s="163">
        <v>5925</v>
      </c>
      <c r="M194" s="163">
        <v>2250</v>
      </c>
      <c r="N194" s="163">
        <v>8175</v>
      </c>
      <c r="O194" s="163">
        <v>3721.4999999999995</v>
      </c>
      <c r="P194" s="163">
        <v>1860.7499999999998</v>
      </c>
    </row>
    <row r="195" spans="9:16">
      <c r="I195" s="220"/>
      <c r="J195" s="215"/>
      <c r="K195" s="164"/>
      <c r="L195" s="163"/>
      <c r="M195" s="163"/>
      <c r="N195" s="163"/>
      <c r="O195" s="163"/>
      <c r="P195" s="163"/>
    </row>
    <row r="196" spans="9:16">
      <c r="I196" s="220" t="s">
        <v>35</v>
      </c>
      <c r="J196" s="218" t="s">
        <v>28</v>
      </c>
      <c r="K196" s="164">
        <v>90</v>
      </c>
      <c r="L196" s="163">
        <v>31410</v>
      </c>
      <c r="M196" s="163">
        <v>4500</v>
      </c>
      <c r="N196" s="163">
        <v>35910</v>
      </c>
      <c r="O196" s="163">
        <v>10963.8</v>
      </c>
      <c r="P196" s="163">
        <v>5481.9</v>
      </c>
    </row>
    <row r="197" spans="9:16">
      <c r="I197" s="215"/>
      <c r="J197" s="220" t="s">
        <v>67</v>
      </c>
      <c r="K197" s="164">
        <v>60</v>
      </c>
      <c r="L197" s="163">
        <v>19560</v>
      </c>
      <c r="M197" s="163">
        <v>0</v>
      </c>
      <c r="N197" s="163">
        <v>19560</v>
      </c>
      <c r="O197" s="163">
        <v>3520.7999999999997</v>
      </c>
      <c r="P197" s="163">
        <v>1760.3999999999999</v>
      </c>
    </row>
    <row r="198" spans="9:16">
      <c r="I198" s="215"/>
      <c r="J198" s="220" t="s">
        <v>68</v>
      </c>
      <c r="K198" s="164">
        <v>30</v>
      </c>
      <c r="L198" s="163">
        <v>11850</v>
      </c>
      <c r="M198" s="163">
        <v>4500</v>
      </c>
      <c r="N198" s="163">
        <v>16350</v>
      </c>
      <c r="O198" s="163">
        <v>7443</v>
      </c>
      <c r="P198" s="163">
        <v>3721.5</v>
      </c>
    </row>
    <row r="199" spans="9:16">
      <c r="I199" s="220"/>
      <c r="J199" s="215"/>
      <c r="K199" s="164"/>
      <c r="L199" s="163"/>
      <c r="M199" s="163"/>
      <c r="N199" s="163"/>
      <c r="O199" s="163"/>
      <c r="P199" s="163"/>
    </row>
    <row r="200" spans="9:16">
      <c r="I200" s="218" t="s">
        <v>19</v>
      </c>
      <c r="J200" s="215"/>
      <c r="K200" s="164">
        <v>51.5</v>
      </c>
      <c r="L200" s="163">
        <v>18025</v>
      </c>
      <c r="M200" s="163">
        <v>1500</v>
      </c>
      <c r="N200" s="163">
        <v>19525</v>
      </c>
      <c r="O200" s="163">
        <v>24406.25</v>
      </c>
      <c r="P200" s="163">
        <v>12203.125</v>
      </c>
    </row>
    <row r="201" spans="9:16">
      <c r="I201" s="220" t="s">
        <v>30</v>
      </c>
      <c r="J201" s="218" t="s">
        <v>24</v>
      </c>
      <c r="K201" s="164">
        <v>7.5</v>
      </c>
      <c r="L201" s="163">
        <v>2625</v>
      </c>
      <c r="M201" s="163">
        <v>900</v>
      </c>
      <c r="N201" s="163">
        <v>3525</v>
      </c>
      <c r="O201" s="163">
        <v>4406.25</v>
      </c>
      <c r="P201" s="163">
        <v>2203.125</v>
      </c>
    </row>
    <row r="202" spans="9:16">
      <c r="I202" s="215"/>
      <c r="J202" s="220" t="s">
        <v>51</v>
      </c>
      <c r="K202" s="164">
        <v>5.5</v>
      </c>
      <c r="L202" s="163">
        <v>1925</v>
      </c>
      <c r="M202" s="163">
        <v>600</v>
      </c>
      <c r="N202" s="163">
        <v>2525</v>
      </c>
      <c r="O202" s="163">
        <v>3156.25</v>
      </c>
      <c r="P202" s="163">
        <v>1578.125</v>
      </c>
    </row>
    <row r="203" spans="9:16">
      <c r="I203" s="215"/>
      <c r="J203" s="220" t="s">
        <v>52</v>
      </c>
      <c r="K203" s="164">
        <v>2</v>
      </c>
      <c r="L203" s="163">
        <v>700</v>
      </c>
      <c r="M203" s="163">
        <v>300</v>
      </c>
      <c r="N203" s="163">
        <v>1000</v>
      </c>
      <c r="O203" s="163">
        <v>1250</v>
      </c>
      <c r="P203" s="163">
        <v>625</v>
      </c>
    </row>
    <row r="204" spans="9:16">
      <c r="I204" s="220"/>
      <c r="J204" s="215"/>
      <c r="K204" s="164"/>
      <c r="L204" s="163"/>
      <c r="M204" s="163"/>
      <c r="N204" s="163"/>
      <c r="O204" s="163"/>
      <c r="P204" s="163"/>
    </row>
    <row r="205" spans="9:16">
      <c r="I205" s="220" t="s">
        <v>31</v>
      </c>
      <c r="J205" s="218" t="s">
        <v>23</v>
      </c>
      <c r="K205" s="164">
        <v>11</v>
      </c>
      <c r="L205" s="163">
        <v>3850</v>
      </c>
      <c r="M205" s="163">
        <v>150</v>
      </c>
      <c r="N205" s="163">
        <v>4000</v>
      </c>
      <c r="O205" s="163">
        <v>5000</v>
      </c>
      <c r="P205" s="163">
        <v>2500</v>
      </c>
    </row>
    <row r="206" spans="9:16">
      <c r="I206" s="215"/>
      <c r="J206" s="220" t="s">
        <v>54</v>
      </c>
      <c r="K206" s="164">
        <v>4</v>
      </c>
      <c r="L206" s="163">
        <v>1400</v>
      </c>
      <c r="M206" s="163">
        <v>0</v>
      </c>
      <c r="N206" s="163">
        <v>1400</v>
      </c>
      <c r="O206" s="163">
        <v>1750</v>
      </c>
      <c r="P206" s="163">
        <v>875</v>
      </c>
    </row>
    <row r="207" spans="9:16">
      <c r="I207" s="215"/>
      <c r="J207" s="220" t="s">
        <v>57</v>
      </c>
      <c r="K207" s="164">
        <v>2</v>
      </c>
      <c r="L207" s="163">
        <v>700</v>
      </c>
      <c r="M207" s="163">
        <v>0</v>
      </c>
      <c r="N207" s="163">
        <v>700</v>
      </c>
      <c r="O207" s="163">
        <v>875</v>
      </c>
      <c r="P207" s="163">
        <v>437.5</v>
      </c>
    </row>
    <row r="208" spans="9:16">
      <c r="I208" s="215"/>
      <c r="J208" s="220" t="s">
        <v>55</v>
      </c>
      <c r="K208" s="164">
        <v>4</v>
      </c>
      <c r="L208" s="163">
        <v>1400</v>
      </c>
      <c r="M208" s="163">
        <v>0</v>
      </c>
      <c r="N208" s="163">
        <v>1400</v>
      </c>
      <c r="O208" s="163">
        <v>1750</v>
      </c>
      <c r="P208" s="163">
        <v>875</v>
      </c>
    </row>
    <row r="209" spans="9:16">
      <c r="I209" s="215"/>
      <c r="J209" s="220" t="s">
        <v>56</v>
      </c>
      <c r="K209" s="164">
        <v>1</v>
      </c>
      <c r="L209" s="163">
        <v>350</v>
      </c>
      <c r="M209" s="163">
        <v>150</v>
      </c>
      <c r="N209" s="163">
        <v>500</v>
      </c>
      <c r="O209" s="163">
        <v>625</v>
      </c>
      <c r="P209" s="163">
        <v>312.5</v>
      </c>
    </row>
    <row r="210" spans="9:16">
      <c r="I210" s="220"/>
      <c r="J210" s="215"/>
      <c r="K210" s="164"/>
      <c r="L210" s="163"/>
      <c r="M210" s="163"/>
      <c r="N210" s="163"/>
      <c r="O210" s="163"/>
      <c r="P210" s="163"/>
    </row>
    <row r="211" spans="9:16">
      <c r="I211" s="220" t="s">
        <v>34</v>
      </c>
      <c r="J211" s="218" t="s">
        <v>27</v>
      </c>
      <c r="K211" s="164">
        <v>33</v>
      </c>
      <c r="L211" s="163">
        <v>11550</v>
      </c>
      <c r="M211" s="163">
        <v>450</v>
      </c>
      <c r="N211" s="163">
        <v>12000</v>
      </c>
      <c r="O211" s="163">
        <v>15000</v>
      </c>
      <c r="P211" s="163">
        <v>7500</v>
      </c>
    </row>
    <row r="212" spans="9:16">
      <c r="I212" s="215"/>
      <c r="J212" s="220" t="s">
        <v>63</v>
      </c>
      <c r="K212" s="164">
        <v>3</v>
      </c>
      <c r="L212" s="163">
        <v>1050</v>
      </c>
      <c r="M212" s="163">
        <v>300</v>
      </c>
      <c r="N212" s="163">
        <v>1350</v>
      </c>
      <c r="O212" s="163">
        <v>1687.5</v>
      </c>
      <c r="P212" s="163">
        <v>843.75</v>
      </c>
    </row>
    <row r="213" spans="9:16">
      <c r="I213" s="215"/>
      <c r="J213" s="220" t="s">
        <v>64</v>
      </c>
      <c r="K213" s="164">
        <v>10</v>
      </c>
      <c r="L213" s="163">
        <v>3500</v>
      </c>
      <c r="M213" s="163">
        <v>0</v>
      </c>
      <c r="N213" s="163">
        <v>3500</v>
      </c>
      <c r="O213" s="163">
        <v>4375</v>
      </c>
      <c r="P213" s="163">
        <v>2187.5</v>
      </c>
    </row>
    <row r="214" spans="9:16">
      <c r="I214" s="215"/>
      <c r="J214" s="220" t="s">
        <v>65</v>
      </c>
      <c r="K214" s="164">
        <v>20</v>
      </c>
      <c r="L214" s="163">
        <v>7000</v>
      </c>
      <c r="M214" s="163">
        <v>150</v>
      </c>
      <c r="N214" s="163">
        <v>7150</v>
      </c>
      <c r="O214" s="163">
        <v>8937.5</v>
      </c>
      <c r="P214" s="163">
        <v>4468.75</v>
      </c>
    </row>
    <row r="215" spans="9:16">
      <c r="I215" s="220"/>
      <c r="J215" s="215"/>
      <c r="K215" s="164"/>
      <c r="L215" s="163"/>
      <c r="M215" s="163"/>
      <c r="N215" s="163"/>
      <c r="O215" s="163"/>
      <c r="P215" s="163"/>
    </row>
    <row r="216" spans="9:16">
      <c r="I216" s="218" t="s">
        <v>22</v>
      </c>
      <c r="J216" s="215"/>
      <c r="K216" s="164">
        <v>128.5</v>
      </c>
      <c r="L216" s="163">
        <v>40830</v>
      </c>
      <c r="M216" s="163">
        <v>9250</v>
      </c>
      <c r="N216" s="163">
        <v>50080</v>
      </c>
      <c r="O216" s="163">
        <v>60096</v>
      </c>
      <c r="P216" s="163">
        <v>30048</v>
      </c>
    </row>
    <row r="217" spans="9:16">
      <c r="I217" s="220" t="s">
        <v>30</v>
      </c>
      <c r="J217" s="218" t="s">
        <v>24</v>
      </c>
      <c r="K217" s="164">
        <v>7.5</v>
      </c>
      <c r="L217" s="163">
        <v>2850</v>
      </c>
      <c r="M217" s="163">
        <v>900</v>
      </c>
      <c r="N217" s="163">
        <v>3750</v>
      </c>
      <c r="O217" s="163">
        <v>4500</v>
      </c>
      <c r="P217" s="163">
        <v>2250</v>
      </c>
    </row>
    <row r="218" spans="9:16">
      <c r="I218" s="215"/>
      <c r="J218" s="220" t="s">
        <v>51</v>
      </c>
      <c r="K218" s="164">
        <v>5.5</v>
      </c>
      <c r="L218" s="163">
        <v>2090</v>
      </c>
      <c r="M218" s="163">
        <v>600</v>
      </c>
      <c r="N218" s="163">
        <v>2690</v>
      </c>
      <c r="O218" s="163">
        <v>3228</v>
      </c>
      <c r="P218" s="163">
        <v>1614</v>
      </c>
    </row>
    <row r="219" spans="9:16">
      <c r="I219" s="215"/>
      <c r="J219" s="220" t="s">
        <v>52</v>
      </c>
      <c r="K219" s="164">
        <v>2</v>
      </c>
      <c r="L219" s="163">
        <v>760</v>
      </c>
      <c r="M219" s="163">
        <v>300</v>
      </c>
      <c r="N219" s="163">
        <v>1060</v>
      </c>
      <c r="O219" s="163">
        <v>1272</v>
      </c>
      <c r="P219" s="163">
        <v>636</v>
      </c>
    </row>
    <row r="220" spans="9:16">
      <c r="I220" s="220"/>
      <c r="J220" s="215"/>
      <c r="K220" s="164"/>
      <c r="L220" s="163"/>
      <c r="M220" s="163"/>
      <c r="N220" s="163"/>
      <c r="O220" s="163"/>
      <c r="P220" s="163"/>
    </row>
    <row r="221" spans="9:16">
      <c r="I221" s="220" t="s">
        <v>31</v>
      </c>
      <c r="J221" s="218" t="s">
        <v>23</v>
      </c>
      <c r="K221" s="164">
        <v>8</v>
      </c>
      <c r="L221" s="163">
        <v>3040</v>
      </c>
      <c r="M221" s="163">
        <v>150</v>
      </c>
      <c r="N221" s="163">
        <v>3190</v>
      </c>
      <c r="O221" s="163">
        <v>3828</v>
      </c>
      <c r="P221" s="163">
        <v>1914</v>
      </c>
    </row>
    <row r="222" spans="9:16">
      <c r="I222" s="215"/>
      <c r="J222" s="220" t="s">
        <v>53</v>
      </c>
      <c r="K222" s="164">
        <v>7</v>
      </c>
      <c r="L222" s="163">
        <v>2660</v>
      </c>
      <c r="M222" s="163">
        <v>0</v>
      </c>
      <c r="N222" s="163">
        <v>2660</v>
      </c>
      <c r="O222" s="163">
        <v>3192</v>
      </c>
      <c r="P222" s="163">
        <v>1596</v>
      </c>
    </row>
    <row r="223" spans="9:16">
      <c r="I223" s="215"/>
      <c r="J223" s="220" t="s">
        <v>56</v>
      </c>
      <c r="K223" s="164">
        <v>1</v>
      </c>
      <c r="L223" s="163">
        <v>380</v>
      </c>
      <c r="M223" s="163">
        <v>150</v>
      </c>
      <c r="N223" s="163">
        <v>530</v>
      </c>
      <c r="O223" s="163">
        <v>636</v>
      </c>
      <c r="P223" s="163">
        <v>318</v>
      </c>
    </row>
    <row r="224" spans="9:16">
      <c r="I224" s="220"/>
      <c r="J224" s="215"/>
      <c r="K224" s="164"/>
      <c r="L224" s="163"/>
      <c r="M224" s="163"/>
      <c r="N224" s="163"/>
      <c r="O224" s="163"/>
      <c r="P224" s="163"/>
    </row>
    <row r="225" spans="9:16">
      <c r="I225" s="220" t="s">
        <v>32</v>
      </c>
      <c r="J225" s="218" t="s">
        <v>25</v>
      </c>
      <c r="K225" s="164">
        <v>7</v>
      </c>
      <c r="L225" s="163">
        <v>2660</v>
      </c>
      <c r="M225" s="163">
        <v>0</v>
      </c>
      <c r="N225" s="163">
        <v>2660</v>
      </c>
      <c r="O225" s="163">
        <v>3192</v>
      </c>
      <c r="P225" s="163">
        <v>1596</v>
      </c>
    </row>
    <row r="226" spans="9:16">
      <c r="I226" s="215"/>
      <c r="J226" s="220" t="s">
        <v>60</v>
      </c>
      <c r="K226" s="164">
        <v>3</v>
      </c>
      <c r="L226" s="163">
        <v>1140</v>
      </c>
      <c r="M226" s="163">
        <v>0</v>
      </c>
      <c r="N226" s="163">
        <v>1140</v>
      </c>
      <c r="O226" s="163">
        <v>1368</v>
      </c>
      <c r="P226" s="163">
        <v>684</v>
      </c>
    </row>
    <row r="227" spans="9:16">
      <c r="I227" s="215"/>
      <c r="J227" s="220" t="s">
        <v>61</v>
      </c>
      <c r="K227" s="164">
        <v>4</v>
      </c>
      <c r="L227" s="163">
        <v>1520</v>
      </c>
      <c r="M227" s="163">
        <v>0</v>
      </c>
      <c r="N227" s="163">
        <v>1520</v>
      </c>
      <c r="O227" s="163">
        <v>1824</v>
      </c>
      <c r="P227" s="163">
        <v>912</v>
      </c>
    </row>
    <row r="228" spans="9:16">
      <c r="I228" s="215"/>
      <c r="J228" s="220" t="s">
        <v>62</v>
      </c>
      <c r="K228" s="164">
        <v>0</v>
      </c>
      <c r="L228" s="163">
        <v>0</v>
      </c>
      <c r="M228" s="163">
        <v>0</v>
      </c>
      <c r="N228" s="163">
        <v>0</v>
      </c>
      <c r="O228" s="163">
        <v>0</v>
      </c>
      <c r="P228" s="163">
        <v>0</v>
      </c>
    </row>
    <row r="229" spans="9:16">
      <c r="I229" s="220"/>
      <c r="J229" s="215"/>
      <c r="K229" s="164"/>
      <c r="L229" s="163"/>
      <c r="M229" s="163"/>
      <c r="N229" s="163"/>
      <c r="O229" s="163"/>
      <c r="P229" s="163"/>
    </row>
    <row r="230" spans="9:16">
      <c r="I230" s="220" t="s">
        <v>33</v>
      </c>
      <c r="J230" s="218" t="s">
        <v>26</v>
      </c>
      <c r="K230" s="164">
        <v>92</v>
      </c>
      <c r="L230" s="163">
        <v>26960</v>
      </c>
      <c r="M230" s="163">
        <v>7000</v>
      </c>
      <c r="N230" s="163">
        <v>33960</v>
      </c>
      <c r="O230" s="163">
        <v>40752</v>
      </c>
      <c r="P230" s="163">
        <v>20376</v>
      </c>
    </row>
    <row r="231" spans="9:16">
      <c r="I231" s="215"/>
      <c r="J231" s="220" t="s">
        <v>151</v>
      </c>
      <c r="K231" s="164">
        <v>89</v>
      </c>
      <c r="L231" s="163">
        <v>25820</v>
      </c>
      <c r="M231" s="163">
        <v>7000</v>
      </c>
      <c r="N231" s="163">
        <v>32820</v>
      </c>
      <c r="O231" s="163">
        <v>39384</v>
      </c>
      <c r="P231" s="163">
        <v>19692</v>
      </c>
    </row>
    <row r="232" spans="9:16">
      <c r="I232" s="215"/>
      <c r="J232" s="220" t="s">
        <v>147</v>
      </c>
      <c r="K232" s="164">
        <v>2</v>
      </c>
      <c r="L232" s="163">
        <v>760</v>
      </c>
      <c r="M232" s="163">
        <v>0</v>
      </c>
      <c r="N232" s="163">
        <v>760</v>
      </c>
      <c r="O232" s="163">
        <v>912</v>
      </c>
      <c r="P232" s="163">
        <v>456</v>
      </c>
    </row>
    <row r="233" spans="9:16">
      <c r="I233" s="215"/>
      <c r="J233" s="220" t="s">
        <v>152</v>
      </c>
      <c r="K233" s="164">
        <v>1</v>
      </c>
      <c r="L233" s="163">
        <v>380</v>
      </c>
      <c r="M233" s="163">
        <v>0</v>
      </c>
      <c r="N233" s="163">
        <v>380</v>
      </c>
      <c r="O233" s="163">
        <v>456</v>
      </c>
      <c r="P233" s="163">
        <v>228</v>
      </c>
    </row>
    <row r="234" spans="9:16">
      <c r="I234" s="220"/>
      <c r="J234" s="215"/>
      <c r="K234" s="164"/>
      <c r="L234" s="163"/>
      <c r="M234" s="163"/>
      <c r="N234" s="163"/>
      <c r="O234" s="163"/>
      <c r="P234" s="163"/>
    </row>
    <row r="235" spans="9:16">
      <c r="I235" s="220" t="s">
        <v>34</v>
      </c>
      <c r="J235" s="218" t="s">
        <v>27</v>
      </c>
      <c r="K235" s="164">
        <v>4</v>
      </c>
      <c r="L235" s="163">
        <v>1520</v>
      </c>
      <c r="M235" s="163">
        <v>600</v>
      </c>
      <c r="N235" s="163">
        <v>2120</v>
      </c>
      <c r="O235" s="163">
        <v>2544</v>
      </c>
      <c r="P235" s="163">
        <v>1272</v>
      </c>
    </row>
    <row r="236" spans="9:16">
      <c r="I236" s="215"/>
      <c r="J236" s="220" t="s">
        <v>63</v>
      </c>
      <c r="K236" s="164">
        <v>4</v>
      </c>
      <c r="L236" s="163">
        <v>1520</v>
      </c>
      <c r="M236" s="163">
        <v>600</v>
      </c>
      <c r="N236" s="163">
        <v>2120</v>
      </c>
      <c r="O236" s="163">
        <v>2544</v>
      </c>
      <c r="P236" s="163">
        <v>1272</v>
      </c>
    </row>
    <row r="237" spans="9:16">
      <c r="I237" s="220"/>
      <c r="J237" s="215"/>
      <c r="K237" s="164"/>
      <c r="L237" s="163"/>
      <c r="M237" s="163"/>
      <c r="N237" s="163"/>
      <c r="O237" s="163"/>
      <c r="P237" s="163"/>
    </row>
    <row r="238" spans="9:16">
      <c r="I238" s="220" t="s">
        <v>35</v>
      </c>
      <c r="J238" s="218" t="s">
        <v>28</v>
      </c>
      <c r="K238" s="164">
        <v>10</v>
      </c>
      <c r="L238" s="163">
        <v>3800</v>
      </c>
      <c r="M238" s="163">
        <v>600</v>
      </c>
      <c r="N238" s="163">
        <v>4400</v>
      </c>
      <c r="O238" s="163">
        <v>5280</v>
      </c>
      <c r="P238" s="163">
        <v>2640</v>
      </c>
    </row>
    <row r="239" spans="9:16">
      <c r="I239" s="215"/>
      <c r="J239" s="220" t="s">
        <v>67</v>
      </c>
      <c r="K239" s="164">
        <v>7</v>
      </c>
      <c r="L239" s="163">
        <v>2660</v>
      </c>
      <c r="M239" s="163">
        <v>0</v>
      </c>
      <c r="N239" s="163">
        <v>2660</v>
      </c>
      <c r="O239" s="163">
        <v>3192</v>
      </c>
      <c r="P239" s="163">
        <v>1596</v>
      </c>
    </row>
    <row r="240" spans="9:16">
      <c r="I240" s="215"/>
      <c r="J240" s="220" t="s">
        <v>68</v>
      </c>
      <c r="K240" s="164">
        <v>3</v>
      </c>
      <c r="L240" s="163">
        <v>1140</v>
      </c>
      <c r="M240" s="163">
        <v>600</v>
      </c>
      <c r="N240" s="163">
        <v>1740</v>
      </c>
      <c r="O240" s="163">
        <v>2088</v>
      </c>
      <c r="P240" s="163">
        <v>1044</v>
      </c>
    </row>
    <row r="241" spans="9:16">
      <c r="I241" s="220"/>
      <c r="J241" s="215"/>
      <c r="K241" s="164"/>
      <c r="L241" s="163"/>
      <c r="M241" s="163"/>
      <c r="N241" s="163"/>
      <c r="O241" s="163"/>
      <c r="P241" s="163"/>
    </row>
    <row r="242" spans="9:16">
      <c r="I242" s="218" t="s">
        <v>20</v>
      </c>
      <c r="J242" s="215"/>
      <c r="K242" s="164">
        <v>27.5</v>
      </c>
      <c r="L242" s="163">
        <v>9625</v>
      </c>
      <c r="M242" s="163">
        <v>1350</v>
      </c>
      <c r="N242" s="163">
        <v>10975</v>
      </c>
      <c r="O242" s="163">
        <v>13718.75</v>
      </c>
      <c r="P242" s="163">
        <v>6859.375</v>
      </c>
    </row>
    <row r="243" spans="9:16">
      <c r="I243" s="220" t="s">
        <v>30</v>
      </c>
      <c r="J243" s="218" t="s">
        <v>24</v>
      </c>
      <c r="K243" s="164">
        <v>7.5</v>
      </c>
      <c r="L243" s="163">
        <v>2625</v>
      </c>
      <c r="M243" s="163">
        <v>900</v>
      </c>
      <c r="N243" s="163">
        <v>3525</v>
      </c>
      <c r="O243" s="163">
        <v>4406.25</v>
      </c>
      <c r="P243" s="163">
        <v>2203.125</v>
      </c>
    </row>
    <row r="244" spans="9:16">
      <c r="I244" s="215"/>
      <c r="J244" s="220" t="s">
        <v>51</v>
      </c>
      <c r="K244" s="164">
        <v>5.5</v>
      </c>
      <c r="L244" s="163">
        <v>1925</v>
      </c>
      <c r="M244" s="163">
        <v>600</v>
      </c>
      <c r="N244" s="163">
        <v>2525</v>
      </c>
      <c r="O244" s="163">
        <v>3156.25</v>
      </c>
      <c r="P244" s="163">
        <v>1578.125</v>
      </c>
    </row>
    <row r="245" spans="9:16">
      <c r="I245" s="215"/>
      <c r="J245" s="220" t="s">
        <v>52</v>
      </c>
      <c r="K245" s="164">
        <v>2</v>
      </c>
      <c r="L245" s="163">
        <v>700</v>
      </c>
      <c r="M245" s="163">
        <v>300</v>
      </c>
      <c r="N245" s="163">
        <v>1000</v>
      </c>
      <c r="O245" s="163">
        <v>1250</v>
      </c>
      <c r="P245" s="163">
        <v>625</v>
      </c>
    </row>
    <row r="246" spans="9:16">
      <c r="I246" s="220"/>
      <c r="J246" s="215"/>
      <c r="K246" s="164"/>
      <c r="L246" s="163"/>
      <c r="M246" s="163"/>
      <c r="N246" s="163"/>
      <c r="O246" s="163"/>
      <c r="P246" s="163"/>
    </row>
    <row r="247" spans="9:16">
      <c r="I247" s="220" t="s">
        <v>31</v>
      </c>
      <c r="J247" s="218" t="s">
        <v>23</v>
      </c>
      <c r="K247" s="164">
        <v>5</v>
      </c>
      <c r="L247" s="163">
        <v>1750</v>
      </c>
      <c r="M247" s="163">
        <v>150</v>
      </c>
      <c r="N247" s="163">
        <v>1900</v>
      </c>
      <c r="O247" s="163">
        <v>2375</v>
      </c>
      <c r="P247" s="163">
        <v>1187.5</v>
      </c>
    </row>
    <row r="248" spans="9:16">
      <c r="I248" s="215"/>
      <c r="J248" s="220" t="s">
        <v>55</v>
      </c>
      <c r="K248" s="164">
        <v>4</v>
      </c>
      <c r="L248" s="163">
        <v>1400</v>
      </c>
      <c r="M248" s="163">
        <v>0</v>
      </c>
      <c r="N248" s="163">
        <v>1400</v>
      </c>
      <c r="O248" s="163">
        <v>1750</v>
      </c>
      <c r="P248" s="163">
        <v>875</v>
      </c>
    </row>
    <row r="249" spans="9:16">
      <c r="I249" s="215"/>
      <c r="J249" s="220" t="s">
        <v>56</v>
      </c>
      <c r="K249" s="164">
        <v>1</v>
      </c>
      <c r="L249" s="163">
        <v>350</v>
      </c>
      <c r="M249" s="163">
        <v>150</v>
      </c>
      <c r="N249" s="163">
        <v>500</v>
      </c>
      <c r="O249" s="163">
        <v>625</v>
      </c>
      <c r="P249" s="163">
        <v>312.5</v>
      </c>
    </row>
    <row r="250" spans="9:16">
      <c r="I250" s="220"/>
      <c r="J250" s="215"/>
      <c r="K250" s="164"/>
      <c r="L250" s="163"/>
      <c r="M250" s="163"/>
      <c r="N250" s="163"/>
      <c r="O250" s="163"/>
      <c r="P250" s="163"/>
    </row>
    <row r="251" spans="9:16">
      <c r="I251" s="220" t="s">
        <v>34</v>
      </c>
      <c r="J251" s="218" t="s">
        <v>27</v>
      </c>
      <c r="K251" s="164">
        <v>15</v>
      </c>
      <c r="L251" s="163">
        <v>5250</v>
      </c>
      <c r="M251" s="163">
        <v>300</v>
      </c>
      <c r="N251" s="163">
        <v>5550</v>
      </c>
      <c r="O251" s="163">
        <v>6937.5</v>
      </c>
      <c r="P251" s="163">
        <v>3468.75</v>
      </c>
    </row>
    <row r="252" spans="9:16">
      <c r="I252" s="215"/>
      <c r="J252" s="220" t="s">
        <v>63</v>
      </c>
      <c r="K252" s="164">
        <v>5</v>
      </c>
      <c r="L252" s="163">
        <v>1750</v>
      </c>
      <c r="M252" s="163">
        <v>300</v>
      </c>
      <c r="N252" s="163">
        <v>2050</v>
      </c>
      <c r="O252" s="163">
        <v>2562.5</v>
      </c>
      <c r="P252" s="163">
        <v>1281.25</v>
      </c>
    </row>
    <row r="253" spans="9:16">
      <c r="I253" s="215"/>
      <c r="J253" s="220" t="s">
        <v>64</v>
      </c>
      <c r="K253" s="164">
        <v>10</v>
      </c>
      <c r="L253" s="163">
        <v>3500</v>
      </c>
      <c r="M253" s="163">
        <v>0</v>
      </c>
      <c r="N253" s="163">
        <v>3500</v>
      </c>
      <c r="O253" s="163">
        <v>4375</v>
      </c>
      <c r="P253" s="163">
        <v>2187.5</v>
      </c>
    </row>
    <row r="254" spans="9:16">
      <c r="I254" s="220"/>
      <c r="J254" s="215"/>
      <c r="K254" s="164"/>
      <c r="L254" s="163"/>
      <c r="M254" s="163"/>
      <c r="N254" s="163"/>
      <c r="O254" s="163"/>
      <c r="P254" s="163"/>
    </row>
    <row r="255" spans="9:16">
      <c r="I255" s="218" t="s">
        <v>40</v>
      </c>
      <c r="J255" s="215"/>
      <c r="K255" s="164">
        <v>2478</v>
      </c>
      <c r="L255" s="163">
        <v>755411</v>
      </c>
      <c r="M255" s="163">
        <v>164810</v>
      </c>
      <c r="N255" s="163">
        <v>920221</v>
      </c>
      <c r="O255" s="163">
        <v>697000.34</v>
      </c>
      <c r="P255" s="163">
        <v>400537.35399999999</v>
      </c>
    </row>
  </sheetData>
  <phoneticPr fontId="3" type="noConversion"/>
  <pageMargins left="0.7" right="0.7" top="0.75" bottom="0.75" header="0.3" footer="0.3"/>
  <pageSetup paperSize="9" orientation="portrait" horizontalDpi="4294967293" verticalDpi="0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8" name="Button 1">
              <controlPr defaultSize="0" print="0" autoFill="0" autoPict="0" macro="[5]!ActualiserRequetes">
                <anchor moveWithCells="1" sizeWithCells="1">
                  <from>
                    <xdr:col>0</xdr:col>
                    <xdr:colOff>38100</xdr:colOff>
                    <xdr:row>0</xdr:row>
                    <xdr:rowOff>133350</xdr:rowOff>
                  </from>
                  <to>
                    <xdr:col>0</xdr:col>
                    <xdr:colOff>895350</xdr:colOff>
                    <xdr:row>0</xdr:row>
                    <xdr:rowOff>857250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9" name="Button 2">
              <controlPr defaultSize="0" print="0" autoFill="0" autoPict="0" macro="[5]!ActualiserTDC">
                <anchor moveWithCells="1" sizeWithCells="1">
                  <from>
                    <xdr:col>1</xdr:col>
                    <xdr:colOff>38100</xdr:colOff>
                    <xdr:row>0</xdr:row>
                    <xdr:rowOff>161925</xdr:rowOff>
                  </from>
                  <to>
                    <xdr:col>2</xdr:col>
                    <xdr:colOff>57150</xdr:colOff>
                    <xdr:row>0</xdr:row>
                    <xdr:rowOff>828675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10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17839-21C5-46BD-835F-363DA2960EDC}">
  <sheetPr codeName="Feuil9">
    <tabColor theme="7"/>
  </sheetPr>
  <dimension ref="A1:S379"/>
  <sheetViews>
    <sheetView topLeftCell="B1" zoomScaleNormal="100" workbookViewId="0">
      <pane ySplit="2" topLeftCell="A324" activePane="bottomLeft" state="frozenSplit"/>
      <selection pane="bottomLeft" activeCell="F9" sqref="F9"/>
    </sheetView>
  </sheetViews>
  <sheetFormatPr baseColWidth="10" defaultRowHeight="15"/>
  <cols>
    <col min="1" max="1" width="8.7109375" style="177" customWidth="1"/>
    <col min="2" max="2" width="41.7109375" style="177" customWidth="1"/>
    <col min="3" max="3" width="8.28515625" style="177" customWidth="1"/>
    <col min="4" max="8" width="11.42578125" style="177"/>
    <col min="9" max="9" width="4.28515625" style="177" customWidth="1"/>
    <col min="10" max="10" width="7.42578125" customWidth="1"/>
    <col min="11" max="11" width="30.7109375" customWidth="1"/>
    <col min="12" max="12" width="49.42578125" customWidth="1"/>
    <col min="13" max="13" width="8.140625" customWidth="1"/>
    <col min="14" max="14" width="10.5703125" customWidth="1"/>
    <col min="15" max="15" width="11.7109375" customWidth="1"/>
    <col min="16" max="16" width="10.28515625" customWidth="1"/>
    <col min="17" max="17" width="9.85546875" customWidth="1"/>
    <col min="18" max="18" width="11.85546875" customWidth="1"/>
    <col min="19" max="19" width="3.85546875" style="177" customWidth="1"/>
    <col min="20" max="20" width="7.7109375" customWidth="1"/>
    <col min="21" max="21" width="15.5703125" customWidth="1"/>
    <col min="22" max="22" width="11" customWidth="1"/>
    <col min="24" max="24" width="10.5703125" customWidth="1"/>
    <col min="25" max="25" width="11" customWidth="1"/>
    <col min="26" max="26" width="10" customWidth="1"/>
  </cols>
  <sheetData>
    <row r="1" spans="1:19" ht="76.5" customHeight="1">
      <c r="A1"/>
      <c r="B1"/>
      <c r="C1"/>
      <c r="D1"/>
      <c r="E1"/>
      <c r="F1"/>
      <c r="G1"/>
      <c r="H1"/>
    </row>
    <row r="2" spans="1:19" ht="30">
      <c r="A2" s="217" t="s">
        <v>93</v>
      </c>
      <c r="B2" s="217" t="s">
        <v>0</v>
      </c>
      <c r="C2" s="224" t="s">
        <v>92</v>
      </c>
      <c r="D2" s="215" t="s">
        <v>41</v>
      </c>
      <c r="E2" s="215" t="s">
        <v>43</v>
      </c>
      <c r="F2" s="215" t="s">
        <v>42</v>
      </c>
      <c r="G2" s="215" t="s">
        <v>85</v>
      </c>
      <c r="H2" s="223" t="s">
        <v>86</v>
      </c>
      <c r="J2" s="217" t="s">
        <v>93</v>
      </c>
      <c r="K2" s="217" t="s">
        <v>0</v>
      </c>
      <c r="L2" s="217" t="s">
        <v>37</v>
      </c>
      <c r="M2" s="215" t="s">
        <v>234</v>
      </c>
      <c r="N2" s="215" t="s">
        <v>41</v>
      </c>
      <c r="O2" s="215" t="s">
        <v>43</v>
      </c>
      <c r="P2" s="215" t="s">
        <v>42</v>
      </c>
      <c r="Q2" s="215" t="s">
        <v>89</v>
      </c>
      <c r="R2" s="215" t="s">
        <v>90</v>
      </c>
      <c r="S2" s="183"/>
    </row>
    <row r="3" spans="1:19" ht="15.75">
      <c r="A3" s="218" t="s">
        <v>30</v>
      </c>
      <c r="B3" s="218" t="s">
        <v>24</v>
      </c>
      <c r="C3" s="213">
        <v>140.5</v>
      </c>
      <c r="D3" s="219">
        <v>55326</v>
      </c>
      <c r="E3" s="56">
        <v>19980</v>
      </c>
      <c r="F3" s="56">
        <v>75306</v>
      </c>
      <c r="G3" s="219">
        <v>70816.36</v>
      </c>
      <c r="H3" s="222">
        <v>44560.972000000002</v>
      </c>
      <c r="J3" s="235" t="s">
        <v>30</v>
      </c>
      <c r="K3" s="228" t="s">
        <v>24</v>
      </c>
      <c r="L3" s="229"/>
      <c r="M3" s="165">
        <v>140.5</v>
      </c>
      <c r="N3" s="234">
        <v>55326</v>
      </c>
      <c r="O3" s="104">
        <v>19980</v>
      </c>
      <c r="P3" s="104">
        <v>75306</v>
      </c>
      <c r="Q3" s="104">
        <v>70816.36</v>
      </c>
      <c r="R3" s="104">
        <v>44560.972000000009</v>
      </c>
      <c r="S3" s="104"/>
    </row>
    <row r="4" spans="1:19" ht="15.75">
      <c r="A4" s="215"/>
      <c r="B4" s="220" t="s">
        <v>50</v>
      </c>
      <c r="C4" s="213">
        <v>28.5</v>
      </c>
      <c r="D4" s="219">
        <v>9582</v>
      </c>
      <c r="E4" s="56">
        <v>4680</v>
      </c>
      <c r="F4" s="56">
        <v>14262</v>
      </c>
      <c r="G4" s="219">
        <v>17540.04</v>
      </c>
      <c r="H4" s="222">
        <v>12278.028000000002</v>
      </c>
      <c r="J4" s="236"/>
      <c r="K4" s="221" t="s">
        <v>50</v>
      </c>
      <c r="L4" s="215"/>
      <c r="M4" s="165">
        <v>28.5</v>
      </c>
      <c r="N4" s="234">
        <v>9582</v>
      </c>
      <c r="O4" s="104">
        <v>4680</v>
      </c>
      <c r="P4" s="104">
        <v>14262</v>
      </c>
      <c r="Q4" s="104">
        <v>17540.04</v>
      </c>
      <c r="R4" s="104">
        <v>12278.028</v>
      </c>
      <c r="S4" s="104"/>
    </row>
    <row r="5" spans="1:19" ht="15.75">
      <c r="A5" s="215"/>
      <c r="B5" s="220" t="s">
        <v>51</v>
      </c>
      <c r="C5" s="213">
        <v>90</v>
      </c>
      <c r="D5" s="219">
        <v>36396</v>
      </c>
      <c r="E5" s="56">
        <v>10660</v>
      </c>
      <c r="F5" s="56">
        <v>47056</v>
      </c>
      <c r="G5" s="219">
        <v>41448.36</v>
      </c>
      <c r="H5" s="222">
        <v>25442.636000000002</v>
      </c>
      <c r="J5" s="236"/>
      <c r="K5" s="226" t="s">
        <v>106</v>
      </c>
      <c r="L5" s="215"/>
      <c r="M5" s="165">
        <v>18</v>
      </c>
      <c r="N5" s="234">
        <v>6084</v>
      </c>
      <c r="O5" s="104">
        <v>3120</v>
      </c>
      <c r="P5" s="104">
        <v>9204</v>
      </c>
      <c r="Q5" s="104">
        <v>11322.48</v>
      </c>
      <c r="R5" s="104">
        <v>7925.7360000000008</v>
      </c>
      <c r="S5" s="104"/>
    </row>
    <row r="6" spans="1:19" ht="15.75">
      <c r="A6" s="215"/>
      <c r="B6" s="220" t="s">
        <v>52</v>
      </c>
      <c r="C6" s="213">
        <v>22</v>
      </c>
      <c r="D6" s="219">
        <v>9348</v>
      </c>
      <c r="E6" s="56">
        <v>4640</v>
      </c>
      <c r="F6" s="56">
        <v>13988</v>
      </c>
      <c r="G6" s="219">
        <v>11827.960000000001</v>
      </c>
      <c r="H6" s="222">
        <v>6840.308</v>
      </c>
      <c r="J6" s="236"/>
      <c r="K6" s="227" t="s">
        <v>18</v>
      </c>
      <c r="L6" s="218" t="s">
        <v>262</v>
      </c>
      <c r="M6" s="165">
        <v>0</v>
      </c>
      <c r="N6" s="234">
        <v>0</v>
      </c>
      <c r="O6" s="104">
        <v>0</v>
      </c>
      <c r="P6" s="104">
        <v>0</v>
      </c>
      <c r="Q6" s="104">
        <v>0</v>
      </c>
      <c r="R6" s="104">
        <v>0</v>
      </c>
      <c r="S6" s="104"/>
    </row>
    <row r="7" spans="1:19" ht="15.75">
      <c r="A7" s="215"/>
      <c r="B7" s="218"/>
      <c r="C7" s="213"/>
      <c r="D7" s="219"/>
      <c r="E7" s="56"/>
      <c r="F7" s="56"/>
      <c r="G7" s="219"/>
      <c r="H7" s="222"/>
      <c r="J7" s="236"/>
      <c r="K7" s="227" t="s">
        <v>38</v>
      </c>
      <c r="L7" s="218" t="s">
        <v>198</v>
      </c>
      <c r="M7" s="165">
        <v>18</v>
      </c>
      <c r="N7" s="234">
        <v>6084</v>
      </c>
      <c r="O7" s="104">
        <v>0</v>
      </c>
      <c r="P7" s="104">
        <v>6084</v>
      </c>
      <c r="Q7" s="104">
        <v>7422.4800000000005</v>
      </c>
      <c r="R7" s="104">
        <v>5195.7360000000008</v>
      </c>
      <c r="S7" s="104"/>
    </row>
    <row r="8" spans="1:19" ht="15.75">
      <c r="A8" s="218" t="s">
        <v>31</v>
      </c>
      <c r="B8" s="218" t="s">
        <v>23</v>
      </c>
      <c r="C8" s="213">
        <v>422</v>
      </c>
      <c r="D8" s="219">
        <v>142920</v>
      </c>
      <c r="E8" s="56">
        <v>17620</v>
      </c>
      <c r="F8" s="56">
        <v>160540</v>
      </c>
      <c r="G8" s="219">
        <v>115013.02</v>
      </c>
      <c r="H8" s="222">
        <v>67067.902000000002</v>
      </c>
      <c r="J8" s="236"/>
      <c r="K8" s="227" t="s">
        <v>16</v>
      </c>
      <c r="L8" s="218" t="s">
        <v>198</v>
      </c>
      <c r="M8" s="165"/>
      <c r="N8" s="234">
        <v>0</v>
      </c>
      <c r="O8" s="104">
        <v>3120</v>
      </c>
      <c r="P8" s="104">
        <v>3120</v>
      </c>
      <c r="Q8" s="104">
        <v>3900</v>
      </c>
      <c r="R8" s="104">
        <v>2730</v>
      </c>
      <c r="S8" s="104"/>
    </row>
    <row r="9" spans="1:19" ht="15.75">
      <c r="A9" s="215"/>
      <c r="B9" s="220" t="s">
        <v>53</v>
      </c>
      <c r="C9" s="213">
        <v>301</v>
      </c>
      <c r="D9" s="219">
        <v>96564</v>
      </c>
      <c r="E9" s="56">
        <v>2020</v>
      </c>
      <c r="F9" s="56">
        <v>98584</v>
      </c>
      <c r="G9" s="219">
        <v>55103.779999999992</v>
      </c>
      <c r="H9" s="222">
        <v>29500.953999999998</v>
      </c>
      <c r="J9" s="236"/>
      <c r="K9" s="226" t="s">
        <v>107</v>
      </c>
      <c r="L9" s="215"/>
      <c r="M9" s="165">
        <v>10.5</v>
      </c>
      <c r="N9" s="234">
        <v>3498</v>
      </c>
      <c r="O9" s="104">
        <v>1560</v>
      </c>
      <c r="P9" s="104">
        <v>5058</v>
      </c>
      <c r="Q9" s="104">
        <v>6217.5599999999995</v>
      </c>
      <c r="R9" s="104">
        <v>4352.2919999999995</v>
      </c>
      <c r="S9" s="104"/>
    </row>
    <row r="10" spans="1:19" ht="15.75">
      <c r="A10" s="215"/>
      <c r="B10" s="220" t="s">
        <v>63</v>
      </c>
      <c r="C10" s="213">
        <v>8</v>
      </c>
      <c r="D10" s="219">
        <v>2884</v>
      </c>
      <c r="E10" s="56">
        <v>600</v>
      </c>
      <c r="F10" s="56">
        <v>3484</v>
      </c>
      <c r="G10" s="219">
        <v>1157.44</v>
      </c>
      <c r="H10" s="222">
        <v>578.72</v>
      </c>
      <c r="J10" s="236"/>
      <c r="K10" s="227" t="s">
        <v>38</v>
      </c>
      <c r="L10" s="218" t="s">
        <v>198</v>
      </c>
      <c r="M10" s="165">
        <v>10.5</v>
      </c>
      <c r="N10" s="234">
        <v>3498</v>
      </c>
      <c r="O10" s="104">
        <v>0</v>
      </c>
      <c r="P10" s="104">
        <v>3498</v>
      </c>
      <c r="Q10" s="104">
        <v>4267.5599999999995</v>
      </c>
      <c r="R10" s="104">
        <v>2987.2919999999999</v>
      </c>
      <c r="S10" s="104"/>
    </row>
    <row r="11" spans="1:19" ht="15.75">
      <c r="A11" s="215"/>
      <c r="B11" s="220" t="s">
        <v>54</v>
      </c>
      <c r="C11" s="213">
        <v>39</v>
      </c>
      <c r="D11" s="219">
        <v>15265</v>
      </c>
      <c r="E11" s="56">
        <v>1760</v>
      </c>
      <c r="F11" s="56">
        <v>17025</v>
      </c>
      <c r="G11" s="219">
        <v>21112.559999999998</v>
      </c>
      <c r="H11" s="222">
        <v>14428.791999999999</v>
      </c>
      <c r="J11" s="236"/>
      <c r="K11" s="227" t="s">
        <v>16</v>
      </c>
      <c r="L11" s="218" t="s">
        <v>198</v>
      </c>
      <c r="M11" s="165"/>
      <c r="N11" s="234">
        <v>0</v>
      </c>
      <c r="O11" s="104">
        <v>1560</v>
      </c>
      <c r="P11" s="104">
        <v>1560</v>
      </c>
      <c r="Q11" s="104">
        <v>1950</v>
      </c>
      <c r="R11" s="104">
        <v>1365</v>
      </c>
      <c r="S11" s="104"/>
    </row>
    <row r="12" spans="1:19" ht="15.75">
      <c r="A12" s="215"/>
      <c r="B12" s="220" t="s">
        <v>64</v>
      </c>
      <c r="C12" s="213">
        <v>4</v>
      </c>
      <c r="D12" s="219">
        <v>1784</v>
      </c>
      <c r="E12" s="56">
        <v>0</v>
      </c>
      <c r="F12" s="56">
        <v>1784</v>
      </c>
      <c r="G12" s="219">
        <v>285.44</v>
      </c>
      <c r="H12" s="222">
        <v>142.72</v>
      </c>
      <c r="J12" s="236"/>
      <c r="K12" s="221"/>
      <c r="L12" s="215"/>
      <c r="M12" s="165"/>
      <c r="N12" s="234"/>
      <c r="O12" s="104"/>
      <c r="P12" s="104"/>
      <c r="Q12" s="104"/>
      <c r="R12" s="104"/>
      <c r="S12" s="104"/>
    </row>
    <row r="13" spans="1:19" ht="15.75">
      <c r="A13" s="215"/>
      <c r="B13" s="220" t="s">
        <v>57</v>
      </c>
      <c r="C13" s="213">
        <v>3</v>
      </c>
      <c r="D13" s="219">
        <v>1106</v>
      </c>
      <c r="E13" s="56">
        <v>520</v>
      </c>
      <c r="F13" s="56">
        <v>1626</v>
      </c>
      <c r="G13" s="219">
        <v>2020.32</v>
      </c>
      <c r="H13" s="222">
        <v>1239.2239999999999</v>
      </c>
      <c r="J13" s="236"/>
      <c r="K13" s="221" t="s">
        <v>51</v>
      </c>
      <c r="L13" s="215"/>
      <c r="M13" s="165">
        <v>90</v>
      </c>
      <c r="N13" s="234">
        <v>36396</v>
      </c>
      <c r="O13" s="104">
        <v>10660</v>
      </c>
      <c r="P13" s="104">
        <v>47056</v>
      </c>
      <c r="Q13" s="104">
        <v>41448.36</v>
      </c>
      <c r="R13" s="104">
        <v>25442.635999999999</v>
      </c>
      <c r="S13" s="104"/>
    </row>
    <row r="14" spans="1:19" ht="15.75">
      <c r="A14" s="215"/>
      <c r="B14" s="220" t="s">
        <v>65</v>
      </c>
      <c r="C14" s="213">
        <v>22</v>
      </c>
      <c r="D14" s="219">
        <v>8042</v>
      </c>
      <c r="E14" s="56">
        <v>0</v>
      </c>
      <c r="F14" s="56">
        <v>8042</v>
      </c>
      <c r="G14" s="219">
        <v>6206.7199999999993</v>
      </c>
      <c r="H14" s="222">
        <v>3103.3599999999997</v>
      </c>
      <c r="J14" s="236"/>
      <c r="K14" s="226" t="s">
        <v>104</v>
      </c>
      <c r="L14" s="215"/>
      <c r="M14" s="165">
        <v>10.5</v>
      </c>
      <c r="N14" s="234">
        <v>3549</v>
      </c>
      <c r="O14" s="104">
        <v>0</v>
      </c>
      <c r="P14" s="104">
        <v>3549</v>
      </c>
      <c r="Q14" s="104">
        <v>4329.78</v>
      </c>
      <c r="R14" s="104">
        <v>3030.8459999999995</v>
      </c>
      <c r="S14" s="104"/>
    </row>
    <row r="15" spans="1:19" ht="15.75">
      <c r="A15" s="215"/>
      <c r="B15" s="220" t="s">
        <v>55</v>
      </c>
      <c r="C15" s="213">
        <v>10</v>
      </c>
      <c r="D15" s="219">
        <v>3612</v>
      </c>
      <c r="E15" s="56">
        <v>1040</v>
      </c>
      <c r="F15" s="56">
        <v>4652</v>
      </c>
      <c r="G15" s="219">
        <v>5790.6399999999994</v>
      </c>
      <c r="H15" s="222">
        <v>3353.4479999999999</v>
      </c>
      <c r="J15" s="236"/>
      <c r="K15" s="227" t="s">
        <v>38</v>
      </c>
      <c r="L15" s="218" t="s">
        <v>154</v>
      </c>
      <c r="M15" s="165">
        <v>10.5</v>
      </c>
      <c r="N15" s="234">
        <v>3549</v>
      </c>
      <c r="O15" s="104">
        <v>0</v>
      </c>
      <c r="P15" s="104">
        <v>3549</v>
      </c>
      <c r="Q15" s="104">
        <v>4329.78</v>
      </c>
      <c r="R15" s="104">
        <v>3030.8459999999995</v>
      </c>
      <c r="S15" s="104"/>
    </row>
    <row r="16" spans="1:19" ht="15.75">
      <c r="A16" s="215"/>
      <c r="B16" s="220" t="s">
        <v>56</v>
      </c>
      <c r="C16" s="213">
        <v>35</v>
      </c>
      <c r="D16" s="219">
        <v>13663</v>
      </c>
      <c r="E16" s="56">
        <v>11680</v>
      </c>
      <c r="F16" s="56">
        <v>25343</v>
      </c>
      <c r="G16" s="219">
        <v>23336.119999999995</v>
      </c>
      <c r="H16" s="222">
        <v>14720.683999999999</v>
      </c>
      <c r="J16" s="236"/>
      <c r="K16" s="226" t="s">
        <v>103</v>
      </c>
      <c r="L16" s="215"/>
      <c r="M16" s="165">
        <v>9</v>
      </c>
      <c r="N16" s="234">
        <v>3042</v>
      </c>
      <c r="O16" s="104">
        <v>0</v>
      </c>
      <c r="P16" s="104">
        <v>3042</v>
      </c>
      <c r="Q16" s="104">
        <v>3711.2400000000002</v>
      </c>
      <c r="R16" s="104">
        <v>2597.8679999999999</v>
      </c>
      <c r="S16" s="104"/>
    </row>
    <row r="17" spans="1:19" ht="15.75">
      <c r="A17" s="215"/>
      <c r="B17" s="218"/>
      <c r="C17" s="213"/>
      <c r="D17" s="219"/>
      <c r="E17" s="56"/>
      <c r="F17" s="56"/>
      <c r="G17" s="219"/>
      <c r="H17" s="222"/>
      <c r="J17" s="236"/>
      <c r="K17" s="227" t="s">
        <v>38</v>
      </c>
      <c r="L17" s="218" t="s">
        <v>198</v>
      </c>
      <c r="M17" s="165">
        <v>9</v>
      </c>
      <c r="N17" s="234">
        <v>3042</v>
      </c>
      <c r="O17" s="104">
        <v>0</v>
      </c>
      <c r="P17" s="104">
        <v>3042</v>
      </c>
      <c r="Q17" s="104">
        <v>3711.2400000000002</v>
      </c>
      <c r="R17" s="104">
        <v>2597.8679999999999</v>
      </c>
      <c r="S17" s="104"/>
    </row>
    <row r="18" spans="1:19" ht="15.75">
      <c r="A18" s="218" t="s">
        <v>32</v>
      </c>
      <c r="B18" s="218" t="s">
        <v>25</v>
      </c>
      <c r="C18" s="213">
        <v>355</v>
      </c>
      <c r="D18" s="219">
        <v>140317</v>
      </c>
      <c r="E18" s="56">
        <v>9460</v>
      </c>
      <c r="F18" s="56">
        <v>149777</v>
      </c>
      <c r="G18" s="219">
        <v>60992.76</v>
      </c>
      <c r="H18" s="222">
        <v>32757.110000000008</v>
      </c>
      <c r="J18" s="236"/>
      <c r="K18" s="226" t="s">
        <v>105</v>
      </c>
      <c r="L18" s="215"/>
      <c r="M18" s="165">
        <v>70.5</v>
      </c>
      <c r="N18" s="234">
        <v>29805</v>
      </c>
      <c r="O18" s="104">
        <v>10660</v>
      </c>
      <c r="P18" s="104">
        <v>40465</v>
      </c>
      <c r="Q18" s="104">
        <v>33407.339999999997</v>
      </c>
      <c r="R18" s="104">
        <v>19813.921999999999</v>
      </c>
      <c r="S18" s="104"/>
    </row>
    <row r="19" spans="1:19" ht="15.75">
      <c r="A19" s="215"/>
      <c r="B19" s="220" t="s">
        <v>60</v>
      </c>
      <c r="C19" s="213">
        <v>79</v>
      </c>
      <c r="D19" s="219">
        <v>36722</v>
      </c>
      <c r="E19" s="56">
        <v>4000</v>
      </c>
      <c r="F19" s="56">
        <v>40722</v>
      </c>
      <c r="G19" s="219">
        <v>17674.29</v>
      </c>
      <c r="H19" s="222">
        <v>10083.555000000002</v>
      </c>
      <c r="J19" s="236"/>
      <c r="K19" s="227" t="s">
        <v>18</v>
      </c>
      <c r="L19" s="218" t="s">
        <v>199</v>
      </c>
      <c r="M19" s="165">
        <v>5.5</v>
      </c>
      <c r="N19" s="234">
        <v>2695</v>
      </c>
      <c r="O19" s="104">
        <v>600</v>
      </c>
      <c r="P19" s="104">
        <v>3295</v>
      </c>
      <c r="Q19" s="104">
        <v>4118.75</v>
      </c>
      <c r="R19" s="104">
        <v>2883.125</v>
      </c>
      <c r="S19" s="104"/>
    </row>
    <row r="20" spans="1:19" ht="15.75">
      <c r="A20" s="215"/>
      <c r="B20" s="220" t="s">
        <v>61</v>
      </c>
      <c r="C20" s="213">
        <v>186</v>
      </c>
      <c r="D20" s="219">
        <v>81431</v>
      </c>
      <c r="E20" s="56">
        <v>4420</v>
      </c>
      <c r="F20" s="56">
        <v>85851</v>
      </c>
      <c r="G20" s="219">
        <v>33702.19</v>
      </c>
      <c r="H20" s="222">
        <v>17080.159000000007</v>
      </c>
      <c r="J20" s="236"/>
      <c r="K20" s="227" t="s">
        <v>38</v>
      </c>
      <c r="L20" s="218" t="s">
        <v>154</v>
      </c>
      <c r="M20" s="165">
        <v>5.5</v>
      </c>
      <c r="N20" s="234">
        <v>2233</v>
      </c>
      <c r="O20" s="104">
        <v>600</v>
      </c>
      <c r="P20" s="104">
        <v>2833</v>
      </c>
      <c r="Q20" s="104">
        <v>3456.26</v>
      </c>
      <c r="R20" s="104">
        <v>2419.3820000000001</v>
      </c>
      <c r="S20" s="104"/>
    </row>
    <row r="21" spans="1:19" ht="15.75">
      <c r="A21" s="215"/>
      <c r="B21" s="220" t="s">
        <v>62</v>
      </c>
      <c r="C21" s="213">
        <v>90</v>
      </c>
      <c r="D21" s="219">
        <v>22164</v>
      </c>
      <c r="E21" s="56">
        <v>1040</v>
      </c>
      <c r="F21" s="56">
        <v>23204</v>
      </c>
      <c r="G21" s="219">
        <v>9616.2799999999988</v>
      </c>
      <c r="H21" s="222">
        <v>5593.3959999999997</v>
      </c>
      <c r="J21" s="236"/>
      <c r="K21" s="227" t="s">
        <v>15</v>
      </c>
      <c r="L21" s="218" t="s">
        <v>199</v>
      </c>
      <c r="M21" s="165">
        <v>5.5</v>
      </c>
      <c r="N21" s="234">
        <v>4356</v>
      </c>
      <c r="O21" s="104">
        <v>600</v>
      </c>
      <c r="P21" s="104">
        <v>4956</v>
      </c>
      <c r="Q21" s="104">
        <v>1839</v>
      </c>
      <c r="R21" s="104">
        <v>919.5</v>
      </c>
      <c r="S21" s="104"/>
    </row>
    <row r="22" spans="1:19" ht="15.75">
      <c r="A22" s="215"/>
      <c r="B22" s="218"/>
      <c r="C22" s="213"/>
      <c r="D22" s="219"/>
      <c r="E22" s="56"/>
      <c r="F22" s="56"/>
      <c r="G22" s="219"/>
      <c r="H22" s="222"/>
      <c r="J22" s="236"/>
      <c r="K22" s="227" t="s">
        <v>79</v>
      </c>
      <c r="L22" s="218" t="s">
        <v>154</v>
      </c>
      <c r="M22" s="165">
        <v>11</v>
      </c>
      <c r="N22" s="234">
        <v>3965</v>
      </c>
      <c r="O22" s="104">
        <v>1200</v>
      </c>
      <c r="P22" s="104">
        <v>5165</v>
      </c>
      <c r="Q22" s="104">
        <v>2026.48</v>
      </c>
      <c r="R22" s="104">
        <v>1013.24</v>
      </c>
      <c r="S22" s="104"/>
    </row>
    <row r="23" spans="1:19" ht="15.75">
      <c r="A23" s="218" t="s">
        <v>33</v>
      </c>
      <c r="B23" s="218" t="s">
        <v>26</v>
      </c>
      <c r="C23" s="213">
        <v>1140</v>
      </c>
      <c r="D23" s="219">
        <v>255887</v>
      </c>
      <c r="E23" s="56">
        <v>57140</v>
      </c>
      <c r="F23" s="56">
        <v>313027</v>
      </c>
      <c r="G23" s="219">
        <v>257136.74000000002</v>
      </c>
      <c r="H23" s="222">
        <v>136562.75399999999</v>
      </c>
      <c r="J23" s="236"/>
      <c r="K23" s="227" t="s">
        <v>135</v>
      </c>
      <c r="L23" s="218" t="s">
        <v>199</v>
      </c>
      <c r="M23" s="165">
        <v>5.5</v>
      </c>
      <c r="N23" s="234">
        <v>2321</v>
      </c>
      <c r="O23" s="104">
        <v>600</v>
      </c>
      <c r="P23" s="104">
        <v>2921</v>
      </c>
      <c r="Q23" s="104">
        <v>3651.25</v>
      </c>
      <c r="R23" s="104">
        <v>2555.875</v>
      </c>
      <c r="S23" s="104"/>
    </row>
    <row r="24" spans="1:19" ht="15.75">
      <c r="A24" s="215"/>
      <c r="B24" s="220" t="s">
        <v>151</v>
      </c>
      <c r="C24" s="213">
        <v>666</v>
      </c>
      <c r="D24" s="219">
        <v>144191</v>
      </c>
      <c r="E24" s="56">
        <v>54520</v>
      </c>
      <c r="F24" s="56">
        <v>198711</v>
      </c>
      <c r="G24" s="219">
        <v>181753.32</v>
      </c>
      <c r="H24" s="222">
        <v>95785.723999999987</v>
      </c>
      <c r="J24" s="236"/>
      <c r="K24" s="227" t="s">
        <v>16</v>
      </c>
      <c r="L24" s="218" t="s">
        <v>154</v>
      </c>
      <c r="M24" s="165"/>
      <c r="N24" s="234">
        <v>0</v>
      </c>
      <c r="O24" s="104">
        <v>3460</v>
      </c>
      <c r="P24" s="104">
        <v>3460</v>
      </c>
      <c r="Q24" s="104">
        <v>4325</v>
      </c>
      <c r="R24" s="104">
        <v>3027.5</v>
      </c>
      <c r="S24" s="104"/>
    </row>
    <row r="25" spans="1:19" ht="15.75">
      <c r="A25" s="215"/>
      <c r="B25" s="220" t="s">
        <v>147</v>
      </c>
      <c r="C25" s="213">
        <v>246</v>
      </c>
      <c r="D25" s="219">
        <v>56786</v>
      </c>
      <c r="E25" s="56">
        <v>0</v>
      </c>
      <c r="F25" s="56">
        <v>56786</v>
      </c>
      <c r="G25" s="219">
        <v>40148.559999999998</v>
      </c>
      <c r="H25" s="222">
        <v>20074.28</v>
      </c>
      <c r="J25" s="236"/>
      <c r="K25" s="227" t="s">
        <v>17</v>
      </c>
      <c r="L25" s="218" t="s">
        <v>199</v>
      </c>
      <c r="M25" s="165">
        <v>21</v>
      </c>
      <c r="N25" s="234">
        <v>8295</v>
      </c>
      <c r="O25" s="104">
        <v>1800</v>
      </c>
      <c r="P25" s="104">
        <v>10095</v>
      </c>
      <c r="Q25" s="104">
        <v>4450.1000000000004</v>
      </c>
      <c r="R25" s="104">
        <v>2225.0500000000002</v>
      </c>
      <c r="S25" s="104"/>
    </row>
    <row r="26" spans="1:19" ht="15.75">
      <c r="A26" s="215"/>
      <c r="B26" s="220" t="s">
        <v>152</v>
      </c>
      <c r="C26" s="213">
        <v>72</v>
      </c>
      <c r="D26" s="219">
        <v>23166</v>
      </c>
      <c r="E26" s="56">
        <v>0</v>
      </c>
      <c r="F26" s="56">
        <v>23166</v>
      </c>
      <c r="G26" s="219">
        <v>11778.26</v>
      </c>
      <c r="H26" s="222">
        <v>5889.13</v>
      </c>
      <c r="J26" s="236"/>
      <c r="K26" s="227" t="s">
        <v>19</v>
      </c>
      <c r="L26" s="218" t="s">
        <v>199</v>
      </c>
      <c r="M26" s="165">
        <v>5.5</v>
      </c>
      <c r="N26" s="234">
        <v>1925</v>
      </c>
      <c r="O26" s="104">
        <v>600</v>
      </c>
      <c r="P26" s="104">
        <v>2525</v>
      </c>
      <c r="Q26" s="104">
        <v>3156.25</v>
      </c>
      <c r="R26" s="104">
        <v>1578.125</v>
      </c>
      <c r="S26" s="104"/>
    </row>
    <row r="27" spans="1:19" ht="15.75">
      <c r="A27" s="215"/>
      <c r="B27" s="220" t="s">
        <v>153</v>
      </c>
      <c r="C27" s="213">
        <v>151</v>
      </c>
      <c r="D27" s="219">
        <v>31594</v>
      </c>
      <c r="E27" s="56">
        <v>2620</v>
      </c>
      <c r="F27" s="56">
        <v>34214</v>
      </c>
      <c r="G27" s="219">
        <v>23282.6</v>
      </c>
      <c r="H27" s="222">
        <v>14726.619999999999</v>
      </c>
      <c r="J27" s="236"/>
      <c r="K27" s="227" t="s">
        <v>22</v>
      </c>
      <c r="L27" s="218" t="s">
        <v>199</v>
      </c>
      <c r="M27" s="165">
        <v>5.5</v>
      </c>
      <c r="N27" s="234">
        <v>2090</v>
      </c>
      <c r="O27" s="104">
        <v>600</v>
      </c>
      <c r="P27" s="104">
        <v>2690</v>
      </c>
      <c r="Q27" s="104">
        <v>3228</v>
      </c>
      <c r="R27" s="104">
        <v>1614</v>
      </c>
      <c r="S27" s="104"/>
    </row>
    <row r="28" spans="1:19" ht="15.75">
      <c r="A28" s="215"/>
      <c r="B28" s="220" t="s">
        <v>198</v>
      </c>
      <c r="C28" s="213">
        <v>5</v>
      </c>
      <c r="D28" s="219">
        <v>150</v>
      </c>
      <c r="E28" s="56">
        <v>0</v>
      </c>
      <c r="F28" s="56">
        <v>150</v>
      </c>
      <c r="G28" s="219">
        <v>174</v>
      </c>
      <c r="H28" s="222">
        <v>87</v>
      </c>
      <c r="J28" s="236"/>
      <c r="K28" s="227" t="s">
        <v>20</v>
      </c>
      <c r="L28" s="218" t="s">
        <v>199</v>
      </c>
      <c r="M28" s="165">
        <v>5.5</v>
      </c>
      <c r="N28" s="234">
        <v>1925</v>
      </c>
      <c r="O28" s="104">
        <v>600</v>
      </c>
      <c r="P28" s="104">
        <v>2525</v>
      </c>
      <c r="Q28" s="104">
        <v>3156.25</v>
      </c>
      <c r="R28" s="104">
        <v>1578.125</v>
      </c>
      <c r="S28" s="104"/>
    </row>
    <row r="29" spans="1:19" ht="15.75">
      <c r="A29" s="215"/>
      <c r="B29" s="218"/>
      <c r="C29" s="213"/>
      <c r="D29" s="219"/>
      <c r="E29" s="56"/>
      <c r="F29" s="56"/>
      <c r="G29" s="219"/>
      <c r="H29" s="222"/>
      <c r="J29" s="236"/>
      <c r="K29" s="221"/>
      <c r="L29" s="215"/>
      <c r="M29" s="165"/>
      <c r="N29" s="234"/>
      <c r="O29" s="104"/>
      <c r="P29" s="104"/>
      <c r="Q29" s="104"/>
      <c r="R29" s="104"/>
      <c r="S29" s="104"/>
    </row>
    <row r="30" spans="1:19" ht="15.75">
      <c r="A30" s="218" t="s">
        <v>34</v>
      </c>
      <c r="B30" s="218" t="s">
        <v>27</v>
      </c>
      <c r="C30" s="213">
        <v>174.5</v>
      </c>
      <c r="D30" s="219">
        <v>71096</v>
      </c>
      <c r="E30" s="56">
        <v>30360</v>
      </c>
      <c r="F30" s="56">
        <v>101456</v>
      </c>
      <c r="G30" s="219">
        <v>97051.290000000008</v>
      </c>
      <c r="H30" s="222">
        <v>60352.995000000003</v>
      </c>
      <c r="J30" s="236"/>
      <c r="K30" s="221" t="s">
        <v>52</v>
      </c>
      <c r="L30" s="215"/>
      <c r="M30" s="165">
        <v>22</v>
      </c>
      <c r="N30" s="234">
        <v>9348</v>
      </c>
      <c r="O30" s="104">
        <v>4640</v>
      </c>
      <c r="P30" s="104">
        <v>13988</v>
      </c>
      <c r="Q30" s="104">
        <v>11827.960000000001</v>
      </c>
      <c r="R30" s="104">
        <v>6840.308</v>
      </c>
      <c r="S30" s="104"/>
    </row>
    <row r="31" spans="1:19" ht="15.75">
      <c r="A31" s="215"/>
      <c r="B31" s="220" t="s">
        <v>63</v>
      </c>
      <c r="C31" s="213">
        <v>78.5</v>
      </c>
      <c r="D31" s="219">
        <v>32071</v>
      </c>
      <c r="E31" s="56">
        <v>21030</v>
      </c>
      <c r="F31" s="56">
        <v>53101</v>
      </c>
      <c r="G31" s="219">
        <v>53944.090000000004</v>
      </c>
      <c r="H31" s="222">
        <v>35215.947</v>
      </c>
      <c r="J31" s="236"/>
      <c r="K31" s="226" t="s">
        <v>88</v>
      </c>
      <c r="L31" s="215"/>
      <c r="M31" s="165">
        <v>22</v>
      </c>
      <c r="N31" s="234">
        <v>9348</v>
      </c>
      <c r="O31" s="104">
        <v>4640</v>
      </c>
      <c r="P31" s="104">
        <v>13988</v>
      </c>
      <c r="Q31" s="104">
        <v>11827.960000000001</v>
      </c>
      <c r="R31" s="104">
        <v>6840.308</v>
      </c>
      <c r="S31" s="104"/>
    </row>
    <row r="32" spans="1:19" ht="15.75">
      <c r="A32" s="215"/>
      <c r="B32" s="220" t="s">
        <v>64</v>
      </c>
      <c r="C32" s="213">
        <v>61</v>
      </c>
      <c r="D32" s="219">
        <v>25307</v>
      </c>
      <c r="E32" s="56">
        <v>5610</v>
      </c>
      <c r="F32" s="56">
        <v>30917</v>
      </c>
      <c r="G32" s="219">
        <v>23302.98</v>
      </c>
      <c r="H32" s="222">
        <v>13118.681999999999</v>
      </c>
      <c r="J32" s="236"/>
      <c r="K32" s="227" t="s">
        <v>18</v>
      </c>
      <c r="L32" s="218" t="s">
        <v>200</v>
      </c>
      <c r="M32" s="165">
        <v>2</v>
      </c>
      <c r="N32" s="234">
        <v>980</v>
      </c>
      <c r="O32" s="104">
        <v>300</v>
      </c>
      <c r="P32" s="104">
        <v>1280</v>
      </c>
      <c r="Q32" s="104">
        <v>1600</v>
      </c>
      <c r="R32" s="104">
        <v>1120</v>
      </c>
      <c r="S32" s="104"/>
    </row>
    <row r="33" spans="1:19" ht="15.75">
      <c r="A33" s="215"/>
      <c r="B33" s="220" t="s">
        <v>65</v>
      </c>
      <c r="C33" s="213">
        <v>35</v>
      </c>
      <c r="D33" s="219">
        <v>13718</v>
      </c>
      <c r="E33" s="56">
        <v>3720</v>
      </c>
      <c r="F33" s="56">
        <v>17438</v>
      </c>
      <c r="G33" s="219">
        <v>19804.22</v>
      </c>
      <c r="H33" s="222">
        <v>12018.366000000002</v>
      </c>
      <c r="J33" s="236"/>
      <c r="K33" s="227" t="s">
        <v>38</v>
      </c>
      <c r="L33" s="218" t="s">
        <v>156</v>
      </c>
      <c r="M33" s="165">
        <v>2</v>
      </c>
      <c r="N33" s="234">
        <v>812</v>
      </c>
      <c r="O33" s="104">
        <v>300</v>
      </c>
      <c r="P33" s="104">
        <v>1112</v>
      </c>
      <c r="Q33" s="104">
        <v>1356.64</v>
      </c>
      <c r="R33" s="104">
        <v>949.64800000000002</v>
      </c>
      <c r="S33" s="104"/>
    </row>
    <row r="34" spans="1:19" ht="15.75">
      <c r="A34" s="215"/>
      <c r="B34" s="218"/>
      <c r="C34" s="213"/>
      <c r="D34" s="219"/>
      <c r="E34" s="56"/>
      <c r="F34" s="56"/>
      <c r="G34" s="219"/>
      <c r="H34" s="222"/>
      <c r="J34" s="236"/>
      <c r="K34" s="227" t="s">
        <v>15</v>
      </c>
      <c r="L34" s="218" t="s">
        <v>245</v>
      </c>
      <c r="M34" s="165">
        <v>2</v>
      </c>
      <c r="N34" s="234">
        <v>1584</v>
      </c>
      <c r="O34" s="104">
        <v>300</v>
      </c>
      <c r="P34" s="104">
        <v>1884</v>
      </c>
      <c r="Q34" s="104">
        <v>771</v>
      </c>
      <c r="R34" s="104">
        <v>385.5</v>
      </c>
      <c r="S34" s="104"/>
    </row>
    <row r="35" spans="1:19" ht="15.75">
      <c r="A35" s="218" t="s">
        <v>35</v>
      </c>
      <c r="B35" s="218" t="s">
        <v>28</v>
      </c>
      <c r="C35" s="213">
        <v>251</v>
      </c>
      <c r="D35" s="219">
        <v>90015</v>
      </c>
      <c r="E35" s="56">
        <v>30250</v>
      </c>
      <c r="F35" s="56">
        <v>120265</v>
      </c>
      <c r="G35" s="219">
        <v>96164.17</v>
      </c>
      <c r="H35" s="222">
        <v>59322.620999999999</v>
      </c>
      <c r="J35" s="236"/>
      <c r="K35" s="227" t="s">
        <v>79</v>
      </c>
      <c r="L35" s="218" t="s">
        <v>156</v>
      </c>
      <c r="M35" s="165">
        <v>4</v>
      </c>
      <c r="N35" s="234">
        <v>1442</v>
      </c>
      <c r="O35" s="104">
        <v>600</v>
      </c>
      <c r="P35" s="104">
        <v>2042</v>
      </c>
      <c r="Q35" s="104">
        <v>926.72</v>
      </c>
      <c r="R35" s="104">
        <v>463.36</v>
      </c>
      <c r="S35" s="104"/>
    </row>
    <row r="36" spans="1:19" ht="15.75">
      <c r="A36" s="215"/>
      <c r="B36" s="220" t="s">
        <v>66</v>
      </c>
      <c r="C36" s="213">
        <v>18</v>
      </c>
      <c r="D36" s="219">
        <v>5982</v>
      </c>
      <c r="E36" s="56">
        <v>5060</v>
      </c>
      <c r="F36" s="56">
        <v>11042</v>
      </c>
      <c r="G36" s="219">
        <v>13518.04</v>
      </c>
      <c r="H36" s="222">
        <v>9462.6279999999988</v>
      </c>
      <c r="J36" s="236"/>
      <c r="K36" s="227" t="s">
        <v>16</v>
      </c>
      <c r="L36" s="218" t="s">
        <v>156</v>
      </c>
      <c r="M36" s="165"/>
      <c r="N36" s="234">
        <v>0</v>
      </c>
      <c r="O36" s="104">
        <v>1040</v>
      </c>
      <c r="P36" s="104">
        <v>1040</v>
      </c>
      <c r="Q36" s="104">
        <v>1300</v>
      </c>
      <c r="R36" s="104">
        <v>909.99999999999989</v>
      </c>
      <c r="S36" s="104"/>
    </row>
    <row r="37" spans="1:19" ht="15.75">
      <c r="A37" s="215"/>
      <c r="B37" s="220" t="s">
        <v>67</v>
      </c>
      <c r="C37" s="213">
        <v>147</v>
      </c>
      <c r="D37" s="219">
        <v>49290</v>
      </c>
      <c r="E37" s="56">
        <v>10200</v>
      </c>
      <c r="F37" s="56">
        <v>59490</v>
      </c>
      <c r="G37" s="219">
        <v>40688.68</v>
      </c>
      <c r="H37" s="222">
        <v>24210.671999999995</v>
      </c>
      <c r="J37" s="236"/>
      <c r="K37" s="215"/>
      <c r="L37" s="218" t="s">
        <v>157</v>
      </c>
      <c r="M37" s="165"/>
      <c r="N37" s="234">
        <v>0</v>
      </c>
      <c r="O37" s="104">
        <v>300</v>
      </c>
      <c r="P37" s="104">
        <v>300</v>
      </c>
      <c r="Q37" s="104">
        <v>375</v>
      </c>
      <c r="R37" s="104">
        <v>262.5</v>
      </c>
      <c r="S37" s="104"/>
    </row>
    <row r="38" spans="1:19" ht="15.75">
      <c r="A38" s="215"/>
      <c r="B38" s="220" t="s">
        <v>68</v>
      </c>
      <c r="C38" s="213">
        <v>86</v>
      </c>
      <c r="D38" s="219">
        <v>34743</v>
      </c>
      <c r="E38" s="56">
        <v>14990</v>
      </c>
      <c r="F38" s="56">
        <v>49733</v>
      </c>
      <c r="G38" s="219">
        <v>41957.45</v>
      </c>
      <c r="H38" s="222">
        <v>25649.321</v>
      </c>
      <c r="J38" s="236"/>
      <c r="K38" s="227" t="s">
        <v>17</v>
      </c>
      <c r="L38" s="218" t="s">
        <v>200</v>
      </c>
      <c r="M38" s="165">
        <v>6</v>
      </c>
      <c r="N38" s="234">
        <v>2370</v>
      </c>
      <c r="O38" s="104">
        <v>900</v>
      </c>
      <c r="P38" s="104">
        <v>3270</v>
      </c>
      <c r="Q38" s="104">
        <v>1726.6</v>
      </c>
      <c r="R38" s="104">
        <v>863.3</v>
      </c>
      <c r="S38" s="104"/>
    </row>
    <row r="39" spans="1:19" ht="15.75">
      <c r="A39" s="215"/>
      <c r="B39" s="218"/>
      <c r="C39" s="213"/>
      <c r="D39" s="219"/>
      <c r="E39" s="56"/>
      <c r="F39" s="56"/>
      <c r="G39" s="219"/>
      <c r="H39" s="222"/>
      <c r="J39" s="236"/>
      <c r="K39" s="227" t="s">
        <v>19</v>
      </c>
      <c r="L39" s="218" t="s">
        <v>200</v>
      </c>
      <c r="M39" s="165">
        <v>2</v>
      </c>
      <c r="N39" s="234">
        <v>700</v>
      </c>
      <c r="O39" s="104">
        <v>300</v>
      </c>
      <c r="P39" s="104">
        <v>1000</v>
      </c>
      <c r="Q39" s="104">
        <v>1250</v>
      </c>
      <c r="R39" s="104">
        <v>625</v>
      </c>
      <c r="S39" s="104"/>
    </row>
    <row r="40" spans="1:19" ht="15.75">
      <c r="A40" s="218" t="s">
        <v>40</v>
      </c>
      <c r="B40" s="215"/>
      <c r="C40" s="213">
        <v>2483</v>
      </c>
      <c r="D40" s="219">
        <v>755561</v>
      </c>
      <c r="E40" s="56">
        <v>164810</v>
      </c>
      <c r="F40" s="56">
        <v>920371</v>
      </c>
      <c r="G40" s="219">
        <v>697174.34</v>
      </c>
      <c r="H40" s="222">
        <v>400624.35399999999</v>
      </c>
      <c r="J40" s="236"/>
      <c r="K40" s="227" t="s">
        <v>22</v>
      </c>
      <c r="L40" s="218" t="s">
        <v>200</v>
      </c>
      <c r="M40" s="165">
        <v>2</v>
      </c>
      <c r="N40" s="234">
        <v>760</v>
      </c>
      <c r="O40" s="104">
        <v>300</v>
      </c>
      <c r="P40" s="104">
        <v>1060</v>
      </c>
      <c r="Q40" s="104">
        <v>1272</v>
      </c>
      <c r="R40" s="104">
        <v>636</v>
      </c>
      <c r="S40" s="104"/>
    </row>
    <row r="41" spans="1:19" ht="15.75">
      <c r="J41" s="236"/>
      <c r="K41" s="227" t="s">
        <v>20</v>
      </c>
      <c r="L41" s="218" t="s">
        <v>200</v>
      </c>
      <c r="M41" s="165">
        <v>2</v>
      </c>
      <c r="N41" s="234">
        <v>700</v>
      </c>
      <c r="O41" s="104">
        <v>300</v>
      </c>
      <c r="P41" s="104">
        <v>1000</v>
      </c>
      <c r="Q41" s="104">
        <v>1250</v>
      </c>
      <c r="R41" s="104">
        <v>625</v>
      </c>
      <c r="S41" s="104"/>
    </row>
    <row r="42" spans="1:19" ht="15.75">
      <c r="J42" s="236"/>
      <c r="K42" s="221"/>
      <c r="L42" s="215"/>
      <c r="M42" s="165"/>
      <c r="N42" s="234"/>
      <c r="O42" s="104"/>
      <c r="P42" s="104"/>
      <c r="Q42" s="104"/>
      <c r="R42" s="104"/>
      <c r="S42" s="104"/>
    </row>
    <row r="43" spans="1:19" ht="15.75">
      <c r="J43" s="235" t="s">
        <v>31</v>
      </c>
      <c r="K43" s="230" t="s">
        <v>23</v>
      </c>
      <c r="L43" s="231"/>
      <c r="M43" s="165">
        <v>422</v>
      </c>
      <c r="N43" s="234">
        <v>142920</v>
      </c>
      <c r="O43" s="104">
        <v>17620</v>
      </c>
      <c r="P43" s="104">
        <v>160540</v>
      </c>
      <c r="Q43" s="104">
        <v>115013.02000000002</v>
      </c>
      <c r="R43" s="104">
        <v>67067.902000000002</v>
      </c>
      <c r="S43" s="104"/>
    </row>
    <row r="44" spans="1:19" ht="15.75">
      <c r="J44" s="236"/>
      <c r="K44" s="221" t="s">
        <v>53</v>
      </c>
      <c r="L44" s="215"/>
      <c r="M44" s="165">
        <v>301</v>
      </c>
      <c r="N44" s="234">
        <v>96564</v>
      </c>
      <c r="O44" s="104">
        <v>2020</v>
      </c>
      <c r="P44" s="104">
        <v>98584</v>
      </c>
      <c r="Q44" s="104">
        <v>55103.78</v>
      </c>
      <c r="R44" s="104">
        <v>29500.953999999998</v>
      </c>
      <c r="S44" s="104"/>
    </row>
    <row r="45" spans="1:19" ht="15.75">
      <c r="J45" s="236"/>
      <c r="K45" s="226" t="s">
        <v>59</v>
      </c>
      <c r="L45" s="215"/>
      <c r="M45" s="165">
        <v>1</v>
      </c>
      <c r="N45" s="234">
        <v>406</v>
      </c>
      <c r="O45" s="104">
        <v>520</v>
      </c>
      <c r="P45" s="104">
        <v>926</v>
      </c>
      <c r="Q45" s="104">
        <v>1145.32</v>
      </c>
      <c r="R45" s="104">
        <v>801.72399999999993</v>
      </c>
      <c r="S45" s="104"/>
    </row>
    <row r="46" spans="1:19" ht="15.75">
      <c r="J46" s="236"/>
      <c r="K46" s="227" t="s">
        <v>38</v>
      </c>
      <c r="L46" s="218" t="s">
        <v>158</v>
      </c>
      <c r="M46" s="165">
        <v>1</v>
      </c>
      <c r="N46" s="234">
        <v>406</v>
      </c>
      <c r="O46" s="104">
        <v>0</v>
      </c>
      <c r="P46" s="104">
        <v>406</v>
      </c>
      <c r="Q46" s="104">
        <v>495.32</v>
      </c>
      <c r="R46" s="104">
        <v>346.72399999999999</v>
      </c>
      <c r="S46" s="104"/>
    </row>
    <row r="47" spans="1:19" ht="15.75">
      <c r="J47" s="236"/>
      <c r="K47" s="227" t="s">
        <v>16</v>
      </c>
      <c r="L47" s="218" t="s">
        <v>158</v>
      </c>
      <c r="M47" s="165"/>
      <c r="N47" s="234">
        <v>0</v>
      </c>
      <c r="O47" s="104">
        <v>520</v>
      </c>
      <c r="P47" s="104">
        <v>520</v>
      </c>
      <c r="Q47" s="104">
        <v>650</v>
      </c>
      <c r="R47" s="104">
        <v>454.99999999999994</v>
      </c>
      <c r="S47" s="104"/>
    </row>
    <row r="48" spans="1:19" ht="15.75">
      <c r="J48" s="236"/>
      <c r="K48" s="226" t="s">
        <v>108</v>
      </c>
      <c r="L48" s="215"/>
      <c r="M48" s="165">
        <v>221</v>
      </c>
      <c r="N48" s="234">
        <v>66069</v>
      </c>
      <c r="O48" s="104">
        <v>0</v>
      </c>
      <c r="P48" s="104">
        <v>66069</v>
      </c>
      <c r="Q48" s="104">
        <v>39954.74</v>
      </c>
      <c r="R48" s="104">
        <v>21697.37</v>
      </c>
      <c r="S48" s="104"/>
    </row>
    <row r="49" spans="10:19" ht="15.75">
      <c r="J49" s="236"/>
      <c r="K49" s="227" t="s">
        <v>21</v>
      </c>
      <c r="L49" s="218" t="s">
        <v>258</v>
      </c>
      <c r="M49" s="165">
        <v>16</v>
      </c>
      <c r="N49" s="234">
        <v>6880</v>
      </c>
      <c r="O49" s="104">
        <v>0</v>
      </c>
      <c r="P49" s="104">
        <v>6880</v>
      </c>
      <c r="Q49" s="104">
        <v>8600</v>
      </c>
      <c r="R49" s="104">
        <v>6020</v>
      </c>
      <c r="S49" s="104"/>
    </row>
    <row r="50" spans="10:19" ht="15.75">
      <c r="J50" s="236"/>
      <c r="K50" s="227" t="s">
        <v>15</v>
      </c>
      <c r="L50" s="218">
        <v>0</v>
      </c>
      <c r="M50" s="165">
        <v>32</v>
      </c>
      <c r="N50" s="234">
        <v>10396</v>
      </c>
      <c r="O50" s="104">
        <v>0</v>
      </c>
      <c r="P50" s="104">
        <v>10396</v>
      </c>
      <c r="Q50" s="104">
        <v>8139</v>
      </c>
      <c r="R50" s="104">
        <v>4069.5</v>
      </c>
      <c r="S50" s="104"/>
    </row>
    <row r="51" spans="10:19" ht="15.75">
      <c r="J51" s="236"/>
      <c r="K51" s="227" t="s">
        <v>17</v>
      </c>
      <c r="L51" s="218">
        <v>0</v>
      </c>
      <c r="M51" s="165">
        <v>168</v>
      </c>
      <c r="N51" s="234">
        <v>46893</v>
      </c>
      <c r="O51" s="104">
        <v>0</v>
      </c>
      <c r="P51" s="104">
        <v>46893</v>
      </c>
      <c r="Q51" s="104">
        <v>20935.739999999998</v>
      </c>
      <c r="R51" s="104">
        <v>10467.869999999999</v>
      </c>
      <c r="S51" s="104"/>
    </row>
    <row r="52" spans="10:19" ht="15.75">
      <c r="J52" s="236"/>
      <c r="K52" s="227" t="s">
        <v>22</v>
      </c>
      <c r="L52" s="218" t="s">
        <v>198</v>
      </c>
      <c r="M52" s="165">
        <v>5</v>
      </c>
      <c r="N52" s="234">
        <v>1900</v>
      </c>
      <c r="O52" s="104">
        <v>0</v>
      </c>
      <c r="P52" s="104">
        <v>1900</v>
      </c>
      <c r="Q52" s="104">
        <v>2280</v>
      </c>
      <c r="R52" s="104">
        <v>1140</v>
      </c>
      <c r="S52" s="104"/>
    </row>
    <row r="53" spans="10:19" ht="15.75">
      <c r="J53" s="236"/>
      <c r="K53" s="226" t="s">
        <v>109</v>
      </c>
      <c r="L53" s="215"/>
      <c r="M53" s="165">
        <v>20</v>
      </c>
      <c r="N53" s="234">
        <v>10906</v>
      </c>
      <c r="O53" s="104">
        <v>1500</v>
      </c>
      <c r="P53" s="104">
        <v>12406</v>
      </c>
      <c r="Q53" s="104">
        <v>4326.2</v>
      </c>
      <c r="R53" s="104">
        <v>2163.1</v>
      </c>
      <c r="S53" s="104"/>
    </row>
    <row r="54" spans="10:19" ht="15.75">
      <c r="J54" s="236"/>
      <c r="K54" s="227" t="s">
        <v>15</v>
      </c>
      <c r="L54" s="218" t="s">
        <v>245</v>
      </c>
      <c r="M54" s="165">
        <v>4</v>
      </c>
      <c r="N54" s="234">
        <v>2336</v>
      </c>
      <c r="O54" s="104">
        <v>600</v>
      </c>
      <c r="P54" s="104">
        <v>2936</v>
      </c>
      <c r="Q54" s="104">
        <v>1334</v>
      </c>
      <c r="R54" s="104">
        <v>667</v>
      </c>
      <c r="S54" s="104"/>
    </row>
    <row r="55" spans="10:19" ht="15.75">
      <c r="J55" s="236"/>
      <c r="K55" s="227" t="s">
        <v>17</v>
      </c>
      <c r="L55" s="218" t="s">
        <v>195</v>
      </c>
      <c r="M55" s="165">
        <v>15</v>
      </c>
      <c r="N55" s="234">
        <v>8190</v>
      </c>
      <c r="O55" s="104">
        <v>900</v>
      </c>
      <c r="P55" s="104">
        <v>9090</v>
      </c>
      <c r="Q55" s="104">
        <v>2536.1999999999998</v>
      </c>
      <c r="R55" s="104">
        <v>1268.0999999999999</v>
      </c>
      <c r="S55" s="104"/>
    </row>
    <row r="56" spans="10:19" ht="15.75">
      <c r="J56" s="236"/>
      <c r="K56" s="227" t="s">
        <v>22</v>
      </c>
      <c r="L56" s="218" t="s">
        <v>198</v>
      </c>
      <c r="M56" s="165">
        <v>1</v>
      </c>
      <c r="N56" s="234">
        <v>380</v>
      </c>
      <c r="O56" s="104">
        <v>0</v>
      </c>
      <c r="P56" s="104">
        <v>380</v>
      </c>
      <c r="Q56" s="104">
        <v>456</v>
      </c>
      <c r="R56" s="104">
        <v>228</v>
      </c>
      <c r="S56" s="104"/>
    </row>
    <row r="57" spans="10:19" ht="15.75">
      <c r="J57" s="236"/>
      <c r="K57" s="226" t="s">
        <v>110</v>
      </c>
      <c r="L57" s="215"/>
      <c r="M57" s="165">
        <v>59</v>
      </c>
      <c r="N57" s="234">
        <v>19183</v>
      </c>
      <c r="O57" s="104">
        <v>0</v>
      </c>
      <c r="P57" s="104">
        <v>19183</v>
      </c>
      <c r="Q57" s="104">
        <v>9677.52</v>
      </c>
      <c r="R57" s="104">
        <v>4838.76</v>
      </c>
      <c r="S57" s="104"/>
    </row>
    <row r="58" spans="10:19" ht="15.75">
      <c r="J58" s="236"/>
      <c r="K58" s="227" t="s">
        <v>15</v>
      </c>
      <c r="L58" s="218">
        <v>0</v>
      </c>
      <c r="M58" s="165">
        <v>22</v>
      </c>
      <c r="N58" s="234">
        <v>8114</v>
      </c>
      <c r="O58" s="104">
        <v>0</v>
      </c>
      <c r="P58" s="104">
        <v>8114</v>
      </c>
      <c r="Q58" s="104">
        <v>4798.5</v>
      </c>
      <c r="R58" s="104">
        <v>2399.25</v>
      </c>
      <c r="S58" s="104"/>
    </row>
    <row r="59" spans="10:19" ht="15.75">
      <c r="J59" s="236"/>
      <c r="K59" s="227" t="s">
        <v>17</v>
      </c>
      <c r="L59" s="218">
        <v>0</v>
      </c>
      <c r="M59" s="165">
        <v>36</v>
      </c>
      <c r="N59" s="234">
        <v>10689</v>
      </c>
      <c r="O59" s="104">
        <v>0</v>
      </c>
      <c r="P59" s="104">
        <v>10689</v>
      </c>
      <c r="Q59" s="104">
        <v>4423.0200000000004</v>
      </c>
      <c r="R59" s="104">
        <v>2211.5100000000002</v>
      </c>
      <c r="S59" s="104"/>
    </row>
    <row r="60" spans="10:19" ht="15.75">
      <c r="J60" s="236"/>
      <c r="K60" s="227" t="s">
        <v>22</v>
      </c>
      <c r="L60" s="218" t="s">
        <v>198</v>
      </c>
      <c r="M60" s="165">
        <v>1</v>
      </c>
      <c r="N60" s="234">
        <v>380</v>
      </c>
      <c r="O60" s="104">
        <v>0</v>
      </c>
      <c r="P60" s="104">
        <v>380</v>
      </c>
      <c r="Q60" s="104">
        <v>456</v>
      </c>
      <c r="R60" s="104">
        <v>228</v>
      </c>
      <c r="S60" s="104"/>
    </row>
    <row r="61" spans="10:19" ht="15.75">
      <c r="J61" s="236"/>
      <c r="K61" s="221"/>
      <c r="L61" s="215"/>
      <c r="M61" s="165"/>
      <c r="N61" s="234"/>
      <c r="O61" s="104"/>
      <c r="P61" s="104"/>
      <c r="Q61" s="104"/>
      <c r="R61" s="104"/>
      <c r="S61" s="104"/>
    </row>
    <row r="62" spans="10:19" ht="15.75">
      <c r="J62" s="236"/>
      <c r="K62" s="221" t="s">
        <v>63</v>
      </c>
      <c r="L62" s="215"/>
      <c r="M62" s="165">
        <v>8</v>
      </c>
      <c r="N62" s="234">
        <v>2884</v>
      </c>
      <c r="O62" s="104">
        <v>600</v>
      </c>
      <c r="P62" s="104">
        <v>3484</v>
      </c>
      <c r="Q62" s="104">
        <v>1157.44</v>
      </c>
      <c r="R62" s="104">
        <v>578.72</v>
      </c>
      <c r="S62" s="104"/>
    </row>
    <row r="63" spans="10:19" ht="15.75">
      <c r="J63" s="236"/>
      <c r="K63" s="226" t="s">
        <v>129</v>
      </c>
      <c r="L63" s="215"/>
      <c r="M63" s="165">
        <v>8</v>
      </c>
      <c r="N63" s="234">
        <v>2884</v>
      </c>
      <c r="O63" s="104">
        <v>600</v>
      </c>
      <c r="P63" s="104">
        <v>3484</v>
      </c>
      <c r="Q63" s="104">
        <v>1157.44</v>
      </c>
      <c r="R63" s="104">
        <v>578.72</v>
      </c>
      <c r="S63" s="104"/>
    </row>
    <row r="64" spans="10:19" ht="15.75">
      <c r="J64" s="236"/>
      <c r="K64" s="227" t="s">
        <v>79</v>
      </c>
      <c r="L64" s="218" t="s">
        <v>198</v>
      </c>
      <c r="M64" s="165">
        <v>8</v>
      </c>
      <c r="N64" s="234">
        <v>2884</v>
      </c>
      <c r="O64" s="104">
        <v>600</v>
      </c>
      <c r="P64" s="104">
        <v>3484</v>
      </c>
      <c r="Q64" s="104">
        <v>1157.44</v>
      </c>
      <c r="R64" s="104">
        <v>578.72</v>
      </c>
      <c r="S64" s="104"/>
    </row>
    <row r="65" spans="10:19" ht="15.75">
      <c r="J65" s="236"/>
      <c r="K65" s="221"/>
      <c r="L65" s="215"/>
      <c r="M65" s="165"/>
      <c r="N65" s="234"/>
      <c r="O65" s="104"/>
      <c r="P65" s="104"/>
      <c r="Q65" s="104"/>
      <c r="R65" s="104"/>
      <c r="S65" s="104"/>
    </row>
    <row r="66" spans="10:19" ht="15.75">
      <c r="J66" s="236"/>
      <c r="K66" s="221" t="s">
        <v>54</v>
      </c>
      <c r="L66" s="215"/>
      <c r="M66" s="165">
        <v>39</v>
      </c>
      <c r="N66" s="234">
        <v>15265</v>
      </c>
      <c r="O66" s="104">
        <v>1760</v>
      </c>
      <c r="P66" s="104">
        <v>17025</v>
      </c>
      <c r="Q66" s="104">
        <v>21112.559999999998</v>
      </c>
      <c r="R66" s="104">
        <v>14428.792000000001</v>
      </c>
      <c r="S66" s="104"/>
    </row>
    <row r="67" spans="10:19" ht="15.75">
      <c r="J67" s="236"/>
      <c r="K67" s="226" t="s">
        <v>111</v>
      </c>
      <c r="L67" s="215"/>
      <c r="M67" s="165">
        <v>9</v>
      </c>
      <c r="N67" s="234">
        <v>3512</v>
      </c>
      <c r="O67" s="104">
        <v>150</v>
      </c>
      <c r="P67" s="104">
        <v>3662</v>
      </c>
      <c r="Q67" s="104">
        <v>4537.96</v>
      </c>
      <c r="R67" s="104">
        <v>3176.5720000000001</v>
      </c>
      <c r="S67" s="104"/>
    </row>
    <row r="68" spans="10:19" ht="15.75">
      <c r="J68" s="236"/>
      <c r="K68" s="227" t="s">
        <v>18</v>
      </c>
      <c r="L68" s="218">
        <v>0</v>
      </c>
      <c r="M68" s="165">
        <v>1</v>
      </c>
      <c r="N68" s="234">
        <v>490</v>
      </c>
      <c r="O68" s="104">
        <v>150</v>
      </c>
      <c r="P68" s="104">
        <v>640</v>
      </c>
      <c r="Q68" s="104">
        <v>800</v>
      </c>
      <c r="R68" s="104">
        <v>560</v>
      </c>
      <c r="S68" s="104"/>
    </row>
    <row r="69" spans="10:19" ht="15.75">
      <c r="J69" s="236"/>
      <c r="K69" s="227" t="s">
        <v>21</v>
      </c>
      <c r="L69" s="218" t="s">
        <v>198</v>
      </c>
      <c r="M69" s="165">
        <v>2</v>
      </c>
      <c r="N69" s="234">
        <v>860</v>
      </c>
      <c r="O69" s="104">
        <v>0</v>
      </c>
      <c r="P69" s="104">
        <v>860</v>
      </c>
      <c r="Q69" s="104">
        <v>1075</v>
      </c>
      <c r="R69" s="104">
        <v>752.5</v>
      </c>
      <c r="S69" s="104"/>
    </row>
    <row r="70" spans="10:19" ht="15.75">
      <c r="J70" s="236"/>
      <c r="K70" s="227" t="s">
        <v>38</v>
      </c>
      <c r="L70" s="218" t="s">
        <v>198</v>
      </c>
      <c r="M70" s="165">
        <v>4</v>
      </c>
      <c r="N70" s="234">
        <v>1318</v>
      </c>
      <c r="O70" s="104">
        <v>0</v>
      </c>
      <c r="P70" s="104">
        <v>1318</v>
      </c>
      <c r="Q70" s="104">
        <v>1607.96</v>
      </c>
      <c r="R70" s="104">
        <v>1125.5719999999999</v>
      </c>
      <c r="S70" s="104"/>
    </row>
    <row r="71" spans="10:19" ht="15.75">
      <c r="J71" s="236"/>
      <c r="K71" s="227" t="s">
        <v>135</v>
      </c>
      <c r="L71" s="218" t="s">
        <v>198</v>
      </c>
      <c r="M71" s="165">
        <v>2</v>
      </c>
      <c r="N71" s="234">
        <v>844</v>
      </c>
      <c r="O71" s="104">
        <v>0</v>
      </c>
      <c r="P71" s="104">
        <v>844</v>
      </c>
      <c r="Q71" s="104">
        <v>1055</v>
      </c>
      <c r="R71" s="104">
        <v>738.5</v>
      </c>
      <c r="S71" s="104"/>
    </row>
    <row r="72" spans="10:19" ht="15.75">
      <c r="J72" s="236"/>
      <c r="K72" s="226" t="s">
        <v>112</v>
      </c>
      <c r="L72" s="215"/>
      <c r="M72" s="165">
        <v>12</v>
      </c>
      <c r="N72" s="234">
        <v>4627</v>
      </c>
      <c r="O72" s="104">
        <v>450</v>
      </c>
      <c r="P72" s="104">
        <v>5077</v>
      </c>
      <c r="Q72" s="104">
        <v>6308.24</v>
      </c>
      <c r="R72" s="104">
        <v>4065.768</v>
      </c>
      <c r="S72" s="104"/>
    </row>
    <row r="73" spans="10:19" ht="15.75">
      <c r="J73" s="236"/>
      <c r="K73" s="227" t="s">
        <v>18</v>
      </c>
      <c r="L73" s="218">
        <v>0</v>
      </c>
      <c r="M73" s="165">
        <v>4</v>
      </c>
      <c r="N73" s="234">
        <v>1960</v>
      </c>
      <c r="O73" s="104">
        <v>450</v>
      </c>
      <c r="P73" s="104">
        <v>2410</v>
      </c>
      <c r="Q73" s="104">
        <v>3012.5</v>
      </c>
      <c r="R73" s="104">
        <v>2108.75</v>
      </c>
      <c r="S73" s="104"/>
    </row>
    <row r="74" spans="10:19" ht="15.75">
      <c r="J74" s="236"/>
      <c r="K74" s="227" t="s">
        <v>38</v>
      </c>
      <c r="L74" s="218" t="s">
        <v>198</v>
      </c>
      <c r="M74" s="165">
        <v>4</v>
      </c>
      <c r="N74" s="234">
        <v>1267</v>
      </c>
      <c r="O74" s="104">
        <v>0</v>
      </c>
      <c r="P74" s="104">
        <v>1267</v>
      </c>
      <c r="Q74" s="104">
        <v>1545.74</v>
      </c>
      <c r="R74" s="104">
        <v>1082.0179999999998</v>
      </c>
      <c r="S74" s="104"/>
    </row>
    <row r="75" spans="10:19" ht="15.75">
      <c r="J75" s="236"/>
      <c r="K75" s="227" t="s">
        <v>19</v>
      </c>
      <c r="L75" s="218" t="s">
        <v>198</v>
      </c>
      <c r="M75" s="165">
        <v>4</v>
      </c>
      <c r="N75" s="234">
        <v>1400</v>
      </c>
      <c r="O75" s="104">
        <v>0</v>
      </c>
      <c r="P75" s="104">
        <v>1400</v>
      </c>
      <c r="Q75" s="104">
        <v>1750</v>
      </c>
      <c r="R75" s="104">
        <v>875</v>
      </c>
      <c r="S75" s="104"/>
    </row>
    <row r="76" spans="10:19" ht="15.75">
      <c r="J76" s="236"/>
      <c r="K76" s="226" t="s">
        <v>113</v>
      </c>
      <c r="L76" s="215"/>
      <c r="M76" s="165">
        <v>11</v>
      </c>
      <c r="N76" s="234">
        <v>4526</v>
      </c>
      <c r="O76" s="104">
        <v>900</v>
      </c>
      <c r="P76" s="104">
        <v>5426</v>
      </c>
      <c r="Q76" s="104">
        <v>6730.9</v>
      </c>
      <c r="R76" s="104">
        <v>4711.63</v>
      </c>
      <c r="S76" s="104"/>
    </row>
    <row r="77" spans="10:19" ht="15.75">
      <c r="J77" s="236"/>
      <c r="K77" s="227" t="s">
        <v>18</v>
      </c>
      <c r="L77" s="218">
        <v>0</v>
      </c>
      <c r="M77" s="165">
        <v>2</v>
      </c>
      <c r="N77" s="234">
        <v>980</v>
      </c>
      <c r="O77" s="104">
        <v>300</v>
      </c>
      <c r="P77" s="104">
        <v>1280</v>
      </c>
      <c r="Q77" s="104">
        <v>1600</v>
      </c>
      <c r="R77" s="104">
        <v>1120</v>
      </c>
      <c r="S77" s="104"/>
    </row>
    <row r="78" spans="10:19" ht="15.75">
      <c r="J78" s="236"/>
      <c r="K78" s="227" t="s">
        <v>21</v>
      </c>
      <c r="L78" s="218" t="s">
        <v>198</v>
      </c>
      <c r="M78" s="165">
        <v>2</v>
      </c>
      <c r="N78" s="234">
        <v>860</v>
      </c>
      <c r="O78" s="104">
        <v>300</v>
      </c>
      <c r="P78" s="104">
        <v>1160</v>
      </c>
      <c r="Q78" s="104">
        <v>1450</v>
      </c>
      <c r="R78" s="104">
        <v>1015</v>
      </c>
      <c r="S78" s="104"/>
    </row>
    <row r="79" spans="10:19" ht="15.75">
      <c r="J79" s="236"/>
      <c r="K79" s="227" t="s">
        <v>38</v>
      </c>
      <c r="L79" s="218" t="s">
        <v>198</v>
      </c>
      <c r="M79" s="165">
        <v>4</v>
      </c>
      <c r="N79" s="234">
        <v>1420</v>
      </c>
      <c r="O79" s="104">
        <v>300</v>
      </c>
      <c r="P79" s="104">
        <v>1720</v>
      </c>
      <c r="Q79" s="104">
        <v>2098.4</v>
      </c>
      <c r="R79" s="104">
        <v>1468.88</v>
      </c>
      <c r="S79" s="104"/>
    </row>
    <row r="80" spans="10:19" ht="15.75">
      <c r="J80" s="236"/>
      <c r="K80" s="227" t="s">
        <v>135</v>
      </c>
      <c r="L80" s="218" t="s">
        <v>198</v>
      </c>
      <c r="M80" s="165">
        <v>3</v>
      </c>
      <c r="N80" s="234">
        <v>1266</v>
      </c>
      <c r="O80" s="104">
        <v>0</v>
      </c>
      <c r="P80" s="104">
        <v>1266</v>
      </c>
      <c r="Q80" s="104">
        <v>1582.5</v>
      </c>
      <c r="R80" s="104">
        <v>1107.75</v>
      </c>
      <c r="S80" s="104"/>
    </row>
    <row r="81" spans="10:19" ht="15.75">
      <c r="J81" s="236"/>
      <c r="K81" s="226" t="s">
        <v>114</v>
      </c>
      <c r="L81" s="215"/>
      <c r="M81" s="165">
        <v>7</v>
      </c>
      <c r="N81" s="234">
        <v>2600</v>
      </c>
      <c r="O81" s="104">
        <v>260</v>
      </c>
      <c r="P81" s="104">
        <v>2860</v>
      </c>
      <c r="Q81" s="104">
        <v>3535.46</v>
      </c>
      <c r="R81" s="104">
        <v>2474.8220000000001</v>
      </c>
      <c r="S81" s="104"/>
    </row>
    <row r="82" spans="10:19" ht="15.75">
      <c r="J82" s="236"/>
      <c r="K82" s="227" t="s">
        <v>21</v>
      </c>
      <c r="L82" s="218" t="s">
        <v>198</v>
      </c>
      <c r="M82" s="165">
        <v>2</v>
      </c>
      <c r="N82" s="234">
        <v>860</v>
      </c>
      <c r="O82" s="104">
        <v>0</v>
      </c>
      <c r="P82" s="104">
        <v>860</v>
      </c>
      <c r="Q82" s="104">
        <v>1075</v>
      </c>
      <c r="R82" s="104">
        <v>752.5</v>
      </c>
      <c r="S82" s="104"/>
    </row>
    <row r="83" spans="10:19" ht="15.75">
      <c r="J83" s="236"/>
      <c r="K83" s="227" t="s">
        <v>38</v>
      </c>
      <c r="L83" s="218" t="s">
        <v>198</v>
      </c>
      <c r="M83" s="165">
        <v>4</v>
      </c>
      <c r="N83" s="234">
        <v>1318</v>
      </c>
      <c r="O83" s="104">
        <v>0</v>
      </c>
      <c r="P83" s="104">
        <v>1318</v>
      </c>
      <c r="Q83" s="104">
        <v>1607.96</v>
      </c>
      <c r="R83" s="104">
        <v>1125.5719999999999</v>
      </c>
      <c r="S83" s="104"/>
    </row>
    <row r="84" spans="10:19" ht="15.75">
      <c r="J84" s="236"/>
      <c r="K84" s="227" t="s">
        <v>135</v>
      </c>
      <c r="L84" s="218" t="s">
        <v>198</v>
      </c>
      <c r="M84" s="165">
        <v>1</v>
      </c>
      <c r="N84" s="234">
        <v>422</v>
      </c>
      <c r="O84" s="104">
        <v>0</v>
      </c>
      <c r="P84" s="104">
        <v>422</v>
      </c>
      <c r="Q84" s="104">
        <v>527.5</v>
      </c>
      <c r="R84" s="104">
        <v>369.25</v>
      </c>
      <c r="S84" s="104"/>
    </row>
    <row r="85" spans="10:19" ht="15.75">
      <c r="J85" s="236"/>
      <c r="K85" s="227" t="s">
        <v>16</v>
      </c>
      <c r="L85" s="218" t="s">
        <v>198</v>
      </c>
      <c r="M85" s="165"/>
      <c r="N85" s="234">
        <v>0</v>
      </c>
      <c r="O85" s="104">
        <v>260</v>
      </c>
      <c r="P85" s="104">
        <v>260</v>
      </c>
      <c r="Q85" s="104">
        <v>325</v>
      </c>
      <c r="R85" s="104">
        <v>227.49999999999997</v>
      </c>
      <c r="S85" s="104"/>
    </row>
    <row r="86" spans="10:19" ht="15.75">
      <c r="J86" s="236"/>
      <c r="K86" s="221"/>
      <c r="L86" s="215"/>
      <c r="M86" s="165"/>
      <c r="N86" s="234"/>
      <c r="O86" s="104"/>
      <c r="P86" s="104"/>
      <c r="Q86" s="104"/>
      <c r="R86" s="104"/>
      <c r="S86" s="104"/>
    </row>
    <row r="87" spans="10:19" ht="15.75">
      <c r="J87" s="236"/>
      <c r="K87" s="221" t="s">
        <v>64</v>
      </c>
      <c r="L87" s="215"/>
      <c r="M87" s="165">
        <v>4</v>
      </c>
      <c r="N87" s="234">
        <v>1784</v>
      </c>
      <c r="O87" s="104">
        <v>0</v>
      </c>
      <c r="P87" s="104">
        <v>1784</v>
      </c>
      <c r="Q87" s="104">
        <v>285.44</v>
      </c>
      <c r="R87" s="104">
        <v>142.72</v>
      </c>
      <c r="S87" s="104"/>
    </row>
    <row r="88" spans="10:19" ht="15.75">
      <c r="J88" s="236"/>
      <c r="K88" s="226" t="s">
        <v>131</v>
      </c>
      <c r="L88" s="215"/>
      <c r="M88" s="165">
        <v>2</v>
      </c>
      <c r="N88" s="234">
        <v>892</v>
      </c>
      <c r="O88" s="104">
        <v>0</v>
      </c>
      <c r="P88" s="104">
        <v>892</v>
      </c>
      <c r="Q88" s="104">
        <v>142.72</v>
      </c>
      <c r="R88" s="104">
        <v>71.36</v>
      </c>
      <c r="S88" s="104"/>
    </row>
    <row r="89" spans="10:19" ht="15.75">
      <c r="J89" s="236"/>
      <c r="K89" s="227" t="s">
        <v>79</v>
      </c>
      <c r="L89" s="218" t="s">
        <v>198</v>
      </c>
      <c r="M89" s="165">
        <v>2</v>
      </c>
      <c r="N89" s="234">
        <v>892</v>
      </c>
      <c r="O89" s="104">
        <v>0</v>
      </c>
      <c r="P89" s="104">
        <v>892</v>
      </c>
      <c r="Q89" s="104">
        <v>142.72</v>
      </c>
      <c r="R89" s="104">
        <v>71.36</v>
      </c>
      <c r="S89" s="104"/>
    </row>
    <row r="90" spans="10:19" ht="15.75">
      <c r="J90" s="236"/>
      <c r="K90" s="226" t="s">
        <v>132</v>
      </c>
      <c r="L90" s="215"/>
      <c r="M90" s="165">
        <v>2</v>
      </c>
      <c r="N90" s="234">
        <v>892</v>
      </c>
      <c r="O90" s="104">
        <v>0</v>
      </c>
      <c r="P90" s="104">
        <v>892</v>
      </c>
      <c r="Q90" s="104">
        <v>142.72</v>
      </c>
      <c r="R90" s="104">
        <v>71.36</v>
      </c>
      <c r="S90" s="104"/>
    </row>
    <row r="91" spans="10:19" ht="15.75">
      <c r="J91" s="236"/>
      <c r="K91" s="227" t="s">
        <v>79</v>
      </c>
      <c r="L91" s="218" t="s">
        <v>198</v>
      </c>
      <c r="M91" s="165">
        <v>2</v>
      </c>
      <c r="N91" s="234">
        <v>892</v>
      </c>
      <c r="O91" s="104">
        <v>0</v>
      </c>
      <c r="P91" s="104">
        <v>892</v>
      </c>
      <c r="Q91" s="104">
        <v>142.72</v>
      </c>
      <c r="R91" s="104">
        <v>71.36</v>
      </c>
      <c r="S91" s="104"/>
    </row>
    <row r="92" spans="10:19" ht="15.75">
      <c r="J92" s="236"/>
      <c r="K92" s="221"/>
      <c r="L92" s="215"/>
      <c r="M92" s="165"/>
      <c r="N92" s="234"/>
      <c r="O92" s="104"/>
      <c r="P92" s="104"/>
      <c r="Q92" s="104"/>
      <c r="R92" s="104"/>
      <c r="S92" s="104"/>
    </row>
    <row r="93" spans="10:19" ht="15.75">
      <c r="J93" s="236"/>
      <c r="K93" s="221" t="s">
        <v>57</v>
      </c>
      <c r="L93" s="215"/>
      <c r="M93" s="165">
        <v>3</v>
      </c>
      <c r="N93" s="234">
        <v>1106</v>
      </c>
      <c r="O93" s="104">
        <v>520</v>
      </c>
      <c r="P93" s="104">
        <v>1626</v>
      </c>
      <c r="Q93" s="104">
        <v>2020.32</v>
      </c>
      <c r="R93" s="104">
        <v>1239.2239999999999</v>
      </c>
      <c r="S93" s="104"/>
    </row>
    <row r="94" spans="10:19" ht="15.75">
      <c r="J94" s="236"/>
      <c r="K94" s="226" t="s">
        <v>115</v>
      </c>
      <c r="L94" s="215"/>
      <c r="M94" s="165">
        <v>2</v>
      </c>
      <c r="N94" s="234">
        <v>700</v>
      </c>
      <c r="O94" s="104">
        <v>0</v>
      </c>
      <c r="P94" s="104">
        <v>700</v>
      </c>
      <c r="Q94" s="104">
        <v>875</v>
      </c>
      <c r="R94" s="104">
        <v>437.5</v>
      </c>
      <c r="S94" s="104"/>
    </row>
    <row r="95" spans="10:19" ht="15.75">
      <c r="J95" s="236"/>
      <c r="K95" s="227" t="s">
        <v>19</v>
      </c>
      <c r="L95" s="218" t="s">
        <v>198</v>
      </c>
      <c r="M95" s="165">
        <v>2</v>
      </c>
      <c r="N95" s="234">
        <v>700</v>
      </c>
      <c r="O95" s="104">
        <v>0</v>
      </c>
      <c r="P95" s="104">
        <v>700</v>
      </c>
      <c r="Q95" s="104">
        <v>875</v>
      </c>
      <c r="R95" s="104">
        <v>437.5</v>
      </c>
      <c r="S95" s="104"/>
    </row>
    <row r="96" spans="10:19" ht="15.75">
      <c r="J96" s="236"/>
      <c r="K96" s="226" t="s">
        <v>116</v>
      </c>
      <c r="L96" s="215"/>
      <c r="M96" s="165">
        <v>1</v>
      </c>
      <c r="N96" s="234">
        <v>406</v>
      </c>
      <c r="O96" s="104">
        <v>520</v>
      </c>
      <c r="P96" s="104">
        <v>926</v>
      </c>
      <c r="Q96" s="104">
        <v>1145.32</v>
      </c>
      <c r="R96" s="104">
        <v>801.72399999999993</v>
      </c>
      <c r="S96" s="104"/>
    </row>
    <row r="97" spans="10:19" ht="15.75">
      <c r="J97" s="236"/>
      <c r="K97" s="227" t="s">
        <v>38</v>
      </c>
      <c r="L97" s="218" t="s">
        <v>160</v>
      </c>
      <c r="M97" s="165">
        <v>1</v>
      </c>
      <c r="N97" s="234">
        <v>406</v>
      </c>
      <c r="O97" s="104">
        <v>0</v>
      </c>
      <c r="P97" s="104">
        <v>406</v>
      </c>
      <c r="Q97" s="104">
        <v>495.32</v>
      </c>
      <c r="R97" s="104">
        <v>346.72399999999999</v>
      </c>
      <c r="S97" s="104"/>
    </row>
    <row r="98" spans="10:19" ht="15.75">
      <c r="J98" s="236"/>
      <c r="K98" s="227" t="s">
        <v>16</v>
      </c>
      <c r="L98" s="218" t="s">
        <v>160</v>
      </c>
      <c r="M98" s="165"/>
      <c r="N98" s="234">
        <v>0</v>
      </c>
      <c r="O98" s="104">
        <v>520</v>
      </c>
      <c r="P98" s="104">
        <v>520</v>
      </c>
      <c r="Q98" s="104">
        <v>650</v>
      </c>
      <c r="R98" s="104">
        <v>454.99999999999994</v>
      </c>
      <c r="S98" s="104"/>
    </row>
    <row r="99" spans="10:19" ht="15.75">
      <c r="J99" s="236"/>
      <c r="K99" s="221"/>
      <c r="L99" s="215"/>
      <c r="M99" s="165"/>
      <c r="N99" s="234"/>
      <c r="O99" s="104"/>
      <c r="P99" s="104"/>
      <c r="Q99" s="104"/>
      <c r="R99" s="104"/>
      <c r="S99" s="104"/>
    </row>
    <row r="100" spans="10:19" ht="15.75">
      <c r="J100" s="236"/>
      <c r="K100" s="221" t="s">
        <v>65</v>
      </c>
      <c r="L100" s="215"/>
      <c r="M100" s="165">
        <v>22</v>
      </c>
      <c r="N100" s="234">
        <v>8042</v>
      </c>
      <c r="O100" s="104">
        <v>0</v>
      </c>
      <c r="P100" s="104">
        <v>8042</v>
      </c>
      <c r="Q100" s="104">
        <v>6206.72</v>
      </c>
      <c r="R100" s="104">
        <v>3103.36</v>
      </c>
      <c r="S100" s="104"/>
    </row>
    <row r="101" spans="10:19" ht="15.75">
      <c r="J101" s="236"/>
      <c r="K101" s="226" t="s">
        <v>133</v>
      </c>
      <c r="L101" s="215"/>
      <c r="M101" s="165">
        <v>2</v>
      </c>
      <c r="N101" s="234">
        <v>892</v>
      </c>
      <c r="O101" s="104">
        <v>0</v>
      </c>
      <c r="P101" s="104">
        <v>892</v>
      </c>
      <c r="Q101" s="104">
        <v>142.72</v>
      </c>
      <c r="R101" s="104">
        <v>71.36</v>
      </c>
      <c r="S101" s="104"/>
    </row>
    <row r="102" spans="10:19" ht="15.75">
      <c r="J102" s="236"/>
      <c r="K102" s="227" t="s">
        <v>79</v>
      </c>
      <c r="L102" s="218" t="s">
        <v>198</v>
      </c>
      <c r="M102" s="165">
        <v>2</v>
      </c>
      <c r="N102" s="234">
        <v>892</v>
      </c>
      <c r="O102" s="104">
        <v>0</v>
      </c>
      <c r="P102" s="104">
        <v>892</v>
      </c>
      <c r="Q102" s="104">
        <v>142.72</v>
      </c>
      <c r="R102" s="104">
        <v>71.36</v>
      </c>
      <c r="S102" s="104"/>
    </row>
    <row r="103" spans="10:19" ht="15.75">
      <c r="J103" s="236"/>
      <c r="K103" s="226" t="s">
        <v>134</v>
      </c>
      <c r="L103" s="215"/>
      <c r="M103" s="165">
        <v>20</v>
      </c>
      <c r="N103" s="234">
        <v>7150</v>
      </c>
      <c r="O103" s="104">
        <v>0</v>
      </c>
      <c r="P103" s="104">
        <v>7150</v>
      </c>
      <c r="Q103" s="104">
        <v>6064</v>
      </c>
      <c r="R103" s="104">
        <v>3032</v>
      </c>
      <c r="S103" s="104"/>
    </row>
    <row r="104" spans="10:19" ht="15.75">
      <c r="J104" s="236"/>
      <c r="K104" s="227" t="s">
        <v>79</v>
      </c>
      <c r="L104" s="218" t="s">
        <v>198</v>
      </c>
      <c r="M104" s="165">
        <v>20</v>
      </c>
      <c r="N104" s="234">
        <v>7150</v>
      </c>
      <c r="O104" s="104">
        <v>0</v>
      </c>
      <c r="P104" s="104">
        <v>7150</v>
      </c>
      <c r="Q104" s="104">
        <v>6064</v>
      </c>
      <c r="R104" s="104">
        <v>3032</v>
      </c>
      <c r="S104" s="104"/>
    </row>
    <row r="105" spans="10:19" ht="15.75">
      <c r="J105" s="236"/>
      <c r="K105" s="221"/>
      <c r="L105" s="215"/>
      <c r="M105" s="165"/>
      <c r="N105" s="234"/>
      <c r="O105" s="104"/>
      <c r="P105" s="104"/>
      <c r="Q105" s="104"/>
      <c r="R105" s="104"/>
      <c r="S105" s="104"/>
    </row>
    <row r="106" spans="10:19" ht="15.75">
      <c r="J106" s="236"/>
      <c r="K106" s="221" t="s">
        <v>55</v>
      </c>
      <c r="L106" s="215"/>
      <c r="M106" s="165">
        <v>10</v>
      </c>
      <c r="N106" s="234">
        <v>3612</v>
      </c>
      <c r="O106" s="104">
        <v>1040</v>
      </c>
      <c r="P106" s="104">
        <v>4652</v>
      </c>
      <c r="Q106" s="104">
        <v>5790.6399999999994</v>
      </c>
      <c r="R106" s="104">
        <v>3353.4479999999999</v>
      </c>
      <c r="S106" s="104"/>
    </row>
    <row r="107" spans="10:19" ht="15.75">
      <c r="J107" s="236"/>
      <c r="K107" s="226" t="s">
        <v>117</v>
      </c>
      <c r="L107" s="215"/>
      <c r="M107" s="165">
        <v>1</v>
      </c>
      <c r="N107" s="234">
        <v>406</v>
      </c>
      <c r="O107" s="104">
        <v>520</v>
      </c>
      <c r="P107" s="104">
        <v>926</v>
      </c>
      <c r="Q107" s="104">
        <v>1145.32</v>
      </c>
      <c r="R107" s="104">
        <v>801.72399999999993</v>
      </c>
      <c r="S107" s="104"/>
    </row>
    <row r="108" spans="10:19" ht="15.75">
      <c r="J108" s="236"/>
      <c r="K108" s="227" t="s">
        <v>38</v>
      </c>
      <c r="L108" s="218" t="s">
        <v>198</v>
      </c>
      <c r="M108" s="165">
        <v>1</v>
      </c>
      <c r="N108" s="234">
        <v>406</v>
      </c>
      <c r="O108" s="104">
        <v>0</v>
      </c>
      <c r="P108" s="104">
        <v>406</v>
      </c>
      <c r="Q108" s="104">
        <v>495.32</v>
      </c>
      <c r="R108" s="104">
        <v>346.72399999999999</v>
      </c>
      <c r="S108" s="104"/>
    </row>
    <row r="109" spans="10:19" ht="15.75">
      <c r="J109" s="236"/>
      <c r="K109" s="227" t="s">
        <v>16</v>
      </c>
      <c r="L109" s="218" t="s">
        <v>198</v>
      </c>
      <c r="M109" s="165"/>
      <c r="N109" s="234">
        <v>0</v>
      </c>
      <c r="O109" s="104">
        <v>520</v>
      </c>
      <c r="P109" s="104">
        <v>520</v>
      </c>
      <c r="Q109" s="104">
        <v>650</v>
      </c>
      <c r="R109" s="104">
        <v>454.99999999999994</v>
      </c>
      <c r="S109" s="104"/>
    </row>
    <row r="110" spans="10:19" ht="15.75">
      <c r="J110" s="236"/>
      <c r="K110" s="226" t="s">
        <v>118</v>
      </c>
      <c r="L110" s="215"/>
      <c r="M110" s="165">
        <v>1</v>
      </c>
      <c r="N110" s="234">
        <v>406</v>
      </c>
      <c r="O110" s="104">
        <v>520</v>
      </c>
      <c r="P110" s="104">
        <v>926</v>
      </c>
      <c r="Q110" s="104">
        <v>1145.32</v>
      </c>
      <c r="R110" s="104">
        <v>801.72399999999993</v>
      </c>
      <c r="S110" s="104"/>
    </row>
    <row r="111" spans="10:19" ht="15.75">
      <c r="J111" s="236"/>
      <c r="K111" s="227" t="s">
        <v>38</v>
      </c>
      <c r="L111" s="218" t="s">
        <v>198</v>
      </c>
      <c r="M111" s="165">
        <v>1</v>
      </c>
      <c r="N111" s="234">
        <v>406</v>
      </c>
      <c r="O111" s="104">
        <v>0</v>
      </c>
      <c r="P111" s="104">
        <v>406</v>
      </c>
      <c r="Q111" s="104">
        <v>495.32</v>
      </c>
      <c r="R111" s="104">
        <v>346.72399999999999</v>
      </c>
      <c r="S111" s="104"/>
    </row>
    <row r="112" spans="10:19" ht="15.75">
      <c r="J112" s="236"/>
      <c r="K112" s="227" t="s">
        <v>16</v>
      </c>
      <c r="L112" s="218" t="s">
        <v>198</v>
      </c>
      <c r="M112" s="165"/>
      <c r="N112" s="234">
        <v>0</v>
      </c>
      <c r="O112" s="104">
        <v>520</v>
      </c>
      <c r="P112" s="104">
        <v>520</v>
      </c>
      <c r="Q112" s="104">
        <v>650</v>
      </c>
      <c r="R112" s="104">
        <v>454.99999999999994</v>
      </c>
      <c r="S112" s="104"/>
    </row>
    <row r="113" spans="10:19" ht="15.75">
      <c r="J113" s="236"/>
      <c r="K113" s="226" t="s">
        <v>113</v>
      </c>
      <c r="L113" s="215"/>
      <c r="M113" s="165">
        <v>4</v>
      </c>
      <c r="N113" s="234">
        <v>1400</v>
      </c>
      <c r="O113" s="104">
        <v>0</v>
      </c>
      <c r="P113" s="104">
        <v>1400</v>
      </c>
      <c r="Q113" s="104">
        <v>1750</v>
      </c>
      <c r="R113" s="104">
        <v>875</v>
      </c>
      <c r="S113" s="104"/>
    </row>
    <row r="114" spans="10:19" ht="15.75">
      <c r="J114" s="236"/>
      <c r="K114" s="227" t="s">
        <v>19</v>
      </c>
      <c r="L114" s="218" t="s">
        <v>198</v>
      </c>
      <c r="M114" s="165">
        <v>4</v>
      </c>
      <c r="N114" s="234">
        <v>1400</v>
      </c>
      <c r="O114" s="104">
        <v>0</v>
      </c>
      <c r="P114" s="104">
        <v>1400</v>
      </c>
      <c r="Q114" s="104">
        <v>1750</v>
      </c>
      <c r="R114" s="104">
        <v>875</v>
      </c>
      <c r="S114" s="104"/>
    </row>
    <row r="115" spans="10:19" ht="15.75">
      <c r="J115" s="236"/>
      <c r="K115" s="226" t="s">
        <v>114</v>
      </c>
      <c r="L115" s="215"/>
      <c r="M115" s="165">
        <v>4</v>
      </c>
      <c r="N115" s="234">
        <v>1400</v>
      </c>
      <c r="O115" s="104">
        <v>0</v>
      </c>
      <c r="P115" s="104">
        <v>1400</v>
      </c>
      <c r="Q115" s="104">
        <v>1750</v>
      </c>
      <c r="R115" s="104">
        <v>875</v>
      </c>
      <c r="S115" s="104"/>
    </row>
    <row r="116" spans="10:19" ht="15.75">
      <c r="J116" s="236"/>
      <c r="K116" s="227" t="s">
        <v>20</v>
      </c>
      <c r="L116" s="218" t="s">
        <v>198</v>
      </c>
      <c r="M116" s="165">
        <v>4</v>
      </c>
      <c r="N116" s="234">
        <v>1400</v>
      </c>
      <c r="O116" s="104">
        <v>0</v>
      </c>
      <c r="P116" s="104">
        <v>1400</v>
      </c>
      <c r="Q116" s="104">
        <v>1750</v>
      </c>
      <c r="R116" s="104">
        <v>875</v>
      </c>
      <c r="S116" s="104"/>
    </row>
    <row r="117" spans="10:19" ht="15.75">
      <c r="J117" s="236"/>
      <c r="K117" s="221"/>
      <c r="L117" s="215"/>
      <c r="M117" s="165"/>
      <c r="N117" s="234"/>
      <c r="O117" s="104"/>
      <c r="P117" s="104"/>
      <c r="Q117" s="104"/>
      <c r="R117" s="104"/>
      <c r="S117" s="104"/>
    </row>
    <row r="118" spans="10:19" ht="15.75">
      <c r="J118" s="236"/>
      <c r="K118" s="221" t="s">
        <v>56</v>
      </c>
      <c r="L118" s="215"/>
      <c r="M118" s="165">
        <v>35</v>
      </c>
      <c r="N118" s="234">
        <v>13663</v>
      </c>
      <c r="O118" s="104">
        <v>11680</v>
      </c>
      <c r="P118" s="104">
        <v>25343</v>
      </c>
      <c r="Q118" s="104">
        <v>23336.120000000003</v>
      </c>
      <c r="R118" s="104">
        <v>14720.683999999999</v>
      </c>
      <c r="S118" s="104"/>
    </row>
    <row r="119" spans="10:19" ht="15.75">
      <c r="J119" s="236"/>
      <c r="K119" s="226" t="s">
        <v>119</v>
      </c>
      <c r="L119" s="215"/>
      <c r="M119" s="165">
        <v>5</v>
      </c>
      <c r="N119" s="234">
        <v>1622</v>
      </c>
      <c r="O119" s="104">
        <v>520</v>
      </c>
      <c r="P119" s="104">
        <v>2142</v>
      </c>
      <c r="Q119" s="104">
        <v>2628.84</v>
      </c>
      <c r="R119" s="104">
        <v>1840.1879999999999</v>
      </c>
      <c r="S119" s="104"/>
    </row>
    <row r="120" spans="10:19" ht="15.75">
      <c r="J120" s="236"/>
      <c r="K120" s="227" t="s">
        <v>38</v>
      </c>
      <c r="L120" s="218" t="s">
        <v>162</v>
      </c>
      <c r="M120" s="165">
        <v>5</v>
      </c>
      <c r="N120" s="234">
        <v>1622</v>
      </c>
      <c r="O120" s="104">
        <v>0</v>
      </c>
      <c r="P120" s="104">
        <v>1622</v>
      </c>
      <c r="Q120" s="104">
        <v>1978.84</v>
      </c>
      <c r="R120" s="104">
        <v>1385.1879999999999</v>
      </c>
      <c r="S120" s="104"/>
    </row>
    <row r="121" spans="10:19" ht="15.75">
      <c r="J121" s="236"/>
      <c r="K121" s="227" t="s">
        <v>16</v>
      </c>
      <c r="L121" s="218" t="s">
        <v>161</v>
      </c>
      <c r="M121" s="165"/>
      <c r="N121" s="234">
        <v>0</v>
      </c>
      <c r="O121" s="104">
        <v>520</v>
      </c>
      <c r="P121" s="104">
        <v>520</v>
      </c>
      <c r="Q121" s="104">
        <v>650</v>
      </c>
      <c r="R121" s="104">
        <v>454.99999999999994</v>
      </c>
      <c r="S121" s="104"/>
    </row>
    <row r="122" spans="10:19" ht="15.75">
      <c r="J122" s="236"/>
      <c r="K122" s="226" t="s">
        <v>120</v>
      </c>
      <c r="L122" s="215"/>
      <c r="M122" s="165">
        <v>26</v>
      </c>
      <c r="N122" s="234">
        <v>10647</v>
      </c>
      <c r="O122" s="104">
        <v>9970</v>
      </c>
      <c r="P122" s="104">
        <v>20617</v>
      </c>
      <c r="Q122" s="104">
        <v>17534.2</v>
      </c>
      <c r="R122" s="104">
        <v>10786.54</v>
      </c>
      <c r="S122" s="104"/>
    </row>
    <row r="123" spans="10:19" ht="15.75">
      <c r="J123" s="236"/>
      <c r="K123" s="227" t="s">
        <v>38</v>
      </c>
      <c r="L123" s="218" t="s">
        <v>198</v>
      </c>
      <c r="M123" s="165">
        <v>2</v>
      </c>
      <c r="N123" s="234">
        <v>710</v>
      </c>
      <c r="O123" s="104">
        <v>300</v>
      </c>
      <c r="P123" s="104">
        <v>1010</v>
      </c>
      <c r="Q123" s="104">
        <v>1232.2</v>
      </c>
      <c r="R123" s="104">
        <v>862.54</v>
      </c>
      <c r="S123" s="104"/>
    </row>
    <row r="124" spans="10:19" ht="15.75">
      <c r="J124" s="236"/>
      <c r="K124" s="227" t="s">
        <v>15</v>
      </c>
      <c r="L124" s="218" t="s">
        <v>247</v>
      </c>
      <c r="M124" s="165">
        <v>6</v>
      </c>
      <c r="N124" s="234">
        <v>2890</v>
      </c>
      <c r="O124" s="104">
        <v>900</v>
      </c>
      <c r="P124" s="104">
        <v>3790</v>
      </c>
      <c r="Q124" s="104">
        <v>2401.5</v>
      </c>
      <c r="R124" s="104">
        <v>1200.75</v>
      </c>
      <c r="S124" s="104"/>
    </row>
    <row r="125" spans="10:19" ht="15.75">
      <c r="J125" s="236"/>
      <c r="K125" s="227" t="s">
        <v>135</v>
      </c>
      <c r="L125" s="218" t="s">
        <v>198</v>
      </c>
      <c r="M125" s="165">
        <v>1</v>
      </c>
      <c r="N125" s="234">
        <v>422</v>
      </c>
      <c r="O125" s="104">
        <v>150</v>
      </c>
      <c r="P125" s="104">
        <v>572</v>
      </c>
      <c r="Q125" s="104">
        <v>715</v>
      </c>
      <c r="R125" s="104">
        <v>500.49999999999994</v>
      </c>
      <c r="S125" s="104"/>
    </row>
    <row r="126" spans="10:19" ht="15.75">
      <c r="J126" s="236"/>
      <c r="K126" s="227" t="s">
        <v>16</v>
      </c>
      <c r="L126" s="218" t="s">
        <v>198</v>
      </c>
      <c r="M126" s="165"/>
      <c r="N126" s="234">
        <v>0</v>
      </c>
      <c r="O126" s="104">
        <v>6520</v>
      </c>
      <c r="P126" s="104">
        <v>6520</v>
      </c>
      <c r="Q126" s="104">
        <v>8150</v>
      </c>
      <c r="R126" s="104">
        <v>5705</v>
      </c>
      <c r="S126" s="104"/>
    </row>
    <row r="127" spans="10:19" ht="15.75">
      <c r="J127" s="236"/>
      <c r="K127" s="227" t="s">
        <v>17</v>
      </c>
      <c r="L127" s="218" t="s">
        <v>223</v>
      </c>
      <c r="M127" s="165">
        <v>15</v>
      </c>
      <c r="N127" s="234">
        <v>5925</v>
      </c>
      <c r="O127" s="104">
        <v>1800</v>
      </c>
      <c r="P127" s="104">
        <v>7725</v>
      </c>
      <c r="Q127" s="104">
        <v>3785.4999999999995</v>
      </c>
      <c r="R127" s="104">
        <v>1892.7499999999998</v>
      </c>
      <c r="S127" s="104"/>
    </row>
    <row r="128" spans="10:19" ht="15.75">
      <c r="J128" s="236"/>
      <c r="K128" s="227" t="s">
        <v>19</v>
      </c>
      <c r="L128" s="218" t="s">
        <v>252</v>
      </c>
      <c r="M128" s="165">
        <v>1</v>
      </c>
      <c r="N128" s="234">
        <v>350</v>
      </c>
      <c r="O128" s="104">
        <v>150</v>
      </c>
      <c r="P128" s="104">
        <v>500</v>
      </c>
      <c r="Q128" s="104">
        <v>625</v>
      </c>
      <c r="R128" s="104">
        <v>312.5</v>
      </c>
      <c r="S128" s="104"/>
    </row>
    <row r="129" spans="10:19" ht="15.75">
      <c r="J129" s="236"/>
      <c r="K129" s="227" t="s">
        <v>20</v>
      </c>
      <c r="L129" s="218" t="s">
        <v>252</v>
      </c>
      <c r="M129" s="165">
        <v>1</v>
      </c>
      <c r="N129" s="234">
        <v>350</v>
      </c>
      <c r="O129" s="104">
        <v>150</v>
      </c>
      <c r="P129" s="104">
        <v>500</v>
      </c>
      <c r="Q129" s="104">
        <v>625</v>
      </c>
      <c r="R129" s="104">
        <v>312.5</v>
      </c>
      <c r="S129" s="104"/>
    </row>
    <row r="130" spans="10:19" ht="15.75">
      <c r="J130" s="236"/>
      <c r="K130" s="226" t="s">
        <v>121</v>
      </c>
      <c r="L130" s="215"/>
      <c r="M130" s="165">
        <v>4</v>
      </c>
      <c r="N130" s="234">
        <v>1394</v>
      </c>
      <c r="O130" s="104">
        <v>1190</v>
      </c>
      <c r="P130" s="104">
        <v>2584</v>
      </c>
      <c r="Q130" s="104">
        <v>3173.08</v>
      </c>
      <c r="R130" s="104">
        <v>2093.9559999999997</v>
      </c>
      <c r="S130" s="104"/>
    </row>
    <row r="131" spans="10:19" ht="15.75">
      <c r="J131" s="236"/>
      <c r="K131" s="227" t="s">
        <v>38</v>
      </c>
      <c r="L131" s="218" t="s">
        <v>198</v>
      </c>
      <c r="M131" s="165">
        <v>3</v>
      </c>
      <c r="N131" s="234">
        <v>1014</v>
      </c>
      <c r="O131" s="104">
        <v>0</v>
      </c>
      <c r="P131" s="104">
        <v>1014</v>
      </c>
      <c r="Q131" s="104">
        <v>1237.08</v>
      </c>
      <c r="R131" s="104">
        <v>865.9559999999999</v>
      </c>
      <c r="S131" s="104"/>
    </row>
    <row r="132" spans="10:19" ht="15.75">
      <c r="J132" s="236"/>
      <c r="K132" s="227" t="s">
        <v>16</v>
      </c>
      <c r="L132" s="218" t="s">
        <v>158</v>
      </c>
      <c r="M132" s="165"/>
      <c r="N132" s="234">
        <v>0</v>
      </c>
      <c r="O132" s="104">
        <v>1040</v>
      </c>
      <c r="P132" s="104">
        <v>1040</v>
      </c>
      <c r="Q132" s="104">
        <v>1300</v>
      </c>
      <c r="R132" s="104">
        <v>909.99999999999989</v>
      </c>
      <c r="S132" s="104"/>
    </row>
    <row r="133" spans="10:19" ht="15.75">
      <c r="J133" s="236"/>
      <c r="K133" s="227" t="s">
        <v>22</v>
      </c>
      <c r="L133" s="218" t="s">
        <v>198</v>
      </c>
      <c r="M133" s="165">
        <v>1</v>
      </c>
      <c r="N133" s="234">
        <v>380</v>
      </c>
      <c r="O133" s="104">
        <v>150</v>
      </c>
      <c r="P133" s="104">
        <v>530</v>
      </c>
      <c r="Q133" s="104">
        <v>636</v>
      </c>
      <c r="R133" s="104">
        <v>318</v>
      </c>
      <c r="S133" s="104"/>
    </row>
    <row r="134" spans="10:19" ht="15.75">
      <c r="J134" s="236"/>
      <c r="K134" s="221"/>
      <c r="L134" s="215"/>
      <c r="M134" s="165"/>
      <c r="N134" s="234"/>
      <c r="O134" s="104"/>
      <c r="P134" s="104"/>
      <c r="Q134" s="104"/>
      <c r="R134" s="104"/>
      <c r="S134" s="104"/>
    </row>
    <row r="135" spans="10:19" ht="15.75">
      <c r="J135" s="235" t="s">
        <v>32</v>
      </c>
      <c r="K135" s="218" t="s">
        <v>25</v>
      </c>
      <c r="L135" s="215"/>
      <c r="M135" s="165">
        <v>355</v>
      </c>
      <c r="N135" s="234">
        <v>140317</v>
      </c>
      <c r="O135" s="104">
        <v>9460</v>
      </c>
      <c r="P135" s="104">
        <v>149777</v>
      </c>
      <c r="Q135" s="104">
        <v>60992.759999999995</v>
      </c>
      <c r="R135" s="104">
        <v>32757.109999999993</v>
      </c>
      <c r="S135" s="104"/>
    </row>
    <row r="136" spans="10:19" ht="15.75">
      <c r="J136" s="236"/>
      <c r="K136" s="221" t="s">
        <v>60</v>
      </c>
      <c r="L136" s="215"/>
      <c r="M136" s="165">
        <v>79</v>
      </c>
      <c r="N136" s="234">
        <v>36722</v>
      </c>
      <c r="O136" s="104">
        <v>4000</v>
      </c>
      <c r="P136" s="104">
        <v>40722</v>
      </c>
      <c r="Q136" s="104">
        <v>17674.29</v>
      </c>
      <c r="R136" s="104">
        <v>10083.555</v>
      </c>
      <c r="S136" s="104"/>
    </row>
    <row r="137" spans="10:19" ht="15.75">
      <c r="J137" s="236"/>
      <c r="K137" s="226" t="s">
        <v>123</v>
      </c>
      <c r="L137" s="215"/>
      <c r="M137" s="165">
        <v>18.5</v>
      </c>
      <c r="N137" s="234">
        <v>8159</v>
      </c>
      <c r="O137" s="104">
        <v>2020</v>
      </c>
      <c r="P137" s="104">
        <v>10179</v>
      </c>
      <c r="Q137" s="104">
        <v>6369.8899999999994</v>
      </c>
      <c r="R137" s="104">
        <v>3720.259</v>
      </c>
      <c r="S137" s="104"/>
    </row>
    <row r="138" spans="10:19" ht="15.75">
      <c r="J138" s="236"/>
      <c r="K138" s="227" t="s">
        <v>18</v>
      </c>
      <c r="L138" s="218">
        <v>0</v>
      </c>
      <c r="M138" s="165">
        <v>2.5</v>
      </c>
      <c r="N138" s="234">
        <v>1225</v>
      </c>
      <c r="O138" s="104">
        <v>0</v>
      </c>
      <c r="P138" s="104">
        <v>1225</v>
      </c>
      <c r="Q138" s="104">
        <v>1531.25</v>
      </c>
      <c r="R138" s="104">
        <v>1071.875</v>
      </c>
      <c r="S138" s="104"/>
    </row>
    <row r="139" spans="10:19" ht="15.75">
      <c r="J139" s="236"/>
      <c r="K139" s="227" t="s">
        <v>38</v>
      </c>
      <c r="L139" s="218" t="s">
        <v>198</v>
      </c>
      <c r="M139" s="165">
        <v>1</v>
      </c>
      <c r="N139" s="234">
        <v>406</v>
      </c>
      <c r="O139" s="104">
        <v>0</v>
      </c>
      <c r="P139" s="104">
        <v>406</v>
      </c>
      <c r="Q139" s="104">
        <v>495.32</v>
      </c>
      <c r="R139" s="104">
        <v>346.72399999999999</v>
      </c>
      <c r="S139" s="104"/>
    </row>
    <row r="140" spans="10:19" ht="15.75">
      <c r="J140" s="236"/>
      <c r="K140" s="227" t="s">
        <v>15</v>
      </c>
      <c r="L140" s="218" t="s">
        <v>204</v>
      </c>
      <c r="M140" s="165">
        <v>4</v>
      </c>
      <c r="N140" s="234">
        <v>2336</v>
      </c>
      <c r="O140" s="104">
        <v>0</v>
      </c>
      <c r="P140" s="104">
        <v>2336</v>
      </c>
      <c r="Q140" s="104">
        <v>584</v>
      </c>
      <c r="R140" s="104">
        <v>292</v>
      </c>
      <c r="S140" s="104"/>
    </row>
    <row r="141" spans="10:19" ht="15.75">
      <c r="J141" s="236"/>
      <c r="K141" s="227" t="s">
        <v>79</v>
      </c>
      <c r="L141" s="218" t="s">
        <v>204</v>
      </c>
      <c r="M141" s="165">
        <v>4</v>
      </c>
      <c r="N141" s="234">
        <v>1442</v>
      </c>
      <c r="O141" s="104">
        <v>600</v>
      </c>
      <c r="P141" s="104">
        <v>2042</v>
      </c>
      <c r="Q141" s="104">
        <v>926.72</v>
      </c>
      <c r="R141" s="104">
        <v>463.36</v>
      </c>
      <c r="S141" s="104"/>
    </row>
    <row r="142" spans="10:19" ht="15.75">
      <c r="J142" s="236"/>
      <c r="K142" s="227" t="s">
        <v>16</v>
      </c>
      <c r="L142" s="218" t="s">
        <v>198</v>
      </c>
      <c r="M142" s="165"/>
      <c r="N142" s="234">
        <v>0</v>
      </c>
      <c r="O142" s="104">
        <v>520</v>
      </c>
      <c r="P142" s="104">
        <v>520</v>
      </c>
      <c r="Q142" s="104">
        <v>650</v>
      </c>
      <c r="R142" s="104">
        <v>454.99999999999994</v>
      </c>
      <c r="S142" s="104"/>
    </row>
    <row r="143" spans="10:19" ht="15.75">
      <c r="J143" s="236"/>
      <c r="K143" s="227" t="s">
        <v>17</v>
      </c>
      <c r="L143" s="218" t="s">
        <v>204</v>
      </c>
      <c r="M143" s="165">
        <v>6</v>
      </c>
      <c r="N143" s="234">
        <v>2370</v>
      </c>
      <c r="O143" s="104">
        <v>900</v>
      </c>
      <c r="P143" s="104">
        <v>3270</v>
      </c>
      <c r="Q143" s="104">
        <v>1726.6</v>
      </c>
      <c r="R143" s="104">
        <v>863.3</v>
      </c>
      <c r="S143" s="104"/>
    </row>
    <row r="144" spans="10:19" ht="15.75">
      <c r="J144" s="236"/>
      <c r="K144" s="227" t="s">
        <v>22</v>
      </c>
      <c r="L144" s="218" t="s">
        <v>204</v>
      </c>
      <c r="M144" s="165">
        <v>1</v>
      </c>
      <c r="N144" s="234">
        <v>380</v>
      </c>
      <c r="O144" s="104">
        <v>0</v>
      </c>
      <c r="P144" s="104">
        <v>380</v>
      </c>
      <c r="Q144" s="104">
        <v>456</v>
      </c>
      <c r="R144" s="104">
        <v>228</v>
      </c>
      <c r="S144" s="104"/>
    </row>
    <row r="145" spans="10:19" ht="15.75">
      <c r="J145" s="236"/>
      <c r="K145" s="226" t="s">
        <v>124</v>
      </c>
      <c r="L145" s="215"/>
      <c r="M145" s="165">
        <v>15</v>
      </c>
      <c r="N145" s="234">
        <v>6515</v>
      </c>
      <c r="O145" s="104">
        <v>1720</v>
      </c>
      <c r="P145" s="104">
        <v>8235</v>
      </c>
      <c r="Q145" s="104">
        <v>5920.7800000000007</v>
      </c>
      <c r="R145" s="104">
        <v>3556.9539999999997</v>
      </c>
      <c r="S145" s="104"/>
    </row>
    <row r="146" spans="10:19" ht="15.75">
      <c r="J146" s="236"/>
      <c r="K146" s="227" t="s">
        <v>18</v>
      </c>
      <c r="L146" s="218">
        <v>0</v>
      </c>
      <c r="M146" s="165">
        <v>3</v>
      </c>
      <c r="N146" s="234">
        <v>1470</v>
      </c>
      <c r="O146" s="104">
        <v>0</v>
      </c>
      <c r="P146" s="104">
        <v>1470</v>
      </c>
      <c r="Q146" s="104">
        <v>1837.5</v>
      </c>
      <c r="R146" s="104">
        <v>1286.25</v>
      </c>
      <c r="S146" s="104"/>
    </row>
    <row r="147" spans="10:19" ht="15.75">
      <c r="J147" s="236"/>
      <c r="K147" s="227" t="s">
        <v>38</v>
      </c>
      <c r="L147" s="218" t="s">
        <v>198</v>
      </c>
      <c r="M147" s="165">
        <v>1</v>
      </c>
      <c r="N147" s="234">
        <v>406</v>
      </c>
      <c r="O147" s="104">
        <v>0</v>
      </c>
      <c r="P147" s="104">
        <v>406</v>
      </c>
      <c r="Q147" s="104">
        <v>495.32</v>
      </c>
      <c r="R147" s="104">
        <v>346.72399999999999</v>
      </c>
      <c r="S147" s="104"/>
    </row>
    <row r="148" spans="10:19" ht="15.75">
      <c r="J148" s="236"/>
      <c r="K148" s="227" t="s">
        <v>15</v>
      </c>
      <c r="L148" s="218" t="s">
        <v>206</v>
      </c>
      <c r="M148" s="165">
        <v>2</v>
      </c>
      <c r="N148" s="234">
        <v>1168</v>
      </c>
      <c r="O148" s="104">
        <v>0</v>
      </c>
      <c r="P148" s="104">
        <v>1168</v>
      </c>
      <c r="Q148" s="104">
        <v>292</v>
      </c>
      <c r="R148" s="104">
        <v>146</v>
      </c>
      <c r="S148" s="104"/>
    </row>
    <row r="149" spans="10:19" ht="15.75">
      <c r="J149" s="236"/>
      <c r="K149" s="227" t="s">
        <v>79</v>
      </c>
      <c r="L149" s="218" t="s">
        <v>206</v>
      </c>
      <c r="M149" s="165">
        <v>2</v>
      </c>
      <c r="N149" s="234">
        <v>721</v>
      </c>
      <c r="O149" s="104">
        <v>300</v>
      </c>
      <c r="P149" s="104">
        <v>1021</v>
      </c>
      <c r="Q149" s="104">
        <v>463.36</v>
      </c>
      <c r="R149" s="104">
        <v>231.68</v>
      </c>
      <c r="S149" s="104"/>
    </row>
    <row r="150" spans="10:19" ht="15.75">
      <c r="J150" s="236"/>
      <c r="K150" s="227" t="s">
        <v>16</v>
      </c>
      <c r="L150" s="218" t="s">
        <v>198</v>
      </c>
      <c r="M150" s="165"/>
      <c r="N150" s="234">
        <v>0</v>
      </c>
      <c r="O150" s="104">
        <v>520</v>
      </c>
      <c r="P150" s="104">
        <v>520</v>
      </c>
      <c r="Q150" s="104">
        <v>650</v>
      </c>
      <c r="R150" s="104">
        <v>454.99999999999994</v>
      </c>
      <c r="S150" s="104"/>
    </row>
    <row r="151" spans="10:19" ht="15.75">
      <c r="J151" s="236"/>
      <c r="K151" s="227" t="s">
        <v>17</v>
      </c>
      <c r="L151" s="218" t="s">
        <v>206</v>
      </c>
      <c r="M151" s="165">
        <v>6</v>
      </c>
      <c r="N151" s="234">
        <v>2370</v>
      </c>
      <c r="O151" s="104">
        <v>900</v>
      </c>
      <c r="P151" s="104">
        <v>3270</v>
      </c>
      <c r="Q151" s="104">
        <v>1726.6</v>
      </c>
      <c r="R151" s="104">
        <v>863.3</v>
      </c>
      <c r="S151" s="104"/>
    </row>
    <row r="152" spans="10:19" ht="15.75">
      <c r="J152" s="236"/>
      <c r="K152" s="227" t="s">
        <v>22</v>
      </c>
      <c r="L152" s="218" t="s">
        <v>204</v>
      </c>
      <c r="M152" s="165">
        <v>1</v>
      </c>
      <c r="N152" s="234">
        <v>380</v>
      </c>
      <c r="O152" s="104">
        <v>0</v>
      </c>
      <c r="P152" s="104">
        <v>380</v>
      </c>
      <c r="Q152" s="104">
        <v>456</v>
      </c>
      <c r="R152" s="104">
        <v>228</v>
      </c>
      <c r="S152" s="104"/>
    </row>
    <row r="153" spans="10:19" ht="15.75">
      <c r="J153" s="236"/>
      <c r="K153" s="226" t="s">
        <v>125</v>
      </c>
      <c r="L153" s="215"/>
      <c r="M153" s="165">
        <v>45.5</v>
      </c>
      <c r="N153" s="234">
        <v>22048</v>
      </c>
      <c r="O153" s="104">
        <v>260</v>
      </c>
      <c r="P153" s="104">
        <v>22308</v>
      </c>
      <c r="Q153" s="104">
        <v>5383.6200000000008</v>
      </c>
      <c r="R153" s="104">
        <v>2806.3420000000006</v>
      </c>
      <c r="S153" s="104"/>
    </row>
    <row r="154" spans="10:19" ht="15.75">
      <c r="J154" s="236"/>
      <c r="K154" s="227" t="s">
        <v>38</v>
      </c>
      <c r="L154" s="218" t="s">
        <v>158</v>
      </c>
      <c r="M154" s="165">
        <v>0.5</v>
      </c>
      <c r="N154" s="234">
        <v>203</v>
      </c>
      <c r="O154" s="104">
        <v>0</v>
      </c>
      <c r="P154" s="104">
        <v>203</v>
      </c>
      <c r="Q154" s="104">
        <v>247.66</v>
      </c>
      <c r="R154" s="104">
        <v>173.36199999999999</v>
      </c>
      <c r="S154" s="104"/>
    </row>
    <row r="155" spans="10:19" ht="15.75">
      <c r="J155" s="236"/>
      <c r="K155" s="227" t="s">
        <v>15</v>
      </c>
      <c r="L155" s="218">
        <v>0</v>
      </c>
      <c r="M155" s="165">
        <v>17</v>
      </c>
      <c r="N155" s="234">
        <v>7224</v>
      </c>
      <c r="O155" s="104">
        <v>0</v>
      </c>
      <c r="P155" s="104">
        <v>7224</v>
      </c>
      <c r="Q155" s="104">
        <v>1806</v>
      </c>
      <c r="R155" s="104">
        <v>903</v>
      </c>
      <c r="S155" s="104"/>
    </row>
    <row r="156" spans="10:19" ht="15.75">
      <c r="J156" s="236"/>
      <c r="K156" s="227" t="s">
        <v>79</v>
      </c>
      <c r="L156" s="218" t="s">
        <v>158</v>
      </c>
      <c r="M156" s="165">
        <v>2</v>
      </c>
      <c r="N156" s="234">
        <v>721</v>
      </c>
      <c r="O156" s="104">
        <v>0</v>
      </c>
      <c r="P156" s="104">
        <v>721</v>
      </c>
      <c r="Q156" s="104">
        <v>115.36</v>
      </c>
      <c r="R156" s="104">
        <v>57.68</v>
      </c>
      <c r="S156" s="104"/>
    </row>
    <row r="157" spans="10:19" ht="15.75">
      <c r="J157" s="236"/>
      <c r="K157" s="227" t="s">
        <v>16</v>
      </c>
      <c r="L157" s="218" t="s">
        <v>158</v>
      </c>
      <c r="M157" s="165"/>
      <c r="N157" s="234">
        <v>0</v>
      </c>
      <c r="O157" s="104">
        <v>260</v>
      </c>
      <c r="P157" s="104">
        <v>260</v>
      </c>
      <c r="Q157" s="104">
        <v>325</v>
      </c>
      <c r="R157" s="104">
        <v>227.49999999999997</v>
      </c>
      <c r="S157" s="104"/>
    </row>
    <row r="158" spans="10:19" ht="15.75">
      <c r="J158" s="236"/>
      <c r="K158" s="227" t="s">
        <v>17</v>
      </c>
      <c r="L158" s="218">
        <v>0</v>
      </c>
      <c r="M158" s="165">
        <v>25</v>
      </c>
      <c r="N158" s="234">
        <v>13520</v>
      </c>
      <c r="O158" s="104">
        <v>0</v>
      </c>
      <c r="P158" s="104">
        <v>13520</v>
      </c>
      <c r="Q158" s="104">
        <v>2433.6000000000004</v>
      </c>
      <c r="R158" s="104">
        <v>1216.8000000000002</v>
      </c>
      <c r="S158" s="104"/>
    </row>
    <row r="159" spans="10:19" ht="15.75">
      <c r="J159" s="236"/>
      <c r="K159" s="227" t="s">
        <v>22</v>
      </c>
      <c r="L159" s="218" t="s">
        <v>206</v>
      </c>
      <c r="M159" s="165">
        <v>1</v>
      </c>
      <c r="N159" s="234">
        <v>380</v>
      </c>
      <c r="O159" s="104">
        <v>0</v>
      </c>
      <c r="P159" s="104">
        <v>380</v>
      </c>
      <c r="Q159" s="104">
        <v>456</v>
      </c>
      <c r="R159" s="104">
        <v>228</v>
      </c>
      <c r="S159" s="104"/>
    </row>
    <row r="160" spans="10:19" ht="15.75">
      <c r="J160" s="236"/>
      <c r="K160" s="221"/>
      <c r="L160" s="215"/>
      <c r="M160" s="165"/>
      <c r="N160" s="234"/>
      <c r="O160" s="104"/>
      <c r="P160" s="104"/>
      <c r="Q160" s="104"/>
      <c r="R160" s="104"/>
      <c r="S160" s="104"/>
    </row>
    <row r="161" spans="10:19" ht="15.75">
      <c r="J161" s="236"/>
      <c r="K161" s="221" t="s">
        <v>61</v>
      </c>
      <c r="L161" s="215"/>
      <c r="M161" s="165">
        <v>186</v>
      </c>
      <c r="N161" s="234">
        <v>81431</v>
      </c>
      <c r="O161" s="104">
        <v>4420</v>
      </c>
      <c r="P161" s="104">
        <v>85851</v>
      </c>
      <c r="Q161" s="104">
        <v>33702.19</v>
      </c>
      <c r="R161" s="104">
        <v>17080.159000000003</v>
      </c>
      <c r="S161" s="104"/>
    </row>
    <row r="162" spans="10:19" ht="15.75">
      <c r="J162" s="236"/>
      <c r="K162" s="226" t="s">
        <v>207</v>
      </c>
      <c r="L162" s="215"/>
      <c r="M162" s="165">
        <v>1</v>
      </c>
      <c r="N162" s="234">
        <v>380</v>
      </c>
      <c r="O162" s="104">
        <v>0</v>
      </c>
      <c r="P162" s="104">
        <v>380</v>
      </c>
      <c r="Q162" s="104">
        <v>456</v>
      </c>
      <c r="R162" s="104">
        <v>228</v>
      </c>
      <c r="S162" s="104"/>
    </row>
    <row r="163" spans="10:19" ht="15.75">
      <c r="J163" s="236"/>
      <c r="K163" s="227" t="s">
        <v>22</v>
      </c>
      <c r="L163" s="218" t="s">
        <v>208</v>
      </c>
      <c r="M163" s="165">
        <v>1</v>
      </c>
      <c r="N163" s="234">
        <v>380</v>
      </c>
      <c r="O163" s="104">
        <v>0</v>
      </c>
      <c r="P163" s="104">
        <v>380</v>
      </c>
      <c r="Q163" s="104">
        <v>456</v>
      </c>
      <c r="R163" s="104">
        <v>228</v>
      </c>
      <c r="S163" s="104"/>
    </row>
    <row r="164" spans="10:19" ht="15.75">
      <c r="J164" s="236"/>
      <c r="K164" s="226" t="s">
        <v>139</v>
      </c>
      <c r="L164" s="215"/>
      <c r="M164" s="165">
        <v>37</v>
      </c>
      <c r="N164" s="234">
        <v>15974</v>
      </c>
      <c r="O164" s="104">
        <v>3000</v>
      </c>
      <c r="P164" s="104">
        <v>18974</v>
      </c>
      <c r="Q164" s="104">
        <v>8083.12</v>
      </c>
      <c r="R164" s="104">
        <v>4041.56</v>
      </c>
      <c r="S164" s="104"/>
    </row>
    <row r="165" spans="10:19" ht="15.75">
      <c r="J165" s="236"/>
      <c r="K165" s="227" t="s">
        <v>15</v>
      </c>
      <c r="L165" s="218" t="s">
        <v>248</v>
      </c>
      <c r="M165" s="165">
        <v>8</v>
      </c>
      <c r="N165" s="234">
        <v>4672</v>
      </c>
      <c r="O165" s="104">
        <v>600</v>
      </c>
      <c r="P165" s="104">
        <v>5272</v>
      </c>
      <c r="Q165" s="104">
        <v>1918</v>
      </c>
      <c r="R165" s="104">
        <v>959</v>
      </c>
      <c r="S165" s="104"/>
    </row>
    <row r="166" spans="10:19" ht="15.75">
      <c r="J166" s="236"/>
      <c r="K166" s="227" t="s">
        <v>79</v>
      </c>
      <c r="L166" s="218" t="s">
        <v>195</v>
      </c>
      <c r="M166" s="165">
        <v>4</v>
      </c>
      <c r="N166" s="234">
        <v>1442</v>
      </c>
      <c r="O166" s="104">
        <v>600</v>
      </c>
      <c r="P166" s="104">
        <v>2042</v>
      </c>
      <c r="Q166" s="104">
        <v>926.72</v>
      </c>
      <c r="R166" s="104">
        <v>463.36</v>
      </c>
      <c r="S166" s="104"/>
    </row>
    <row r="167" spans="10:19" ht="15.75">
      <c r="J167" s="236"/>
      <c r="K167" s="227" t="s">
        <v>17</v>
      </c>
      <c r="L167" s="218" t="s">
        <v>224</v>
      </c>
      <c r="M167" s="165">
        <v>24</v>
      </c>
      <c r="N167" s="234">
        <v>9480</v>
      </c>
      <c r="O167" s="104">
        <v>1800</v>
      </c>
      <c r="P167" s="104">
        <v>11280</v>
      </c>
      <c r="Q167" s="104">
        <v>4782.3999999999996</v>
      </c>
      <c r="R167" s="104">
        <v>2391.1999999999998</v>
      </c>
      <c r="S167" s="104"/>
    </row>
    <row r="168" spans="10:19" ht="15.75">
      <c r="J168" s="236"/>
      <c r="K168" s="227" t="s">
        <v>22</v>
      </c>
      <c r="L168" s="218" t="s">
        <v>206</v>
      </c>
      <c r="M168" s="165">
        <v>1</v>
      </c>
      <c r="N168" s="234">
        <v>380</v>
      </c>
      <c r="O168" s="104">
        <v>0</v>
      </c>
      <c r="P168" s="104">
        <v>380</v>
      </c>
      <c r="Q168" s="104">
        <v>456</v>
      </c>
      <c r="R168" s="104">
        <v>228</v>
      </c>
      <c r="S168" s="104"/>
    </row>
    <row r="169" spans="10:19" ht="15.75">
      <c r="J169" s="236"/>
      <c r="K169" s="226" t="s">
        <v>140</v>
      </c>
      <c r="L169" s="215"/>
      <c r="M169" s="165">
        <v>49</v>
      </c>
      <c r="N169" s="234">
        <v>22565</v>
      </c>
      <c r="O169" s="104">
        <v>0</v>
      </c>
      <c r="P169" s="104">
        <v>22565</v>
      </c>
      <c r="Q169" s="104">
        <v>7014.2100000000009</v>
      </c>
      <c r="R169" s="104">
        <v>3507.1050000000005</v>
      </c>
      <c r="S169" s="104"/>
    </row>
    <row r="170" spans="10:19" ht="15.75">
      <c r="J170" s="236"/>
      <c r="K170" s="227" t="s">
        <v>15</v>
      </c>
      <c r="L170" s="218" t="s">
        <v>210</v>
      </c>
      <c r="M170" s="165">
        <v>12</v>
      </c>
      <c r="N170" s="234">
        <v>4849</v>
      </c>
      <c r="O170" s="104">
        <v>0</v>
      </c>
      <c r="P170" s="104">
        <v>4849</v>
      </c>
      <c r="Q170" s="104">
        <v>2597.25</v>
      </c>
      <c r="R170" s="104">
        <v>1298.625</v>
      </c>
      <c r="S170" s="104"/>
    </row>
    <row r="171" spans="10:19" ht="15.75">
      <c r="J171" s="236"/>
      <c r="K171" s="227" t="s">
        <v>79</v>
      </c>
      <c r="L171" s="218" t="s">
        <v>198</v>
      </c>
      <c r="M171" s="165">
        <v>12</v>
      </c>
      <c r="N171" s="234">
        <v>4196</v>
      </c>
      <c r="O171" s="104">
        <v>0</v>
      </c>
      <c r="P171" s="104">
        <v>4196</v>
      </c>
      <c r="Q171" s="104">
        <v>1983.3600000000001</v>
      </c>
      <c r="R171" s="104">
        <v>991.68000000000006</v>
      </c>
      <c r="S171" s="104"/>
    </row>
    <row r="172" spans="10:19" ht="15.75">
      <c r="J172" s="236"/>
      <c r="K172" s="227" t="s">
        <v>17</v>
      </c>
      <c r="L172" s="218">
        <v>0</v>
      </c>
      <c r="M172" s="165">
        <v>25</v>
      </c>
      <c r="N172" s="234">
        <v>13520</v>
      </c>
      <c r="O172" s="104">
        <v>0</v>
      </c>
      <c r="P172" s="104">
        <v>13520</v>
      </c>
      <c r="Q172" s="104">
        <v>2433.6000000000004</v>
      </c>
      <c r="R172" s="104">
        <v>1216.8000000000002</v>
      </c>
      <c r="S172" s="104"/>
    </row>
    <row r="173" spans="10:19" ht="15.75">
      <c r="J173" s="236"/>
      <c r="K173" s="226" t="s">
        <v>209</v>
      </c>
      <c r="L173" s="215"/>
      <c r="M173" s="165">
        <v>1</v>
      </c>
      <c r="N173" s="234">
        <v>380</v>
      </c>
      <c r="O173" s="104">
        <v>0</v>
      </c>
      <c r="P173" s="104">
        <v>380</v>
      </c>
      <c r="Q173" s="104">
        <v>456</v>
      </c>
      <c r="R173" s="104">
        <v>228</v>
      </c>
      <c r="S173" s="104"/>
    </row>
    <row r="174" spans="10:19" ht="15.75">
      <c r="J174" s="236"/>
      <c r="K174" s="227" t="s">
        <v>22</v>
      </c>
      <c r="L174" s="218" t="s">
        <v>210</v>
      </c>
      <c r="M174" s="165">
        <v>1</v>
      </c>
      <c r="N174" s="234">
        <v>380</v>
      </c>
      <c r="O174" s="104">
        <v>0</v>
      </c>
      <c r="P174" s="104">
        <v>380</v>
      </c>
      <c r="Q174" s="104">
        <v>456</v>
      </c>
      <c r="R174" s="104">
        <v>228</v>
      </c>
      <c r="S174" s="104"/>
    </row>
    <row r="175" spans="10:19" ht="15.75">
      <c r="J175" s="236"/>
      <c r="K175" s="226" t="s">
        <v>141</v>
      </c>
      <c r="L175" s="215"/>
      <c r="M175" s="165">
        <v>35</v>
      </c>
      <c r="N175" s="234">
        <v>14000</v>
      </c>
      <c r="O175" s="104">
        <v>900</v>
      </c>
      <c r="P175" s="104">
        <v>14900</v>
      </c>
      <c r="Q175" s="104">
        <v>7346.42</v>
      </c>
      <c r="R175" s="104">
        <v>3673.21</v>
      </c>
      <c r="S175" s="104"/>
    </row>
    <row r="176" spans="10:19" ht="15.75">
      <c r="J176" s="236"/>
      <c r="K176" s="227" t="s">
        <v>15</v>
      </c>
      <c r="L176" s="218" t="s">
        <v>212</v>
      </c>
      <c r="M176" s="165">
        <v>19</v>
      </c>
      <c r="N176" s="234">
        <v>7818</v>
      </c>
      <c r="O176" s="104">
        <v>0</v>
      </c>
      <c r="P176" s="104">
        <v>7818</v>
      </c>
      <c r="Q176" s="104">
        <v>4724.5</v>
      </c>
      <c r="R176" s="104">
        <v>2362.25</v>
      </c>
      <c r="S176" s="104"/>
    </row>
    <row r="177" spans="10:19" ht="15.75">
      <c r="J177" s="236"/>
      <c r="K177" s="227" t="s">
        <v>79</v>
      </c>
      <c r="L177" s="218" t="s">
        <v>198</v>
      </c>
      <c r="M177" s="165">
        <v>4</v>
      </c>
      <c r="N177" s="234">
        <v>1442</v>
      </c>
      <c r="O177" s="104">
        <v>0</v>
      </c>
      <c r="P177" s="104">
        <v>1442</v>
      </c>
      <c r="Q177" s="104">
        <v>230.72</v>
      </c>
      <c r="R177" s="104">
        <v>115.36</v>
      </c>
      <c r="S177" s="104"/>
    </row>
    <row r="178" spans="10:19" ht="15.75">
      <c r="J178" s="236"/>
      <c r="K178" s="227" t="s">
        <v>17</v>
      </c>
      <c r="L178" s="218" t="s">
        <v>225</v>
      </c>
      <c r="M178" s="165">
        <v>12</v>
      </c>
      <c r="N178" s="234">
        <v>4740</v>
      </c>
      <c r="O178" s="104">
        <v>900</v>
      </c>
      <c r="P178" s="104">
        <v>5640</v>
      </c>
      <c r="Q178" s="104">
        <v>2391.1999999999998</v>
      </c>
      <c r="R178" s="104">
        <v>1195.5999999999999</v>
      </c>
      <c r="S178" s="104"/>
    </row>
    <row r="179" spans="10:19" ht="15.75">
      <c r="J179" s="236"/>
      <c r="K179" s="226" t="s">
        <v>211</v>
      </c>
      <c r="L179" s="215"/>
      <c r="M179" s="165">
        <v>1</v>
      </c>
      <c r="N179" s="234">
        <v>380</v>
      </c>
      <c r="O179" s="104">
        <v>0</v>
      </c>
      <c r="P179" s="104">
        <v>380</v>
      </c>
      <c r="Q179" s="104">
        <v>456</v>
      </c>
      <c r="R179" s="104">
        <v>228</v>
      </c>
      <c r="S179" s="104"/>
    </row>
    <row r="180" spans="10:19" ht="15.75">
      <c r="J180" s="236"/>
      <c r="K180" s="227" t="s">
        <v>22</v>
      </c>
      <c r="L180" s="218" t="s">
        <v>212</v>
      </c>
      <c r="M180" s="165">
        <v>1</v>
      </c>
      <c r="N180" s="234">
        <v>380</v>
      </c>
      <c r="O180" s="104">
        <v>0</v>
      </c>
      <c r="P180" s="104">
        <v>380</v>
      </c>
      <c r="Q180" s="104">
        <v>456</v>
      </c>
      <c r="R180" s="104">
        <v>228</v>
      </c>
      <c r="S180" s="104"/>
    </row>
    <row r="181" spans="10:19" ht="15.75">
      <c r="J181" s="236"/>
      <c r="K181" s="226" t="s">
        <v>142</v>
      </c>
      <c r="L181" s="215"/>
      <c r="M181" s="165">
        <v>62</v>
      </c>
      <c r="N181" s="234">
        <v>27752</v>
      </c>
      <c r="O181" s="104">
        <v>520</v>
      </c>
      <c r="P181" s="104">
        <v>28272</v>
      </c>
      <c r="Q181" s="104">
        <v>9890.44</v>
      </c>
      <c r="R181" s="104">
        <v>5174.2839999999997</v>
      </c>
      <c r="S181" s="104"/>
    </row>
    <row r="182" spans="10:19" ht="15.75">
      <c r="J182" s="236"/>
      <c r="K182" s="227" t="s">
        <v>38</v>
      </c>
      <c r="L182" s="218" t="s">
        <v>158</v>
      </c>
      <c r="M182" s="165">
        <v>1</v>
      </c>
      <c r="N182" s="234">
        <v>406</v>
      </c>
      <c r="O182" s="104">
        <v>0</v>
      </c>
      <c r="P182" s="104">
        <v>406</v>
      </c>
      <c r="Q182" s="104">
        <v>495.32</v>
      </c>
      <c r="R182" s="104">
        <v>346.72399999999999</v>
      </c>
      <c r="S182" s="104"/>
    </row>
    <row r="183" spans="10:19" ht="15.75">
      <c r="J183" s="236"/>
      <c r="K183" s="227" t="s">
        <v>15</v>
      </c>
      <c r="L183" s="218">
        <v>0</v>
      </c>
      <c r="M183" s="165">
        <v>22</v>
      </c>
      <c r="N183" s="234">
        <v>9104</v>
      </c>
      <c r="O183" s="104">
        <v>0</v>
      </c>
      <c r="P183" s="104">
        <v>9104</v>
      </c>
      <c r="Q183" s="104">
        <v>2276</v>
      </c>
      <c r="R183" s="104">
        <v>1138</v>
      </c>
      <c r="S183" s="104"/>
    </row>
    <row r="184" spans="10:19" ht="15.75">
      <c r="J184" s="236"/>
      <c r="K184" s="227" t="s">
        <v>79</v>
      </c>
      <c r="L184" s="218" t="s">
        <v>198</v>
      </c>
      <c r="M184" s="165">
        <v>14</v>
      </c>
      <c r="N184" s="234">
        <v>4722</v>
      </c>
      <c r="O184" s="104">
        <v>0</v>
      </c>
      <c r="P184" s="104">
        <v>4722</v>
      </c>
      <c r="Q184" s="104">
        <v>4035.52</v>
      </c>
      <c r="R184" s="104">
        <v>2017.76</v>
      </c>
      <c r="S184" s="104"/>
    </row>
    <row r="185" spans="10:19" ht="15.75">
      <c r="J185" s="236"/>
      <c r="K185" s="227" t="s">
        <v>16</v>
      </c>
      <c r="L185" s="218" t="s">
        <v>158</v>
      </c>
      <c r="M185" s="165"/>
      <c r="N185" s="234">
        <v>0</v>
      </c>
      <c r="O185" s="104">
        <v>520</v>
      </c>
      <c r="P185" s="104">
        <v>520</v>
      </c>
      <c r="Q185" s="104">
        <v>650</v>
      </c>
      <c r="R185" s="104">
        <v>454.99999999999994</v>
      </c>
      <c r="S185" s="104"/>
    </row>
    <row r="186" spans="10:19" ht="15.75">
      <c r="J186" s="236"/>
      <c r="K186" s="227" t="s">
        <v>17</v>
      </c>
      <c r="L186" s="218">
        <v>0</v>
      </c>
      <c r="M186" s="165">
        <v>25</v>
      </c>
      <c r="N186" s="234">
        <v>13520</v>
      </c>
      <c r="O186" s="104">
        <v>0</v>
      </c>
      <c r="P186" s="104">
        <v>13520</v>
      </c>
      <c r="Q186" s="104">
        <v>2433.6000000000004</v>
      </c>
      <c r="R186" s="104">
        <v>1216.8000000000002</v>
      </c>
      <c r="S186" s="104"/>
    </row>
    <row r="187" spans="10:19" ht="15.75">
      <c r="J187" s="236"/>
      <c r="K187" s="221"/>
      <c r="L187" s="215"/>
      <c r="M187" s="165"/>
      <c r="N187" s="234"/>
      <c r="O187" s="104"/>
      <c r="P187" s="104"/>
      <c r="Q187" s="104"/>
      <c r="R187" s="104"/>
      <c r="S187" s="104"/>
    </row>
    <row r="188" spans="10:19" ht="15.75">
      <c r="J188" s="236"/>
      <c r="K188" s="221" t="s">
        <v>62</v>
      </c>
      <c r="L188" s="215"/>
      <c r="M188" s="165">
        <v>90</v>
      </c>
      <c r="N188" s="234">
        <v>22164</v>
      </c>
      <c r="O188" s="104">
        <v>1040</v>
      </c>
      <c r="P188" s="104">
        <v>23204</v>
      </c>
      <c r="Q188" s="104">
        <v>9616.2799999999988</v>
      </c>
      <c r="R188" s="104">
        <v>5593.3959999999997</v>
      </c>
      <c r="S188" s="104"/>
    </row>
    <row r="189" spans="10:19" ht="15.75">
      <c r="J189" s="236"/>
      <c r="K189" s="226" t="s">
        <v>213</v>
      </c>
      <c r="L189" s="215"/>
      <c r="M189" s="165">
        <v>0</v>
      </c>
      <c r="N189" s="234">
        <v>0</v>
      </c>
      <c r="O189" s="104">
        <v>0</v>
      </c>
      <c r="P189" s="104">
        <v>0</v>
      </c>
      <c r="Q189" s="104">
        <v>0</v>
      </c>
      <c r="R189" s="104">
        <v>0</v>
      </c>
      <c r="S189" s="104"/>
    </row>
    <row r="190" spans="10:19" ht="15.75">
      <c r="J190" s="236"/>
      <c r="K190" s="227" t="s">
        <v>22</v>
      </c>
      <c r="L190" s="218" t="s">
        <v>198</v>
      </c>
      <c r="M190" s="165">
        <v>0</v>
      </c>
      <c r="N190" s="234">
        <v>0</v>
      </c>
      <c r="O190" s="104">
        <v>0</v>
      </c>
      <c r="P190" s="104">
        <v>0</v>
      </c>
      <c r="Q190" s="104">
        <v>0</v>
      </c>
      <c r="R190" s="104">
        <v>0</v>
      </c>
      <c r="S190" s="104"/>
    </row>
    <row r="191" spans="10:19" ht="15.75">
      <c r="J191" s="236"/>
      <c r="K191" s="226" t="s">
        <v>143</v>
      </c>
      <c r="L191" s="215"/>
      <c r="M191" s="165">
        <v>70</v>
      </c>
      <c r="N191" s="234">
        <v>13586</v>
      </c>
      <c r="O191" s="104">
        <v>520</v>
      </c>
      <c r="P191" s="104">
        <v>14106</v>
      </c>
      <c r="Q191" s="104">
        <v>5640.32</v>
      </c>
      <c r="R191" s="104">
        <v>3135.2240000000002</v>
      </c>
      <c r="S191" s="104"/>
    </row>
    <row r="192" spans="10:19" ht="15.75">
      <c r="J192" s="236"/>
      <c r="K192" s="227" t="s">
        <v>21</v>
      </c>
      <c r="L192" s="218" t="s">
        <v>198</v>
      </c>
      <c r="M192" s="165">
        <v>4</v>
      </c>
      <c r="N192" s="234">
        <v>1720</v>
      </c>
      <c r="O192" s="104">
        <v>0</v>
      </c>
      <c r="P192" s="104">
        <v>1720</v>
      </c>
      <c r="Q192" s="104">
        <v>430</v>
      </c>
      <c r="R192" s="104">
        <v>301</v>
      </c>
      <c r="S192" s="104"/>
    </row>
    <row r="193" spans="10:19" ht="15.75">
      <c r="J193" s="236"/>
      <c r="K193" s="227" t="s">
        <v>38</v>
      </c>
      <c r="L193" s="218" t="s">
        <v>198</v>
      </c>
      <c r="M193" s="165">
        <v>1</v>
      </c>
      <c r="N193" s="234">
        <v>406</v>
      </c>
      <c r="O193" s="104">
        <v>0</v>
      </c>
      <c r="P193" s="104">
        <v>406</v>
      </c>
      <c r="Q193" s="104">
        <v>495.32</v>
      </c>
      <c r="R193" s="104">
        <v>346.72399999999999</v>
      </c>
      <c r="S193" s="104"/>
    </row>
    <row r="194" spans="10:19" ht="15.75">
      <c r="J194" s="236"/>
      <c r="K194" s="227" t="s">
        <v>15</v>
      </c>
      <c r="L194" s="218">
        <v>0</v>
      </c>
      <c r="M194" s="165">
        <v>65</v>
      </c>
      <c r="N194" s="234">
        <v>11460</v>
      </c>
      <c r="O194" s="104">
        <v>0</v>
      </c>
      <c r="P194" s="104">
        <v>11460</v>
      </c>
      <c r="Q194" s="104">
        <v>4065</v>
      </c>
      <c r="R194" s="104">
        <v>2032.5</v>
      </c>
      <c r="S194" s="104"/>
    </row>
    <row r="195" spans="10:19" ht="15.75">
      <c r="J195" s="236"/>
      <c r="K195" s="227" t="s">
        <v>16</v>
      </c>
      <c r="L195" s="218" t="s">
        <v>198</v>
      </c>
      <c r="M195" s="165"/>
      <c r="N195" s="234">
        <v>0</v>
      </c>
      <c r="O195" s="104">
        <v>520</v>
      </c>
      <c r="P195" s="104">
        <v>520</v>
      </c>
      <c r="Q195" s="104">
        <v>650</v>
      </c>
      <c r="R195" s="104">
        <v>454.99999999999994</v>
      </c>
      <c r="S195" s="104"/>
    </row>
    <row r="196" spans="10:19" ht="15.75">
      <c r="J196" s="236"/>
      <c r="K196" s="226" t="s">
        <v>214</v>
      </c>
      <c r="L196" s="215"/>
      <c r="M196" s="165">
        <v>2</v>
      </c>
      <c r="N196" s="234">
        <v>812</v>
      </c>
      <c r="O196" s="104">
        <v>0</v>
      </c>
      <c r="P196" s="104">
        <v>812</v>
      </c>
      <c r="Q196" s="104">
        <v>990.64</v>
      </c>
      <c r="R196" s="104">
        <v>693.44799999999998</v>
      </c>
      <c r="S196" s="104"/>
    </row>
    <row r="197" spans="10:19" ht="15.75">
      <c r="J197" s="236"/>
      <c r="K197" s="227" t="s">
        <v>38</v>
      </c>
      <c r="L197" s="218" t="s">
        <v>198</v>
      </c>
      <c r="M197" s="165">
        <v>2</v>
      </c>
      <c r="N197" s="234">
        <v>812</v>
      </c>
      <c r="O197" s="104">
        <v>0</v>
      </c>
      <c r="P197" s="104">
        <v>812</v>
      </c>
      <c r="Q197" s="104">
        <v>990.64</v>
      </c>
      <c r="R197" s="104">
        <v>693.44799999999998</v>
      </c>
      <c r="S197" s="104"/>
    </row>
    <row r="198" spans="10:19" ht="15.75">
      <c r="J198" s="236"/>
      <c r="K198" s="227" t="s">
        <v>22</v>
      </c>
      <c r="L198" s="218" t="s">
        <v>198</v>
      </c>
      <c r="M198" s="165">
        <v>0</v>
      </c>
      <c r="N198" s="234">
        <v>0</v>
      </c>
      <c r="O198" s="104">
        <v>0</v>
      </c>
      <c r="P198" s="104">
        <v>0</v>
      </c>
      <c r="Q198" s="104">
        <v>0</v>
      </c>
      <c r="R198" s="104">
        <v>0</v>
      </c>
      <c r="S198" s="104"/>
    </row>
    <row r="199" spans="10:19" ht="15.75">
      <c r="J199" s="236"/>
      <c r="K199" s="226" t="s">
        <v>144</v>
      </c>
      <c r="L199" s="215"/>
      <c r="M199" s="165">
        <v>18</v>
      </c>
      <c r="N199" s="234">
        <v>7766</v>
      </c>
      <c r="O199" s="104">
        <v>520</v>
      </c>
      <c r="P199" s="104">
        <v>8286</v>
      </c>
      <c r="Q199" s="104">
        <v>2985.3199999999997</v>
      </c>
      <c r="R199" s="104">
        <v>1764.7239999999999</v>
      </c>
      <c r="S199" s="104"/>
    </row>
    <row r="200" spans="10:19" ht="15.75">
      <c r="J200" s="236"/>
      <c r="K200" s="227" t="s">
        <v>21</v>
      </c>
      <c r="L200" s="218" t="s">
        <v>198</v>
      </c>
      <c r="M200" s="165">
        <v>2</v>
      </c>
      <c r="N200" s="234">
        <v>860</v>
      </c>
      <c r="O200" s="104">
        <v>0</v>
      </c>
      <c r="P200" s="104">
        <v>860</v>
      </c>
      <c r="Q200" s="104">
        <v>215</v>
      </c>
      <c r="R200" s="104">
        <v>150.5</v>
      </c>
      <c r="S200" s="104"/>
    </row>
    <row r="201" spans="10:19" ht="15.75">
      <c r="J201" s="236"/>
      <c r="K201" s="227" t="s">
        <v>38</v>
      </c>
      <c r="L201" s="218" t="s">
        <v>198</v>
      </c>
      <c r="M201" s="165">
        <v>1</v>
      </c>
      <c r="N201" s="234">
        <v>406</v>
      </c>
      <c r="O201" s="104">
        <v>0</v>
      </c>
      <c r="P201" s="104">
        <v>406</v>
      </c>
      <c r="Q201" s="104">
        <v>495.32</v>
      </c>
      <c r="R201" s="104">
        <v>346.72399999999999</v>
      </c>
      <c r="S201" s="104"/>
    </row>
    <row r="202" spans="10:19" ht="15.75">
      <c r="J202" s="236"/>
      <c r="K202" s="227" t="s">
        <v>15</v>
      </c>
      <c r="L202" s="218">
        <v>0</v>
      </c>
      <c r="M202" s="165">
        <v>15</v>
      </c>
      <c r="N202" s="234">
        <v>6500</v>
      </c>
      <c r="O202" s="104">
        <v>0</v>
      </c>
      <c r="P202" s="104">
        <v>6500</v>
      </c>
      <c r="Q202" s="104">
        <v>1625</v>
      </c>
      <c r="R202" s="104">
        <v>812.5</v>
      </c>
      <c r="S202" s="104"/>
    </row>
    <row r="203" spans="10:19" ht="15.75">
      <c r="J203" s="236"/>
      <c r="K203" s="227" t="s">
        <v>16</v>
      </c>
      <c r="L203" s="218" t="s">
        <v>198</v>
      </c>
      <c r="M203" s="165"/>
      <c r="N203" s="234">
        <v>0</v>
      </c>
      <c r="O203" s="104">
        <v>520</v>
      </c>
      <c r="P203" s="104">
        <v>520</v>
      </c>
      <c r="Q203" s="104">
        <v>650</v>
      </c>
      <c r="R203" s="104">
        <v>454.99999999999994</v>
      </c>
      <c r="S203" s="104"/>
    </row>
    <row r="204" spans="10:19" ht="15.75">
      <c r="J204" s="236"/>
      <c r="K204" s="226" t="s">
        <v>215</v>
      </c>
      <c r="L204" s="215"/>
      <c r="M204" s="165">
        <v>0</v>
      </c>
      <c r="N204" s="234">
        <v>0</v>
      </c>
      <c r="O204" s="104">
        <v>0</v>
      </c>
      <c r="P204" s="104">
        <v>0</v>
      </c>
      <c r="Q204" s="104">
        <v>0</v>
      </c>
      <c r="R204" s="104">
        <v>0</v>
      </c>
      <c r="S204" s="104"/>
    </row>
    <row r="205" spans="10:19" ht="15.75">
      <c r="J205" s="236"/>
      <c r="K205" s="227" t="s">
        <v>22</v>
      </c>
      <c r="L205" s="218" t="s">
        <v>198</v>
      </c>
      <c r="M205" s="165">
        <v>0</v>
      </c>
      <c r="N205" s="234">
        <v>0</v>
      </c>
      <c r="O205" s="104">
        <v>0</v>
      </c>
      <c r="P205" s="104">
        <v>0</v>
      </c>
      <c r="Q205" s="104">
        <v>0</v>
      </c>
      <c r="R205" s="104">
        <v>0</v>
      </c>
      <c r="S205" s="104"/>
    </row>
    <row r="206" spans="10:19" ht="15.75">
      <c r="J206" s="236"/>
      <c r="K206" s="221"/>
      <c r="L206" s="215"/>
      <c r="M206" s="165"/>
      <c r="N206" s="234"/>
      <c r="O206" s="104"/>
      <c r="P206" s="104"/>
      <c r="Q206" s="104"/>
      <c r="R206" s="104"/>
      <c r="S206" s="104"/>
    </row>
    <row r="207" spans="10:19" ht="15.75">
      <c r="J207" s="235" t="s">
        <v>33</v>
      </c>
      <c r="K207" s="218" t="s">
        <v>26</v>
      </c>
      <c r="L207" s="215"/>
      <c r="M207" s="165">
        <v>1140</v>
      </c>
      <c r="N207" s="234">
        <v>255887</v>
      </c>
      <c r="O207" s="104">
        <v>57140</v>
      </c>
      <c r="P207" s="104">
        <v>313027</v>
      </c>
      <c r="Q207" s="104">
        <v>257136.74</v>
      </c>
      <c r="R207" s="104">
        <v>136562.75399999996</v>
      </c>
      <c r="S207" s="104"/>
    </row>
    <row r="208" spans="10:19" ht="15.75">
      <c r="J208" s="236"/>
      <c r="K208" s="221" t="s">
        <v>151</v>
      </c>
      <c r="L208" s="215"/>
      <c r="M208" s="165">
        <v>666</v>
      </c>
      <c r="N208" s="234">
        <v>144191</v>
      </c>
      <c r="O208" s="104">
        <v>54520</v>
      </c>
      <c r="P208" s="104">
        <v>198711</v>
      </c>
      <c r="Q208" s="104">
        <v>181753.32</v>
      </c>
      <c r="R208" s="104">
        <v>95785.724000000002</v>
      </c>
      <c r="S208" s="104"/>
    </row>
    <row r="209" spans="10:19" ht="15.75">
      <c r="J209" s="236"/>
      <c r="K209" s="226" t="s">
        <v>122</v>
      </c>
      <c r="L209" s="215"/>
      <c r="M209" s="165">
        <v>5</v>
      </c>
      <c r="N209" s="234">
        <v>1900</v>
      </c>
      <c r="O209" s="104">
        <v>0</v>
      </c>
      <c r="P209" s="104">
        <v>1900</v>
      </c>
      <c r="Q209" s="104">
        <v>2280</v>
      </c>
      <c r="R209" s="104">
        <v>1140</v>
      </c>
      <c r="S209" s="104"/>
    </row>
    <row r="210" spans="10:19" ht="15.75">
      <c r="J210" s="236"/>
      <c r="K210" s="227" t="s">
        <v>22</v>
      </c>
      <c r="L210" s="218" t="s">
        <v>198</v>
      </c>
      <c r="M210" s="165">
        <v>5</v>
      </c>
      <c r="N210" s="234">
        <v>1900</v>
      </c>
      <c r="O210" s="104">
        <v>0</v>
      </c>
      <c r="P210" s="104">
        <v>1900</v>
      </c>
      <c r="Q210" s="104">
        <v>2280</v>
      </c>
      <c r="R210" s="104">
        <v>1140</v>
      </c>
      <c r="S210" s="104"/>
    </row>
    <row r="211" spans="10:19" ht="15.75">
      <c r="J211" s="236"/>
      <c r="K211" s="226" t="s">
        <v>145</v>
      </c>
      <c r="L211" s="215"/>
      <c r="M211" s="165">
        <v>554</v>
      </c>
      <c r="N211" s="234">
        <v>113629</v>
      </c>
      <c r="O211" s="104">
        <v>54000</v>
      </c>
      <c r="P211" s="104">
        <v>167629</v>
      </c>
      <c r="Q211" s="104">
        <v>163354.04</v>
      </c>
      <c r="R211" s="104">
        <v>86357.02</v>
      </c>
      <c r="S211" s="104"/>
    </row>
    <row r="212" spans="10:19" ht="15.75">
      <c r="J212" s="236"/>
      <c r="K212" s="227" t="s">
        <v>21</v>
      </c>
      <c r="L212" s="218" t="s">
        <v>260</v>
      </c>
      <c r="M212" s="165">
        <v>4</v>
      </c>
      <c r="N212" s="234">
        <v>1720</v>
      </c>
      <c r="O212" s="104">
        <v>17000</v>
      </c>
      <c r="P212" s="104">
        <v>18720</v>
      </c>
      <c r="Q212" s="104">
        <v>23400</v>
      </c>
      <c r="R212" s="104">
        <v>16379.999999999998</v>
      </c>
      <c r="S212" s="104"/>
    </row>
    <row r="213" spans="10:19" ht="15.75">
      <c r="J213" s="236"/>
      <c r="K213" s="227" t="s">
        <v>15</v>
      </c>
      <c r="L213" s="218">
        <v>0</v>
      </c>
      <c r="M213" s="165">
        <v>130</v>
      </c>
      <c r="N213" s="234">
        <v>23120</v>
      </c>
      <c r="O213" s="104">
        <v>15000</v>
      </c>
      <c r="P213" s="104">
        <v>38120</v>
      </c>
      <c r="Q213" s="104">
        <v>37410</v>
      </c>
      <c r="R213" s="104">
        <v>18705</v>
      </c>
      <c r="S213" s="104"/>
    </row>
    <row r="214" spans="10:19" ht="15.75">
      <c r="J214" s="236"/>
      <c r="K214" s="227" t="s">
        <v>79</v>
      </c>
      <c r="L214" s="218" t="s">
        <v>198</v>
      </c>
      <c r="M214" s="165">
        <v>189</v>
      </c>
      <c r="N214" s="234">
        <v>39879</v>
      </c>
      <c r="O214" s="104">
        <v>0</v>
      </c>
      <c r="P214" s="104">
        <v>39879</v>
      </c>
      <c r="Q214" s="104">
        <v>28934.640000000003</v>
      </c>
      <c r="R214" s="104">
        <v>14467.320000000002</v>
      </c>
      <c r="S214" s="104"/>
    </row>
    <row r="215" spans="10:19" ht="15.75">
      <c r="J215" s="236"/>
      <c r="K215" s="227" t="s">
        <v>17</v>
      </c>
      <c r="L215" s="218" t="s">
        <v>227</v>
      </c>
      <c r="M215" s="165">
        <v>150</v>
      </c>
      <c r="N215" s="234">
        <v>26130</v>
      </c>
      <c r="O215" s="104">
        <v>15000</v>
      </c>
      <c r="P215" s="104">
        <v>41130</v>
      </c>
      <c r="Q215" s="104">
        <v>37873.4</v>
      </c>
      <c r="R215" s="104">
        <v>18936.7</v>
      </c>
      <c r="S215" s="104"/>
    </row>
    <row r="216" spans="10:19" ht="15.75">
      <c r="J216" s="236"/>
      <c r="K216" s="227" t="s">
        <v>22</v>
      </c>
      <c r="L216" s="218" t="s">
        <v>198</v>
      </c>
      <c r="M216" s="165">
        <v>81</v>
      </c>
      <c r="N216" s="234">
        <v>22780</v>
      </c>
      <c r="O216" s="104">
        <v>7000</v>
      </c>
      <c r="P216" s="104">
        <v>29780</v>
      </c>
      <c r="Q216" s="104">
        <v>35736</v>
      </c>
      <c r="R216" s="104">
        <v>17868</v>
      </c>
      <c r="S216" s="104"/>
    </row>
    <row r="217" spans="10:19" ht="15.75">
      <c r="J217" s="236"/>
      <c r="K217" s="226" t="s">
        <v>146</v>
      </c>
      <c r="L217" s="215"/>
      <c r="M217" s="165">
        <v>107</v>
      </c>
      <c r="N217" s="234">
        <v>28662</v>
      </c>
      <c r="O217" s="104">
        <v>520</v>
      </c>
      <c r="P217" s="104">
        <v>29182</v>
      </c>
      <c r="Q217" s="104">
        <v>16119.28</v>
      </c>
      <c r="R217" s="104">
        <v>8288.7040000000015</v>
      </c>
      <c r="S217" s="104"/>
    </row>
    <row r="218" spans="10:19" ht="15.75">
      <c r="J218" s="236"/>
      <c r="K218" s="227" t="s">
        <v>38</v>
      </c>
      <c r="L218" s="218" t="s">
        <v>158</v>
      </c>
      <c r="M218" s="165">
        <v>1</v>
      </c>
      <c r="N218" s="234">
        <v>406</v>
      </c>
      <c r="O218" s="104">
        <v>0</v>
      </c>
      <c r="P218" s="104">
        <v>406</v>
      </c>
      <c r="Q218" s="104">
        <v>495.32</v>
      </c>
      <c r="R218" s="104">
        <v>346.72399999999999</v>
      </c>
      <c r="S218" s="104"/>
    </row>
    <row r="219" spans="10:19" ht="15.75">
      <c r="J219" s="236"/>
      <c r="K219" s="227" t="s">
        <v>15</v>
      </c>
      <c r="L219" s="218">
        <v>0</v>
      </c>
      <c r="M219" s="165">
        <v>70</v>
      </c>
      <c r="N219" s="234">
        <v>10500</v>
      </c>
      <c r="O219" s="104">
        <v>0</v>
      </c>
      <c r="P219" s="104">
        <v>10500</v>
      </c>
      <c r="Q219" s="104">
        <v>9365</v>
      </c>
      <c r="R219" s="104">
        <v>4682.5</v>
      </c>
      <c r="S219" s="104"/>
    </row>
    <row r="220" spans="10:19" ht="15.75">
      <c r="J220" s="236"/>
      <c r="K220" s="227" t="s">
        <v>79</v>
      </c>
      <c r="L220" s="218" t="s">
        <v>198</v>
      </c>
      <c r="M220" s="165">
        <v>8</v>
      </c>
      <c r="N220" s="234">
        <v>3096</v>
      </c>
      <c r="O220" s="104">
        <v>0</v>
      </c>
      <c r="P220" s="104">
        <v>3096</v>
      </c>
      <c r="Q220" s="104">
        <v>1807.3600000000001</v>
      </c>
      <c r="R220" s="104">
        <v>903.68000000000006</v>
      </c>
      <c r="S220" s="104"/>
    </row>
    <row r="221" spans="10:19" ht="15.75">
      <c r="J221" s="236"/>
      <c r="K221" s="227" t="s">
        <v>16</v>
      </c>
      <c r="L221" s="218" t="s">
        <v>158</v>
      </c>
      <c r="M221" s="165"/>
      <c r="N221" s="234">
        <v>0</v>
      </c>
      <c r="O221" s="104">
        <v>520</v>
      </c>
      <c r="P221" s="104">
        <v>520</v>
      </c>
      <c r="Q221" s="104">
        <v>650</v>
      </c>
      <c r="R221" s="104">
        <v>454.99999999999994</v>
      </c>
      <c r="S221" s="104"/>
    </row>
    <row r="222" spans="10:19" ht="15.75">
      <c r="J222" s="236"/>
      <c r="K222" s="227" t="s">
        <v>17</v>
      </c>
      <c r="L222" s="218" t="s">
        <v>228</v>
      </c>
      <c r="M222" s="165">
        <v>25</v>
      </c>
      <c r="N222" s="234">
        <v>13520</v>
      </c>
      <c r="O222" s="104">
        <v>0</v>
      </c>
      <c r="P222" s="104">
        <v>13520</v>
      </c>
      <c r="Q222" s="104">
        <v>2433.6000000000004</v>
      </c>
      <c r="R222" s="104">
        <v>1216.8000000000002</v>
      </c>
      <c r="S222" s="104"/>
    </row>
    <row r="223" spans="10:19" ht="15.75">
      <c r="J223" s="236"/>
      <c r="K223" s="227" t="s">
        <v>22</v>
      </c>
      <c r="L223" s="218" t="s">
        <v>198</v>
      </c>
      <c r="M223" s="165">
        <v>3</v>
      </c>
      <c r="N223" s="234">
        <v>1140</v>
      </c>
      <c r="O223" s="104">
        <v>0</v>
      </c>
      <c r="P223" s="104">
        <v>1140</v>
      </c>
      <c r="Q223" s="104">
        <v>1368</v>
      </c>
      <c r="R223" s="104">
        <v>684</v>
      </c>
      <c r="S223" s="104"/>
    </row>
    <row r="224" spans="10:19" ht="15.75">
      <c r="J224" s="236"/>
      <c r="K224" s="221"/>
      <c r="L224" s="215"/>
      <c r="M224" s="165"/>
      <c r="N224" s="234"/>
      <c r="O224" s="104"/>
      <c r="P224" s="104"/>
      <c r="Q224" s="104"/>
      <c r="R224" s="104"/>
      <c r="S224" s="104"/>
    </row>
    <row r="225" spans="10:19" ht="15.75">
      <c r="J225" s="236"/>
      <c r="K225" s="221" t="s">
        <v>147</v>
      </c>
      <c r="L225" s="215"/>
      <c r="M225" s="165">
        <v>246</v>
      </c>
      <c r="N225" s="234">
        <v>56786</v>
      </c>
      <c r="O225" s="104">
        <v>0</v>
      </c>
      <c r="P225" s="104">
        <v>56786</v>
      </c>
      <c r="Q225" s="104">
        <v>40148.559999999998</v>
      </c>
      <c r="R225" s="104">
        <v>20074.28</v>
      </c>
      <c r="S225" s="104"/>
    </row>
    <row r="226" spans="10:19" ht="15.75">
      <c r="J226" s="236"/>
      <c r="K226" s="226" t="s">
        <v>148</v>
      </c>
      <c r="L226" s="215"/>
      <c r="M226" s="165">
        <v>121</v>
      </c>
      <c r="N226" s="234">
        <v>27186</v>
      </c>
      <c r="O226" s="104">
        <v>0</v>
      </c>
      <c r="P226" s="104">
        <v>27186</v>
      </c>
      <c r="Q226" s="104">
        <v>19852.560000000001</v>
      </c>
      <c r="R226" s="104">
        <v>9926.2800000000007</v>
      </c>
      <c r="S226" s="104"/>
    </row>
    <row r="227" spans="10:19" ht="15.75">
      <c r="J227" s="236"/>
      <c r="K227" s="227" t="s">
        <v>15</v>
      </c>
      <c r="L227" s="218">
        <v>0</v>
      </c>
      <c r="M227" s="165">
        <v>30</v>
      </c>
      <c r="N227" s="234">
        <v>9300</v>
      </c>
      <c r="O227" s="104">
        <v>0</v>
      </c>
      <c r="P227" s="104">
        <v>9300</v>
      </c>
      <c r="Q227" s="104">
        <v>7865</v>
      </c>
      <c r="R227" s="104">
        <v>3932.5</v>
      </c>
      <c r="S227" s="104"/>
    </row>
    <row r="228" spans="10:19" ht="15.75">
      <c r="J228" s="236"/>
      <c r="K228" s="227" t="s">
        <v>79</v>
      </c>
      <c r="L228" s="218" t="s">
        <v>198</v>
      </c>
      <c r="M228" s="165">
        <v>15</v>
      </c>
      <c r="N228" s="234">
        <v>2176</v>
      </c>
      <c r="O228" s="104">
        <v>0</v>
      </c>
      <c r="P228" s="104">
        <v>2176</v>
      </c>
      <c r="Q228" s="104">
        <v>1632.16</v>
      </c>
      <c r="R228" s="104">
        <v>816.08</v>
      </c>
      <c r="S228" s="104"/>
    </row>
    <row r="229" spans="10:19" ht="15.75">
      <c r="J229" s="236"/>
      <c r="K229" s="227" t="s">
        <v>17</v>
      </c>
      <c r="L229" s="218" t="s">
        <v>229</v>
      </c>
      <c r="M229" s="165">
        <v>75</v>
      </c>
      <c r="N229" s="234">
        <v>15330</v>
      </c>
      <c r="O229" s="104">
        <v>0</v>
      </c>
      <c r="P229" s="104">
        <v>15330</v>
      </c>
      <c r="Q229" s="104">
        <v>9899.4000000000015</v>
      </c>
      <c r="R229" s="104">
        <v>4949.7000000000007</v>
      </c>
      <c r="S229" s="104"/>
    </row>
    <row r="230" spans="10:19" ht="15.75">
      <c r="J230" s="236"/>
      <c r="K230" s="227" t="s">
        <v>22</v>
      </c>
      <c r="L230" s="218" t="s">
        <v>198</v>
      </c>
      <c r="M230" s="165">
        <v>1</v>
      </c>
      <c r="N230" s="234">
        <v>380</v>
      </c>
      <c r="O230" s="104">
        <v>0</v>
      </c>
      <c r="P230" s="104">
        <v>380</v>
      </c>
      <c r="Q230" s="104">
        <v>456</v>
      </c>
      <c r="R230" s="104">
        <v>228</v>
      </c>
      <c r="S230" s="104"/>
    </row>
    <row r="231" spans="10:19" ht="15.75">
      <c r="J231" s="236"/>
      <c r="K231" s="226" t="s">
        <v>122</v>
      </c>
      <c r="L231" s="215"/>
      <c r="M231" s="165">
        <v>5</v>
      </c>
      <c r="N231" s="234">
        <v>2860</v>
      </c>
      <c r="O231" s="104">
        <v>0</v>
      </c>
      <c r="P231" s="104">
        <v>2860</v>
      </c>
      <c r="Q231" s="104">
        <v>514.79999999999995</v>
      </c>
      <c r="R231" s="104">
        <v>257.39999999999998</v>
      </c>
      <c r="S231" s="104"/>
    </row>
    <row r="232" spans="10:19" ht="15.75">
      <c r="J232" s="236"/>
      <c r="K232" s="227" t="s">
        <v>17</v>
      </c>
      <c r="L232" s="218" t="s">
        <v>226</v>
      </c>
      <c r="M232" s="165">
        <v>5</v>
      </c>
      <c r="N232" s="234">
        <v>2860</v>
      </c>
      <c r="O232" s="104">
        <v>0</v>
      </c>
      <c r="P232" s="104">
        <v>2860</v>
      </c>
      <c r="Q232" s="104">
        <v>514.79999999999995</v>
      </c>
      <c r="R232" s="104">
        <v>257.39999999999998</v>
      </c>
      <c r="S232" s="104"/>
    </row>
    <row r="233" spans="10:19" ht="15.75">
      <c r="J233" s="236"/>
      <c r="K233" s="226" t="s">
        <v>149</v>
      </c>
      <c r="L233" s="215"/>
      <c r="M233" s="165">
        <v>120</v>
      </c>
      <c r="N233" s="234">
        <v>26740</v>
      </c>
      <c r="O233" s="104">
        <v>0</v>
      </c>
      <c r="P233" s="104">
        <v>26740</v>
      </c>
      <c r="Q233" s="104">
        <v>19781.2</v>
      </c>
      <c r="R233" s="104">
        <v>9890.6</v>
      </c>
      <c r="S233" s="104"/>
    </row>
    <row r="234" spans="10:19" ht="15.75">
      <c r="J234" s="236"/>
      <c r="K234" s="227" t="s">
        <v>15</v>
      </c>
      <c r="L234" s="218">
        <v>0</v>
      </c>
      <c r="M234" s="165">
        <v>30</v>
      </c>
      <c r="N234" s="234">
        <v>9300</v>
      </c>
      <c r="O234" s="104">
        <v>0</v>
      </c>
      <c r="P234" s="104">
        <v>9300</v>
      </c>
      <c r="Q234" s="104">
        <v>7865</v>
      </c>
      <c r="R234" s="104">
        <v>3932.5</v>
      </c>
      <c r="S234" s="104"/>
    </row>
    <row r="235" spans="10:19" ht="15.75">
      <c r="J235" s="236"/>
      <c r="K235" s="227" t="s">
        <v>79</v>
      </c>
      <c r="L235" s="218" t="s">
        <v>198</v>
      </c>
      <c r="M235" s="165">
        <v>14</v>
      </c>
      <c r="N235" s="234">
        <v>1730</v>
      </c>
      <c r="O235" s="104">
        <v>0</v>
      </c>
      <c r="P235" s="104">
        <v>1730</v>
      </c>
      <c r="Q235" s="104">
        <v>1560.8</v>
      </c>
      <c r="R235" s="104">
        <v>780.4</v>
      </c>
      <c r="S235" s="104"/>
    </row>
    <row r="236" spans="10:19" ht="15.75">
      <c r="J236" s="236"/>
      <c r="K236" s="227" t="s">
        <v>17</v>
      </c>
      <c r="L236" s="218" t="s">
        <v>229</v>
      </c>
      <c r="M236" s="165">
        <v>75</v>
      </c>
      <c r="N236" s="234">
        <v>15330</v>
      </c>
      <c r="O236" s="104">
        <v>0</v>
      </c>
      <c r="P236" s="104">
        <v>15330</v>
      </c>
      <c r="Q236" s="104">
        <v>9899.4000000000015</v>
      </c>
      <c r="R236" s="104">
        <v>4949.7000000000007</v>
      </c>
      <c r="S236" s="104"/>
    </row>
    <row r="237" spans="10:19" ht="15.75">
      <c r="J237" s="236"/>
      <c r="K237" s="227" t="s">
        <v>22</v>
      </c>
      <c r="L237" s="218" t="s">
        <v>198</v>
      </c>
      <c r="M237" s="165">
        <v>1</v>
      </c>
      <c r="N237" s="234">
        <v>380</v>
      </c>
      <c r="O237" s="104">
        <v>0</v>
      </c>
      <c r="P237" s="104">
        <v>380</v>
      </c>
      <c r="Q237" s="104">
        <v>456</v>
      </c>
      <c r="R237" s="104">
        <v>228</v>
      </c>
      <c r="S237" s="104"/>
    </row>
    <row r="238" spans="10:19" ht="15.75">
      <c r="J238" s="236"/>
      <c r="K238" s="221"/>
      <c r="L238" s="215"/>
      <c r="M238" s="165"/>
      <c r="N238" s="234"/>
      <c r="O238" s="104"/>
      <c r="P238" s="104"/>
      <c r="Q238" s="104"/>
      <c r="R238" s="104"/>
      <c r="S238" s="104"/>
    </row>
    <row r="239" spans="10:19" ht="15.75">
      <c r="J239" s="236"/>
      <c r="K239" s="221" t="s">
        <v>152</v>
      </c>
      <c r="L239" s="215"/>
      <c r="M239" s="165">
        <v>72</v>
      </c>
      <c r="N239" s="234">
        <v>23166</v>
      </c>
      <c r="O239" s="104">
        <v>0</v>
      </c>
      <c r="P239" s="104">
        <v>23166</v>
      </c>
      <c r="Q239" s="104">
        <v>11778.26</v>
      </c>
      <c r="R239" s="104">
        <v>5889.13</v>
      </c>
      <c r="S239" s="104"/>
    </row>
    <row r="240" spans="10:19" ht="15.75">
      <c r="J240" s="236"/>
      <c r="K240" s="226" t="s">
        <v>150</v>
      </c>
      <c r="L240" s="215"/>
      <c r="M240" s="165">
        <v>72</v>
      </c>
      <c r="N240" s="234">
        <v>23166</v>
      </c>
      <c r="O240" s="104">
        <v>0</v>
      </c>
      <c r="P240" s="104">
        <v>23166</v>
      </c>
      <c r="Q240" s="104">
        <v>11778.26</v>
      </c>
      <c r="R240" s="104">
        <v>5889.13</v>
      </c>
      <c r="S240" s="104"/>
    </row>
    <row r="241" spans="10:19" ht="15.75">
      <c r="J241" s="236"/>
      <c r="K241" s="227" t="s">
        <v>15</v>
      </c>
      <c r="L241" s="218">
        <v>0</v>
      </c>
      <c r="M241" s="165">
        <v>15</v>
      </c>
      <c r="N241" s="234">
        <v>4650</v>
      </c>
      <c r="O241" s="104">
        <v>0</v>
      </c>
      <c r="P241" s="104">
        <v>4650</v>
      </c>
      <c r="Q241" s="104">
        <v>3932.5</v>
      </c>
      <c r="R241" s="104">
        <v>1966.25</v>
      </c>
      <c r="S241" s="104"/>
    </row>
    <row r="242" spans="10:19" ht="15.75">
      <c r="J242" s="236"/>
      <c r="K242" s="227" t="s">
        <v>79</v>
      </c>
      <c r="L242" s="218" t="s">
        <v>198</v>
      </c>
      <c r="M242" s="165">
        <v>11</v>
      </c>
      <c r="N242" s="234">
        <v>2236</v>
      </c>
      <c r="O242" s="104">
        <v>0</v>
      </c>
      <c r="P242" s="104">
        <v>2236</v>
      </c>
      <c r="Q242" s="104">
        <v>2147.7600000000002</v>
      </c>
      <c r="R242" s="104">
        <v>1073.8800000000001</v>
      </c>
      <c r="S242" s="104"/>
    </row>
    <row r="243" spans="10:19" ht="15.75">
      <c r="J243" s="236"/>
      <c r="K243" s="227" t="s">
        <v>17</v>
      </c>
      <c r="L243" s="218" t="s">
        <v>230</v>
      </c>
      <c r="M243" s="165">
        <v>45</v>
      </c>
      <c r="N243" s="234">
        <v>15900</v>
      </c>
      <c r="O243" s="104">
        <v>0</v>
      </c>
      <c r="P243" s="104">
        <v>15900</v>
      </c>
      <c r="Q243" s="104">
        <v>5242</v>
      </c>
      <c r="R243" s="104">
        <v>2621</v>
      </c>
      <c r="S243" s="104"/>
    </row>
    <row r="244" spans="10:19" ht="15.75">
      <c r="J244" s="236"/>
      <c r="K244" s="227" t="s">
        <v>22</v>
      </c>
      <c r="L244" s="218" t="s">
        <v>198</v>
      </c>
      <c r="M244" s="165">
        <v>1</v>
      </c>
      <c r="N244" s="234">
        <v>380</v>
      </c>
      <c r="O244" s="104">
        <v>0</v>
      </c>
      <c r="P244" s="104">
        <v>380</v>
      </c>
      <c r="Q244" s="104">
        <v>456</v>
      </c>
      <c r="R244" s="104">
        <v>228</v>
      </c>
      <c r="S244" s="104"/>
    </row>
    <row r="245" spans="10:19" ht="15.75">
      <c r="J245" s="236"/>
      <c r="K245" s="221"/>
      <c r="L245" s="215"/>
      <c r="M245" s="165"/>
      <c r="N245" s="234"/>
      <c r="O245" s="104"/>
      <c r="P245" s="104"/>
      <c r="Q245" s="104"/>
      <c r="R245" s="104"/>
      <c r="S245" s="104"/>
    </row>
    <row r="246" spans="10:19" ht="15.75">
      <c r="J246" s="236"/>
      <c r="K246" s="221" t="s">
        <v>153</v>
      </c>
      <c r="L246" s="215"/>
      <c r="M246" s="165">
        <v>151</v>
      </c>
      <c r="N246" s="234">
        <v>31594</v>
      </c>
      <c r="O246" s="104">
        <v>2620</v>
      </c>
      <c r="P246" s="104">
        <v>34214</v>
      </c>
      <c r="Q246" s="104">
        <v>23282.6</v>
      </c>
      <c r="R246" s="104">
        <v>14726.619999999999</v>
      </c>
      <c r="S246" s="104"/>
    </row>
    <row r="247" spans="10:19" ht="15.75">
      <c r="J247" s="236"/>
      <c r="K247" s="226" t="s">
        <v>137</v>
      </c>
      <c r="L247" s="215"/>
      <c r="M247" s="165">
        <v>84</v>
      </c>
      <c r="N247" s="234">
        <v>19416</v>
      </c>
      <c r="O247" s="104">
        <v>2100</v>
      </c>
      <c r="P247" s="104">
        <v>21516</v>
      </c>
      <c r="Q247" s="104">
        <v>17134.28</v>
      </c>
      <c r="R247" s="104">
        <v>11208.395999999999</v>
      </c>
      <c r="S247" s="104"/>
    </row>
    <row r="248" spans="10:19" ht="15.75">
      <c r="J248" s="236"/>
      <c r="K248" s="227" t="s">
        <v>21</v>
      </c>
      <c r="L248" s="218" t="s">
        <v>198</v>
      </c>
      <c r="M248" s="165">
        <v>16</v>
      </c>
      <c r="N248" s="234">
        <v>6880</v>
      </c>
      <c r="O248" s="104">
        <v>2100</v>
      </c>
      <c r="P248" s="104">
        <v>8980</v>
      </c>
      <c r="Q248" s="104">
        <v>11225</v>
      </c>
      <c r="R248" s="104">
        <v>7857.4999999999982</v>
      </c>
      <c r="S248" s="104"/>
    </row>
    <row r="249" spans="10:19" ht="15.75">
      <c r="J249" s="236"/>
      <c r="K249" s="227" t="s">
        <v>38</v>
      </c>
      <c r="L249" s="218" t="s">
        <v>198</v>
      </c>
      <c r="M249" s="165">
        <v>4</v>
      </c>
      <c r="N249" s="234">
        <v>1624</v>
      </c>
      <c r="O249" s="104">
        <v>0</v>
      </c>
      <c r="P249" s="104">
        <v>1624</v>
      </c>
      <c r="Q249" s="104">
        <v>1981.28</v>
      </c>
      <c r="R249" s="104">
        <v>1386.896</v>
      </c>
      <c r="S249" s="104"/>
    </row>
    <row r="250" spans="10:19" ht="15.75">
      <c r="J250" s="236"/>
      <c r="K250" s="227" t="s">
        <v>15</v>
      </c>
      <c r="L250" s="218">
        <v>0</v>
      </c>
      <c r="M250" s="165">
        <v>64</v>
      </c>
      <c r="N250" s="234">
        <v>10912</v>
      </c>
      <c r="O250" s="104">
        <v>0</v>
      </c>
      <c r="P250" s="104">
        <v>10912</v>
      </c>
      <c r="Q250" s="104">
        <v>3928</v>
      </c>
      <c r="R250" s="104">
        <v>1964</v>
      </c>
      <c r="S250" s="104"/>
    </row>
    <row r="251" spans="10:19" ht="15.75">
      <c r="J251" s="236"/>
      <c r="K251" s="226" t="s">
        <v>138</v>
      </c>
      <c r="L251" s="215"/>
      <c r="M251" s="165">
        <v>67</v>
      </c>
      <c r="N251" s="234">
        <v>12178</v>
      </c>
      <c r="O251" s="104">
        <v>520</v>
      </c>
      <c r="P251" s="104">
        <v>12698</v>
      </c>
      <c r="Q251" s="104">
        <v>6148.32</v>
      </c>
      <c r="R251" s="104">
        <v>3518.2240000000002</v>
      </c>
      <c r="S251" s="104"/>
    </row>
    <row r="252" spans="10:19" ht="15.75">
      <c r="J252" s="236"/>
      <c r="K252" s="227" t="s">
        <v>21</v>
      </c>
      <c r="L252" s="218" t="s">
        <v>198</v>
      </c>
      <c r="M252" s="165">
        <v>2</v>
      </c>
      <c r="N252" s="234">
        <v>860</v>
      </c>
      <c r="O252" s="104">
        <v>0</v>
      </c>
      <c r="P252" s="104">
        <v>860</v>
      </c>
      <c r="Q252" s="104">
        <v>1075</v>
      </c>
      <c r="R252" s="104">
        <v>752.5</v>
      </c>
      <c r="S252" s="104"/>
    </row>
    <row r="253" spans="10:19" ht="15.75">
      <c r="J253" s="236"/>
      <c r="K253" s="227" t="s">
        <v>38</v>
      </c>
      <c r="L253" s="218" t="s">
        <v>198</v>
      </c>
      <c r="M253" s="165">
        <v>1</v>
      </c>
      <c r="N253" s="234">
        <v>406</v>
      </c>
      <c r="O253" s="104">
        <v>0</v>
      </c>
      <c r="P253" s="104">
        <v>406</v>
      </c>
      <c r="Q253" s="104">
        <v>495.32</v>
      </c>
      <c r="R253" s="104">
        <v>346.72399999999999</v>
      </c>
      <c r="S253" s="104"/>
    </row>
    <row r="254" spans="10:19" ht="15.75">
      <c r="J254" s="236"/>
      <c r="K254" s="227" t="s">
        <v>15</v>
      </c>
      <c r="L254" s="218">
        <v>0</v>
      </c>
      <c r="M254" s="165">
        <v>64</v>
      </c>
      <c r="N254" s="234">
        <v>10912</v>
      </c>
      <c r="O254" s="104">
        <v>0</v>
      </c>
      <c r="P254" s="104">
        <v>10912</v>
      </c>
      <c r="Q254" s="104">
        <v>3928</v>
      </c>
      <c r="R254" s="104">
        <v>1964</v>
      </c>
      <c r="S254" s="104"/>
    </row>
    <row r="255" spans="10:19" ht="15.75">
      <c r="J255" s="236"/>
      <c r="K255" s="227" t="s">
        <v>16</v>
      </c>
      <c r="L255" s="218" t="s">
        <v>198</v>
      </c>
      <c r="M255" s="165"/>
      <c r="N255" s="234">
        <v>0</v>
      </c>
      <c r="O255" s="104">
        <v>520</v>
      </c>
      <c r="P255" s="104">
        <v>520</v>
      </c>
      <c r="Q255" s="104">
        <v>650</v>
      </c>
      <c r="R255" s="104">
        <v>454.99999999999994</v>
      </c>
      <c r="S255" s="104"/>
    </row>
    <row r="256" spans="10:19" ht="15.75">
      <c r="J256" s="236"/>
      <c r="K256" s="221"/>
      <c r="L256" s="215"/>
      <c r="M256" s="165"/>
      <c r="N256" s="234"/>
      <c r="O256" s="104"/>
      <c r="P256" s="104"/>
      <c r="Q256" s="104"/>
      <c r="R256" s="104"/>
      <c r="S256" s="104"/>
    </row>
    <row r="257" spans="10:19" ht="15.75">
      <c r="J257" s="236"/>
      <c r="K257" s="221" t="s">
        <v>198</v>
      </c>
      <c r="L257" s="215"/>
      <c r="M257" s="165">
        <v>5</v>
      </c>
      <c r="N257" s="234">
        <v>150</v>
      </c>
      <c r="O257" s="104">
        <v>0</v>
      </c>
      <c r="P257" s="104">
        <v>150</v>
      </c>
      <c r="Q257" s="104">
        <v>174</v>
      </c>
      <c r="R257" s="104">
        <v>87</v>
      </c>
      <c r="S257" s="104"/>
    </row>
    <row r="258" spans="10:19" ht="15.75">
      <c r="J258" s="236"/>
      <c r="K258" s="226" t="s">
        <v>146</v>
      </c>
      <c r="L258" s="215"/>
      <c r="M258" s="165">
        <v>5</v>
      </c>
      <c r="N258" s="234">
        <v>150</v>
      </c>
      <c r="O258" s="104">
        <v>0</v>
      </c>
      <c r="P258" s="104">
        <v>150</v>
      </c>
      <c r="Q258" s="104">
        <v>174</v>
      </c>
      <c r="R258" s="104">
        <v>87</v>
      </c>
      <c r="S258" s="104"/>
    </row>
    <row r="259" spans="10:19" ht="15.75">
      <c r="J259" s="236"/>
      <c r="K259" s="227" t="s">
        <v>79</v>
      </c>
      <c r="L259" s="218" t="s">
        <v>198</v>
      </c>
      <c r="M259" s="165">
        <v>5</v>
      </c>
      <c r="N259" s="234">
        <v>150</v>
      </c>
      <c r="O259" s="104">
        <v>0</v>
      </c>
      <c r="P259" s="104">
        <v>150</v>
      </c>
      <c r="Q259" s="104">
        <v>174</v>
      </c>
      <c r="R259" s="104">
        <v>87</v>
      </c>
      <c r="S259" s="104"/>
    </row>
    <row r="260" spans="10:19" ht="15.75">
      <c r="J260" s="236"/>
      <c r="K260" s="221"/>
      <c r="L260" s="215"/>
      <c r="M260" s="165"/>
      <c r="N260" s="234"/>
      <c r="O260" s="104"/>
      <c r="P260" s="104"/>
      <c r="Q260" s="104"/>
      <c r="R260" s="104"/>
      <c r="S260" s="104"/>
    </row>
    <row r="261" spans="10:19" ht="15.75">
      <c r="J261" s="235" t="s">
        <v>34</v>
      </c>
      <c r="K261" s="218" t="s">
        <v>27</v>
      </c>
      <c r="L261" s="215"/>
      <c r="M261" s="165">
        <v>174.5</v>
      </c>
      <c r="N261" s="234">
        <v>71096</v>
      </c>
      <c r="O261" s="104">
        <v>30360</v>
      </c>
      <c r="P261" s="104">
        <v>101456</v>
      </c>
      <c r="Q261" s="104">
        <v>97051.290000000023</v>
      </c>
      <c r="R261" s="104">
        <v>60352.995000000003</v>
      </c>
      <c r="S261" s="104"/>
    </row>
    <row r="262" spans="10:19" ht="15.75">
      <c r="J262" s="236"/>
      <c r="K262" s="221" t="s">
        <v>63</v>
      </c>
      <c r="L262" s="215"/>
      <c r="M262" s="165">
        <v>78.5</v>
      </c>
      <c r="N262" s="234">
        <v>32071</v>
      </c>
      <c r="O262" s="104">
        <v>21030</v>
      </c>
      <c r="P262" s="104">
        <v>53101</v>
      </c>
      <c r="Q262" s="104">
        <v>53944.090000000004</v>
      </c>
      <c r="R262" s="104">
        <v>35215.947</v>
      </c>
      <c r="S262" s="104"/>
    </row>
    <row r="263" spans="10:19" ht="15.75">
      <c r="J263" s="236"/>
      <c r="K263" s="226" t="s">
        <v>256</v>
      </c>
      <c r="L263" s="215"/>
      <c r="M263" s="165">
        <v>1</v>
      </c>
      <c r="N263" s="234">
        <v>350</v>
      </c>
      <c r="O263" s="104">
        <v>0</v>
      </c>
      <c r="P263" s="104">
        <v>350</v>
      </c>
      <c r="Q263" s="104">
        <v>437.5</v>
      </c>
      <c r="R263" s="104">
        <v>218.75</v>
      </c>
      <c r="S263" s="104"/>
    </row>
    <row r="264" spans="10:19" ht="15.75">
      <c r="J264" s="236"/>
      <c r="K264" s="227" t="s">
        <v>20</v>
      </c>
      <c r="L264" s="218" t="s">
        <v>257</v>
      </c>
      <c r="M264" s="165">
        <v>1</v>
      </c>
      <c r="N264" s="234">
        <v>350</v>
      </c>
      <c r="O264" s="104">
        <v>0</v>
      </c>
      <c r="P264" s="104">
        <v>350</v>
      </c>
      <c r="Q264" s="104">
        <v>437.5</v>
      </c>
      <c r="R264" s="104">
        <v>218.75</v>
      </c>
      <c r="S264" s="104"/>
    </row>
    <row r="265" spans="10:19" ht="15.75">
      <c r="J265" s="236"/>
      <c r="K265" s="226" t="s">
        <v>126</v>
      </c>
      <c r="L265" s="215"/>
      <c r="M265" s="165">
        <v>3.5</v>
      </c>
      <c r="N265" s="234">
        <v>1547</v>
      </c>
      <c r="O265" s="104">
        <v>1190</v>
      </c>
      <c r="P265" s="104">
        <v>2737</v>
      </c>
      <c r="Q265" s="104">
        <v>3396.89</v>
      </c>
      <c r="R265" s="104">
        <v>2377.8229999999999</v>
      </c>
      <c r="S265" s="104"/>
    </row>
    <row r="266" spans="10:19" ht="15.75">
      <c r="J266" s="236"/>
      <c r="K266" s="227" t="s">
        <v>18</v>
      </c>
      <c r="L266" s="218">
        <v>0</v>
      </c>
      <c r="M266" s="165">
        <v>1.5</v>
      </c>
      <c r="N266" s="234">
        <v>735</v>
      </c>
      <c r="O266" s="104">
        <v>150</v>
      </c>
      <c r="P266" s="104">
        <v>885</v>
      </c>
      <c r="Q266" s="104">
        <v>1106.25</v>
      </c>
      <c r="R266" s="104">
        <v>774.375</v>
      </c>
      <c r="S266" s="104"/>
    </row>
    <row r="267" spans="10:19" ht="15.75">
      <c r="J267" s="236"/>
      <c r="K267" s="227" t="s">
        <v>38</v>
      </c>
      <c r="L267" s="218" t="s">
        <v>198</v>
      </c>
      <c r="M267" s="165">
        <v>2</v>
      </c>
      <c r="N267" s="234">
        <v>812</v>
      </c>
      <c r="O267" s="104">
        <v>0</v>
      </c>
      <c r="P267" s="104">
        <v>812</v>
      </c>
      <c r="Q267" s="104">
        <v>990.64</v>
      </c>
      <c r="R267" s="104">
        <v>693.44799999999998</v>
      </c>
      <c r="S267" s="104"/>
    </row>
    <row r="268" spans="10:19" ht="15.75">
      <c r="J268" s="236"/>
      <c r="K268" s="227" t="s">
        <v>16</v>
      </c>
      <c r="L268" s="218" t="s">
        <v>198</v>
      </c>
      <c r="M268" s="165"/>
      <c r="N268" s="234">
        <v>0</v>
      </c>
      <c r="O268" s="104">
        <v>1040</v>
      </c>
      <c r="P268" s="104">
        <v>1040</v>
      </c>
      <c r="Q268" s="104">
        <v>1300</v>
      </c>
      <c r="R268" s="104">
        <v>909.99999999999989</v>
      </c>
      <c r="S268" s="104"/>
    </row>
    <row r="269" spans="10:19" ht="15.75">
      <c r="J269" s="236"/>
      <c r="K269" s="226" t="s">
        <v>127</v>
      </c>
      <c r="L269" s="215"/>
      <c r="M269" s="165">
        <v>4</v>
      </c>
      <c r="N269" s="234">
        <v>1792</v>
      </c>
      <c r="O269" s="104">
        <v>1340</v>
      </c>
      <c r="P269" s="104">
        <v>3132</v>
      </c>
      <c r="Q269" s="104">
        <v>3890.64</v>
      </c>
      <c r="R269" s="104">
        <v>2723.4479999999999</v>
      </c>
      <c r="S269" s="104"/>
    </row>
    <row r="270" spans="10:19" ht="15.75">
      <c r="J270" s="236"/>
      <c r="K270" s="227" t="s">
        <v>18</v>
      </c>
      <c r="L270" s="218">
        <v>0</v>
      </c>
      <c r="M270" s="165">
        <v>2</v>
      </c>
      <c r="N270" s="234">
        <v>980</v>
      </c>
      <c r="O270" s="104">
        <v>300</v>
      </c>
      <c r="P270" s="104">
        <v>1280</v>
      </c>
      <c r="Q270" s="104">
        <v>1600</v>
      </c>
      <c r="R270" s="104">
        <v>1120</v>
      </c>
      <c r="S270" s="104"/>
    </row>
    <row r="271" spans="10:19" ht="15.75">
      <c r="J271" s="236"/>
      <c r="K271" s="227" t="s">
        <v>38</v>
      </c>
      <c r="L271" s="218" t="s">
        <v>198</v>
      </c>
      <c r="M271" s="165">
        <v>2</v>
      </c>
      <c r="N271" s="234">
        <v>812</v>
      </c>
      <c r="O271" s="104">
        <v>0</v>
      </c>
      <c r="P271" s="104">
        <v>812</v>
      </c>
      <c r="Q271" s="104">
        <v>990.64</v>
      </c>
      <c r="R271" s="104">
        <v>693.44799999999998</v>
      </c>
      <c r="S271" s="104"/>
    </row>
    <row r="272" spans="10:19" ht="15.75">
      <c r="J272" s="236"/>
      <c r="K272" s="227" t="s">
        <v>16</v>
      </c>
      <c r="L272" s="218" t="s">
        <v>198</v>
      </c>
      <c r="M272" s="165"/>
      <c r="N272" s="234">
        <v>0</v>
      </c>
      <c r="O272" s="104">
        <v>1040</v>
      </c>
      <c r="P272" s="104">
        <v>1040</v>
      </c>
      <c r="Q272" s="104">
        <v>1300</v>
      </c>
      <c r="R272" s="104">
        <v>909.99999999999989</v>
      </c>
      <c r="S272" s="104"/>
    </row>
    <row r="273" spans="10:19" ht="15.75">
      <c r="J273" s="236"/>
      <c r="K273" s="226" t="s">
        <v>128</v>
      </c>
      <c r="L273" s="215"/>
      <c r="M273" s="165">
        <v>9</v>
      </c>
      <c r="N273" s="234">
        <v>2986</v>
      </c>
      <c r="O273" s="104">
        <v>520</v>
      </c>
      <c r="P273" s="104">
        <v>3506</v>
      </c>
      <c r="Q273" s="104">
        <v>4303.42</v>
      </c>
      <c r="R273" s="104">
        <v>2924.8939999999998</v>
      </c>
      <c r="S273" s="104"/>
    </row>
    <row r="274" spans="10:19" ht="15.75">
      <c r="J274" s="236"/>
      <c r="K274" s="227" t="s">
        <v>38</v>
      </c>
      <c r="L274" s="218" t="s">
        <v>164</v>
      </c>
      <c r="M274" s="165">
        <v>8</v>
      </c>
      <c r="N274" s="234">
        <v>2636</v>
      </c>
      <c r="O274" s="104">
        <v>0</v>
      </c>
      <c r="P274" s="104">
        <v>2636</v>
      </c>
      <c r="Q274" s="104">
        <v>3215.92</v>
      </c>
      <c r="R274" s="104">
        <v>2251.1439999999998</v>
      </c>
      <c r="S274" s="104"/>
    </row>
    <row r="275" spans="10:19" ht="15.75">
      <c r="J275" s="236"/>
      <c r="K275" s="227" t="s">
        <v>16</v>
      </c>
      <c r="L275" s="218" t="s">
        <v>164</v>
      </c>
      <c r="M275" s="165"/>
      <c r="N275" s="234">
        <v>0</v>
      </c>
      <c r="O275" s="104">
        <v>520</v>
      </c>
      <c r="P275" s="104">
        <v>520</v>
      </c>
      <c r="Q275" s="104">
        <v>650</v>
      </c>
      <c r="R275" s="104">
        <v>454.99999999999994</v>
      </c>
      <c r="S275" s="104"/>
    </row>
    <row r="276" spans="10:19" ht="15.75">
      <c r="J276" s="236"/>
      <c r="K276" s="227" t="s">
        <v>20</v>
      </c>
      <c r="L276" s="218" t="s">
        <v>198</v>
      </c>
      <c r="M276" s="165">
        <v>1</v>
      </c>
      <c r="N276" s="234">
        <v>350</v>
      </c>
      <c r="O276" s="104">
        <v>0</v>
      </c>
      <c r="P276" s="104">
        <v>350</v>
      </c>
      <c r="Q276" s="104">
        <v>437.5</v>
      </c>
      <c r="R276" s="104">
        <v>218.75</v>
      </c>
      <c r="S276" s="104"/>
    </row>
    <row r="277" spans="10:19" ht="15.75">
      <c r="J277" s="236"/>
      <c r="K277" s="226" t="s">
        <v>129</v>
      </c>
      <c r="L277" s="215"/>
      <c r="M277" s="165">
        <v>57</v>
      </c>
      <c r="N277" s="234">
        <v>24078</v>
      </c>
      <c r="O277" s="104">
        <v>17460</v>
      </c>
      <c r="P277" s="104">
        <v>41538</v>
      </c>
      <c r="Q277" s="104">
        <v>39657.68</v>
      </c>
      <c r="R277" s="104">
        <v>25390.46</v>
      </c>
      <c r="S277" s="104"/>
    </row>
    <row r="278" spans="10:19" ht="15.75">
      <c r="J278" s="236"/>
      <c r="K278" s="227" t="s">
        <v>18</v>
      </c>
      <c r="L278" s="218">
        <v>0</v>
      </c>
      <c r="M278" s="165">
        <v>4</v>
      </c>
      <c r="N278" s="234">
        <v>1960</v>
      </c>
      <c r="O278" s="104">
        <v>300</v>
      </c>
      <c r="P278" s="104">
        <v>2260</v>
      </c>
      <c r="Q278" s="104">
        <v>2825</v>
      </c>
      <c r="R278" s="104">
        <v>1977.5</v>
      </c>
      <c r="S278" s="104"/>
    </row>
    <row r="279" spans="10:19" ht="15.75">
      <c r="J279" s="236"/>
      <c r="K279" s="227" t="s">
        <v>21</v>
      </c>
      <c r="L279" s="218" t="s">
        <v>198</v>
      </c>
      <c r="M279" s="165">
        <v>6</v>
      </c>
      <c r="N279" s="234">
        <v>2580</v>
      </c>
      <c r="O279" s="104">
        <v>900</v>
      </c>
      <c r="P279" s="104">
        <v>3480</v>
      </c>
      <c r="Q279" s="104">
        <v>4350</v>
      </c>
      <c r="R279" s="104">
        <v>3045</v>
      </c>
      <c r="S279" s="104"/>
    </row>
    <row r="280" spans="10:19" ht="15.75">
      <c r="J280" s="236"/>
      <c r="K280" s="227" t="s">
        <v>38</v>
      </c>
      <c r="L280" s="218" t="s">
        <v>164</v>
      </c>
      <c r="M280" s="165">
        <v>6</v>
      </c>
      <c r="N280" s="234">
        <v>2130</v>
      </c>
      <c r="O280" s="104">
        <v>600</v>
      </c>
      <c r="P280" s="104">
        <v>2730</v>
      </c>
      <c r="Q280" s="104">
        <v>3330.6000000000004</v>
      </c>
      <c r="R280" s="104">
        <v>2331.4199999999996</v>
      </c>
      <c r="S280" s="104"/>
    </row>
    <row r="281" spans="10:19" ht="15.75">
      <c r="J281" s="236"/>
      <c r="K281" s="227" t="s">
        <v>15</v>
      </c>
      <c r="L281" s="218">
        <v>0</v>
      </c>
      <c r="M281" s="165">
        <v>4</v>
      </c>
      <c r="N281" s="234">
        <v>3168</v>
      </c>
      <c r="O281" s="104">
        <v>300</v>
      </c>
      <c r="P281" s="104">
        <v>3468</v>
      </c>
      <c r="Q281" s="104">
        <v>1167</v>
      </c>
      <c r="R281" s="104">
        <v>583.5</v>
      </c>
      <c r="S281" s="104"/>
    </row>
    <row r="282" spans="10:19" ht="15.75">
      <c r="J282" s="236"/>
      <c r="K282" s="227" t="s">
        <v>79</v>
      </c>
      <c r="L282" s="218" t="s">
        <v>198</v>
      </c>
      <c r="M282" s="165">
        <v>6</v>
      </c>
      <c r="N282" s="234">
        <v>2163</v>
      </c>
      <c r="O282" s="104">
        <v>600</v>
      </c>
      <c r="P282" s="104">
        <v>2763</v>
      </c>
      <c r="Q282" s="104">
        <v>1042.08</v>
      </c>
      <c r="R282" s="104">
        <v>521.04</v>
      </c>
      <c r="S282" s="104"/>
    </row>
    <row r="283" spans="10:19" ht="15.75">
      <c r="J283" s="236"/>
      <c r="K283" s="227" t="s">
        <v>135</v>
      </c>
      <c r="L283" s="218" t="s">
        <v>198</v>
      </c>
      <c r="M283" s="165">
        <v>6</v>
      </c>
      <c r="N283" s="234">
        <v>2532</v>
      </c>
      <c r="O283" s="104">
        <v>450</v>
      </c>
      <c r="P283" s="104">
        <v>2982</v>
      </c>
      <c r="Q283" s="104">
        <v>3727.5</v>
      </c>
      <c r="R283" s="104">
        <v>2609.25</v>
      </c>
      <c r="S283" s="104"/>
    </row>
    <row r="284" spans="10:19" ht="15.75">
      <c r="J284" s="236"/>
      <c r="K284" s="227" t="s">
        <v>16</v>
      </c>
      <c r="L284" s="218" t="s">
        <v>164</v>
      </c>
      <c r="M284" s="165"/>
      <c r="N284" s="234">
        <v>0</v>
      </c>
      <c r="O284" s="104">
        <v>1560</v>
      </c>
      <c r="P284" s="104">
        <v>1560</v>
      </c>
      <c r="Q284" s="104">
        <v>1950</v>
      </c>
      <c r="R284" s="104">
        <v>1365</v>
      </c>
      <c r="S284" s="104"/>
    </row>
    <row r="285" spans="10:19" ht="15.75">
      <c r="J285" s="236"/>
      <c r="K285" s="215"/>
      <c r="L285" s="218" t="s">
        <v>165</v>
      </c>
      <c r="M285" s="165"/>
      <c r="N285" s="234">
        <v>0</v>
      </c>
      <c r="O285" s="104">
        <v>9300</v>
      </c>
      <c r="P285" s="104">
        <v>9300</v>
      </c>
      <c r="Q285" s="104">
        <v>11625</v>
      </c>
      <c r="R285" s="104">
        <v>8137.4999999999982</v>
      </c>
      <c r="S285" s="104"/>
    </row>
    <row r="286" spans="10:19" ht="15.75">
      <c r="J286" s="236"/>
      <c r="K286" s="227" t="s">
        <v>17</v>
      </c>
      <c r="L286" s="218" t="s">
        <v>233</v>
      </c>
      <c r="M286" s="165">
        <v>15</v>
      </c>
      <c r="N286" s="234">
        <v>5925</v>
      </c>
      <c r="O286" s="104">
        <v>2250</v>
      </c>
      <c r="P286" s="104">
        <v>8175</v>
      </c>
      <c r="Q286" s="104">
        <v>3721.4999999999995</v>
      </c>
      <c r="R286" s="104">
        <v>1860.7499999999998</v>
      </c>
      <c r="S286" s="104"/>
    </row>
    <row r="287" spans="10:19" ht="15.75">
      <c r="J287" s="236"/>
      <c r="K287" s="227" t="s">
        <v>19</v>
      </c>
      <c r="L287" s="218" t="s">
        <v>164</v>
      </c>
      <c r="M287" s="165">
        <v>3</v>
      </c>
      <c r="N287" s="234">
        <v>1050</v>
      </c>
      <c r="O287" s="104">
        <v>300</v>
      </c>
      <c r="P287" s="104">
        <v>1350</v>
      </c>
      <c r="Q287" s="104">
        <v>1687.5</v>
      </c>
      <c r="R287" s="104">
        <v>843.75</v>
      </c>
      <c r="S287" s="104"/>
    </row>
    <row r="288" spans="10:19" ht="15.75">
      <c r="J288" s="236"/>
      <c r="K288" s="227" t="s">
        <v>22</v>
      </c>
      <c r="L288" s="218" t="s">
        <v>198</v>
      </c>
      <c r="M288" s="165">
        <v>4</v>
      </c>
      <c r="N288" s="234">
        <v>1520</v>
      </c>
      <c r="O288" s="104">
        <v>600</v>
      </c>
      <c r="P288" s="104">
        <v>2120</v>
      </c>
      <c r="Q288" s="104">
        <v>2544</v>
      </c>
      <c r="R288" s="104">
        <v>1272</v>
      </c>
      <c r="S288" s="104"/>
    </row>
    <row r="289" spans="10:19" ht="15.75">
      <c r="J289" s="236"/>
      <c r="K289" s="227" t="s">
        <v>20</v>
      </c>
      <c r="L289" s="218" t="s">
        <v>255</v>
      </c>
      <c r="M289" s="165">
        <v>3</v>
      </c>
      <c r="N289" s="234">
        <v>1050</v>
      </c>
      <c r="O289" s="104">
        <v>300</v>
      </c>
      <c r="P289" s="104">
        <v>1350</v>
      </c>
      <c r="Q289" s="104">
        <v>1687.5</v>
      </c>
      <c r="R289" s="104">
        <v>843.75</v>
      </c>
      <c r="S289" s="104"/>
    </row>
    <row r="290" spans="10:19" ht="15.75">
      <c r="J290" s="236"/>
      <c r="K290" s="226" t="s">
        <v>130</v>
      </c>
      <c r="L290" s="215"/>
      <c r="M290" s="165">
        <v>4</v>
      </c>
      <c r="N290" s="234">
        <v>1318</v>
      </c>
      <c r="O290" s="104">
        <v>520</v>
      </c>
      <c r="P290" s="104">
        <v>1838</v>
      </c>
      <c r="Q290" s="104">
        <v>2257.96</v>
      </c>
      <c r="R290" s="104">
        <v>1580.5719999999999</v>
      </c>
      <c r="S290" s="104"/>
    </row>
    <row r="291" spans="10:19" ht="15.75">
      <c r="J291" s="236"/>
      <c r="K291" s="227" t="s">
        <v>38</v>
      </c>
      <c r="L291" s="218" t="s">
        <v>198</v>
      </c>
      <c r="M291" s="165">
        <v>4</v>
      </c>
      <c r="N291" s="234">
        <v>1318</v>
      </c>
      <c r="O291" s="104">
        <v>0</v>
      </c>
      <c r="P291" s="104">
        <v>1318</v>
      </c>
      <c r="Q291" s="104">
        <v>1607.96</v>
      </c>
      <c r="R291" s="104">
        <v>1125.5719999999999</v>
      </c>
      <c r="S291" s="104"/>
    </row>
    <row r="292" spans="10:19" ht="15.75">
      <c r="J292" s="236"/>
      <c r="K292" s="227" t="s">
        <v>16</v>
      </c>
      <c r="L292" s="218" t="s">
        <v>164</v>
      </c>
      <c r="M292" s="165"/>
      <c r="N292" s="234">
        <v>0</v>
      </c>
      <c r="O292" s="104">
        <v>520</v>
      </c>
      <c r="P292" s="104">
        <v>520</v>
      </c>
      <c r="Q292" s="104">
        <v>650</v>
      </c>
      <c r="R292" s="104">
        <v>454.99999999999994</v>
      </c>
      <c r="S292" s="104"/>
    </row>
    <row r="293" spans="10:19" ht="15.75">
      <c r="J293" s="236"/>
      <c r="K293" s="221"/>
      <c r="L293" s="215"/>
      <c r="M293" s="165"/>
      <c r="N293" s="234"/>
      <c r="O293" s="104"/>
      <c r="P293" s="104"/>
      <c r="Q293" s="104"/>
      <c r="R293" s="104"/>
      <c r="S293" s="104"/>
    </row>
    <row r="294" spans="10:19" ht="15.75">
      <c r="J294" s="236"/>
      <c r="K294" s="221" t="s">
        <v>64</v>
      </c>
      <c r="L294" s="215"/>
      <c r="M294" s="165">
        <v>61</v>
      </c>
      <c r="N294" s="234">
        <v>25307</v>
      </c>
      <c r="O294" s="104">
        <v>5610</v>
      </c>
      <c r="P294" s="104">
        <v>30917</v>
      </c>
      <c r="Q294" s="104">
        <v>23302.980000000003</v>
      </c>
      <c r="R294" s="104">
        <v>13118.682000000001</v>
      </c>
      <c r="S294" s="104"/>
    </row>
    <row r="295" spans="10:19" ht="15.75">
      <c r="J295" s="236"/>
      <c r="K295" s="226" t="s">
        <v>131</v>
      </c>
      <c r="L295" s="215"/>
      <c r="M295" s="165">
        <v>44</v>
      </c>
      <c r="N295" s="234">
        <v>18173</v>
      </c>
      <c r="O295" s="104">
        <v>5090</v>
      </c>
      <c r="P295" s="104">
        <v>23263</v>
      </c>
      <c r="Q295" s="104">
        <v>17055.940000000002</v>
      </c>
      <c r="R295" s="104">
        <v>9766.098</v>
      </c>
      <c r="S295" s="104"/>
    </row>
    <row r="296" spans="10:19" ht="15.75">
      <c r="J296" s="236"/>
      <c r="K296" s="227" t="s">
        <v>18</v>
      </c>
      <c r="L296" s="218">
        <v>0</v>
      </c>
      <c r="M296" s="165">
        <v>4</v>
      </c>
      <c r="N296" s="234">
        <v>1960</v>
      </c>
      <c r="O296" s="104">
        <v>0</v>
      </c>
      <c r="P296" s="104">
        <v>1960</v>
      </c>
      <c r="Q296" s="104">
        <v>2450</v>
      </c>
      <c r="R296" s="104">
        <v>1715</v>
      </c>
      <c r="S296" s="104"/>
    </row>
    <row r="297" spans="10:19" ht="15.75">
      <c r="J297" s="236"/>
      <c r="K297" s="227" t="s">
        <v>21</v>
      </c>
      <c r="L297" s="218" t="s">
        <v>198</v>
      </c>
      <c r="M297" s="165">
        <v>2</v>
      </c>
      <c r="N297" s="234">
        <v>860</v>
      </c>
      <c r="O297" s="104">
        <v>300</v>
      </c>
      <c r="P297" s="104">
        <v>1160</v>
      </c>
      <c r="Q297" s="104">
        <v>1450</v>
      </c>
      <c r="R297" s="104">
        <v>1015</v>
      </c>
      <c r="S297" s="104"/>
    </row>
    <row r="298" spans="10:19" ht="15.75">
      <c r="J298" s="236"/>
      <c r="K298" s="227" t="s">
        <v>38</v>
      </c>
      <c r="L298" s="218" t="s">
        <v>198</v>
      </c>
      <c r="M298" s="165">
        <v>2</v>
      </c>
      <c r="N298" s="234">
        <v>812</v>
      </c>
      <c r="O298" s="104">
        <v>0</v>
      </c>
      <c r="P298" s="104">
        <v>812</v>
      </c>
      <c r="Q298" s="104">
        <v>990.64</v>
      </c>
      <c r="R298" s="104">
        <v>693.44799999999998</v>
      </c>
      <c r="S298" s="104"/>
    </row>
    <row r="299" spans="10:19" ht="15.75">
      <c r="J299" s="236"/>
      <c r="K299" s="227" t="s">
        <v>15</v>
      </c>
      <c r="L299" s="218">
        <v>0</v>
      </c>
      <c r="M299" s="165">
        <v>4</v>
      </c>
      <c r="N299" s="234">
        <v>2336</v>
      </c>
      <c r="O299" s="104">
        <v>0</v>
      </c>
      <c r="P299" s="104">
        <v>2336</v>
      </c>
      <c r="Q299" s="104">
        <v>584</v>
      </c>
      <c r="R299" s="104">
        <v>292</v>
      </c>
      <c r="S299" s="104"/>
    </row>
    <row r="300" spans="10:19" ht="15.75">
      <c r="J300" s="236"/>
      <c r="K300" s="227" t="s">
        <v>79</v>
      </c>
      <c r="L300" s="218" t="s">
        <v>198</v>
      </c>
      <c r="M300" s="165">
        <v>7</v>
      </c>
      <c r="N300" s="234">
        <v>2780</v>
      </c>
      <c r="O300" s="104">
        <v>1500</v>
      </c>
      <c r="P300" s="104">
        <v>4280</v>
      </c>
      <c r="Q300" s="104">
        <v>2184.8000000000002</v>
      </c>
      <c r="R300" s="104">
        <v>1092.4000000000001</v>
      </c>
      <c r="S300" s="104"/>
    </row>
    <row r="301" spans="10:19" ht="15.75">
      <c r="J301" s="236"/>
      <c r="K301" s="227" t="s">
        <v>16</v>
      </c>
      <c r="L301" s="218" t="s">
        <v>198</v>
      </c>
      <c r="M301" s="165"/>
      <c r="N301" s="234">
        <v>0</v>
      </c>
      <c r="O301" s="104">
        <v>1040</v>
      </c>
      <c r="P301" s="104">
        <v>1040</v>
      </c>
      <c r="Q301" s="104">
        <v>1300</v>
      </c>
      <c r="R301" s="104">
        <v>909.99999999999989</v>
      </c>
      <c r="S301" s="104"/>
    </row>
    <row r="302" spans="10:19" ht="15.75">
      <c r="J302" s="236"/>
      <c r="K302" s="227" t="s">
        <v>17</v>
      </c>
      <c r="L302" s="218" t="s">
        <v>233</v>
      </c>
      <c r="M302" s="165">
        <v>15</v>
      </c>
      <c r="N302" s="234">
        <v>5925</v>
      </c>
      <c r="O302" s="104">
        <v>2250</v>
      </c>
      <c r="P302" s="104">
        <v>8175</v>
      </c>
      <c r="Q302" s="104">
        <v>3721.4999999999995</v>
      </c>
      <c r="R302" s="104">
        <v>1860.7499999999998</v>
      </c>
      <c r="S302" s="104"/>
    </row>
    <row r="303" spans="10:19" ht="15.75">
      <c r="J303" s="236"/>
      <c r="K303" s="227" t="s">
        <v>19</v>
      </c>
      <c r="L303" s="218" t="s">
        <v>198</v>
      </c>
      <c r="M303" s="165">
        <v>5</v>
      </c>
      <c r="N303" s="234">
        <v>1750</v>
      </c>
      <c r="O303" s="104">
        <v>0</v>
      </c>
      <c r="P303" s="104">
        <v>1750</v>
      </c>
      <c r="Q303" s="104">
        <v>2187.5</v>
      </c>
      <c r="R303" s="104">
        <v>1093.75</v>
      </c>
      <c r="S303" s="104"/>
    </row>
    <row r="304" spans="10:19" ht="15.75">
      <c r="J304" s="236"/>
      <c r="K304" s="227" t="s">
        <v>20</v>
      </c>
      <c r="L304" s="218" t="s">
        <v>198</v>
      </c>
      <c r="M304" s="165">
        <v>5</v>
      </c>
      <c r="N304" s="234">
        <v>1750</v>
      </c>
      <c r="O304" s="104">
        <v>0</v>
      </c>
      <c r="P304" s="104">
        <v>1750</v>
      </c>
      <c r="Q304" s="104">
        <v>2187.5</v>
      </c>
      <c r="R304" s="104">
        <v>1093.75</v>
      </c>
      <c r="S304" s="104"/>
    </row>
    <row r="305" spans="10:19" ht="15.75">
      <c r="J305" s="236"/>
      <c r="K305" s="226" t="s">
        <v>132</v>
      </c>
      <c r="L305" s="215"/>
      <c r="M305" s="165">
        <v>17</v>
      </c>
      <c r="N305" s="234">
        <v>7134</v>
      </c>
      <c r="O305" s="104">
        <v>520</v>
      </c>
      <c r="P305" s="104">
        <v>7654</v>
      </c>
      <c r="Q305" s="104">
        <v>6247.04</v>
      </c>
      <c r="R305" s="104">
        <v>3352.5839999999998</v>
      </c>
      <c r="S305" s="104"/>
    </row>
    <row r="306" spans="10:19" ht="15.75">
      <c r="J306" s="236"/>
      <c r="K306" s="227" t="s">
        <v>38</v>
      </c>
      <c r="L306" s="218" t="s">
        <v>198</v>
      </c>
      <c r="M306" s="165">
        <v>1</v>
      </c>
      <c r="N306" s="234">
        <v>406</v>
      </c>
      <c r="O306" s="104">
        <v>0</v>
      </c>
      <c r="P306" s="104">
        <v>406</v>
      </c>
      <c r="Q306" s="104">
        <v>495.32</v>
      </c>
      <c r="R306" s="104">
        <v>346.72399999999999</v>
      </c>
      <c r="S306" s="104"/>
    </row>
    <row r="307" spans="10:19" ht="15.75">
      <c r="J307" s="236"/>
      <c r="K307" s="227" t="s">
        <v>15</v>
      </c>
      <c r="L307" s="218">
        <v>0</v>
      </c>
      <c r="M307" s="165">
        <v>4</v>
      </c>
      <c r="N307" s="234">
        <v>2336</v>
      </c>
      <c r="O307" s="104">
        <v>0</v>
      </c>
      <c r="P307" s="104">
        <v>2336</v>
      </c>
      <c r="Q307" s="104">
        <v>584</v>
      </c>
      <c r="R307" s="104">
        <v>292</v>
      </c>
      <c r="S307" s="104"/>
    </row>
    <row r="308" spans="10:19" ht="15.75">
      <c r="J308" s="236"/>
      <c r="K308" s="227" t="s">
        <v>79</v>
      </c>
      <c r="L308" s="218" t="s">
        <v>198</v>
      </c>
      <c r="M308" s="165">
        <v>2</v>
      </c>
      <c r="N308" s="234">
        <v>892</v>
      </c>
      <c r="O308" s="104">
        <v>0</v>
      </c>
      <c r="P308" s="104">
        <v>892</v>
      </c>
      <c r="Q308" s="104">
        <v>142.72</v>
      </c>
      <c r="R308" s="104">
        <v>71.36</v>
      </c>
      <c r="S308" s="104"/>
    </row>
    <row r="309" spans="10:19" ht="15.75">
      <c r="J309" s="236"/>
      <c r="K309" s="227" t="s">
        <v>16</v>
      </c>
      <c r="L309" s="218" t="s">
        <v>198</v>
      </c>
      <c r="M309" s="165"/>
      <c r="N309" s="234">
        <v>0</v>
      </c>
      <c r="O309" s="104">
        <v>520</v>
      </c>
      <c r="P309" s="104">
        <v>520</v>
      </c>
      <c r="Q309" s="104">
        <v>650</v>
      </c>
      <c r="R309" s="104">
        <v>454.99999999999994</v>
      </c>
      <c r="S309" s="104"/>
    </row>
    <row r="310" spans="10:19" ht="15.75">
      <c r="J310" s="236"/>
      <c r="K310" s="227" t="s">
        <v>19</v>
      </c>
      <c r="L310" s="218" t="s">
        <v>198</v>
      </c>
      <c r="M310" s="165">
        <v>5</v>
      </c>
      <c r="N310" s="234">
        <v>1750</v>
      </c>
      <c r="O310" s="104">
        <v>0</v>
      </c>
      <c r="P310" s="104">
        <v>1750</v>
      </c>
      <c r="Q310" s="104">
        <v>2187.5</v>
      </c>
      <c r="R310" s="104">
        <v>1093.75</v>
      </c>
      <c r="S310" s="104"/>
    </row>
    <row r="311" spans="10:19" ht="15.75">
      <c r="J311" s="236"/>
      <c r="K311" s="227" t="s">
        <v>20</v>
      </c>
      <c r="L311" s="218" t="s">
        <v>198</v>
      </c>
      <c r="M311" s="165">
        <v>5</v>
      </c>
      <c r="N311" s="234">
        <v>1750</v>
      </c>
      <c r="O311" s="104">
        <v>0</v>
      </c>
      <c r="P311" s="104">
        <v>1750</v>
      </c>
      <c r="Q311" s="104">
        <v>2187.5</v>
      </c>
      <c r="R311" s="104">
        <v>1093.75</v>
      </c>
      <c r="S311" s="104"/>
    </row>
    <row r="312" spans="10:19" ht="15.75">
      <c r="J312" s="236"/>
      <c r="K312" s="221"/>
      <c r="L312" s="215"/>
      <c r="M312" s="165"/>
      <c r="N312" s="234"/>
      <c r="O312" s="104"/>
      <c r="P312" s="104"/>
      <c r="Q312" s="104"/>
      <c r="R312" s="104"/>
      <c r="S312" s="104"/>
    </row>
    <row r="313" spans="10:19" ht="15.75">
      <c r="J313" s="236"/>
      <c r="K313" s="221" t="s">
        <v>65</v>
      </c>
      <c r="L313" s="215"/>
      <c r="M313" s="165">
        <v>35</v>
      </c>
      <c r="N313" s="234">
        <v>13718</v>
      </c>
      <c r="O313" s="104">
        <v>3720</v>
      </c>
      <c r="P313" s="104">
        <v>17438</v>
      </c>
      <c r="Q313" s="104">
        <v>19804.22</v>
      </c>
      <c r="R313" s="104">
        <v>12018.365999999998</v>
      </c>
      <c r="S313" s="104"/>
    </row>
    <row r="314" spans="10:19" ht="15.75">
      <c r="J314" s="236"/>
      <c r="K314" s="226" t="s">
        <v>133</v>
      </c>
      <c r="L314" s="215"/>
      <c r="M314" s="165">
        <v>10</v>
      </c>
      <c r="N314" s="234">
        <v>4028</v>
      </c>
      <c r="O314" s="104">
        <v>1710</v>
      </c>
      <c r="P314" s="104">
        <v>5738</v>
      </c>
      <c r="Q314" s="104">
        <v>6188.04</v>
      </c>
      <c r="R314" s="104">
        <v>3865.5839999999998</v>
      </c>
      <c r="S314" s="104"/>
    </row>
    <row r="315" spans="10:19" ht="15.75">
      <c r="J315" s="236"/>
      <c r="K315" s="227" t="s">
        <v>18</v>
      </c>
      <c r="L315" s="218">
        <v>0</v>
      </c>
      <c r="M315" s="165">
        <v>2</v>
      </c>
      <c r="N315" s="234">
        <v>980</v>
      </c>
      <c r="O315" s="104">
        <v>0</v>
      </c>
      <c r="P315" s="104">
        <v>980</v>
      </c>
      <c r="Q315" s="104">
        <v>1225</v>
      </c>
      <c r="R315" s="104">
        <v>857.5</v>
      </c>
      <c r="S315" s="104"/>
    </row>
    <row r="316" spans="10:19" ht="15.75">
      <c r="J316" s="236"/>
      <c r="K316" s="227" t="s">
        <v>38</v>
      </c>
      <c r="L316" s="218" t="s">
        <v>198</v>
      </c>
      <c r="M316" s="165">
        <v>1</v>
      </c>
      <c r="N316" s="234">
        <v>406</v>
      </c>
      <c r="O316" s="104">
        <v>0</v>
      </c>
      <c r="P316" s="104">
        <v>406</v>
      </c>
      <c r="Q316" s="104">
        <v>495.32</v>
      </c>
      <c r="R316" s="104">
        <v>346.72399999999999</v>
      </c>
      <c r="S316" s="104"/>
    </row>
    <row r="317" spans="10:19" ht="15.75">
      <c r="J317" s="236"/>
      <c r="K317" s="227" t="s">
        <v>79</v>
      </c>
      <c r="L317" s="218" t="s">
        <v>198</v>
      </c>
      <c r="M317" s="165">
        <v>2</v>
      </c>
      <c r="N317" s="234">
        <v>892</v>
      </c>
      <c r="O317" s="104">
        <v>0</v>
      </c>
      <c r="P317" s="104">
        <v>892</v>
      </c>
      <c r="Q317" s="104">
        <v>142.72</v>
      </c>
      <c r="R317" s="104">
        <v>71.36</v>
      </c>
    </row>
    <row r="318" spans="10:19" ht="15.75">
      <c r="J318" s="236"/>
      <c r="K318" s="227" t="s">
        <v>16</v>
      </c>
      <c r="L318" s="218" t="s">
        <v>198</v>
      </c>
      <c r="M318" s="165"/>
      <c r="N318" s="234">
        <v>0</v>
      </c>
      <c r="O318" s="104">
        <v>1710</v>
      </c>
      <c r="P318" s="104">
        <v>1710</v>
      </c>
      <c r="Q318" s="104">
        <v>2137.5</v>
      </c>
      <c r="R318" s="104">
        <v>1496.25</v>
      </c>
    </row>
    <row r="319" spans="10:19" ht="15.75">
      <c r="J319" s="236"/>
      <c r="K319" s="227" t="s">
        <v>19</v>
      </c>
      <c r="L319" s="218" t="s">
        <v>198</v>
      </c>
      <c r="M319" s="165">
        <v>5</v>
      </c>
      <c r="N319" s="234">
        <v>1750</v>
      </c>
      <c r="O319" s="104">
        <v>0</v>
      </c>
      <c r="P319" s="104">
        <v>1750</v>
      </c>
      <c r="Q319" s="104">
        <v>2187.5</v>
      </c>
      <c r="R319" s="104">
        <v>1093.75</v>
      </c>
    </row>
    <row r="320" spans="10:19" ht="15.75">
      <c r="J320" s="236"/>
      <c r="K320" s="226" t="s">
        <v>134</v>
      </c>
      <c r="L320" s="215"/>
      <c r="M320" s="165">
        <v>25</v>
      </c>
      <c r="N320" s="234">
        <v>9690</v>
      </c>
      <c r="O320" s="104">
        <v>2010</v>
      </c>
      <c r="P320" s="104">
        <v>11700</v>
      </c>
      <c r="Q320" s="104">
        <v>13616.18</v>
      </c>
      <c r="R320" s="104">
        <v>8152.7820000000002</v>
      </c>
    </row>
    <row r="321" spans="10:18" ht="15.75">
      <c r="J321" s="236"/>
      <c r="K321" s="227" t="s">
        <v>18</v>
      </c>
      <c r="L321" s="218">
        <v>0</v>
      </c>
      <c r="M321" s="165">
        <v>3</v>
      </c>
      <c r="N321" s="234">
        <v>1470</v>
      </c>
      <c r="O321" s="104">
        <v>0</v>
      </c>
      <c r="P321" s="104">
        <v>1470</v>
      </c>
      <c r="Q321" s="104">
        <v>1837.5</v>
      </c>
      <c r="R321" s="104">
        <v>1286.25</v>
      </c>
    </row>
    <row r="322" spans="10:18" ht="15.75">
      <c r="J322" s="236"/>
      <c r="K322" s="227" t="s">
        <v>21</v>
      </c>
      <c r="L322" s="218" t="s">
        <v>198</v>
      </c>
      <c r="M322" s="165">
        <v>2</v>
      </c>
      <c r="N322" s="234">
        <v>860</v>
      </c>
      <c r="O322" s="104">
        <v>300</v>
      </c>
      <c r="P322" s="104">
        <v>1160</v>
      </c>
      <c r="Q322" s="104">
        <v>1450</v>
      </c>
      <c r="R322" s="104">
        <v>1015</v>
      </c>
    </row>
    <row r="323" spans="10:18" ht="15.75">
      <c r="J323" s="236"/>
      <c r="K323" s="227" t="s">
        <v>38</v>
      </c>
      <c r="L323" s="218" t="s">
        <v>198</v>
      </c>
      <c r="M323" s="165">
        <v>3</v>
      </c>
      <c r="N323" s="234">
        <v>1218</v>
      </c>
      <c r="O323" s="104">
        <v>0</v>
      </c>
      <c r="P323" s="104">
        <v>1218</v>
      </c>
      <c r="Q323" s="104">
        <v>1485.96</v>
      </c>
      <c r="R323" s="104">
        <v>1040.172</v>
      </c>
    </row>
    <row r="324" spans="10:18" ht="15.75">
      <c r="J324" s="236"/>
      <c r="K324" s="227" t="s">
        <v>79</v>
      </c>
      <c r="L324" s="218" t="s">
        <v>198</v>
      </c>
      <c r="M324" s="165">
        <v>2</v>
      </c>
      <c r="N324" s="234">
        <v>892</v>
      </c>
      <c r="O324" s="104">
        <v>0</v>
      </c>
      <c r="P324" s="104">
        <v>892</v>
      </c>
      <c r="Q324" s="104">
        <v>142.72</v>
      </c>
      <c r="R324" s="104">
        <v>71.36</v>
      </c>
    </row>
    <row r="325" spans="10:18" ht="15.75">
      <c r="J325" s="236"/>
      <c r="K325" s="227" t="s">
        <v>16</v>
      </c>
      <c r="L325" s="218" t="s">
        <v>198</v>
      </c>
      <c r="M325" s="165"/>
      <c r="N325" s="234">
        <v>0</v>
      </c>
      <c r="O325" s="104">
        <v>1560</v>
      </c>
      <c r="P325" s="104">
        <v>1560</v>
      </c>
      <c r="Q325" s="104">
        <v>1950</v>
      </c>
      <c r="R325" s="104">
        <v>1365</v>
      </c>
    </row>
    <row r="326" spans="10:18" ht="15.75">
      <c r="J326" s="236"/>
      <c r="K326" s="227" t="s">
        <v>19</v>
      </c>
      <c r="L326" s="218" t="s">
        <v>198</v>
      </c>
      <c r="M326" s="165">
        <v>15</v>
      </c>
      <c r="N326" s="234">
        <v>5250</v>
      </c>
      <c r="O326" s="104">
        <v>150</v>
      </c>
      <c r="P326" s="104">
        <v>5400</v>
      </c>
      <c r="Q326" s="104">
        <v>6750</v>
      </c>
      <c r="R326" s="104">
        <v>3375</v>
      </c>
    </row>
    <row r="327" spans="10:18" ht="15.75">
      <c r="J327" s="236"/>
      <c r="K327" s="221"/>
      <c r="L327" s="215"/>
      <c r="M327" s="165"/>
      <c r="N327" s="234"/>
      <c r="O327" s="104"/>
      <c r="P327" s="104"/>
      <c r="Q327" s="104"/>
      <c r="R327" s="104"/>
    </row>
    <row r="328" spans="10:18" ht="15.75">
      <c r="J328" s="235" t="s">
        <v>35</v>
      </c>
      <c r="K328" s="218" t="s">
        <v>28</v>
      </c>
      <c r="L328" s="215"/>
      <c r="M328" s="165">
        <v>251</v>
      </c>
      <c r="N328" s="234">
        <v>90015</v>
      </c>
      <c r="O328" s="104">
        <v>30250</v>
      </c>
      <c r="P328" s="104">
        <v>120265</v>
      </c>
      <c r="Q328" s="104">
        <v>96164.17</v>
      </c>
      <c r="R328" s="104">
        <v>59322.620999999999</v>
      </c>
    </row>
    <row r="329" spans="10:18" ht="15.75">
      <c r="J329" s="236"/>
      <c r="K329" s="221" t="s">
        <v>66</v>
      </c>
      <c r="L329" s="215"/>
      <c r="M329" s="165">
        <v>18</v>
      </c>
      <c r="N329" s="234">
        <v>5982</v>
      </c>
      <c r="O329" s="104">
        <v>5060</v>
      </c>
      <c r="P329" s="104">
        <v>11042</v>
      </c>
      <c r="Q329" s="104">
        <v>13518.04</v>
      </c>
      <c r="R329" s="104">
        <v>9462.6280000000006</v>
      </c>
    </row>
    <row r="330" spans="10:18" ht="15.75">
      <c r="J330" s="236"/>
      <c r="K330" s="226" t="s">
        <v>95</v>
      </c>
      <c r="L330" s="215"/>
      <c r="M330" s="165">
        <v>5</v>
      </c>
      <c r="N330" s="234">
        <v>1622</v>
      </c>
      <c r="O330" s="104">
        <v>4020</v>
      </c>
      <c r="P330" s="104">
        <v>5642</v>
      </c>
      <c r="Q330" s="104">
        <v>6898.84</v>
      </c>
      <c r="R330" s="104">
        <v>4829.1880000000001</v>
      </c>
    </row>
    <row r="331" spans="10:18" ht="15.75">
      <c r="J331" s="236"/>
      <c r="K331" s="227" t="s">
        <v>38</v>
      </c>
      <c r="L331" s="218" t="s">
        <v>198</v>
      </c>
      <c r="M331" s="165">
        <v>5</v>
      </c>
      <c r="N331" s="234">
        <v>1622</v>
      </c>
      <c r="O331" s="104">
        <v>3500</v>
      </c>
      <c r="P331" s="104">
        <v>5122</v>
      </c>
      <c r="Q331" s="104">
        <v>6248.84</v>
      </c>
      <c r="R331" s="104">
        <v>4374.1880000000001</v>
      </c>
    </row>
    <row r="332" spans="10:18" ht="15.75">
      <c r="J332" s="236"/>
      <c r="K332" s="227" t="s">
        <v>16</v>
      </c>
      <c r="L332" s="218" t="s">
        <v>198</v>
      </c>
      <c r="M332" s="165"/>
      <c r="N332" s="234">
        <v>0</v>
      </c>
      <c r="O332" s="104">
        <v>520</v>
      </c>
      <c r="P332" s="104">
        <v>520</v>
      </c>
      <c r="Q332" s="104">
        <v>650</v>
      </c>
      <c r="R332" s="104">
        <v>454.99999999999994</v>
      </c>
    </row>
    <row r="333" spans="10:18" ht="15.75">
      <c r="J333" s="236"/>
      <c r="K333" s="226" t="s">
        <v>102</v>
      </c>
      <c r="L333" s="215"/>
      <c r="M333" s="165">
        <v>4</v>
      </c>
      <c r="N333" s="234">
        <v>1624</v>
      </c>
      <c r="O333" s="104">
        <v>1040</v>
      </c>
      <c r="P333" s="104">
        <v>2664</v>
      </c>
      <c r="Q333" s="104">
        <v>3281.2799999999997</v>
      </c>
      <c r="R333" s="104">
        <v>2296.8959999999997</v>
      </c>
    </row>
    <row r="334" spans="10:18" ht="15.75">
      <c r="J334" s="236"/>
      <c r="K334" s="227" t="s">
        <v>38</v>
      </c>
      <c r="L334" s="218" t="s">
        <v>198</v>
      </c>
      <c r="M334" s="165">
        <v>4</v>
      </c>
      <c r="N334" s="234">
        <v>1624</v>
      </c>
      <c r="O334" s="104">
        <v>0</v>
      </c>
      <c r="P334" s="104">
        <v>1624</v>
      </c>
      <c r="Q334" s="104">
        <v>1981.28</v>
      </c>
      <c r="R334" s="104">
        <v>1386.896</v>
      </c>
    </row>
    <row r="335" spans="10:18" ht="15.75">
      <c r="J335" s="236"/>
      <c r="K335" s="227" t="s">
        <v>16</v>
      </c>
      <c r="L335" s="218" t="s">
        <v>198</v>
      </c>
      <c r="M335" s="165"/>
      <c r="N335" s="234">
        <v>0</v>
      </c>
      <c r="O335" s="104">
        <v>1040</v>
      </c>
      <c r="P335" s="104">
        <v>1040</v>
      </c>
      <c r="Q335" s="104">
        <v>1300</v>
      </c>
      <c r="R335" s="104">
        <v>909.99999999999989</v>
      </c>
    </row>
    <row r="336" spans="10:18" ht="15.75">
      <c r="J336" s="236"/>
      <c r="K336" s="226" t="s">
        <v>94</v>
      </c>
      <c r="L336" s="215"/>
      <c r="M336" s="165">
        <v>9</v>
      </c>
      <c r="N336" s="234">
        <v>2736</v>
      </c>
      <c r="O336" s="104">
        <v>0</v>
      </c>
      <c r="P336" s="104">
        <v>2736</v>
      </c>
      <c r="Q336" s="104">
        <v>3337.92</v>
      </c>
      <c r="R336" s="104">
        <v>2336.5439999999999</v>
      </c>
    </row>
    <row r="337" spans="10:18" ht="15.75">
      <c r="J337" s="236"/>
      <c r="K337" s="227" t="s">
        <v>38</v>
      </c>
      <c r="L337" s="218" t="s">
        <v>198</v>
      </c>
      <c r="M337" s="165">
        <v>9</v>
      </c>
      <c r="N337" s="234">
        <v>2736</v>
      </c>
      <c r="O337" s="104">
        <v>0</v>
      </c>
      <c r="P337" s="104">
        <v>2736</v>
      </c>
      <c r="Q337" s="104">
        <v>3337.92</v>
      </c>
      <c r="R337" s="104">
        <v>2336.5439999999999</v>
      </c>
    </row>
    <row r="338" spans="10:18" ht="15.75">
      <c r="J338" s="236"/>
      <c r="K338" s="221"/>
      <c r="L338" s="215"/>
      <c r="M338" s="165"/>
      <c r="N338" s="234"/>
      <c r="O338" s="104"/>
      <c r="P338" s="104"/>
      <c r="Q338" s="104"/>
      <c r="R338" s="104"/>
    </row>
    <row r="339" spans="10:18" ht="15.75">
      <c r="J339" s="236"/>
      <c r="K339" s="221" t="s">
        <v>67</v>
      </c>
      <c r="L339" s="215"/>
      <c r="M339" s="165">
        <v>147</v>
      </c>
      <c r="N339" s="234">
        <v>49290</v>
      </c>
      <c r="O339" s="104">
        <v>10200</v>
      </c>
      <c r="P339" s="104">
        <v>59490</v>
      </c>
      <c r="Q339" s="104">
        <v>40688.68</v>
      </c>
      <c r="R339" s="104">
        <v>24210.671999999999</v>
      </c>
    </row>
    <row r="340" spans="10:18" ht="15.75">
      <c r="J340" s="236"/>
      <c r="K340" s="226" t="s">
        <v>96</v>
      </c>
      <c r="L340" s="215"/>
      <c r="M340" s="165">
        <v>93</v>
      </c>
      <c r="N340" s="234">
        <v>31506</v>
      </c>
      <c r="O340" s="104">
        <v>520</v>
      </c>
      <c r="P340" s="104">
        <v>32026</v>
      </c>
      <c r="Q340" s="104">
        <v>17165.52</v>
      </c>
      <c r="R340" s="104">
        <v>8811.8240000000005</v>
      </c>
    </row>
    <row r="341" spans="10:18" ht="15.75">
      <c r="J341" s="236"/>
      <c r="K341" s="227" t="s">
        <v>38</v>
      </c>
      <c r="L341" s="218" t="s">
        <v>158</v>
      </c>
      <c r="M341" s="165">
        <v>1</v>
      </c>
      <c r="N341" s="234">
        <v>406</v>
      </c>
      <c r="O341" s="104">
        <v>0</v>
      </c>
      <c r="P341" s="104">
        <v>406</v>
      </c>
      <c r="Q341" s="104">
        <v>495.32</v>
      </c>
      <c r="R341" s="104">
        <v>346.72399999999999</v>
      </c>
    </row>
    <row r="342" spans="10:18" ht="15.75">
      <c r="J342" s="236"/>
      <c r="K342" s="227" t="s">
        <v>15</v>
      </c>
      <c r="L342" s="218">
        <v>0</v>
      </c>
      <c r="M342" s="165">
        <v>30</v>
      </c>
      <c r="N342" s="234">
        <v>9300</v>
      </c>
      <c r="O342" s="104">
        <v>0</v>
      </c>
      <c r="P342" s="104">
        <v>9300</v>
      </c>
      <c r="Q342" s="104">
        <v>7865</v>
      </c>
      <c r="R342" s="104">
        <v>3932.5</v>
      </c>
    </row>
    <row r="343" spans="10:18" ht="15.75">
      <c r="J343" s="236"/>
      <c r="K343" s="227" t="s">
        <v>79</v>
      </c>
      <c r="L343" s="218" t="s">
        <v>198</v>
      </c>
      <c r="M343" s="165">
        <v>15</v>
      </c>
      <c r="N343" s="234">
        <v>6100</v>
      </c>
      <c r="O343" s="104">
        <v>0</v>
      </c>
      <c r="P343" s="104">
        <v>6100</v>
      </c>
      <c r="Q343" s="104">
        <v>2616</v>
      </c>
      <c r="R343" s="104">
        <v>1308</v>
      </c>
    </row>
    <row r="344" spans="10:18" ht="15.75">
      <c r="J344" s="236"/>
      <c r="K344" s="227" t="s">
        <v>16</v>
      </c>
      <c r="L344" s="218" t="s">
        <v>158</v>
      </c>
      <c r="M344" s="165"/>
      <c r="N344" s="234">
        <v>0</v>
      </c>
      <c r="O344" s="104">
        <v>520</v>
      </c>
      <c r="P344" s="104">
        <v>520</v>
      </c>
      <c r="Q344" s="104">
        <v>650</v>
      </c>
      <c r="R344" s="104">
        <v>454.99999999999994</v>
      </c>
    </row>
    <row r="345" spans="10:18" ht="15.75">
      <c r="J345" s="236"/>
      <c r="K345" s="227" t="s">
        <v>17</v>
      </c>
      <c r="L345" s="218">
        <v>0</v>
      </c>
      <c r="M345" s="165">
        <v>40</v>
      </c>
      <c r="N345" s="234">
        <v>13040</v>
      </c>
      <c r="O345" s="104">
        <v>0</v>
      </c>
      <c r="P345" s="104">
        <v>13040</v>
      </c>
      <c r="Q345" s="104">
        <v>2347.1999999999998</v>
      </c>
      <c r="R345" s="104">
        <v>1173.5999999999999</v>
      </c>
    </row>
    <row r="346" spans="10:18" ht="15.75">
      <c r="J346" s="236"/>
      <c r="K346" s="227" t="s">
        <v>22</v>
      </c>
      <c r="L346" s="218" t="s">
        <v>198</v>
      </c>
      <c r="M346" s="165">
        <v>7</v>
      </c>
      <c r="N346" s="234">
        <v>2660</v>
      </c>
      <c r="O346" s="104">
        <v>0</v>
      </c>
      <c r="P346" s="104">
        <v>2660</v>
      </c>
      <c r="Q346" s="104">
        <v>3192</v>
      </c>
      <c r="R346" s="104">
        <v>1596</v>
      </c>
    </row>
    <row r="347" spans="10:18" ht="15.75">
      <c r="J347" s="236"/>
      <c r="K347" s="226" t="s">
        <v>97</v>
      </c>
      <c r="L347" s="215"/>
      <c r="M347" s="165">
        <v>48</v>
      </c>
      <c r="N347" s="234">
        <v>15654</v>
      </c>
      <c r="O347" s="104">
        <v>1560</v>
      </c>
      <c r="P347" s="104">
        <v>17214</v>
      </c>
      <c r="Q347" s="104">
        <v>10998.06</v>
      </c>
      <c r="R347" s="104">
        <v>6631.2780000000002</v>
      </c>
    </row>
    <row r="348" spans="10:18" ht="15.75">
      <c r="J348" s="236"/>
      <c r="K348" s="227" t="s">
        <v>38</v>
      </c>
      <c r="L348" s="218" t="s">
        <v>198</v>
      </c>
      <c r="M348" s="165">
        <v>9</v>
      </c>
      <c r="N348" s="234">
        <v>3042</v>
      </c>
      <c r="O348" s="104">
        <v>0</v>
      </c>
      <c r="P348" s="104">
        <v>3042</v>
      </c>
      <c r="Q348" s="104">
        <v>3711.2400000000002</v>
      </c>
      <c r="R348" s="104">
        <v>2597.8679999999999</v>
      </c>
    </row>
    <row r="349" spans="10:18" ht="15.75">
      <c r="J349" s="236"/>
      <c r="K349" s="227" t="s">
        <v>15</v>
      </c>
      <c r="L349" s="218">
        <v>0</v>
      </c>
      <c r="M349" s="165">
        <v>15</v>
      </c>
      <c r="N349" s="234">
        <v>4650</v>
      </c>
      <c r="O349" s="104">
        <v>0</v>
      </c>
      <c r="P349" s="104">
        <v>4650</v>
      </c>
      <c r="Q349" s="104">
        <v>3932.5</v>
      </c>
      <c r="R349" s="104">
        <v>1966.25</v>
      </c>
    </row>
    <row r="350" spans="10:18" ht="15.75">
      <c r="J350" s="236"/>
      <c r="K350" s="227" t="s">
        <v>79</v>
      </c>
      <c r="L350" s="218" t="s">
        <v>198</v>
      </c>
      <c r="M350" s="165">
        <v>4</v>
      </c>
      <c r="N350" s="234">
        <v>1442</v>
      </c>
      <c r="O350" s="104">
        <v>0</v>
      </c>
      <c r="P350" s="104">
        <v>1442</v>
      </c>
      <c r="Q350" s="104">
        <v>230.72</v>
      </c>
      <c r="R350" s="104">
        <v>115.36</v>
      </c>
    </row>
    <row r="351" spans="10:18" ht="15.75">
      <c r="J351" s="236"/>
      <c r="K351" s="227" t="s">
        <v>16</v>
      </c>
      <c r="L351" s="218" t="s">
        <v>198</v>
      </c>
      <c r="M351" s="165"/>
      <c r="N351" s="234">
        <v>0</v>
      </c>
      <c r="O351" s="104">
        <v>1560</v>
      </c>
      <c r="P351" s="104">
        <v>1560</v>
      </c>
      <c r="Q351" s="104">
        <v>1950</v>
      </c>
      <c r="R351" s="104">
        <v>1365</v>
      </c>
    </row>
    <row r="352" spans="10:18" ht="15.75">
      <c r="J352" s="236"/>
      <c r="K352" s="227" t="s">
        <v>17</v>
      </c>
      <c r="L352" s="218">
        <v>0</v>
      </c>
      <c r="M352" s="165">
        <v>20</v>
      </c>
      <c r="N352" s="234">
        <v>6520</v>
      </c>
      <c r="O352" s="104">
        <v>0</v>
      </c>
      <c r="P352" s="104">
        <v>6520</v>
      </c>
      <c r="Q352" s="104">
        <v>1173.5999999999999</v>
      </c>
      <c r="R352" s="104">
        <v>586.79999999999995</v>
      </c>
    </row>
    <row r="353" spans="10:18" ht="15.75">
      <c r="J353" s="236"/>
      <c r="K353" s="226" t="s">
        <v>98</v>
      </c>
      <c r="L353" s="215"/>
      <c r="M353" s="165">
        <v>6</v>
      </c>
      <c r="N353" s="234">
        <v>2130</v>
      </c>
      <c r="O353" s="104">
        <v>8120</v>
      </c>
      <c r="P353" s="104">
        <v>10250</v>
      </c>
      <c r="Q353" s="104">
        <v>12525.099999999999</v>
      </c>
      <c r="R353" s="104">
        <v>8767.57</v>
      </c>
    </row>
    <row r="354" spans="10:18" ht="15.75">
      <c r="J354" s="236"/>
      <c r="K354" s="227" t="s">
        <v>38</v>
      </c>
      <c r="L354" s="218" t="s">
        <v>198</v>
      </c>
      <c r="M354" s="165">
        <v>6</v>
      </c>
      <c r="N354" s="234">
        <v>2130</v>
      </c>
      <c r="O354" s="104">
        <v>7450</v>
      </c>
      <c r="P354" s="104">
        <v>9580</v>
      </c>
      <c r="Q354" s="104">
        <v>11687.599999999999</v>
      </c>
      <c r="R354" s="104">
        <v>8181.3199999999988</v>
      </c>
    </row>
    <row r="355" spans="10:18" ht="15.75">
      <c r="J355" s="236"/>
      <c r="K355" s="227" t="s">
        <v>16</v>
      </c>
      <c r="L355" s="218" t="s">
        <v>198</v>
      </c>
      <c r="M355" s="165"/>
      <c r="N355" s="234">
        <v>0</v>
      </c>
      <c r="O355" s="104">
        <v>670</v>
      </c>
      <c r="P355" s="104">
        <v>670</v>
      </c>
      <c r="Q355" s="104">
        <v>837.5</v>
      </c>
      <c r="R355" s="104">
        <v>586.25</v>
      </c>
    </row>
    <row r="356" spans="10:18" ht="15.75">
      <c r="J356" s="236"/>
      <c r="K356" s="221"/>
      <c r="L356" s="215"/>
      <c r="M356" s="165"/>
      <c r="N356" s="234"/>
      <c r="O356" s="104"/>
      <c r="P356" s="104"/>
      <c r="Q356" s="104"/>
      <c r="R356" s="104"/>
    </row>
    <row r="357" spans="10:18" ht="15.75">
      <c r="J357" s="236"/>
      <c r="K357" s="221" t="s">
        <v>68</v>
      </c>
      <c r="L357" s="215"/>
      <c r="M357" s="165">
        <v>86</v>
      </c>
      <c r="N357" s="234">
        <v>34743</v>
      </c>
      <c r="O357" s="104">
        <v>14990</v>
      </c>
      <c r="P357" s="104">
        <v>49733</v>
      </c>
      <c r="Q357" s="104">
        <v>41957.45</v>
      </c>
      <c r="R357" s="104">
        <v>25649.321</v>
      </c>
    </row>
    <row r="358" spans="10:18" ht="15.75">
      <c r="J358" s="236"/>
      <c r="K358" s="226" t="s">
        <v>100</v>
      </c>
      <c r="L358" s="215"/>
      <c r="M358" s="165">
        <v>44</v>
      </c>
      <c r="N358" s="234">
        <v>18255</v>
      </c>
      <c r="O358" s="104">
        <v>6900</v>
      </c>
      <c r="P358" s="104">
        <v>25155</v>
      </c>
      <c r="Q358" s="104">
        <v>20579.96</v>
      </c>
      <c r="R358" s="104">
        <v>12612.128000000001</v>
      </c>
    </row>
    <row r="359" spans="10:18" ht="15.75">
      <c r="J359" s="236"/>
      <c r="K359" s="227" t="s">
        <v>18</v>
      </c>
      <c r="L359" s="218">
        <v>0</v>
      </c>
      <c r="M359" s="165">
        <v>6</v>
      </c>
      <c r="N359" s="234">
        <v>2940</v>
      </c>
      <c r="O359" s="104">
        <v>900</v>
      </c>
      <c r="P359" s="104">
        <v>3840</v>
      </c>
      <c r="Q359" s="104">
        <v>4800</v>
      </c>
      <c r="R359" s="104">
        <v>3360</v>
      </c>
    </row>
    <row r="360" spans="10:18" ht="15.75">
      <c r="J360" s="236"/>
      <c r="K360" s="227" t="s">
        <v>38</v>
      </c>
      <c r="L360" s="218" t="s">
        <v>198</v>
      </c>
      <c r="M360" s="165">
        <v>9</v>
      </c>
      <c r="N360" s="234">
        <v>3042</v>
      </c>
      <c r="O360" s="104">
        <v>600</v>
      </c>
      <c r="P360" s="104">
        <v>3642</v>
      </c>
      <c r="Q360" s="104">
        <v>4443.24</v>
      </c>
      <c r="R360" s="104">
        <v>3110.268</v>
      </c>
    </row>
    <row r="361" spans="10:18" ht="15.75">
      <c r="J361" s="236"/>
      <c r="K361" s="227" t="s">
        <v>15</v>
      </c>
      <c r="L361" s="218">
        <v>0</v>
      </c>
      <c r="M361" s="165">
        <v>7</v>
      </c>
      <c r="N361" s="234">
        <v>3682</v>
      </c>
      <c r="O361" s="104">
        <v>1050</v>
      </c>
      <c r="P361" s="104">
        <v>4732</v>
      </c>
      <c r="Q361" s="104">
        <v>2787</v>
      </c>
      <c r="R361" s="104">
        <v>1393.5</v>
      </c>
    </row>
    <row r="362" spans="10:18" ht="15.75">
      <c r="J362" s="236"/>
      <c r="K362" s="227" t="s">
        <v>79</v>
      </c>
      <c r="L362" s="218" t="s">
        <v>198</v>
      </c>
      <c r="M362" s="165">
        <v>4</v>
      </c>
      <c r="N362" s="234">
        <v>1442</v>
      </c>
      <c r="O362" s="104">
        <v>900</v>
      </c>
      <c r="P362" s="104">
        <v>2342</v>
      </c>
      <c r="Q362" s="104">
        <v>1824.72</v>
      </c>
      <c r="R362" s="104">
        <v>912.36</v>
      </c>
    </row>
    <row r="363" spans="10:18" ht="15.75">
      <c r="J363" s="236"/>
      <c r="K363" s="227" t="s">
        <v>135</v>
      </c>
      <c r="L363" s="218" t="s">
        <v>198</v>
      </c>
      <c r="M363" s="165">
        <v>2</v>
      </c>
      <c r="N363" s="234">
        <v>844</v>
      </c>
      <c r="O363" s="104">
        <v>300</v>
      </c>
      <c r="P363" s="104">
        <v>1144</v>
      </c>
      <c r="Q363" s="104">
        <v>1430</v>
      </c>
      <c r="R363" s="104">
        <v>1001</v>
      </c>
    </row>
    <row r="364" spans="10:18" ht="15.75">
      <c r="J364" s="236"/>
      <c r="K364" s="227" t="s">
        <v>16</v>
      </c>
      <c r="L364" s="218" t="s">
        <v>198</v>
      </c>
      <c r="M364" s="165"/>
      <c r="N364" s="234">
        <v>0</v>
      </c>
      <c r="O364" s="104">
        <v>750</v>
      </c>
      <c r="P364" s="104">
        <v>750</v>
      </c>
      <c r="Q364" s="104">
        <v>937.5</v>
      </c>
      <c r="R364" s="104">
        <v>656.25</v>
      </c>
    </row>
    <row r="365" spans="10:18" ht="15.75">
      <c r="J365" s="236"/>
      <c r="K365" s="227" t="s">
        <v>17</v>
      </c>
      <c r="L365" s="218">
        <v>0</v>
      </c>
      <c r="M365" s="165">
        <v>15</v>
      </c>
      <c r="N365" s="234">
        <v>5925</v>
      </c>
      <c r="O365" s="104">
        <v>2250</v>
      </c>
      <c r="P365" s="104">
        <v>8175</v>
      </c>
      <c r="Q365" s="104">
        <v>3721.4999999999995</v>
      </c>
      <c r="R365" s="104">
        <v>1860.7499999999998</v>
      </c>
    </row>
    <row r="366" spans="10:18" ht="15.75">
      <c r="J366" s="236"/>
      <c r="K366" s="227" t="s">
        <v>22</v>
      </c>
      <c r="L366" s="218" t="s">
        <v>198</v>
      </c>
      <c r="M366" s="165">
        <v>1</v>
      </c>
      <c r="N366" s="234">
        <v>380</v>
      </c>
      <c r="O366" s="104">
        <v>150</v>
      </c>
      <c r="P366" s="104">
        <v>530</v>
      </c>
      <c r="Q366" s="104">
        <v>636</v>
      </c>
      <c r="R366" s="104">
        <v>318</v>
      </c>
    </row>
    <row r="367" spans="10:18" ht="15.75">
      <c r="J367" s="236"/>
      <c r="K367" s="226" t="s">
        <v>101</v>
      </c>
      <c r="L367" s="215"/>
      <c r="M367" s="165">
        <v>40</v>
      </c>
      <c r="N367" s="234">
        <v>15676</v>
      </c>
      <c r="O367" s="104">
        <v>7050</v>
      </c>
      <c r="P367" s="104">
        <v>22726</v>
      </c>
      <c r="Q367" s="104">
        <v>19086.849999999999</v>
      </c>
      <c r="R367" s="104">
        <v>11433.744999999999</v>
      </c>
    </row>
    <row r="368" spans="10:18" ht="15.75">
      <c r="J368" s="236"/>
      <c r="K368" s="227" t="s">
        <v>18</v>
      </c>
      <c r="L368" s="218">
        <v>0</v>
      </c>
      <c r="M368" s="165">
        <v>4</v>
      </c>
      <c r="N368" s="234">
        <v>1960</v>
      </c>
      <c r="O368" s="104">
        <v>600</v>
      </c>
      <c r="P368" s="104">
        <v>2560</v>
      </c>
      <c r="Q368" s="104">
        <v>3200</v>
      </c>
      <c r="R368" s="104">
        <v>2240</v>
      </c>
    </row>
    <row r="369" spans="10:18" ht="15.75">
      <c r="J369" s="236"/>
      <c r="K369" s="227" t="s">
        <v>38</v>
      </c>
      <c r="L369" s="218" t="s">
        <v>198</v>
      </c>
      <c r="M369" s="165">
        <v>6</v>
      </c>
      <c r="N369" s="234">
        <v>2130</v>
      </c>
      <c r="O369" s="104">
        <v>900</v>
      </c>
      <c r="P369" s="104">
        <v>3030</v>
      </c>
      <c r="Q369" s="104">
        <v>3696.6000000000004</v>
      </c>
      <c r="R369" s="104">
        <v>2587.62</v>
      </c>
    </row>
    <row r="370" spans="10:18" ht="15.75">
      <c r="J370" s="236"/>
      <c r="K370" s="227" t="s">
        <v>15</v>
      </c>
      <c r="L370" s="218">
        <v>0</v>
      </c>
      <c r="M370" s="165">
        <v>11</v>
      </c>
      <c r="N370" s="234">
        <v>4057</v>
      </c>
      <c r="O370" s="104">
        <v>1650</v>
      </c>
      <c r="P370" s="104">
        <v>5707</v>
      </c>
      <c r="Q370" s="104">
        <v>4461.75</v>
      </c>
      <c r="R370" s="104">
        <v>2230.875</v>
      </c>
    </row>
    <row r="371" spans="10:18" ht="15.75">
      <c r="J371" s="236"/>
      <c r="K371" s="227" t="s">
        <v>135</v>
      </c>
      <c r="L371" s="218" t="s">
        <v>198</v>
      </c>
      <c r="M371" s="165">
        <v>2</v>
      </c>
      <c r="N371" s="234">
        <v>844</v>
      </c>
      <c r="O371" s="104">
        <v>300</v>
      </c>
      <c r="P371" s="104">
        <v>1144</v>
      </c>
      <c r="Q371" s="104">
        <v>1430</v>
      </c>
      <c r="R371" s="104">
        <v>1001</v>
      </c>
    </row>
    <row r="372" spans="10:18" ht="15.75">
      <c r="J372" s="236"/>
      <c r="K372" s="227" t="s">
        <v>16</v>
      </c>
      <c r="L372" s="218" t="s">
        <v>198</v>
      </c>
      <c r="M372" s="165"/>
      <c r="N372" s="234">
        <v>0</v>
      </c>
      <c r="O372" s="104">
        <v>900</v>
      </c>
      <c r="P372" s="104">
        <v>900</v>
      </c>
      <c r="Q372" s="104">
        <v>1125</v>
      </c>
      <c r="R372" s="104">
        <v>787.5</v>
      </c>
    </row>
    <row r="373" spans="10:18" ht="15.75">
      <c r="J373" s="236"/>
      <c r="K373" s="227" t="s">
        <v>17</v>
      </c>
      <c r="L373" s="218">
        <v>0</v>
      </c>
      <c r="M373" s="165">
        <v>15</v>
      </c>
      <c r="N373" s="234">
        <v>5925</v>
      </c>
      <c r="O373" s="104">
        <v>2250</v>
      </c>
      <c r="P373" s="104">
        <v>8175</v>
      </c>
      <c r="Q373" s="104">
        <v>3721.4999999999995</v>
      </c>
      <c r="R373" s="104">
        <v>1860.7499999999998</v>
      </c>
    </row>
    <row r="374" spans="10:18" ht="15.75">
      <c r="J374" s="236"/>
      <c r="K374" s="227" t="s">
        <v>22</v>
      </c>
      <c r="L374" s="218" t="s">
        <v>198</v>
      </c>
      <c r="M374" s="165">
        <v>2</v>
      </c>
      <c r="N374" s="234">
        <v>760</v>
      </c>
      <c r="O374" s="104">
        <v>450</v>
      </c>
      <c r="P374" s="104">
        <v>1210</v>
      </c>
      <c r="Q374" s="104">
        <v>1452</v>
      </c>
      <c r="R374" s="104">
        <v>726</v>
      </c>
    </row>
    <row r="375" spans="10:18" ht="15.75">
      <c r="J375" s="236"/>
      <c r="K375" s="226" t="s">
        <v>99</v>
      </c>
      <c r="L375" s="215"/>
      <c r="M375" s="165">
        <v>2</v>
      </c>
      <c r="N375" s="234">
        <v>812</v>
      </c>
      <c r="O375" s="104">
        <v>1040</v>
      </c>
      <c r="P375" s="104">
        <v>1852</v>
      </c>
      <c r="Q375" s="104">
        <v>2290.64</v>
      </c>
      <c r="R375" s="104">
        <v>1603.4479999999999</v>
      </c>
    </row>
    <row r="376" spans="10:18" ht="15.75">
      <c r="J376" s="236"/>
      <c r="K376" s="227" t="s">
        <v>38</v>
      </c>
      <c r="L376" s="218" t="s">
        <v>198</v>
      </c>
      <c r="M376" s="165">
        <v>2</v>
      </c>
      <c r="N376" s="234">
        <v>812</v>
      </c>
      <c r="O376" s="104">
        <v>0</v>
      </c>
      <c r="P376" s="104">
        <v>812</v>
      </c>
      <c r="Q376" s="104">
        <v>990.64</v>
      </c>
      <c r="R376" s="104">
        <v>693.44799999999998</v>
      </c>
    </row>
    <row r="377" spans="10:18" ht="15.75">
      <c r="J377" s="236"/>
      <c r="K377" s="227" t="s">
        <v>16</v>
      </c>
      <c r="L377" s="218" t="s">
        <v>198</v>
      </c>
      <c r="M377" s="165"/>
      <c r="N377" s="234">
        <v>0</v>
      </c>
      <c r="O377" s="104">
        <v>1040</v>
      </c>
      <c r="P377" s="104">
        <v>1040</v>
      </c>
      <c r="Q377" s="104">
        <v>1300</v>
      </c>
      <c r="R377" s="104">
        <v>909.99999999999989</v>
      </c>
    </row>
    <row r="378" spans="10:18" ht="15.75">
      <c r="J378" s="236"/>
      <c r="K378" s="221"/>
      <c r="L378" s="215"/>
      <c r="M378" s="165"/>
      <c r="N378" s="234"/>
      <c r="O378" s="104"/>
      <c r="P378" s="104"/>
      <c r="Q378" s="104"/>
      <c r="R378" s="104"/>
    </row>
    <row r="379" spans="10:18" ht="15.75">
      <c r="J379" s="232" t="s">
        <v>40</v>
      </c>
      <c r="K379" s="233"/>
      <c r="L379" s="233"/>
      <c r="M379" s="165">
        <v>2483</v>
      </c>
      <c r="N379" s="234">
        <v>755561</v>
      </c>
      <c r="O379" s="104">
        <v>164810</v>
      </c>
      <c r="P379" s="104">
        <v>920371</v>
      </c>
      <c r="Q379" s="104">
        <v>697174.33999999973</v>
      </c>
      <c r="R379" s="104">
        <v>400624.35399999964</v>
      </c>
    </row>
  </sheetData>
  <pageMargins left="0.7" right="0.7" top="0.75" bottom="0.75" header="0.3" footer="0.3"/>
  <pageSetup paperSize="9" orientation="portrait" horizontalDpi="4294967293" verticalDpi="0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CB29-4F2B-41C7-93EE-4D6704D9ECF3}">
  <sheetPr codeName="Feuil10"/>
  <dimension ref="A1:T394"/>
  <sheetViews>
    <sheetView workbookViewId="0">
      <selection activeCell="D10" sqref="D10:D11"/>
    </sheetView>
  </sheetViews>
  <sheetFormatPr baseColWidth="10" defaultRowHeight="15"/>
  <cols>
    <col min="1" max="1" width="8.5703125" bestFit="1" customWidth="1"/>
    <col min="2" max="2" width="49.42578125" bestFit="1" customWidth="1"/>
    <col min="3" max="3" width="78.5703125" bestFit="1" customWidth="1"/>
    <col min="4" max="5" width="81.140625" bestFit="1" customWidth="1"/>
    <col min="6" max="6" width="16.28515625" bestFit="1" customWidth="1"/>
    <col min="7" max="7" width="20.28515625" bestFit="1" customWidth="1"/>
    <col min="8" max="8" width="9" bestFit="1" customWidth="1"/>
    <col min="9" max="9" width="31.28515625" bestFit="1" customWidth="1"/>
    <col min="10" max="10" width="9.85546875" bestFit="1" customWidth="1"/>
    <col min="11" max="12" width="7.42578125" bestFit="1" customWidth="1"/>
    <col min="13" max="13" width="7" bestFit="1" customWidth="1"/>
    <col min="14" max="14" width="39.140625" bestFit="1" customWidth="1"/>
    <col min="15" max="16" width="9.85546875" bestFit="1" customWidth="1"/>
    <col min="17" max="17" width="9.42578125" bestFit="1" customWidth="1"/>
    <col min="18" max="18" width="11.140625" bestFit="1" customWidth="1"/>
    <col min="19" max="19" width="13.42578125" bestFit="1" customWidth="1"/>
    <col min="20" max="20" width="14.42578125" bestFit="1" customWidth="1"/>
  </cols>
  <sheetData>
    <row r="1" spans="1:20">
      <c r="A1" t="s">
        <v>36</v>
      </c>
      <c r="B1" t="s">
        <v>0</v>
      </c>
      <c r="C1" t="s">
        <v>1</v>
      </c>
      <c r="D1" t="s">
        <v>2</v>
      </c>
      <c r="E1" t="s">
        <v>37</v>
      </c>
      <c r="F1" t="s">
        <v>3</v>
      </c>
      <c r="G1" t="s">
        <v>75</v>
      </c>
      <c r="H1" t="s">
        <v>77</v>
      </c>
      <c r="I1" t="s">
        <v>9</v>
      </c>
      <c r="J1" t="s">
        <v>76</v>
      </c>
      <c r="K1" t="s">
        <v>10</v>
      </c>
      <c r="L1" t="s">
        <v>11</v>
      </c>
      <c r="M1" t="s">
        <v>12</v>
      </c>
      <c r="N1" t="s">
        <v>5</v>
      </c>
      <c r="O1" t="s">
        <v>6</v>
      </c>
      <c r="P1" t="s">
        <v>7</v>
      </c>
      <c r="Q1" t="s">
        <v>8</v>
      </c>
      <c r="R1" t="s">
        <v>13</v>
      </c>
      <c r="S1" t="s">
        <v>83</v>
      </c>
      <c r="T1" t="s">
        <v>84</v>
      </c>
    </row>
    <row r="2" spans="1:20">
      <c r="A2" s="213" t="s">
        <v>30</v>
      </c>
      <c r="B2" s="213" t="s">
        <v>24</v>
      </c>
      <c r="C2" s="213" t="s">
        <v>51</v>
      </c>
      <c r="D2" s="213" t="s">
        <v>105</v>
      </c>
      <c r="E2" s="177" t="s">
        <v>199</v>
      </c>
      <c r="F2" s="177" t="s">
        <v>18</v>
      </c>
      <c r="G2" s="177">
        <v>0.25</v>
      </c>
      <c r="H2" s="177">
        <v>0.7</v>
      </c>
      <c r="I2" s="177">
        <v>0</v>
      </c>
      <c r="J2" s="177" t="s">
        <v>82</v>
      </c>
      <c r="K2" s="177">
        <v>5.5</v>
      </c>
      <c r="L2" s="177">
        <v>490</v>
      </c>
      <c r="M2" s="177">
        <v>2695</v>
      </c>
      <c r="N2" s="177" t="s">
        <v>45</v>
      </c>
      <c r="O2" s="177">
        <v>4</v>
      </c>
      <c r="P2" s="177">
        <v>150</v>
      </c>
      <c r="Q2" s="177">
        <v>600</v>
      </c>
      <c r="R2" s="177">
        <v>3295</v>
      </c>
      <c r="S2" s="177">
        <v>4118.75</v>
      </c>
      <c r="T2" s="177">
        <v>2883.125</v>
      </c>
    </row>
    <row r="3" spans="1:20">
      <c r="A3" s="213" t="s">
        <v>30</v>
      </c>
      <c r="B3" s="213" t="s">
        <v>24</v>
      </c>
      <c r="C3" s="213" t="s">
        <v>52</v>
      </c>
      <c r="D3" s="213" t="s">
        <v>88</v>
      </c>
      <c r="E3" s="177" t="s">
        <v>200</v>
      </c>
      <c r="F3" s="177" t="s">
        <v>18</v>
      </c>
      <c r="G3" s="177">
        <v>0.25</v>
      </c>
      <c r="H3" s="177">
        <v>0.7</v>
      </c>
      <c r="I3" s="177">
        <v>0</v>
      </c>
      <c r="J3" s="177" t="s">
        <v>82</v>
      </c>
      <c r="K3" s="177">
        <v>2</v>
      </c>
      <c r="L3" s="177">
        <v>490</v>
      </c>
      <c r="M3" s="177">
        <v>980</v>
      </c>
      <c r="N3" s="177" t="s">
        <v>45</v>
      </c>
      <c r="O3" s="177">
        <v>2</v>
      </c>
      <c r="P3" s="177">
        <v>150</v>
      </c>
      <c r="Q3" s="177">
        <v>300</v>
      </c>
      <c r="R3" s="177">
        <v>1280</v>
      </c>
      <c r="S3" s="177">
        <v>1600</v>
      </c>
      <c r="T3" s="177">
        <v>1120</v>
      </c>
    </row>
    <row r="4" spans="1:20">
      <c r="A4" s="213" t="s">
        <v>30</v>
      </c>
      <c r="B4" s="213" t="s">
        <v>24</v>
      </c>
      <c r="C4" s="213" t="s">
        <v>50</v>
      </c>
      <c r="D4" s="213" t="s">
        <v>106</v>
      </c>
      <c r="E4" s="177"/>
      <c r="F4" s="177" t="s">
        <v>38</v>
      </c>
      <c r="G4" s="177">
        <v>0.22</v>
      </c>
      <c r="H4" s="177">
        <v>0.7</v>
      </c>
      <c r="I4" s="177" t="s">
        <v>46</v>
      </c>
      <c r="J4" s="177" t="s">
        <v>82</v>
      </c>
      <c r="K4" s="177">
        <v>6</v>
      </c>
      <c r="L4" s="177">
        <v>406</v>
      </c>
      <c r="M4" s="177">
        <v>2436</v>
      </c>
      <c r="N4" s="177"/>
      <c r="O4" s="177"/>
      <c r="P4" s="177"/>
      <c r="Q4" s="177">
        <v>0</v>
      </c>
      <c r="R4" s="177">
        <v>2436</v>
      </c>
      <c r="S4" s="177">
        <v>2971.92</v>
      </c>
      <c r="T4" s="177">
        <v>2080.3440000000001</v>
      </c>
    </row>
    <row r="5" spans="1:20">
      <c r="A5" s="213" t="s">
        <v>30</v>
      </c>
      <c r="B5" s="213" t="s">
        <v>24</v>
      </c>
      <c r="C5" s="213" t="s">
        <v>50</v>
      </c>
      <c r="D5" s="213" t="s">
        <v>106</v>
      </c>
      <c r="E5" s="177"/>
      <c r="F5" s="177" t="s">
        <v>38</v>
      </c>
      <c r="G5" s="177">
        <v>0.22</v>
      </c>
      <c r="H5" s="177">
        <v>0.7</v>
      </c>
      <c r="I5" s="177" t="s">
        <v>155</v>
      </c>
      <c r="J5" s="177" t="s">
        <v>82</v>
      </c>
      <c r="K5" s="177">
        <v>12</v>
      </c>
      <c r="L5" s="177">
        <v>304</v>
      </c>
      <c r="M5" s="177">
        <v>3648</v>
      </c>
      <c r="N5" s="177"/>
      <c r="O5" s="177"/>
      <c r="P5" s="177"/>
      <c r="Q5" s="177">
        <v>0</v>
      </c>
      <c r="R5" s="177">
        <v>3648</v>
      </c>
      <c r="S5" s="177">
        <v>4450.5600000000004</v>
      </c>
      <c r="T5" s="177">
        <v>3115.3920000000003</v>
      </c>
    </row>
    <row r="6" spans="1:20">
      <c r="A6" s="213" t="s">
        <v>30</v>
      </c>
      <c r="B6" s="213" t="s">
        <v>24</v>
      </c>
      <c r="C6" s="213" t="s">
        <v>50</v>
      </c>
      <c r="D6" s="213" t="s">
        <v>107</v>
      </c>
      <c r="E6" s="177"/>
      <c r="F6" s="177" t="s">
        <v>38</v>
      </c>
      <c r="G6" s="177">
        <v>0.22</v>
      </c>
      <c r="H6" s="177">
        <v>0.7</v>
      </c>
      <c r="I6" s="177" t="s">
        <v>46</v>
      </c>
      <c r="J6" s="177" t="s">
        <v>82</v>
      </c>
      <c r="K6" s="177">
        <v>3</v>
      </c>
      <c r="L6" s="177">
        <v>406</v>
      </c>
      <c r="M6" s="177">
        <v>1218</v>
      </c>
      <c r="N6" s="177"/>
      <c r="O6" s="177"/>
      <c r="P6" s="177"/>
      <c r="Q6" s="177">
        <v>0</v>
      </c>
      <c r="R6" s="177">
        <v>1218</v>
      </c>
      <c r="S6" s="177">
        <v>1485.96</v>
      </c>
      <c r="T6" s="177">
        <v>1040.172</v>
      </c>
    </row>
    <row r="7" spans="1:20">
      <c r="A7" s="213" t="s">
        <v>30</v>
      </c>
      <c r="B7" s="213" t="s">
        <v>24</v>
      </c>
      <c r="C7" s="213" t="s">
        <v>50</v>
      </c>
      <c r="D7" s="213" t="s">
        <v>107</v>
      </c>
      <c r="E7" s="177"/>
      <c r="F7" s="177" t="s">
        <v>38</v>
      </c>
      <c r="G7" s="177">
        <v>0.22</v>
      </c>
      <c r="H7" s="177">
        <v>0.7</v>
      </c>
      <c r="I7" s="177" t="s">
        <v>155</v>
      </c>
      <c r="J7" s="177" t="s">
        <v>82</v>
      </c>
      <c r="K7" s="177">
        <v>7.5</v>
      </c>
      <c r="L7" s="177">
        <v>304</v>
      </c>
      <c r="M7" s="177">
        <v>2280</v>
      </c>
      <c r="N7" s="177"/>
      <c r="O7" s="177"/>
      <c r="P7" s="177"/>
      <c r="Q7" s="177">
        <v>0</v>
      </c>
      <c r="R7" s="177">
        <v>2280</v>
      </c>
      <c r="S7" s="177">
        <v>2781.6</v>
      </c>
      <c r="T7" s="177">
        <v>1947.12</v>
      </c>
    </row>
    <row r="8" spans="1:20">
      <c r="A8" s="213" t="s">
        <v>30</v>
      </c>
      <c r="B8" s="213" t="s">
        <v>24</v>
      </c>
      <c r="C8" s="213" t="s">
        <v>51</v>
      </c>
      <c r="D8" s="213" t="s">
        <v>104</v>
      </c>
      <c r="E8" s="177" t="s">
        <v>154</v>
      </c>
      <c r="F8" s="177" t="s">
        <v>38</v>
      </c>
      <c r="G8" s="177">
        <v>0.22</v>
      </c>
      <c r="H8" s="177">
        <v>0.7</v>
      </c>
      <c r="I8" s="177" t="s">
        <v>46</v>
      </c>
      <c r="J8" s="177" t="s">
        <v>82</v>
      </c>
      <c r="K8" s="177">
        <v>3.5</v>
      </c>
      <c r="L8" s="177">
        <v>406</v>
      </c>
      <c r="M8" s="177">
        <v>1421</v>
      </c>
      <c r="N8" s="177"/>
      <c r="O8" s="177"/>
      <c r="P8" s="177"/>
      <c r="Q8" s="177">
        <v>0</v>
      </c>
      <c r="R8" s="177">
        <v>1421</v>
      </c>
      <c r="S8" s="177">
        <v>1733.62</v>
      </c>
      <c r="T8" s="177">
        <v>1213.5340000000001</v>
      </c>
    </row>
    <row r="9" spans="1:20">
      <c r="A9" s="213" t="s">
        <v>30</v>
      </c>
      <c r="B9" s="213" t="s">
        <v>24</v>
      </c>
      <c r="C9" s="213" t="s">
        <v>51</v>
      </c>
      <c r="D9" s="213" t="s">
        <v>104</v>
      </c>
      <c r="E9" s="177" t="s">
        <v>154</v>
      </c>
      <c r="F9" s="177" t="s">
        <v>38</v>
      </c>
      <c r="G9" s="177">
        <v>0.22</v>
      </c>
      <c r="H9" s="177">
        <v>0.7</v>
      </c>
      <c r="I9" s="177" t="s">
        <v>155</v>
      </c>
      <c r="J9" s="177" t="s">
        <v>82</v>
      </c>
      <c r="K9" s="177">
        <v>7</v>
      </c>
      <c r="L9" s="177">
        <v>304</v>
      </c>
      <c r="M9" s="177">
        <v>2128</v>
      </c>
      <c r="N9" s="177"/>
      <c r="O9" s="177"/>
      <c r="P9" s="177"/>
      <c r="Q9" s="177">
        <v>0</v>
      </c>
      <c r="R9" s="177">
        <v>2128</v>
      </c>
      <c r="S9" s="177">
        <v>2596.16</v>
      </c>
      <c r="T9" s="177">
        <v>1817.3119999999997</v>
      </c>
    </row>
    <row r="10" spans="1:20">
      <c r="A10" s="213" t="s">
        <v>30</v>
      </c>
      <c r="B10" s="213" t="s">
        <v>24</v>
      </c>
      <c r="C10" s="213" t="s">
        <v>51</v>
      </c>
      <c r="D10" s="213" t="s">
        <v>103</v>
      </c>
      <c r="E10" s="177"/>
      <c r="F10" s="177" t="s">
        <v>38</v>
      </c>
      <c r="G10" s="177">
        <v>0.22</v>
      </c>
      <c r="H10" s="177">
        <v>0.7</v>
      </c>
      <c r="I10" s="177" t="s">
        <v>46</v>
      </c>
      <c r="J10" s="177" t="s">
        <v>82</v>
      </c>
      <c r="K10" s="177">
        <v>3</v>
      </c>
      <c r="L10" s="177">
        <v>406</v>
      </c>
      <c r="M10" s="177">
        <v>1218</v>
      </c>
      <c r="N10" s="177"/>
      <c r="O10" s="177"/>
      <c r="P10" s="177"/>
      <c r="Q10" s="177">
        <v>0</v>
      </c>
      <c r="R10" s="177">
        <v>1218</v>
      </c>
      <c r="S10" s="177">
        <v>1485.96</v>
      </c>
      <c r="T10" s="177">
        <v>1040.172</v>
      </c>
    </row>
    <row r="11" spans="1:20">
      <c r="A11" s="213" t="s">
        <v>30</v>
      </c>
      <c r="B11" s="213" t="s">
        <v>24</v>
      </c>
      <c r="C11" s="213" t="s">
        <v>51</v>
      </c>
      <c r="D11" s="213" t="s">
        <v>103</v>
      </c>
      <c r="E11" s="177"/>
      <c r="F11" s="177" t="s">
        <v>38</v>
      </c>
      <c r="G11" s="177">
        <v>0.22</v>
      </c>
      <c r="H11" s="177">
        <v>0.7</v>
      </c>
      <c r="I11" s="177" t="s">
        <v>155</v>
      </c>
      <c r="J11" s="177" t="s">
        <v>82</v>
      </c>
      <c r="K11" s="177">
        <v>6</v>
      </c>
      <c r="L11" s="177">
        <v>304</v>
      </c>
      <c r="M11" s="177">
        <v>1824</v>
      </c>
      <c r="N11" s="177"/>
      <c r="O11" s="177"/>
      <c r="P11" s="177"/>
      <c r="Q11" s="177">
        <v>0</v>
      </c>
      <c r="R11" s="177">
        <v>1824</v>
      </c>
      <c r="S11" s="177">
        <v>2225.2800000000002</v>
      </c>
      <c r="T11" s="177">
        <v>1557.6959999999999</v>
      </c>
    </row>
    <row r="12" spans="1:20">
      <c r="A12" s="213" t="s">
        <v>30</v>
      </c>
      <c r="B12" s="213" t="s">
        <v>24</v>
      </c>
      <c r="C12" s="213" t="s">
        <v>51</v>
      </c>
      <c r="D12" s="213" t="s">
        <v>105</v>
      </c>
      <c r="E12" s="177" t="s">
        <v>154</v>
      </c>
      <c r="F12" s="177" t="s">
        <v>38</v>
      </c>
      <c r="G12" s="177">
        <v>0.22</v>
      </c>
      <c r="H12" s="177">
        <v>0.7</v>
      </c>
      <c r="I12" s="177" t="s">
        <v>46</v>
      </c>
      <c r="J12" s="177" t="s">
        <v>82</v>
      </c>
      <c r="K12" s="177">
        <v>5.5</v>
      </c>
      <c r="L12" s="177">
        <v>406</v>
      </c>
      <c r="M12" s="177">
        <v>2233</v>
      </c>
      <c r="N12" s="177" t="s">
        <v>45</v>
      </c>
      <c r="O12" s="177">
        <v>4</v>
      </c>
      <c r="P12" s="177">
        <v>150</v>
      </c>
      <c r="Q12" s="177">
        <v>600</v>
      </c>
      <c r="R12" s="177">
        <v>2833</v>
      </c>
      <c r="S12" s="177">
        <v>3456.26</v>
      </c>
      <c r="T12" s="177">
        <v>2419.3820000000001</v>
      </c>
    </row>
    <row r="13" spans="1:20">
      <c r="A13" s="213" t="s">
        <v>30</v>
      </c>
      <c r="B13" s="213" t="s">
        <v>24</v>
      </c>
      <c r="C13" s="213" t="s">
        <v>52</v>
      </c>
      <c r="D13" s="213" t="s">
        <v>88</v>
      </c>
      <c r="E13" s="177" t="s">
        <v>156</v>
      </c>
      <c r="F13" s="177" t="s">
        <v>38</v>
      </c>
      <c r="G13" s="177">
        <v>0.22</v>
      </c>
      <c r="H13" s="177">
        <v>0.7</v>
      </c>
      <c r="I13" s="177" t="s">
        <v>46</v>
      </c>
      <c r="J13" s="177" t="s">
        <v>82</v>
      </c>
      <c r="K13" s="177">
        <v>2</v>
      </c>
      <c r="L13" s="177">
        <v>406</v>
      </c>
      <c r="M13" s="177">
        <v>812</v>
      </c>
      <c r="N13" s="177" t="s">
        <v>45</v>
      </c>
      <c r="O13" s="177">
        <v>2</v>
      </c>
      <c r="P13" s="177">
        <v>150</v>
      </c>
      <c r="Q13" s="177">
        <v>300</v>
      </c>
      <c r="R13" s="177">
        <v>1112</v>
      </c>
      <c r="S13" s="177">
        <v>1356.64</v>
      </c>
      <c r="T13" s="177">
        <v>949.64800000000002</v>
      </c>
    </row>
    <row r="14" spans="1:20">
      <c r="A14" s="213" t="s">
        <v>30</v>
      </c>
      <c r="B14" s="213" t="s">
        <v>24</v>
      </c>
      <c r="C14" s="213" t="s">
        <v>51</v>
      </c>
      <c r="D14" s="213" t="s">
        <v>105</v>
      </c>
      <c r="E14" s="177" t="s">
        <v>199</v>
      </c>
      <c r="F14" s="177" t="s">
        <v>15</v>
      </c>
      <c r="G14" s="177">
        <v>0.25</v>
      </c>
      <c r="H14" s="177">
        <v>0.5</v>
      </c>
      <c r="I14" s="177" t="s">
        <v>244</v>
      </c>
      <c r="J14" s="177" t="s">
        <v>81</v>
      </c>
      <c r="K14" s="177">
        <v>5.5</v>
      </c>
      <c r="L14" s="177">
        <v>792</v>
      </c>
      <c r="M14" s="177">
        <v>4356</v>
      </c>
      <c r="N14" s="177" t="s">
        <v>45</v>
      </c>
      <c r="O14" s="177">
        <v>4</v>
      </c>
      <c r="P14" s="177">
        <v>150</v>
      </c>
      <c r="Q14" s="177">
        <v>600</v>
      </c>
      <c r="R14" s="177">
        <v>4956</v>
      </c>
      <c r="S14" s="177">
        <v>1839</v>
      </c>
      <c r="T14" s="177">
        <v>919.5</v>
      </c>
    </row>
    <row r="15" spans="1:20">
      <c r="A15" s="213" t="s">
        <v>30</v>
      </c>
      <c r="B15" s="213" t="s">
        <v>24</v>
      </c>
      <c r="C15" s="213" t="s">
        <v>52</v>
      </c>
      <c r="D15" s="213" t="s">
        <v>88</v>
      </c>
      <c r="E15" s="177" t="s">
        <v>245</v>
      </c>
      <c r="F15" s="177" t="s">
        <v>15</v>
      </c>
      <c r="G15" s="177">
        <v>0.25</v>
      </c>
      <c r="H15" s="177">
        <v>0.5</v>
      </c>
      <c r="I15" s="177" t="s">
        <v>244</v>
      </c>
      <c r="J15" s="177" t="s">
        <v>81</v>
      </c>
      <c r="K15" s="177">
        <v>2</v>
      </c>
      <c r="L15" s="177">
        <v>792</v>
      </c>
      <c r="M15" s="177">
        <v>1584</v>
      </c>
      <c r="N15" s="177" t="s">
        <v>45</v>
      </c>
      <c r="O15" s="177">
        <v>2</v>
      </c>
      <c r="P15" s="177">
        <v>150</v>
      </c>
      <c r="Q15" s="177">
        <v>300</v>
      </c>
      <c r="R15" s="177">
        <v>1884</v>
      </c>
      <c r="S15" s="177">
        <v>771</v>
      </c>
      <c r="T15" s="177">
        <v>385.5</v>
      </c>
    </row>
    <row r="16" spans="1:20">
      <c r="A16" s="213" t="s">
        <v>30</v>
      </c>
      <c r="B16" s="213" t="s">
        <v>24</v>
      </c>
      <c r="C16" s="213" t="s">
        <v>51</v>
      </c>
      <c r="D16" s="213" t="s">
        <v>105</v>
      </c>
      <c r="E16" s="177" t="s">
        <v>154</v>
      </c>
      <c r="F16" s="177" t="s">
        <v>79</v>
      </c>
      <c r="G16" s="177">
        <v>0.16</v>
      </c>
      <c r="H16" s="177">
        <v>0.5</v>
      </c>
      <c r="I16" s="177" t="s">
        <v>238</v>
      </c>
      <c r="J16" s="177" t="s">
        <v>81</v>
      </c>
      <c r="K16" s="177">
        <v>5.5</v>
      </c>
      <c r="L16" s="177">
        <v>446</v>
      </c>
      <c r="M16" s="177">
        <v>2453</v>
      </c>
      <c r="N16" s="177" t="s">
        <v>45</v>
      </c>
      <c r="O16" s="177">
        <v>4</v>
      </c>
      <c r="P16" s="177">
        <v>150</v>
      </c>
      <c r="Q16" s="177">
        <v>600</v>
      </c>
      <c r="R16" s="177">
        <v>3053</v>
      </c>
      <c r="S16" s="177">
        <v>1088.48</v>
      </c>
      <c r="T16" s="177">
        <v>544.24</v>
      </c>
    </row>
    <row r="17" spans="1:20">
      <c r="A17" s="213" t="s">
        <v>30</v>
      </c>
      <c r="B17" s="213" t="s">
        <v>24</v>
      </c>
      <c r="C17" s="213" t="s">
        <v>51</v>
      </c>
      <c r="D17" s="213" t="s">
        <v>105</v>
      </c>
      <c r="E17" s="177" t="s">
        <v>154</v>
      </c>
      <c r="F17" s="177" t="s">
        <v>79</v>
      </c>
      <c r="G17" s="177">
        <v>0.16</v>
      </c>
      <c r="H17" s="177">
        <v>0.5</v>
      </c>
      <c r="I17" s="177" t="s">
        <v>241</v>
      </c>
      <c r="J17" s="177" t="s">
        <v>81</v>
      </c>
      <c r="K17" s="177">
        <v>5.5</v>
      </c>
      <c r="L17" s="177">
        <v>275</v>
      </c>
      <c r="M17" s="177">
        <v>1512</v>
      </c>
      <c r="N17" s="177" t="s">
        <v>45</v>
      </c>
      <c r="O17" s="177">
        <v>4</v>
      </c>
      <c r="P17" s="177">
        <v>150</v>
      </c>
      <c r="Q17" s="177">
        <v>600</v>
      </c>
      <c r="R17" s="177">
        <v>2112</v>
      </c>
      <c r="S17" s="177">
        <v>938</v>
      </c>
      <c r="T17" s="177">
        <v>469</v>
      </c>
    </row>
    <row r="18" spans="1:20">
      <c r="A18" s="213" t="s">
        <v>30</v>
      </c>
      <c r="B18" s="213" t="s">
        <v>24</v>
      </c>
      <c r="C18" s="213" t="s">
        <v>52</v>
      </c>
      <c r="D18" s="213" t="s">
        <v>88</v>
      </c>
      <c r="E18" s="177" t="s">
        <v>156</v>
      </c>
      <c r="F18" s="177" t="s">
        <v>79</v>
      </c>
      <c r="G18" s="177">
        <v>0.16</v>
      </c>
      <c r="H18" s="177">
        <v>0.5</v>
      </c>
      <c r="I18" s="177" t="s">
        <v>238</v>
      </c>
      <c r="J18" s="177" t="s">
        <v>81</v>
      </c>
      <c r="K18" s="177">
        <v>2</v>
      </c>
      <c r="L18" s="177">
        <v>446</v>
      </c>
      <c r="M18" s="177">
        <v>892</v>
      </c>
      <c r="N18" s="177" t="s">
        <v>45</v>
      </c>
      <c r="O18" s="177">
        <v>2</v>
      </c>
      <c r="P18" s="177">
        <v>150</v>
      </c>
      <c r="Q18" s="177">
        <v>300</v>
      </c>
      <c r="R18" s="177">
        <v>1192</v>
      </c>
      <c r="S18" s="177">
        <v>490.72</v>
      </c>
      <c r="T18" s="177">
        <v>245.36</v>
      </c>
    </row>
    <row r="19" spans="1:20">
      <c r="A19" s="213" t="s">
        <v>30</v>
      </c>
      <c r="B19" s="213" t="s">
        <v>24</v>
      </c>
      <c r="C19" s="213" t="s">
        <v>52</v>
      </c>
      <c r="D19" s="213" t="s">
        <v>88</v>
      </c>
      <c r="E19" s="177" t="s">
        <v>156</v>
      </c>
      <c r="F19" s="177" t="s">
        <v>79</v>
      </c>
      <c r="G19" s="177">
        <v>0.16</v>
      </c>
      <c r="H19" s="177">
        <v>0.5</v>
      </c>
      <c r="I19" s="177" t="s">
        <v>241</v>
      </c>
      <c r="J19" s="177" t="s">
        <v>81</v>
      </c>
      <c r="K19" s="177">
        <v>2</v>
      </c>
      <c r="L19" s="177">
        <v>275</v>
      </c>
      <c r="M19" s="177">
        <v>550</v>
      </c>
      <c r="N19" s="177" t="s">
        <v>136</v>
      </c>
      <c r="O19" s="177">
        <v>2</v>
      </c>
      <c r="P19" s="177">
        <v>150</v>
      </c>
      <c r="Q19" s="177">
        <v>300</v>
      </c>
      <c r="R19" s="177">
        <v>850</v>
      </c>
      <c r="S19" s="177">
        <v>436</v>
      </c>
      <c r="T19" s="177">
        <v>218</v>
      </c>
    </row>
    <row r="20" spans="1:20">
      <c r="A20" s="213" t="s">
        <v>30</v>
      </c>
      <c r="B20" s="213" t="s">
        <v>24</v>
      </c>
      <c r="C20" s="213" t="s">
        <v>51</v>
      </c>
      <c r="D20" s="213" t="s">
        <v>105</v>
      </c>
      <c r="E20" s="177" t="s">
        <v>199</v>
      </c>
      <c r="F20" s="177" t="s">
        <v>135</v>
      </c>
      <c r="G20" s="177">
        <v>0.25</v>
      </c>
      <c r="H20" s="177">
        <v>0.7</v>
      </c>
      <c r="I20" s="177"/>
      <c r="J20" s="177" t="s">
        <v>82</v>
      </c>
      <c r="K20" s="177">
        <v>5.5</v>
      </c>
      <c r="L20" s="177">
        <v>422</v>
      </c>
      <c r="M20" s="177">
        <v>2321</v>
      </c>
      <c r="N20" s="177" t="s">
        <v>45</v>
      </c>
      <c r="O20" s="177">
        <v>4</v>
      </c>
      <c r="P20" s="177">
        <v>150</v>
      </c>
      <c r="Q20" s="177">
        <v>600</v>
      </c>
      <c r="R20" s="177">
        <v>2921</v>
      </c>
      <c r="S20" s="177">
        <v>3651.25</v>
      </c>
      <c r="T20" s="177">
        <v>2555.875</v>
      </c>
    </row>
    <row r="21" spans="1:20">
      <c r="A21" s="213" t="s">
        <v>30</v>
      </c>
      <c r="B21" s="213" t="s">
        <v>24</v>
      </c>
      <c r="C21" s="213" t="s">
        <v>50</v>
      </c>
      <c r="D21" s="213" t="s">
        <v>106</v>
      </c>
      <c r="E21" s="177"/>
      <c r="F21" s="177" t="s">
        <v>16</v>
      </c>
      <c r="G21" s="177">
        <v>0.25</v>
      </c>
      <c r="H21" s="177">
        <v>0.7</v>
      </c>
      <c r="I21" s="177"/>
      <c r="J21" s="177" t="s">
        <v>82</v>
      </c>
      <c r="K21" s="177"/>
      <c r="L21" s="177"/>
      <c r="M21" s="177">
        <v>0</v>
      </c>
      <c r="N21" s="177" t="s">
        <v>136</v>
      </c>
      <c r="O21" s="177">
        <v>6</v>
      </c>
      <c r="P21" s="177">
        <v>520</v>
      </c>
      <c r="Q21" s="177">
        <v>3120</v>
      </c>
      <c r="R21" s="177">
        <v>3120</v>
      </c>
      <c r="S21" s="177">
        <v>3900</v>
      </c>
      <c r="T21" s="177">
        <v>2730</v>
      </c>
    </row>
    <row r="22" spans="1:20">
      <c r="A22" s="213" t="s">
        <v>30</v>
      </c>
      <c r="B22" s="213" t="s">
        <v>24</v>
      </c>
      <c r="C22" s="213" t="s">
        <v>50</v>
      </c>
      <c r="D22" s="213" t="s">
        <v>107</v>
      </c>
      <c r="E22" s="177"/>
      <c r="F22" s="177" t="s">
        <v>16</v>
      </c>
      <c r="G22" s="177">
        <v>0.25</v>
      </c>
      <c r="H22" s="177">
        <v>0.7</v>
      </c>
      <c r="I22" s="177"/>
      <c r="J22" s="177" t="s">
        <v>82</v>
      </c>
      <c r="K22" s="177"/>
      <c r="L22" s="177"/>
      <c r="M22" s="177">
        <v>0</v>
      </c>
      <c r="N22" s="177" t="s">
        <v>136</v>
      </c>
      <c r="O22" s="177">
        <v>3</v>
      </c>
      <c r="P22" s="177">
        <v>520</v>
      </c>
      <c r="Q22" s="177">
        <v>1560</v>
      </c>
      <c r="R22" s="177">
        <v>1560</v>
      </c>
      <c r="S22" s="177">
        <v>1950</v>
      </c>
      <c r="T22" s="177">
        <v>1365</v>
      </c>
    </row>
    <row r="23" spans="1:20">
      <c r="A23" s="213" t="s">
        <v>30</v>
      </c>
      <c r="B23" s="213" t="s">
        <v>24</v>
      </c>
      <c r="C23" s="213" t="s">
        <v>51</v>
      </c>
      <c r="D23" s="213" t="s">
        <v>105</v>
      </c>
      <c r="E23" s="177" t="s">
        <v>154</v>
      </c>
      <c r="F23" s="177" t="s">
        <v>16</v>
      </c>
      <c r="G23" s="177">
        <v>0.25</v>
      </c>
      <c r="H23" s="177">
        <v>0.7</v>
      </c>
      <c r="I23" s="177"/>
      <c r="J23" s="177" t="s">
        <v>82</v>
      </c>
      <c r="K23" s="177"/>
      <c r="L23" s="177"/>
      <c r="M23" s="177">
        <v>0</v>
      </c>
      <c r="N23" s="177" t="s">
        <v>136</v>
      </c>
      <c r="O23" s="177">
        <v>5.5</v>
      </c>
      <c r="P23" s="177">
        <v>520</v>
      </c>
      <c r="Q23" s="177">
        <v>2860</v>
      </c>
      <c r="R23" s="177">
        <v>2860</v>
      </c>
      <c r="S23" s="177">
        <v>3575</v>
      </c>
      <c r="T23" s="177">
        <v>2502.5</v>
      </c>
    </row>
    <row r="24" spans="1:20">
      <c r="A24" s="213" t="s">
        <v>30</v>
      </c>
      <c r="B24" s="213" t="s">
        <v>24</v>
      </c>
      <c r="C24" s="213" t="s">
        <v>51</v>
      </c>
      <c r="D24" s="213" t="s">
        <v>105</v>
      </c>
      <c r="E24" s="177" t="s">
        <v>154</v>
      </c>
      <c r="F24" s="177" t="s">
        <v>16</v>
      </c>
      <c r="G24" s="177">
        <v>0.25</v>
      </c>
      <c r="H24" s="177">
        <v>0.7</v>
      </c>
      <c r="I24" s="177"/>
      <c r="J24" s="177" t="s">
        <v>82</v>
      </c>
      <c r="K24" s="177"/>
      <c r="L24" s="177"/>
      <c r="M24" s="177">
        <v>0</v>
      </c>
      <c r="N24" s="177" t="s">
        <v>45</v>
      </c>
      <c r="O24" s="177">
        <v>4</v>
      </c>
      <c r="P24" s="177">
        <v>150</v>
      </c>
      <c r="Q24" s="177">
        <v>600</v>
      </c>
      <c r="R24" s="177">
        <v>600</v>
      </c>
      <c r="S24" s="177">
        <v>750</v>
      </c>
      <c r="T24" s="177">
        <v>525</v>
      </c>
    </row>
    <row r="25" spans="1:20">
      <c r="A25" s="213" t="s">
        <v>30</v>
      </c>
      <c r="B25" s="213" t="s">
        <v>24</v>
      </c>
      <c r="C25" s="213" t="s">
        <v>52</v>
      </c>
      <c r="D25" s="213" t="s">
        <v>88</v>
      </c>
      <c r="E25" s="177" t="s">
        <v>156</v>
      </c>
      <c r="F25" s="177" t="s">
        <v>16</v>
      </c>
      <c r="G25" s="177">
        <v>0.25</v>
      </c>
      <c r="H25" s="177">
        <v>0.7</v>
      </c>
      <c r="I25" s="177"/>
      <c r="J25" s="177" t="s">
        <v>82</v>
      </c>
      <c r="K25" s="177"/>
      <c r="L25" s="177"/>
      <c r="M25" s="177">
        <v>0</v>
      </c>
      <c r="N25" s="177" t="s">
        <v>136</v>
      </c>
      <c r="O25" s="177">
        <v>2</v>
      </c>
      <c r="P25" s="177">
        <v>520</v>
      </c>
      <c r="Q25" s="177">
        <v>1040</v>
      </c>
      <c r="R25" s="177">
        <v>1040</v>
      </c>
      <c r="S25" s="177">
        <v>1300</v>
      </c>
      <c r="T25" s="177">
        <v>909.99999999999989</v>
      </c>
    </row>
    <row r="26" spans="1:20">
      <c r="A26" s="213" t="s">
        <v>30</v>
      </c>
      <c r="B26" s="213" t="s">
        <v>24</v>
      </c>
      <c r="C26" s="213" t="s">
        <v>52</v>
      </c>
      <c r="D26" s="213" t="s">
        <v>88</v>
      </c>
      <c r="E26" s="177" t="s">
        <v>157</v>
      </c>
      <c r="F26" s="177" t="s">
        <v>16</v>
      </c>
      <c r="G26" s="177">
        <v>0.25</v>
      </c>
      <c r="H26" s="177">
        <v>0.7</v>
      </c>
      <c r="I26" s="177"/>
      <c r="J26" s="177" t="s">
        <v>82</v>
      </c>
      <c r="K26" s="177"/>
      <c r="L26" s="177"/>
      <c r="M26" s="177">
        <v>0</v>
      </c>
      <c r="N26" s="177" t="s">
        <v>45</v>
      </c>
      <c r="O26" s="177">
        <v>2</v>
      </c>
      <c r="P26" s="177">
        <v>150</v>
      </c>
      <c r="Q26" s="177">
        <v>300</v>
      </c>
      <c r="R26" s="177">
        <v>300</v>
      </c>
      <c r="S26" s="177">
        <v>375</v>
      </c>
      <c r="T26" s="177">
        <v>262.5</v>
      </c>
    </row>
    <row r="27" spans="1:20">
      <c r="A27" s="213" t="s">
        <v>30</v>
      </c>
      <c r="B27" s="213" t="s">
        <v>24</v>
      </c>
      <c r="C27" s="213" t="s">
        <v>51</v>
      </c>
      <c r="D27" s="213" t="s">
        <v>105</v>
      </c>
      <c r="E27" s="177" t="s">
        <v>199</v>
      </c>
      <c r="F27" s="177" t="s">
        <v>17</v>
      </c>
      <c r="G27" s="177">
        <v>0.18</v>
      </c>
      <c r="H27" s="177">
        <v>0.5</v>
      </c>
      <c r="I27" s="177" t="s">
        <v>219</v>
      </c>
      <c r="J27" s="177" t="s">
        <v>81</v>
      </c>
      <c r="K27" s="177">
        <v>7</v>
      </c>
      <c r="L27" s="177">
        <v>572</v>
      </c>
      <c r="M27" s="177">
        <v>4004</v>
      </c>
      <c r="N27" s="177" t="s">
        <v>45</v>
      </c>
      <c r="O27" s="177">
        <v>4</v>
      </c>
      <c r="P27" s="177">
        <v>150</v>
      </c>
      <c r="Q27" s="177">
        <v>600</v>
      </c>
      <c r="R27" s="177">
        <v>4604</v>
      </c>
      <c r="S27" s="177">
        <v>1428.72</v>
      </c>
      <c r="T27" s="177">
        <v>714.36</v>
      </c>
    </row>
    <row r="28" spans="1:20">
      <c r="A28" s="213" t="s">
        <v>30</v>
      </c>
      <c r="B28" s="213" t="s">
        <v>24</v>
      </c>
      <c r="C28" s="213" t="s">
        <v>51</v>
      </c>
      <c r="D28" s="213" t="s">
        <v>105</v>
      </c>
      <c r="E28" s="177" t="s">
        <v>199</v>
      </c>
      <c r="F28" s="177" t="s">
        <v>17</v>
      </c>
      <c r="G28" s="177">
        <v>0.18</v>
      </c>
      <c r="H28" s="177">
        <v>0.5</v>
      </c>
      <c r="I28" s="177" t="s">
        <v>220</v>
      </c>
      <c r="J28" s="177" t="s">
        <v>81</v>
      </c>
      <c r="K28" s="177">
        <v>7</v>
      </c>
      <c r="L28" s="177">
        <v>494</v>
      </c>
      <c r="M28" s="177">
        <v>3458</v>
      </c>
      <c r="N28" s="177" t="s">
        <v>45</v>
      </c>
      <c r="O28" s="177">
        <v>4</v>
      </c>
      <c r="P28" s="177">
        <v>150</v>
      </c>
      <c r="Q28" s="177">
        <v>600</v>
      </c>
      <c r="R28" s="177">
        <v>4058</v>
      </c>
      <c r="S28" s="177">
        <v>1330.44</v>
      </c>
      <c r="T28" s="177">
        <v>665.22</v>
      </c>
    </row>
    <row r="29" spans="1:20">
      <c r="A29" s="213" t="s">
        <v>30</v>
      </c>
      <c r="B29" s="213" t="s">
        <v>24</v>
      </c>
      <c r="C29" s="213" t="s">
        <v>51</v>
      </c>
      <c r="D29" s="213" t="s">
        <v>105</v>
      </c>
      <c r="E29" s="177" t="s">
        <v>199</v>
      </c>
      <c r="F29" s="177" t="s">
        <v>17</v>
      </c>
      <c r="G29" s="177">
        <v>0.18</v>
      </c>
      <c r="H29" s="177">
        <v>0.5</v>
      </c>
      <c r="I29" s="177" t="s">
        <v>221</v>
      </c>
      <c r="J29" s="177" t="s">
        <v>82</v>
      </c>
      <c r="K29" s="177">
        <v>7</v>
      </c>
      <c r="L29" s="177">
        <v>119</v>
      </c>
      <c r="M29" s="177">
        <v>833</v>
      </c>
      <c r="N29" s="177" t="s">
        <v>45</v>
      </c>
      <c r="O29" s="177">
        <v>4</v>
      </c>
      <c r="P29" s="177">
        <v>150</v>
      </c>
      <c r="Q29" s="177">
        <v>600</v>
      </c>
      <c r="R29" s="177">
        <v>1433</v>
      </c>
      <c r="S29" s="177">
        <v>1690.94</v>
      </c>
      <c r="T29" s="177">
        <v>845.47</v>
      </c>
    </row>
    <row r="30" spans="1:20">
      <c r="A30" s="213" t="s">
        <v>30</v>
      </c>
      <c r="B30" s="213" t="s">
        <v>24</v>
      </c>
      <c r="C30" s="213" t="s">
        <v>52</v>
      </c>
      <c r="D30" s="213" t="s">
        <v>88</v>
      </c>
      <c r="E30" s="177" t="s">
        <v>200</v>
      </c>
      <c r="F30" s="177" t="s">
        <v>17</v>
      </c>
      <c r="G30" s="177">
        <v>0.18</v>
      </c>
      <c r="H30" s="177">
        <v>0.5</v>
      </c>
      <c r="I30" s="177" t="s">
        <v>219</v>
      </c>
      <c r="J30" s="177" t="s">
        <v>81</v>
      </c>
      <c r="K30" s="177">
        <v>2</v>
      </c>
      <c r="L30" s="177">
        <v>572</v>
      </c>
      <c r="M30" s="177">
        <v>1144</v>
      </c>
      <c r="N30" s="177" t="s">
        <v>45</v>
      </c>
      <c r="O30" s="177">
        <v>2</v>
      </c>
      <c r="P30" s="177">
        <v>150</v>
      </c>
      <c r="Q30" s="177">
        <v>300</v>
      </c>
      <c r="R30" s="177">
        <v>1444</v>
      </c>
      <c r="S30" s="177">
        <v>559.91999999999996</v>
      </c>
      <c r="T30" s="177">
        <v>279.95999999999998</v>
      </c>
    </row>
    <row r="31" spans="1:20">
      <c r="A31" s="213" t="s">
        <v>30</v>
      </c>
      <c r="B31" s="213" t="s">
        <v>24</v>
      </c>
      <c r="C31" s="213" t="s">
        <v>52</v>
      </c>
      <c r="D31" s="213" t="s">
        <v>88</v>
      </c>
      <c r="E31" s="177" t="s">
        <v>200</v>
      </c>
      <c r="F31" s="177" t="s">
        <v>17</v>
      </c>
      <c r="G31" s="177">
        <v>0.18</v>
      </c>
      <c r="H31" s="177">
        <v>0.5</v>
      </c>
      <c r="I31" s="177" t="s">
        <v>220</v>
      </c>
      <c r="J31" s="177" t="s">
        <v>81</v>
      </c>
      <c r="K31" s="177">
        <v>2</v>
      </c>
      <c r="L31" s="177">
        <v>494</v>
      </c>
      <c r="M31" s="177">
        <v>988</v>
      </c>
      <c r="N31" s="177" t="s">
        <v>45</v>
      </c>
      <c r="O31" s="177">
        <v>2</v>
      </c>
      <c r="P31" s="177">
        <v>150</v>
      </c>
      <c r="Q31" s="177">
        <v>300</v>
      </c>
      <c r="R31" s="177">
        <v>1288</v>
      </c>
      <c r="S31" s="177">
        <v>531.84</v>
      </c>
      <c r="T31" s="177">
        <v>265.92</v>
      </c>
    </row>
    <row r="32" spans="1:20">
      <c r="A32" s="213" t="s">
        <v>30</v>
      </c>
      <c r="B32" s="213" t="s">
        <v>24</v>
      </c>
      <c r="C32" s="213" t="s">
        <v>52</v>
      </c>
      <c r="D32" s="213" t="s">
        <v>88</v>
      </c>
      <c r="E32" s="177" t="s">
        <v>200</v>
      </c>
      <c r="F32" s="177" t="s">
        <v>17</v>
      </c>
      <c r="G32" s="177">
        <v>0.18</v>
      </c>
      <c r="H32" s="177">
        <v>0.5</v>
      </c>
      <c r="I32" s="177" t="s">
        <v>221</v>
      </c>
      <c r="J32" s="177" t="s">
        <v>82</v>
      </c>
      <c r="K32" s="177">
        <v>2</v>
      </c>
      <c r="L32" s="177">
        <v>119</v>
      </c>
      <c r="M32" s="177">
        <v>238</v>
      </c>
      <c r="N32" s="177" t="s">
        <v>45</v>
      </c>
      <c r="O32" s="177">
        <v>2</v>
      </c>
      <c r="P32" s="177">
        <v>150</v>
      </c>
      <c r="Q32" s="177">
        <v>300</v>
      </c>
      <c r="R32" s="177">
        <v>538</v>
      </c>
      <c r="S32" s="177">
        <v>634.84</v>
      </c>
      <c r="T32" s="177">
        <v>317.42</v>
      </c>
    </row>
    <row r="33" spans="1:20">
      <c r="A33" s="213" t="s">
        <v>30</v>
      </c>
      <c r="B33" s="213" t="s">
        <v>24</v>
      </c>
      <c r="C33" s="213" t="s">
        <v>51</v>
      </c>
      <c r="D33" s="213" t="s">
        <v>105</v>
      </c>
      <c r="E33" s="177" t="s">
        <v>199</v>
      </c>
      <c r="F33" s="177" t="s">
        <v>19</v>
      </c>
      <c r="G33" s="177">
        <v>0.25</v>
      </c>
      <c r="H33" s="177">
        <v>0.5</v>
      </c>
      <c r="I33" s="177"/>
      <c r="J33" s="177" t="s">
        <v>82</v>
      </c>
      <c r="K33" s="177">
        <v>5.5</v>
      </c>
      <c r="L33" s="177">
        <v>350</v>
      </c>
      <c r="M33" s="177">
        <v>1925</v>
      </c>
      <c r="N33" s="177" t="s">
        <v>45</v>
      </c>
      <c r="O33" s="177">
        <v>4</v>
      </c>
      <c r="P33" s="177">
        <v>150</v>
      </c>
      <c r="Q33" s="177">
        <v>600</v>
      </c>
      <c r="R33" s="177">
        <v>2525</v>
      </c>
      <c r="S33" s="177">
        <v>3156.25</v>
      </c>
      <c r="T33" s="177">
        <v>1578.125</v>
      </c>
    </row>
    <row r="34" spans="1:20">
      <c r="A34" s="213" t="s">
        <v>30</v>
      </c>
      <c r="B34" s="213" t="s">
        <v>24</v>
      </c>
      <c r="C34" s="213" t="s">
        <v>52</v>
      </c>
      <c r="D34" s="213" t="s">
        <v>88</v>
      </c>
      <c r="E34" s="177" t="s">
        <v>200</v>
      </c>
      <c r="F34" s="177" t="s">
        <v>19</v>
      </c>
      <c r="G34" s="177">
        <v>0.25</v>
      </c>
      <c r="H34" s="177">
        <v>0.5</v>
      </c>
      <c r="I34" s="177"/>
      <c r="J34" s="177" t="s">
        <v>82</v>
      </c>
      <c r="K34" s="177">
        <v>2</v>
      </c>
      <c r="L34" s="177">
        <v>350</v>
      </c>
      <c r="M34" s="177">
        <v>700</v>
      </c>
      <c r="N34" s="177" t="s">
        <v>45</v>
      </c>
      <c r="O34" s="177">
        <v>2</v>
      </c>
      <c r="P34" s="177">
        <v>150</v>
      </c>
      <c r="Q34" s="177">
        <v>300</v>
      </c>
      <c r="R34" s="177">
        <v>1000</v>
      </c>
      <c r="S34" s="177">
        <v>1250</v>
      </c>
      <c r="T34" s="177">
        <v>625</v>
      </c>
    </row>
    <row r="35" spans="1:20">
      <c r="A35" s="213" t="s">
        <v>30</v>
      </c>
      <c r="B35" s="213" t="s">
        <v>24</v>
      </c>
      <c r="C35" s="213" t="s">
        <v>51</v>
      </c>
      <c r="D35" s="213" t="s">
        <v>105</v>
      </c>
      <c r="E35" s="177" t="s">
        <v>199</v>
      </c>
      <c r="F35" s="177" t="s">
        <v>22</v>
      </c>
      <c r="G35" s="177">
        <v>0.2</v>
      </c>
      <c r="H35" s="177">
        <v>0.5</v>
      </c>
      <c r="I35" s="177" t="s">
        <v>202</v>
      </c>
      <c r="J35" s="177" t="s">
        <v>82</v>
      </c>
      <c r="K35" s="177">
        <v>5.5</v>
      </c>
      <c r="L35" s="177">
        <v>380</v>
      </c>
      <c r="M35" s="177">
        <v>2090</v>
      </c>
      <c r="N35" s="177" t="s">
        <v>45</v>
      </c>
      <c r="O35" s="177">
        <v>4</v>
      </c>
      <c r="P35" s="177">
        <v>150</v>
      </c>
      <c r="Q35" s="177">
        <v>600</v>
      </c>
      <c r="R35" s="177">
        <v>2690</v>
      </c>
      <c r="S35" s="177">
        <v>3228</v>
      </c>
      <c r="T35" s="177">
        <v>1614</v>
      </c>
    </row>
    <row r="36" spans="1:20">
      <c r="A36" s="213" t="s">
        <v>30</v>
      </c>
      <c r="B36" s="213" t="s">
        <v>24</v>
      </c>
      <c r="C36" s="213" t="s">
        <v>52</v>
      </c>
      <c r="D36" s="213" t="s">
        <v>88</v>
      </c>
      <c r="E36" s="177" t="s">
        <v>200</v>
      </c>
      <c r="F36" s="177" t="s">
        <v>22</v>
      </c>
      <c r="G36" s="177">
        <v>0.2</v>
      </c>
      <c r="H36" s="177">
        <v>0.5</v>
      </c>
      <c r="I36" s="177" t="s">
        <v>202</v>
      </c>
      <c r="J36" s="177" t="s">
        <v>82</v>
      </c>
      <c r="K36" s="177">
        <v>2</v>
      </c>
      <c r="L36" s="177">
        <v>380</v>
      </c>
      <c r="M36" s="177">
        <v>760</v>
      </c>
      <c r="N36" s="177" t="s">
        <v>45</v>
      </c>
      <c r="O36" s="177">
        <v>2</v>
      </c>
      <c r="P36" s="177">
        <v>150</v>
      </c>
      <c r="Q36" s="177">
        <v>300</v>
      </c>
      <c r="R36" s="177">
        <v>1060</v>
      </c>
      <c r="S36" s="177">
        <v>1272</v>
      </c>
      <c r="T36" s="177">
        <v>636</v>
      </c>
    </row>
    <row r="37" spans="1:20">
      <c r="A37" s="213" t="s">
        <v>30</v>
      </c>
      <c r="B37" s="213" t="s">
        <v>24</v>
      </c>
      <c r="C37" s="213" t="s">
        <v>51</v>
      </c>
      <c r="D37" s="213" t="s">
        <v>105</v>
      </c>
      <c r="E37" s="177" t="s">
        <v>199</v>
      </c>
      <c r="F37" s="177" t="s">
        <v>20</v>
      </c>
      <c r="G37" s="177">
        <v>0.25</v>
      </c>
      <c r="H37" s="177">
        <v>0.5</v>
      </c>
      <c r="I37" s="177"/>
      <c r="J37" s="177" t="s">
        <v>82</v>
      </c>
      <c r="K37" s="177">
        <v>5.5</v>
      </c>
      <c r="L37" s="177">
        <v>350</v>
      </c>
      <c r="M37" s="177">
        <v>1925</v>
      </c>
      <c r="N37" s="177" t="s">
        <v>45</v>
      </c>
      <c r="O37" s="177">
        <v>4</v>
      </c>
      <c r="P37" s="177">
        <v>150</v>
      </c>
      <c r="Q37" s="177">
        <v>600</v>
      </c>
      <c r="R37" s="177">
        <v>2525</v>
      </c>
      <c r="S37" s="177">
        <v>3156.25</v>
      </c>
      <c r="T37" s="177">
        <v>1578.125</v>
      </c>
    </row>
    <row r="38" spans="1:20">
      <c r="A38" s="213" t="s">
        <v>30</v>
      </c>
      <c r="B38" s="213" t="s">
        <v>24</v>
      </c>
      <c r="C38" s="213" t="s">
        <v>52</v>
      </c>
      <c r="D38" s="213" t="s">
        <v>88</v>
      </c>
      <c r="E38" s="177" t="s">
        <v>200</v>
      </c>
      <c r="F38" s="177" t="s">
        <v>20</v>
      </c>
      <c r="G38" s="177">
        <v>0.25</v>
      </c>
      <c r="H38" s="177">
        <v>0.5</v>
      </c>
      <c r="I38" s="177"/>
      <c r="J38" s="177" t="s">
        <v>82</v>
      </c>
      <c r="K38" s="177">
        <v>2</v>
      </c>
      <c r="L38" s="177">
        <v>350</v>
      </c>
      <c r="M38" s="177">
        <v>700</v>
      </c>
      <c r="N38" s="177" t="s">
        <v>45</v>
      </c>
      <c r="O38" s="177">
        <v>2</v>
      </c>
      <c r="P38" s="177">
        <v>150</v>
      </c>
      <c r="Q38" s="177">
        <v>300</v>
      </c>
      <c r="R38" s="177">
        <v>1000</v>
      </c>
      <c r="S38" s="177">
        <v>1250</v>
      </c>
      <c r="T38" s="177">
        <v>625</v>
      </c>
    </row>
    <row r="39" spans="1:20">
      <c r="A39" s="213" t="s">
        <v>30</v>
      </c>
      <c r="B39" s="213" t="s">
        <v>24</v>
      </c>
      <c r="C39" s="213" t="s">
        <v>50</v>
      </c>
      <c r="D39" s="213" t="s">
        <v>106</v>
      </c>
      <c r="E39" s="177" t="s">
        <v>262</v>
      </c>
      <c r="F39" s="177" t="s">
        <v>18</v>
      </c>
      <c r="G39" s="177">
        <v>0.25</v>
      </c>
      <c r="H39" s="177">
        <v>0.7</v>
      </c>
      <c r="I39" s="177" t="s">
        <v>263</v>
      </c>
      <c r="J39" s="177" t="s">
        <v>82</v>
      </c>
      <c r="K39" s="177">
        <v>0</v>
      </c>
      <c r="L39" s="177">
        <v>100000</v>
      </c>
      <c r="M39" s="177">
        <v>0</v>
      </c>
      <c r="N39" s="177"/>
      <c r="O39" s="177"/>
      <c r="P39" s="177"/>
      <c r="Q39" s="177">
        <v>0</v>
      </c>
      <c r="R39" s="177">
        <v>0</v>
      </c>
      <c r="S39" s="177">
        <v>0</v>
      </c>
      <c r="T39" s="177">
        <v>0</v>
      </c>
    </row>
    <row r="40" spans="1:20">
      <c r="A40" s="213" t="s">
        <v>31</v>
      </c>
      <c r="B40" s="213" t="s">
        <v>23</v>
      </c>
      <c r="C40" s="213" t="s">
        <v>54</v>
      </c>
      <c r="D40" s="213" t="s">
        <v>111</v>
      </c>
      <c r="E40" s="177">
        <v>0</v>
      </c>
      <c r="F40" s="177" t="s">
        <v>18</v>
      </c>
      <c r="G40" s="177">
        <v>0.25</v>
      </c>
      <c r="H40" s="177">
        <v>0.7</v>
      </c>
      <c r="I40" s="177">
        <v>0</v>
      </c>
      <c r="J40" s="177" t="s">
        <v>82</v>
      </c>
      <c r="K40" s="177">
        <v>1</v>
      </c>
      <c r="L40" s="177">
        <v>490</v>
      </c>
      <c r="M40" s="177">
        <v>490</v>
      </c>
      <c r="N40" s="177" t="s">
        <v>201</v>
      </c>
      <c r="O40" s="177">
        <v>1</v>
      </c>
      <c r="P40" s="177">
        <v>150</v>
      </c>
      <c r="Q40" s="177">
        <v>150</v>
      </c>
      <c r="R40" s="177">
        <v>640</v>
      </c>
      <c r="S40" s="177">
        <v>800</v>
      </c>
      <c r="T40" s="177">
        <v>560</v>
      </c>
    </row>
    <row r="41" spans="1:20">
      <c r="A41" s="213" t="s">
        <v>31</v>
      </c>
      <c r="B41" s="213" t="s">
        <v>23</v>
      </c>
      <c r="C41" s="213" t="s">
        <v>54</v>
      </c>
      <c r="D41" s="213" t="s">
        <v>112</v>
      </c>
      <c r="E41" s="177">
        <v>0</v>
      </c>
      <c r="F41" s="177" t="s">
        <v>18</v>
      </c>
      <c r="G41" s="177">
        <v>0.25</v>
      </c>
      <c r="H41" s="177">
        <v>0.7</v>
      </c>
      <c r="I41" s="177">
        <v>0</v>
      </c>
      <c r="J41" s="177" t="s">
        <v>82</v>
      </c>
      <c r="K41" s="177">
        <v>4</v>
      </c>
      <c r="L41" s="177">
        <v>490</v>
      </c>
      <c r="M41" s="177">
        <v>1960</v>
      </c>
      <c r="N41" s="177" t="s">
        <v>45</v>
      </c>
      <c r="O41" s="177">
        <v>3</v>
      </c>
      <c r="P41" s="177">
        <v>150</v>
      </c>
      <c r="Q41" s="177">
        <v>450</v>
      </c>
      <c r="R41" s="177">
        <v>2410</v>
      </c>
      <c r="S41" s="177">
        <v>3012.5</v>
      </c>
      <c r="T41" s="177">
        <v>2108.75</v>
      </c>
    </row>
    <row r="42" spans="1:20">
      <c r="A42" s="213" t="s">
        <v>31</v>
      </c>
      <c r="B42" s="213" t="s">
        <v>23</v>
      </c>
      <c r="C42" s="213" t="s">
        <v>54</v>
      </c>
      <c r="D42" s="213" t="s">
        <v>113</v>
      </c>
      <c r="E42" s="177">
        <v>0</v>
      </c>
      <c r="F42" s="177" t="s">
        <v>18</v>
      </c>
      <c r="G42" s="177">
        <v>0.25</v>
      </c>
      <c r="H42" s="177">
        <v>0.7</v>
      </c>
      <c r="I42" s="177">
        <v>0</v>
      </c>
      <c r="J42" s="177" t="s">
        <v>82</v>
      </c>
      <c r="K42" s="177">
        <v>2</v>
      </c>
      <c r="L42" s="177">
        <v>490</v>
      </c>
      <c r="M42" s="177">
        <v>980</v>
      </c>
      <c r="N42" s="177" t="s">
        <v>45</v>
      </c>
      <c r="O42" s="177">
        <v>2</v>
      </c>
      <c r="P42" s="177">
        <v>150</v>
      </c>
      <c r="Q42" s="177">
        <v>300</v>
      </c>
      <c r="R42" s="177">
        <v>1280</v>
      </c>
      <c r="S42" s="177">
        <v>1600</v>
      </c>
      <c r="T42" s="177">
        <v>1120</v>
      </c>
    </row>
    <row r="43" spans="1:20">
      <c r="A43" s="213" t="s">
        <v>31</v>
      </c>
      <c r="B43" s="213" t="s">
        <v>23</v>
      </c>
      <c r="C43" s="213" t="s">
        <v>53</v>
      </c>
      <c r="D43" s="213" t="s">
        <v>108</v>
      </c>
      <c r="E43" s="177" t="s">
        <v>258</v>
      </c>
      <c r="F43" s="177" t="s">
        <v>21</v>
      </c>
      <c r="G43" s="177">
        <v>0.25</v>
      </c>
      <c r="H43" s="177">
        <v>0.7</v>
      </c>
      <c r="I43" s="177" t="s">
        <v>259</v>
      </c>
      <c r="J43" s="177" t="s">
        <v>82</v>
      </c>
      <c r="K43" s="177">
        <v>16</v>
      </c>
      <c r="L43" s="177">
        <v>430</v>
      </c>
      <c r="M43" s="177">
        <v>6880</v>
      </c>
      <c r="N43" s="177"/>
      <c r="O43" s="177"/>
      <c r="P43" s="177"/>
      <c r="Q43" s="177">
        <v>0</v>
      </c>
      <c r="R43" s="177">
        <v>6880</v>
      </c>
      <c r="S43" s="177">
        <v>8600</v>
      </c>
      <c r="T43" s="177">
        <v>6020</v>
      </c>
    </row>
    <row r="44" spans="1:20">
      <c r="A44" s="213" t="s">
        <v>31</v>
      </c>
      <c r="B44" s="213" t="s">
        <v>23</v>
      </c>
      <c r="C44" s="213" t="s">
        <v>54</v>
      </c>
      <c r="D44" s="213" t="s">
        <v>111</v>
      </c>
      <c r="E44" s="177"/>
      <c r="F44" s="177" t="s">
        <v>21</v>
      </c>
      <c r="G44" s="177">
        <v>0.25</v>
      </c>
      <c r="H44" s="177">
        <v>0.7</v>
      </c>
      <c r="I44" s="177" t="s">
        <v>259</v>
      </c>
      <c r="J44" s="177" t="s">
        <v>82</v>
      </c>
      <c r="K44" s="177">
        <v>2</v>
      </c>
      <c r="L44" s="177">
        <v>430</v>
      </c>
      <c r="M44" s="177">
        <v>860</v>
      </c>
      <c r="N44" s="177"/>
      <c r="O44" s="177"/>
      <c r="P44" s="177"/>
      <c r="Q44" s="177">
        <v>0</v>
      </c>
      <c r="R44" s="177">
        <v>860</v>
      </c>
      <c r="S44" s="177">
        <v>1075</v>
      </c>
      <c r="T44" s="177">
        <v>752.5</v>
      </c>
    </row>
    <row r="45" spans="1:20">
      <c r="A45" s="213" t="s">
        <v>31</v>
      </c>
      <c r="B45" s="213" t="s">
        <v>23</v>
      </c>
      <c r="C45" s="213" t="s">
        <v>54</v>
      </c>
      <c r="D45" s="213" t="s">
        <v>113</v>
      </c>
      <c r="E45" s="177"/>
      <c r="F45" s="177" t="s">
        <v>21</v>
      </c>
      <c r="G45" s="177">
        <v>0.25</v>
      </c>
      <c r="H45" s="177">
        <v>0.7</v>
      </c>
      <c r="I45" s="177" t="s">
        <v>259</v>
      </c>
      <c r="J45" s="177" t="s">
        <v>82</v>
      </c>
      <c r="K45" s="177">
        <v>2</v>
      </c>
      <c r="L45" s="177">
        <v>430</v>
      </c>
      <c r="M45" s="177">
        <v>860</v>
      </c>
      <c r="N45" s="177" t="s">
        <v>45</v>
      </c>
      <c r="O45" s="177">
        <v>2</v>
      </c>
      <c r="P45" s="177">
        <v>150</v>
      </c>
      <c r="Q45" s="177">
        <v>300</v>
      </c>
      <c r="R45" s="177">
        <v>1160</v>
      </c>
      <c r="S45" s="177">
        <v>1450</v>
      </c>
      <c r="T45" s="177">
        <v>1015</v>
      </c>
    </row>
    <row r="46" spans="1:20">
      <c r="A46" s="213" t="s">
        <v>31</v>
      </c>
      <c r="B46" s="213" t="s">
        <v>23</v>
      </c>
      <c r="C46" s="213" t="s">
        <v>54</v>
      </c>
      <c r="D46" s="213" t="s">
        <v>114</v>
      </c>
      <c r="E46" s="177"/>
      <c r="F46" s="177" t="s">
        <v>21</v>
      </c>
      <c r="G46" s="177">
        <v>0.25</v>
      </c>
      <c r="H46" s="177">
        <v>0.7</v>
      </c>
      <c r="I46" s="177" t="s">
        <v>259</v>
      </c>
      <c r="J46" s="177" t="s">
        <v>82</v>
      </c>
      <c r="K46" s="177">
        <v>2</v>
      </c>
      <c r="L46" s="177">
        <v>430</v>
      </c>
      <c r="M46" s="177">
        <v>860</v>
      </c>
      <c r="N46" s="177" t="s">
        <v>45</v>
      </c>
      <c r="O46" s="177"/>
      <c r="P46" s="177"/>
      <c r="Q46" s="177">
        <v>0</v>
      </c>
      <c r="R46" s="177">
        <v>860</v>
      </c>
      <c r="S46" s="177">
        <v>1075</v>
      </c>
      <c r="T46" s="177">
        <v>752.5</v>
      </c>
    </row>
    <row r="47" spans="1:20">
      <c r="A47" s="213" t="s">
        <v>31</v>
      </c>
      <c r="B47" s="213" t="s">
        <v>23</v>
      </c>
      <c r="C47" s="213" t="s">
        <v>53</v>
      </c>
      <c r="D47" s="213" t="s">
        <v>59</v>
      </c>
      <c r="E47" s="177" t="s">
        <v>158</v>
      </c>
      <c r="F47" s="177" t="s">
        <v>38</v>
      </c>
      <c r="G47" s="177">
        <v>0.22</v>
      </c>
      <c r="H47" s="177">
        <v>0.7</v>
      </c>
      <c r="I47" s="177" t="s">
        <v>46</v>
      </c>
      <c r="J47" s="177" t="s">
        <v>82</v>
      </c>
      <c r="K47" s="177">
        <v>1</v>
      </c>
      <c r="L47" s="177">
        <v>406</v>
      </c>
      <c r="M47" s="177">
        <v>406</v>
      </c>
      <c r="N47" s="177"/>
      <c r="O47" s="177"/>
      <c r="P47" s="177"/>
      <c r="Q47" s="177">
        <v>0</v>
      </c>
      <c r="R47" s="177">
        <v>406</v>
      </c>
      <c r="S47" s="177">
        <v>495.32</v>
      </c>
      <c r="T47" s="177">
        <v>346.72399999999999</v>
      </c>
    </row>
    <row r="48" spans="1:20">
      <c r="A48" s="213" t="s">
        <v>31</v>
      </c>
      <c r="B48" s="213" t="s">
        <v>23</v>
      </c>
      <c r="C48" s="213" t="s">
        <v>54</v>
      </c>
      <c r="D48" s="213" t="s">
        <v>111</v>
      </c>
      <c r="E48" s="177"/>
      <c r="F48" s="177" t="s">
        <v>38</v>
      </c>
      <c r="G48" s="177">
        <v>0.22</v>
      </c>
      <c r="H48" s="177">
        <v>0.7</v>
      </c>
      <c r="I48" s="177" t="s">
        <v>46</v>
      </c>
      <c r="J48" s="177" t="s">
        <v>82</v>
      </c>
      <c r="K48" s="177">
        <v>1</v>
      </c>
      <c r="L48" s="177">
        <v>406</v>
      </c>
      <c r="M48" s="177">
        <v>406</v>
      </c>
      <c r="N48" s="177"/>
      <c r="O48" s="177"/>
      <c r="P48" s="177"/>
      <c r="Q48" s="177">
        <v>0</v>
      </c>
      <c r="R48" s="177">
        <v>406</v>
      </c>
      <c r="S48" s="177">
        <v>495.32</v>
      </c>
      <c r="T48" s="177">
        <v>346.72399999999999</v>
      </c>
    </row>
    <row r="49" spans="1:20">
      <c r="A49" s="213" t="s">
        <v>31</v>
      </c>
      <c r="B49" s="213" t="s">
        <v>23</v>
      </c>
      <c r="C49" s="213" t="s">
        <v>54</v>
      </c>
      <c r="D49" s="213" t="s">
        <v>111</v>
      </c>
      <c r="E49" s="177"/>
      <c r="F49" s="177" t="s">
        <v>38</v>
      </c>
      <c r="G49" s="177">
        <v>0.22</v>
      </c>
      <c r="H49" s="177">
        <v>0.7</v>
      </c>
      <c r="I49" s="177" t="s">
        <v>155</v>
      </c>
      <c r="J49" s="177" t="s">
        <v>82</v>
      </c>
      <c r="K49" s="177">
        <v>3</v>
      </c>
      <c r="L49" s="177">
        <v>304</v>
      </c>
      <c r="M49" s="177">
        <v>912</v>
      </c>
      <c r="N49" s="177"/>
      <c r="O49" s="177"/>
      <c r="P49" s="177"/>
      <c r="Q49" s="177">
        <v>0</v>
      </c>
      <c r="R49" s="177">
        <v>912</v>
      </c>
      <c r="S49" s="177">
        <v>1112.6400000000001</v>
      </c>
      <c r="T49" s="177">
        <v>778.84799999999996</v>
      </c>
    </row>
    <row r="50" spans="1:20">
      <c r="A50" s="213" t="s">
        <v>31</v>
      </c>
      <c r="B50" s="213" t="s">
        <v>23</v>
      </c>
      <c r="C50" s="213" t="s">
        <v>54</v>
      </c>
      <c r="D50" s="213" t="s">
        <v>112</v>
      </c>
      <c r="E50" s="177"/>
      <c r="F50" s="177" t="s">
        <v>38</v>
      </c>
      <c r="G50" s="177">
        <v>0.22</v>
      </c>
      <c r="H50" s="177">
        <v>0.7</v>
      </c>
      <c r="I50" s="177" t="s">
        <v>46</v>
      </c>
      <c r="J50" s="177" t="s">
        <v>82</v>
      </c>
      <c r="K50" s="177">
        <v>0.5</v>
      </c>
      <c r="L50" s="177">
        <v>406</v>
      </c>
      <c r="M50" s="177">
        <v>203</v>
      </c>
      <c r="N50" s="177"/>
      <c r="O50" s="177"/>
      <c r="P50" s="177"/>
      <c r="Q50" s="177">
        <v>0</v>
      </c>
      <c r="R50" s="177">
        <v>203</v>
      </c>
      <c r="S50" s="177">
        <v>247.66</v>
      </c>
      <c r="T50" s="177">
        <v>173.36199999999999</v>
      </c>
    </row>
    <row r="51" spans="1:20">
      <c r="A51" s="213" t="s">
        <v>31</v>
      </c>
      <c r="B51" s="213" t="s">
        <v>23</v>
      </c>
      <c r="C51" s="213" t="s">
        <v>54</v>
      </c>
      <c r="D51" s="213" t="s">
        <v>112</v>
      </c>
      <c r="E51" s="177"/>
      <c r="F51" s="177" t="s">
        <v>38</v>
      </c>
      <c r="G51" s="177">
        <v>0.22</v>
      </c>
      <c r="H51" s="177">
        <v>0.7</v>
      </c>
      <c r="I51" s="177" t="s">
        <v>155</v>
      </c>
      <c r="J51" s="177" t="s">
        <v>82</v>
      </c>
      <c r="K51" s="177">
        <v>3.5</v>
      </c>
      <c r="L51" s="177">
        <v>304</v>
      </c>
      <c r="M51" s="177">
        <v>1064</v>
      </c>
      <c r="N51" s="177"/>
      <c r="O51" s="177"/>
      <c r="P51" s="177"/>
      <c r="Q51" s="177">
        <v>0</v>
      </c>
      <c r="R51" s="177">
        <v>1064</v>
      </c>
      <c r="S51" s="177">
        <v>1298.08</v>
      </c>
      <c r="T51" s="177">
        <v>908.65599999999984</v>
      </c>
    </row>
    <row r="52" spans="1:20">
      <c r="A52" s="213" t="s">
        <v>31</v>
      </c>
      <c r="B52" s="213" t="s">
        <v>23</v>
      </c>
      <c r="C52" s="213" t="s">
        <v>54</v>
      </c>
      <c r="D52" s="213" t="s">
        <v>113</v>
      </c>
      <c r="E52" s="177"/>
      <c r="F52" s="177" t="s">
        <v>38</v>
      </c>
      <c r="G52" s="177">
        <v>0.22</v>
      </c>
      <c r="H52" s="177">
        <v>0.7</v>
      </c>
      <c r="I52" s="177" t="s">
        <v>46</v>
      </c>
      <c r="J52" s="177" t="s">
        <v>82</v>
      </c>
      <c r="K52" s="177">
        <v>2</v>
      </c>
      <c r="L52" s="177">
        <v>406</v>
      </c>
      <c r="M52" s="177">
        <v>812</v>
      </c>
      <c r="N52" s="177" t="s">
        <v>45</v>
      </c>
      <c r="O52" s="177">
        <v>2</v>
      </c>
      <c r="P52" s="177">
        <v>150</v>
      </c>
      <c r="Q52" s="177">
        <v>300</v>
      </c>
      <c r="R52" s="177">
        <v>1112</v>
      </c>
      <c r="S52" s="177">
        <v>1356.64</v>
      </c>
      <c r="T52" s="177">
        <v>949.64800000000002</v>
      </c>
    </row>
    <row r="53" spans="1:20">
      <c r="A53" s="213" t="s">
        <v>31</v>
      </c>
      <c r="B53" s="213" t="s">
        <v>23</v>
      </c>
      <c r="C53" s="213" t="s">
        <v>54</v>
      </c>
      <c r="D53" s="213" t="s">
        <v>113</v>
      </c>
      <c r="E53" s="177"/>
      <c r="F53" s="177" t="s">
        <v>38</v>
      </c>
      <c r="G53" s="177">
        <v>0.22</v>
      </c>
      <c r="H53" s="177">
        <v>0.7</v>
      </c>
      <c r="I53" s="177" t="s">
        <v>155</v>
      </c>
      <c r="J53" s="177" t="s">
        <v>82</v>
      </c>
      <c r="K53" s="177">
        <v>2</v>
      </c>
      <c r="L53" s="177">
        <v>304</v>
      </c>
      <c r="M53" s="177">
        <v>608</v>
      </c>
      <c r="N53" s="177"/>
      <c r="O53" s="177"/>
      <c r="P53" s="177"/>
      <c r="Q53" s="177">
        <v>0</v>
      </c>
      <c r="R53" s="177">
        <v>608</v>
      </c>
      <c r="S53" s="177">
        <v>741.76</v>
      </c>
      <c r="T53" s="177">
        <v>519.23199999999997</v>
      </c>
    </row>
    <row r="54" spans="1:20">
      <c r="A54" s="213" t="s">
        <v>31</v>
      </c>
      <c r="B54" s="213" t="s">
        <v>23</v>
      </c>
      <c r="C54" s="213" t="s">
        <v>54</v>
      </c>
      <c r="D54" s="213" t="s">
        <v>114</v>
      </c>
      <c r="E54" s="177"/>
      <c r="F54" s="177" t="s">
        <v>38</v>
      </c>
      <c r="G54" s="177">
        <v>0.22</v>
      </c>
      <c r="H54" s="177">
        <v>0.7</v>
      </c>
      <c r="I54" s="177" t="s">
        <v>46</v>
      </c>
      <c r="J54" s="177" t="s">
        <v>82</v>
      </c>
      <c r="K54" s="177">
        <v>1</v>
      </c>
      <c r="L54" s="177">
        <v>406</v>
      </c>
      <c r="M54" s="177">
        <v>406</v>
      </c>
      <c r="N54" s="177"/>
      <c r="O54" s="177"/>
      <c r="P54" s="177"/>
      <c r="Q54" s="177">
        <v>0</v>
      </c>
      <c r="R54" s="177">
        <v>406</v>
      </c>
      <c r="S54" s="177">
        <v>495.32</v>
      </c>
      <c r="T54" s="177">
        <v>346.72399999999999</v>
      </c>
    </row>
    <row r="55" spans="1:20">
      <c r="A55" s="213" t="s">
        <v>31</v>
      </c>
      <c r="B55" s="213" t="s">
        <v>23</v>
      </c>
      <c r="C55" s="213" t="s">
        <v>54</v>
      </c>
      <c r="D55" s="213" t="s">
        <v>114</v>
      </c>
      <c r="E55" s="177"/>
      <c r="F55" s="177" t="s">
        <v>38</v>
      </c>
      <c r="G55" s="177">
        <v>0.22</v>
      </c>
      <c r="H55" s="177">
        <v>0.7</v>
      </c>
      <c r="I55" s="177" t="s">
        <v>155</v>
      </c>
      <c r="J55" s="177" t="s">
        <v>82</v>
      </c>
      <c r="K55" s="177">
        <v>3</v>
      </c>
      <c r="L55" s="177">
        <v>304</v>
      </c>
      <c r="M55" s="177">
        <v>912</v>
      </c>
      <c r="N55" s="177"/>
      <c r="O55" s="177"/>
      <c r="P55" s="177"/>
      <c r="Q55" s="177">
        <v>0</v>
      </c>
      <c r="R55" s="177">
        <v>912</v>
      </c>
      <c r="S55" s="177">
        <v>1112.6400000000001</v>
      </c>
      <c r="T55" s="177">
        <v>778.84799999999996</v>
      </c>
    </row>
    <row r="56" spans="1:20">
      <c r="A56" s="213" t="s">
        <v>31</v>
      </c>
      <c r="B56" s="213" t="s">
        <v>23</v>
      </c>
      <c r="C56" s="213" t="s">
        <v>57</v>
      </c>
      <c r="D56" s="213" t="s">
        <v>116</v>
      </c>
      <c r="E56" s="177" t="s">
        <v>160</v>
      </c>
      <c r="F56" s="177" t="s">
        <v>38</v>
      </c>
      <c r="G56" s="177">
        <v>0.22</v>
      </c>
      <c r="H56" s="177">
        <v>0.7</v>
      </c>
      <c r="I56" s="177" t="s">
        <v>46</v>
      </c>
      <c r="J56" s="177" t="s">
        <v>82</v>
      </c>
      <c r="K56" s="177">
        <v>1</v>
      </c>
      <c r="L56" s="177">
        <v>406</v>
      </c>
      <c r="M56" s="177">
        <v>406</v>
      </c>
      <c r="N56" s="177"/>
      <c r="O56" s="177"/>
      <c r="P56" s="177"/>
      <c r="Q56" s="177">
        <v>0</v>
      </c>
      <c r="R56" s="177">
        <v>406</v>
      </c>
      <c r="S56" s="177">
        <v>495.32</v>
      </c>
      <c r="T56" s="177">
        <v>346.72399999999999</v>
      </c>
    </row>
    <row r="57" spans="1:20">
      <c r="A57" s="213" t="s">
        <v>31</v>
      </c>
      <c r="B57" s="213" t="s">
        <v>23</v>
      </c>
      <c r="C57" s="213" t="s">
        <v>55</v>
      </c>
      <c r="D57" s="213" t="s">
        <v>117</v>
      </c>
      <c r="E57" s="177"/>
      <c r="F57" s="177" t="s">
        <v>38</v>
      </c>
      <c r="G57" s="177">
        <v>0.22</v>
      </c>
      <c r="H57" s="177">
        <v>0.7</v>
      </c>
      <c r="I57" s="177" t="s">
        <v>46</v>
      </c>
      <c r="J57" s="177" t="s">
        <v>82</v>
      </c>
      <c r="K57" s="177">
        <v>1</v>
      </c>
      <c r="L57" s="177">
        <v>406</v>
      </c>
      <c r="M57" s="177">
        <v>406</v>
      </c>
      <c r="N57" s="177"/>
      <c r="O57" s="177"/>
      <c r="P57" s="177"/>
      <c r="Q57" s="177">
        <v>0</v>
      </c>
      <c r="R57" s="177">
        <v>406</v>
      </c>
      <c r="S57" s="177">
        <v>495.32</v>
      </c>
      <c r="T57" s="177">
        <v>346.72399999999999</v>
      </c>
    </row>
    <row r="58" spans="1:20">
      <c r="A58" s="213" t="s">
        <v>31</v>
      </c>
      <c r="B58" s="213" t="s">
        <v>23</v>
      </c>
      <c r="C58" s="213" t="s">
        <v>55</v>
      </c>
      <c r="D58" s="213" t="s">
        <v>118</v>
      </c>
      <c r="E58" s="177"/>
      <c r="F58" s="177" t="s">
        <v>38</v>
      </c>
      <c r="G58" s="177">
        <v>0.22</v>
      </c>
      <c r="H58" s="177">
        <v>0.7</v>
      </c>
      <c r="I58" s="177" t="s">
        <v>46</v>
      </c>
      <c r="J58" s="177" t="s">
        <v>82</v>
      </c>
      <c r="K58" s="177">
        <v>1</v>
      </c>
      <c r="L58" s="177">
        <v>406</v>
      </c>
      <c r="M58" s="177">
        <v>406</v>
      </c>
      <c r="N58" s="177"/>
      <c r="O58" s="177"/>
      <c r="P58" s="177"/>
      <c r="Q58" s="177">
        <v>0</v>
      </c>
      <c r="R58" s="177">
        <v>406</v>
      </c>
      <c r="S58" s="177">
        <v>495.32</v>
      </c>
      <c r="T58" s="177">
        <v>346.72399999999999</v>
      </c>
    </row>
    <row r="59" spans="1:20">
      <c r="A59" s="213" t="s">
        <v>31</v>
      </c>
      <c r="B59" s="213" t="s">
        <v>23</v>
      </c>
      <c r="C59" s="213" t="s">
        <v>56</v>
      </c>
      <c r="D59" s="213" t="s">
        <v>119</v>
      </c>
      <c r="E59" s="177" t="s">
        <v>162</v>
      </c>
      <c r="F59" s="177" t="s">
        <v>38</v>
      </c>
      <c r="G59" s="177">
        <v>0.22</v>
      </c>
      <c r="H59" s="177">
        <v>0.7</v>
      </c>
      <c r="I59" s="177" t="s">
        <v>46</v>
      </c>
      <c r="J59" s="177" t="s">
        <v>82</v>
      </c>
      <c r="K59" s="177">
        <v>1</v>
      </c>
      <c r="L59" s="177">
        <v>406</v>
      </c>
      <c r="M59" s="177">
        <v>406</v>
      </c>
      <c r="N59" s="177"/>
      <c r="O59" s="177"/>
      <c r="P59" s="177"/>
      <c r="Q59" s="177">
        <v>0</v>
      </c>
      <c r="R59" s="177">
        <v>406</v>
      </c>
      <c r="S59" s="177">
        <v>495.32</v>
      </c>
      <c r="T59" s="177">
        <v>346.72399999999999</v>
      </c>
    </row>
    <row r="60" spans="1:20">
      <c r="A60" s="213" t="s">
        <v>31</v>
      </c>
      <c r="B60" s="213" t="s">
        <v>23</v>
      </c>
      <c r="C60" s="213" t="s">
        <v>56</v>
      </c>
      <c r="D60" s="213" t="s">
        <v>119</v>
      </c>
      <c r="E60" s="177" t="s">
        <v>162</v>
      </c>
      <c r="F60" s="177" t="s">
        <v>38</v>
      </c>
      <c r="G60" s="177">
        <v>0.22</v>
      </c>
      <c r="H60" s="177">
        <v>0.7</v>
      </c>
      <c r="I60" s="177" t="s">
        <v>155</v>
      </c>
      <c r="J60" s="177" t="s">
        <v>82</v>
      </c>
      <c r="K60" s="177">
        <v>4</v>
      </c>
      <c r="L60" s="177">
        <v>304</v>
      </c>
      <c r="M60" s="177">
        <v>1216</v>
      </c>
      <c r="N60" s="177"/>
      <c r="O60" s="177"/>
      <c r="P60" s="177"/>
      <c r="Q60" s="177">
        <v>0</v>
      </c>
      <c r="R60" s="177">
        <v>1216</v>
      </c>
      <c r="S60" s="177">
        <v>1483.52</v>
      </c>
      <c r="T60" s="177">
        <v>1038.4639999999999</v>
      </c>
    </row>
    <row r="61" spans="1:20">
      <c r="A61" s="213" t="s">
        <v>31</v>
      </c>
      <c r="B61" s="213" t="s">
        <v>23</v>
      </c>
      <c r="C61" s="213" t="s">
        <v>56</v>
      </c>
      <c r="D61" s="213" t="s">
        <v>120</v>
      </c>
      <c r="E61" s="177"/>
      <c r="F61" s="177" t="s">
        <v>38</v>
      </c>
      <c r="G61" s="177">
        <v>0.22</v>
      </c>
      <c r="H61" s="177">
        <v>0.7</v>
      </c>
      <c r="I61" s="177" t="s">
        <v>46</v>
      </c>
      <c r="J61" s="177" t="s">
        <v>82</v>
      </c>
      <c r="K61" s="177">
        <v>1</v>
      </c>
      <c r="L61" s="177">
        <v>406</v>
      </c>
      <c r="M61" s="177">
        <v>406</v>
      </c>
      <c r="N61" s="177" t="s">
        <v>45</v>
      </c>
      <c r="O61" s="177">
        <v>1</v>
      </c>
      <c r="P61" s="177">
        <v>150</v>
      </c>
      <c r="Q61" s="177">
        <v>150</v>
      </c>
      <c r="R61" s="177">
        <v>556</v>
      </c>
      <c r="S61" s="177">
        <v>678.32</v>
      </c>
      <c r="T61" s="177">
        <v>474.82400000000001</v>
      </c>
    </row>
    <row r="62" spans="1:20">
      <c r="A62" s="213" t="s">
        <v>31</v>
      </c>
      <c r="B62" s="213" t="s">
        <v>23</v>
      </c>
      <c r="C62" s="213" t="s">
        <v>56</v>
      </c>
      <c r="D62" s="213" t="s">
        <v>120</v>
      </c>
      <c r="E62" s="177"/>
      <c r="F62" s="177" t="s">
        <v>38</v>
      </c>
      <c r="G62" s="177">
        <v>0.22</v>
      </c>
      <c r="H62" s="177">
        <v>0.7</v>
      </c>
      <c r="I62" s="177" t="s">
        <v>155</v>
      </c>
      <c r="J62" s="177" t="s">
        <v>82</v>
      </c>
      <c r="K62" s="177">
        <v>1</v>
      </c>
      <c r="L62" s="177">
        <v>304</v>
      </c>
      <c r="M62" s="177">
        <v>304</v>
      </c>
      <c r="N62" s="177" t="s">
        <v>45</v>
      </c>
      <c r="O62" s="177">
        <v>1</v>
      </c>
      <c r="P62" s="177">
        <v>150</v>
      </c>
      <c r="Q62" s="177">
        <v>150</v>
      </c>
      <c r="R62" s="177">
        <v>454</v>
      </c>
      <c r="S62" s="177">
        <v>553.88</v>
      </c>
      <c r="T62" s="177">
        <v>387.71599999999989</v>
      </c>
    </row>
    <row r="63" spans="1:20">
      <c r="A63" s="213" t="s">
        <v>31</v>
      </c>
      <c r="B63" s="213" t="s">
        <v>23</v>
      </c>
      <c r="C63" s="213" t="s">
        <v>56</v>
      </c>
      <c r="D63" s="213" t="s">
        <v>121</v>
      </c>
      <c r="E63" s="177"/>
      <c r="F63" s="177" t="s">
        <v>38</v>
      </c>
      <c r="G63" s="177">
        <v>0.22</v>
      </c>
      <c r="H63" s="177">
        <v>0.7</v>
      </c>
      <c r="I63" s="177" t="s">
        <v>46</v>
      </c>
      <c r="J63" s="177" t="s">
        <v>82</v>
      </c>
      <c r="K63" s="177">
        <v>1</v>
      </c>
      <c r="L63" s="177">
        <v>406</v>
      </c>
      <c r="M63" s="177">
        <v>406</v>
      </c>
      <c r="N63" s="177"/>
      <c r="O63" s="177"/>
      <c r="P63" s="177"/>
      <c r="Q63" s="177">
        <v>0</v>
      </c>
      <c r="R63" s="177">
        <v>406</v>
      </c>
      <c r="S63" s="177">
        <v>495.32</v>
      </c>
      <c r="T63" s="177">
        <v>346.72399999999999</v>
      </c>
    </row>
    <row r="64" spans="1:20">
      <c r="A64" s="213" t="s">
        <v>31</v>
      </c>
      <c r="B64" s="213" t="s">
        <v>23</v>
      </c>
      <c r="C64" s="213" t="s">
        <v>56</v>
      </c>
      <c r="D64" s="213" t="s">
        <v>121</v>
      </c>
      <c r="E64" s="177"/>
      <c r="F64" s="177" t="s">
        <v>38</v>
      </c>
      <c r="G64" s="177">
        <v>0.22</v>
      </c>
      <c r="H64" s="177">
        <v>0.7</v>
      </c>
      <c r="I64" s="177" t="s">
        <v>155</v>
      </c>
      <c r="J64" s="177" t="s">
        <v>82</v>
      </c>
      <c r="K64" s="177">
        <v>2</v>
      </c>
      <c r="L64" s="177">
        <v>304</v>
      </c>
      <c r="M64" s="177">
        <v>608</v>
      </c>
      <c r="N64" s="177"/>
      <c r="O64" s="177"/>
      <c r="P64" s="177"/>
      <c r="Q64" s="177">
        <v>0</v>
      </c>
      <c r="R64" s="177">
        <v>608</v>
      </c>
      <c r="S64" s="177">
        <v>741.76</v>
      </c>
      <c r="T64" s="177">
        <v>519.23199999999997</v>
      </c>
    </row>
    <row r="65" spans="1:20">
      <c r="A65" s="213" t="s">
        <v>31</v>
      </c>
      <c r="B65" s="213" t="s">
        <v>23</v>
      </c>
      <c r="C65" s="213" t="s">
        <v>53</v>
      </c>
      <c r="D65" s="213" t="s">
        <v>108</v>
      </c>
      <c r="E65" s="177">
        <v>0</v>
      </c>
      <c r="F65" s="177" t="s">
        <v>15</v>
      </c>
      <c r="G65" s="177">
        <v>0.25</v>
      </c>
      <c r="H65" s="177">
        <v>0.5</v>
      </c>
      <c r="I65" s="177" t="s">
        <v>246</v>
      </c>
      <c r="J65" s="177" t="s">
        <v>81</v>
      </c>
      <c r="K65" s="177">
        <v>2</v>
      </c>
      <c r="L65" s="177">
        <v>548</v>
      </c>
      <c r="M65" s="177">
        <v>1096</v>
      </c>
      <c r="N65" s="177">
        <v>0</v>
      </c>
      <c r="O65" s="177">
        <v>0</v>
      </c>
      <c r="P65" s="177">
        <v>0</v>
      </c>
      <c r="Q65" s="177">
        <v>0</v>
      </c>
      <c r="R65" s="177">
        <v>1096</v>
      </c>
      <c r="S65" s="177">
        <v>274</v>
      </c>
      <c r="T65" s="177">
        <v>137</v>
      </c>
    </row>
    <row r="66" spans="1:20">
      <c r="A66" s="213" t="s">
        <v>31</v>
      </c>
      <c r="B66" s="213" t="s">
        <v>23</v>
      </c>
      <c r="C66" s="213" t="s">
        <v>53</v>
      </c>
      <c r="D66" s="213" t="s">
        <v>108</v>
      </c>
      <c r="E66" s="177">
        <v>0</v>
      </c>
      <c r="F66" s="177" t="s">
        <v>15</v>
      </c>
      <c r="G66" s="177">
        <v>0.25</v>
      </c>
      <c r="H66" s="177">
        <v>0.5</v>
      </c>
      <c r="I66" s="177" t="s">
        <v>241</v>
      </c>
      <c r="J66" s="177" t="s">
        <v>81</v>
      </c>
      <c r="K66" s="177">
        <v>10</v>
      </c>
      <c r="L66" s="177">
        <v>376</v>
      </c>
      <c r="M66" s="177">
        <v>3760</v>
      </c>
      <c r="N66" s="177">
        <v>0</v>
      </c>
      <c r="O66" s="177">
        <v>0</v>
      </c>
      <c r="P66" s="177">
        <v>0</v>
      </c>
      <c r="Q66" s="177">
        <v>0</v>
      </c>
      <c r="R66" s="177">
        <v>3760</v>
      </c>
      <c r="S66" s="177">
        <v>940</v>
      </c>
      <c r="T66" s="177">
        <v>470</v>
      </c>
    </row>
    <row r="67" spans="1:20">
      <c r="A67" s="213" t="s">
        <v>31</v>
      </c>
      <c r="B67" s="213" t="s">
        <v>23</v>
      </c>
      <c r="C67" s="213" t="s">
        <v>53</v>
      </c>
      <c r="D67" s="213" t="s">
        <v>108</v>
      </c>
      <c r="E67" s="177">
        <v>0</v>
      </c>
      <c r="F67" s="177" t="s">
        <v>15</v>
      </c>
      <c r="G67" s="177">
        <v>0.25</v>
      </c>
      <c r="H67" s="177">
        <v>0.5</v>
      </c>
      <c r="I67" s="177" t="s">
        <v>243</v>
      </c>
      <c r="J67" s="177" t="s">
        <v>82</v>
      </c>
      <c r="K67" s="177">
        <v>20</v>
      </c>
      <c r="L67" s="177">
        <v>277</v>
      </c>
      <c r="M67" s="177">
        <v>5540</v>
      </c>
      <c r="N67" s="177">
        <v>0</v>
      </c>
      <c r="O67" s="177">
        <v>0</v>
      </c>
      <c r="P67" s="177">
        <v>0</v>
      </c>
      <c r="Q67" s="177">
        <v>0</v>
      </c>
      <c r="R67" s="177">
        <v>5540</v>
      </c>
      <c r="S67" s="177">
        <v>6925</v>
      </c>
      <c r="T67" s="177">
        <v>3462.5</v>
      </c>
    </row>
    <row r="68" spans="1:20">
      <c r="A68" s="213" t="s">
        <v>31</v>
      </c>
      <c r="B68" s="213" t="s">
        <v>23</v>
      </c>
      <c r="C68" s="213" t="s">
        <v>53</v>
      </c>
      <c r="D68" s="213" t="s">
        <v>109</v>
      </c>
      <c r="E68" s="177" t="s">
        <v>245</v>
      </c>
      <c r="F68" s="177" t="s">
        <v>15</v>
      </c>
      <c r="G68" s="177">
        <v>0.25</v>
      </c>
      <c r="H68" s="177">
        <v>0.5</v>
      </c>
      <c r="I68" s="177" t="s">
        <v>244</v>
      </c>
      <c r="J68" s="177" t="s">
        <v>81</v>
      </c>
      <c r="K68" s="177">
        <v>2</v>
      </c>
      <c r="L68" s="177">
        <v>792</v>
      </c>
      <c r="M68" s="177">
        <v>1584</v>
      </c>
      <c r="N68" s="177" t="s">
        <v>45</v>
      </c>
      <c r="O68" s="177">
        <v>2</v>
      </c>
      <c r="P68" s="177">
        <v>150</v>
      </c>
      <c r="Q68" s="177">
        <v>300</v>
      </c>
      <c r="R68" s="177">
        <v>1884</v>
      </c>
      <c r="S68" s="177">
        <v>771</v>
      </c>
      <c r="T68" s="177">
        <v>385.5</v>
      </c>
    </row>
    <row r="69" spans="1:20">
      <c r="A69" s="213" t="s">
        <v>31</v>
      </c>
      <c r="B69" s="213" t="s">
        <v>23</v>
      </c>
      <c r="C69" s="213" t="s">
        <v>53</v>
      </c>
      <c r="D69" s="213" t="s">
        <v>109</v>
      </c>
      <c r="E69" s="177" t="s">
        <v>245</v>
      </c>
      <c r="F69" s="177" t="s">
        <v>15</v>
      </c>
      <c r="G69" s="177">
        <v>0.25</v>
      </c>
      <c r="H69" s="177">
        <v>0.5</v>
      </c>
      <c r="I69" s="177" t="s">
        <v>241</v>
      </c>
      <c r="J69" s="177" t="s">
        <v>81</v>
      </c>
      <c r="K69" s="177">
        <v>2</v>
      </c>
      <c r="L69" s="177">
        <v>376</v>
      </c>
      <c r="M69" s="177">
        <v>752</v>
      </c>
      <c r="N69" s="177" t="s">
        <v>45</v>
      </c>
      <c r="O69" s="177">
        <v>2</v>
      </c>
      <c r="P69" s="177">
        <v>150</v>
      </c>
      <c r="Q69" s="177">
        <v>300</v>
      </c>
      <c r="R69" s="177">
        <v>1052</v>
      </c>
      <c r="S69" s="177">
        <v>563</v>
      </c>
      <c r="T69" s="177">
        <v>281.5</v>
      </c>
    </row>
    <row r="70" spans="1:20">
      <c r="A70" s="213" t="s">
        <v>31</v>
      </c>
      <c r="B70" s="213" t="s">
        <v>23</v>
      </c>
      <c r="C70" s="213" t="s">
        <v>53</v>
      </c>
      <c r="D70" s="213" t="s">
        <v>110</v>
      </c>
      <c r="E70" s="177">
        <v>0</v>
      </c>
      <c r="F70" s="177" t="s">
        <v>15</v>
      </c>
      <c r="G70" s="177">
        <v>0.25</v>
      </c>
      <c r="H70" s="177">
        <v>0.5</v>
      </c>
      <c r="I70" s="177" t="s">
        <v>244</v>
      </c>
      <c r="J70" s="177" t="s">
        <v>81</v>
      </c>
      <c r="K70" s="177">
        <v>2</v>
      </c>
      <c r="L70" s="177">
        <v>792</v>
      </c>
      <c r="M70" s="177">
        <v>1584</v>
      </c>
      <c r="N70" s="177">
        <v>0</v>
      </c>
      <c r="O70" s="177">
        <v>0</v>
      </c>
      <c r="P70" s="177">
        <v>0</v>
      </c>
      <c r="Q70" s="177">
        <v>0</v>
      </c>
      <c r="R70" s="177">
        <v>1584</v>
      </c>
      <c r="S70" s="177">
        <v>396</v>
      </c>
      <c r="T70" s="177">
        <v>198</v>
      </c>
    </row>
    <row r="71" spans="1:20">
      <c r="A71" s="213" t="s">
        <v>31</v>
      </c>
      <c r="B71" s="213" t="s">
        <v>23</v>
      </c>
      <c r="C71" s="213" t="s">
        <v>53</v>
      </c>
      <c r="D71" s="213" t="s">
        <v>110</v>
      </c>
      <c r="E71" s="177">
        <v>0</v>
      </c>
      <c r="F71" s="177" t="s">
        <v>15</v>
      </c>
      <c r="G71" s="177">
        <v>0.25</v>
      </c>
      <c r="H71" s="177">
        <v>0.5</v>
      </c>
      <c r="I71" s="177" t="s">
        <v>241</v>
      </c>
      <c r="J71" s="177" t="s">
        <v>81</v>
      </c>
      <c r="K71" s="177">
        <v>10</v>
      </c>
      <c r="L71" s="177">
        <v>376</v>
      </c>
      <c r="M71" s="177">
        <v>3760</v>
      </c>
      <c r="N71" s="177">
        <v>0</v>
      </c>
      <c r="O71" s="177">
        <v>0</v>
      </c>
      <c r="P71" s="177">
        <v>0</v>
      </c>
      <c r="Q71" s="177">
        <v>0</v>
      </c>
      <c r="R71" s="177">
        <v>3760</v>
      </c>
      <c r="S71" s="177">
        <v>940</v>
      </c>
      <c r="T71" s="177">
        <v>470</v>
      </c>
    </row>
    <row r="72" spans="1:20">
      <c r="A72" s="213" t="s">
        <v>31</v>
      </c>
      <c r="B72" s="213" t="s">
        <v>23</v>
      </c>
      <c r="C72" s="213" t="s">
        <v>53</v>
      </c>
      <c r="D72" s="213" t="s">
        <v>110</v>
      </c>
      <c r="E72" s="177">
        <v>0</v>
      </c>
      <c r="F72" s="177" t="s">
        <v>15</v>
      </c>
      <c r="G72" s="177">
        <v>0.25</v>
      </c>
      <c r="H72" s="177">
        <v>0.5</v>
      </c>
      <c r="I72" s="177" t="s">
        <v>243</v>
      </c>
      <c r="J72" s="177" t="s">
        <v>82</v>
      </c>
      <c r="K72" s="177">
        <v>10</v>
      </c>
      <c r="L72" s="177">
        <v>277</v>
      </c>
      <c r="M72" s="177">
        <v>2770</v>
      </c>
      <c r="N72" s="177">
        <v>0</v>
      </c>
      <c r="O72" s="177">
        <v>0</v>
      </c>
      <c r="P72" s="177">
        <v>0</v>
      </c>
      <c r="Q72" s="177">
        <v>0</v>
      </c>
      <c r="R72" s="177">
        <v>2770</v>
      </c>
      <c r="S72" s="177">
        <v>3462.5</v>
      </c>
      <c r="T72" s="177">
        <v>1731.25</v>
      </c>
    </row>
    <row r="73" spans="1:20">
      <c r="A73" s="213" t="s">
        <v>31</v>
      </c>
      <c r="B73" s="213" t="s">
        <v>23</v>
      </c>
      <c r="C73" s="213" t="s">
        <v>56</v>
      </c>
      <c r="D73" s="213" t="s">
        <v>120</v>
      </c>
      <c r="E73" s="177" t="s">
        <v>247</v>
      </c>
      <c r="F73" s="177" t="s">
        <v>15</v>
      </c>
      <c r="G73" s="177">
        <v>0.25</v>
      </c>
      <c r="H73" s="177">
        <v>0.5</v>
      </c>
      <c r="I73" s="177" t="s">
        <v>244</v>
      </c>
      <c r="J73" s="177" t="s">
        <v>81</v>
      </c>
      <c r="K73" s="177">
        <v>2</v>
      </c>
      <c r="L73" s="177">
        <v>792</v>
      </c>
      <c r="M73" s="177">
        <v>1584</v>
      </c>
      <c r="N73" s="177" t="s">
        <v>45</v>
      </c>
      <c r="O73" s="177">
        <v>2</v>
      </c>
      <c r="P73" s="177">
        <v>150</v>
      </c>
      <c r="Q73" s="177">
        <v>300</v>
      </c>
      <c r="R73" s="177">
        <v>1884</v>
      </c>
      <c r="S73" s="177">
        <v>771</v>
      </c>
      <c r="T73" s="177">
        <v>385.5</v>
      </c>
    </row>
    <row r="74" spans="1:20">
      <c r="A74" s="213" t="s">
        <v>31</v>
      </c>
      <c r="B74" s="213" t="s">
        <v>23</v>
      </c>
      <c r="C74" s="213" t="s">
        <v>56</v>
      </c>
      <c r="D74" s="213" t="s">
        <v>120</v>
      </c>
      <c r="E74" s="177" t="s">
        <v>247</v>
      </c>
      <c r="F74" s="177" t="s">
        <v>15</v>
      </c>
      <c r="G74" s="177">
        <v>0.25</v>
      </c>
      <c r="H74" s="177">
        <v>0.5</v>
      </c>
      <c r="I74" s="177" t="s">
        <v>241</v>
      </c>
      <c r="J74" s="177" t="s">
        <v>81</v>
      </c>
      <c r="K74" s="177">
        <v>2</v>
      </c>
      <c r="L74" s="177">
        <v>376</v>
      </c>
      <c r="M74" s="177">
        <v>752</v>
      </c>
      <c r="N74" s="177" t="s">
        <v>45</v>
      </c>
      <c r="O74" s="177">
        <v>2</v>
      </c>
      <c r="P74" s="177">
        <v>150</v>
      </c>
      <c r="Q74" s="177">
        <v>300</v>
      </c>
      <c r="R74" s="177">
        <v>1052</v>
      </c>
      <c r="S74" s="177">
        <v>563</v>
      </c>
      <c r="T74" s="177">
        <v>281.5</v>
      </c>
    </row>
    <row r="75" spans="1:20">
      <c r="A75" s="213" t="s">
        <v>31</v>
      </c>
      <c r="B75" s="213" t="s">
        <v>23</v>
      </c>
      <c r="C75" s="213" t="s">
        <v>56</v>
      </c>
      <c r="D75" s="213" t="s">
        <v>120</v>
      </c>
      <c r="E75" s="177" t="s">
        <v>247</v>
      </c>
      <c r="F75" s="177" t="s">
        <v>15</v>
      </c>
      <c r="G75" s="177">
        <v>0.25</v>
      </c>
      <c r="H75" s="177">
        <v>0.5</v>
      </c>
      <c r="I75" s="177" t="s">
        <v>243</v>
      </c>
      <c r="J75" s="177" t="s">
        <v>82</v>
      </c>
      <c r="K75" s="177">
        <v>2</v>
      </c>
      <c r="L75" s="177">
        <v>277</v>
      </c>
      <c r="M75" s="177">
        <v>554</v>
      </c>
      <c r="N75" s="177" t="s">
        <v>45</v>
      </c>
      <c r="O75" s="177">
        <v>2</v>
      </c>
      <c r="P75" s="177">
        <v>150</v>
      </c>
      <c r="Q75" s="177">
        <v>300</v>
      </c>
      <c r="R75" s="177">
        <v>854</v>
      </c>
      <c r="S75" s="177">
        <v>1067.5</v>
      </c>
      <c r="T75" s="177">
        <v>533.75</v>
      </c>
    </row>
    <row r="76" spans="1:20">
      <c r="A76" s="213" t="s">
        <v>31</v>
      </c>
      <c r="B76" s="213" t="s">
        <v>23</v>
      </c>
      <c r="C76" s="213" t="s">
        <v>54</v>
      </c>
      <c r="D76" s="213" t="s">
        <v>111</v>
      </c>
      <c r="E76" s="177"/>
      <c r="F76" s="177" t="s">
        <v>135</v>
      </c>
      <c r="G76" s="177">
        <v>0.25</v>
      </c>
      <c r="H76" s="177">
        <v>0.7</v>
      </c>
      <c r="I76" s="177"/>
      <c r="J76" s="177" t="s">
        <v>82</v>
      </c>
      <c r="K76" s="177">
        <v>2</v>
      </c>
      <c r="L76" s="177">
        <v>422</v>
      </c>
      <c r="M76" s="177">
        <v>844</v>
      </c>
      <c r="N76" s="177"/>
      <c r="O76" s="177"/>
      <c r="P76" s="177"/>
      <c r="Q76" s="177">
        <v>0</v>
      </c>
      <c r="R76" s="177">
        <v>844</v>
      </c>
      <c r="S76" s="177">
        <v>1055</v>
      </c>
      <c r="T76" s="177">
        <v>738.5</v>
      </c>
    </row>
    <row r="77" spans="1:20">
      <c r="A77" s="213" t="s">
        <v>31</v>
      </c>
      <c r="B77" s="213" t="s">
        <v>23</v>
      </c>
      <c r="C77" s="213" t="s">
        <v>54</v>
      </c>
      <c r="D77" s="213" t="s">
        <v>113</v>
      </c>
      <c r="E77" s="177"/>
      <c r="F77" s="177" t="s">
        <v>135</v>
      </c>
      <c r="G77" s="177">
        <v>0.25</v>
      </c>
      <c r="H77" s="177">
        <v>0.7</v>
      </c>
      <c r="I77" s="177"/>
      <c r="J77" s="177" t="s">
        <v>82</v>
      </c>
      <c r="K77" s="177">
        <v>3</v>
      </c>
      <c r="L77" s="177">
        <v>422</v>
      </c>
      <c r="M77" s="177">
        <v>1266</v>
      </c>
      <c r="N77" s="177"/>
      <c r="O77" s="177"/>
      <c r="P77" s="177"/>
      <c r="Q77" s="177">
        <v>0</v>
      </c>
      <c r="R77" s="177">
        <v>1266</v>
      </c>
      <c r="S77" s="177">
        <v>1582.5</v>
      </c>
      <c r="T77" s="177">
        <v>1107.75</v>
      </c>
    </row>
    <row r="78" spans="1:20">
      <c r="A78" s="213" t="s">
        <v>31</v>
      </c>
      <c r="B78" s="213" t="s">
        <v>23</v>
      </c>
      <c r="C78" s="213" t="s">
        <v>54</v>
      </c>
      <c r="D78" s="213" t="s">
        <v>114</v>
      </c>
      <c r="E78" s="177"/>
      <c r="F78" s="177" t="s">
        <v>135</v>
      </c>
      <c r="G78" s="177">
        <v>0.25</v>
      </c>
      <c r="H78" s="177">
        <v>0.7</v>
      </c>
      <c r="I78" s="177"/>
      <c r="J78" s="177" t="s">
        <v>82</v>
      </c>
      <c r="K78" s="177">
        <v>1</v>
      </c>
      <c r="L78" s="177">
        <v>422</v>
      </c>
      <c r="M78" s="177">
        <v>422</v>
      </c>
      <c r="N78" s="177"/>
      <c r="O78" s="177"/>
      <c r="P78" s="177"/>
      <c r="Q78" s="177">
        <v>0</v>
      </c>
      <c r="R78" s="177">
        <v>422</v>
      </c>
      <c r="S78" s="177">
        <v>527.5</v>
      </c>
      <c r="T78" s="177">
        <v>369.25</v>
      </c>
    </row>
    <row r="79" spans="1:20">
      <c r="A79" s="213" t="s">
        <v>31</v>
      </c>
      <c r="B79" s="213" t="s">
        <v>23</v>
      </c>
      <c r="C79" s="213" t="s">
        <v>56</v>
      </c>
      <c r="D79" s="213" t="s">
        <v>120</v>
      </c>
      <c r="E79" s="177"/>
      <c r="F79" s="177" t="s">
        <v>135</v>
      </c>
      <c r="G79" s="177">
        <v>0.25</v>
      </c>
      <c r="H79" s="177">
        <v>0.7</v>
      </c>
      <c r="I79" s="177"/>
      <c r="J79" s="177" t="s">
        <v>82</v>
      </c>
      <c r="K79" s="177">
        <v>1</v>
      </c>
      <c r="L79" s="177">
        <v>422</v>
      </c>
      <c r="M79" s="177">
        <v>422</v>
      </c>
      <c r="N79" s="177" t="s">
        <v>242</v>
      </c>
      <c r="O79" s="177">
        <v>1</v>
      </c>
      <c r="P79" s="177">
        <v>150</v>
      </c>
      <c r="Q79" s="177">
        <v>150</v>
      </c>
      <c r="R79" s="177">
        <v>572</v>
      </c>
      <c r="S79" s="177">
        <v>715</v>
      </c>
      <c r="T79" s="177">
        <v>500.49999999999994</v>
      </c>
    </row>
    <row r="80" spans="1:20">
      <c r="A80" s="213" t="s">
        <v>31</v>
      </c>
      <c r="B80" s="213" t="s">
        <v>23</v>
      </c>
      <c r="C80" s="213" t="s">
        <v>53</v>
      </c>
      <c r="D80" s="213" t="s">
        <v>59</v>
      </c>
      <c r="E80" s="177" t="s">
        <v>158</v>
      </c>
      <c r="F80" s="177" t="s">
        <v>16</v>
      </c>
      <c r="G80" s="177">
        <v>0.25</v>
      </c>
      <c r="H80" s="177">
        <v>0.7</v>
      </c>
      <c r="I80" s="177"/>
      <c r="J80" s="177" t="s">
        <v>82</v>
      </c>
      <c r="K80" s="177"/>
      <c r="L80" s="177"/>
      <c r="M80" s="177">
        <v>0</v>
      </c>
      <c r="N80" s="177" t="s">
        <v>159</v>
      </c>
      <c r="O80" s="177">
        <v>1</v>
      </c>
      <c r="P80" s="177">
        <v>520</v>
      </c>
      <c r="Q80" s="177">
        <v>520</v>
      </c>
      <c r="R80" s="177">
        <v>520</v>
      </c>
      <c r="S80" s="177">
        <v>650</v>
      </c>
      <c r="T80" s="177">
        <v>454.99999999999994</v>
      </c>
    </row>
    <row r="81" spans="1:20">
      <c r="A81" s="213" t="s">
        <v>31</v>
      </c>
      <c r="B81" s="213" t="s">
        <v>23</v>
      </c>
      <c r="C81" s="213" t="s">
        <v>54</v>
      </c>
      <c r="D81" s="213" t="s">
        <v>114</v>
      </c>
      <c r="E81" s="177"/>
      <c r="F81" s="177" t="s">
        <v>16</v>
      </c>
      <c r="G81" s="177">
        <v>0.25</v>
      </c>
      <c r="H81" s="177">
        <v>0.7</v>
      </c>
      <c r="I81" s="177"/>
      <c r="J81" s="177" t="s">
        <v>82</v>
      </c>
      <c r="K81" s="177"/>
      <c r="L81" s="177"/>
      <c r="M81" s="177">
        <v>0</v>
      </c>
      <c r="N81" s="177" t="s">
        <v>159</v>
      </c>
      <c r="O81" s="177">
        <v>0.5</v>
      </c>
      <c r="P81" s="177">
        <v>520</v>
      </c>
      <c r="Q81" s="177">
        <v>260</v>
      </c>
      <c r="R81" s="177">
        <v>260</v>
      </c>
      <c r="S81" s="177">
        <v>325</v>
      </c>
      <c r="T81" s="177">
        <v>227.49999999999997</v>
      </c>
    </row>
    <row r="82" spans="1:20">
      <c r="A82" s="213" t="s">
        <v>31</v>
      </c>
      <c r="B82" s="213" t="s">
        <v>23</v>
      </c>
      <c r="C82" s="213" t="s">
        <v>57</v>
      </c>
      <c r="D82" s="213" t="s">
        <v>116</v>
      </c>
      <c r="E82" s="177" t="s">
        <v>160</v>
      </c>
      <c r="F82" s="177" t="s">
        <v>16</v>
      </c>
      <c r="G82" s="177">
        <v>0.25</v>
      </c>
      <c r="H82" s="177">
        <v>0.7</v>
      </c>
      <c r="I82" s="177"/>
      <c r="J82" s="177" t="s">
        <v>82</v>
      </c>
      <c r="K82" s="177"/>
      <c r="L82" s="177"/>
      <c r="M82" s="177">
        <v>0</v>
      </c>
      <c r="N82" s="177" t="s">
        <v>159</v>
      </c>
      <c r="O82" s="177">
        <v>1</v>
      </c>
      <c r="P82" s="177">
        <v>520</v>
      </c>
      <c r="Q82" s="177">
        <v>520</v>
      </c>
      <c r="R82" s="177">
        <v>520</v>
      </c>
      <c r="S82" s="177">
        <v>650</v>
      </c>
      <c r="T82" s="177">
        <v>454.99999999999994</v>
      </c>
    </row>
    <row r="83" spans="1:20">
      <c r="A83" s="213" t="s">
        <v>31</v>
      </c>
      <c r="B83" s="213" t="s">
        <v>23</v>
      </c>
      <c r="C83" s="213" t="s">
        <v>55</v>
      </c>
      <c r="D83" s="213" t="s">
        <v>117</v>
      </c>
      <c r="E83" s="177"/>
      <c r="F83" s="177" t="s">
        <v>16</v>
      </c>
      <c r="G83" s="177">
        <v>0.25</v>
      </c>
      <c r="H83" s="177">
        <v>0.7</v>
      </c>
      <c r="I83" s="177"/>
      <c r="J83" s="177" t="s">
        <v>82</v>
      </c>
      <c r="K83" s="177"/>
      <c r="L83" s="177"/>
      <c r="M83" s="177">
        <v>0</v>
      </c>
      <c r="N83" s="177" t="s">
        <v>159</v>
      </c>
      <c r="O83" s="177">
        <v>1</v>
      </c>
      <c r="P83" s="177">
        <v>520</v>
      </c>
      <c r="Q83" s="177">
        <v>520</v>
      </c>
      <c r="R83" s="177">
        <v>520</v>
      </c>
      <c r="S83" s="177">
        <v>650</v>
      </c>
      <c r="T83" s="177">
        <v>454.99999999999994</v>
      </c>
    </row>
    <row r="84" spans="1:20">
      <c r="A84" s="213" t="s">
        <v>31</v>
      </c>
      <c r="B84" s="213" t="s">
        <v>23</v>
      </c>
      <c r="C84" s="213" t="s">
        <v>55</v>
      </c>
      <c r="D84" s="213" t="s">
        <v>118</v>
      </c>
      <c r="E84" s="177"/>
      <c r="F84" s="177" t="s">
        <v>16</v>
      </c>
      <c r="G84" s="177">
        <v>0.25</v>
      </c>
      <c r="H84" s="177">
        <v>0.7</v>
      </c>
      <c r="I84" s="177"/>
      <c r="J84" s="177" t="s">
        <v>82</v>
      </c>
      <c r="K84" s="177"/>
      <c r="L84" s="177"/>
      <c r="M84" s="177">
        <v>0</v>
      </c>
      <c r="N84" s="177" t="s">
        <v>159</v>
      </c>
      <c r="O84" s="177">
        <v>1</v>
      </c>
      <c r="P84" s="177">
        <v>520</v>
      </c>
      <c r="Q84" s="177">
        <v>520</v>
      </c>
      <c r="R84" s="177">
        <v>520</v>
      </c>
      <c r="S84" s="177">
        <v>650</v>
      </c>
      <c r="T84" s="177">
        <v>454.99999999999994</v>
      </c>
    </row>
    <row r="85" spans="1:20">
      <c r="A85" s="213" t="s">
        <v>31</v>
      </c>
      <c r="B85" s="213" t="s">
        <v>23</v>
      </c>
      <c r="C85" s="213" t="s">
        <v>56</v>
      </c>
      <c r="D85" s="213" t="s">
        <v>119</v>
      </c>
      <c r="E85" s="177" t="s">
        <v>161</v>
      </c>
      <c r="F85" s="177" t="s">
        <v>16</v>
      </c>
      <c r="G85" s="177">
        <v>0.25</v>
      </c>
      <c r="H85" s="177">
        <v>0.7</v>
      </c>
      <c r="I85" s="177"/>
      <c r="J85" s="177" t="s">
        <v>82</v>
      </c>
      <c r="K85" s="177"/>
      <c r="L85" s="177"/>
      <c r="M85" s="177">
        <v>0</v>
      </c>
      <c r="N85" s="177" t="s">
        <v>159</v>
      </c>
      <c r="O85" s="177">
        <v>1</v>
      </c>
      <c r="P85" s="177">
        <v>520</v>
      </c>
      <c r="Q85" s="177">
        <v>520</v>
      </c>
      <c r="R85" s="177">
        <v>520</v>
      </c>
      <c r="S85" s="177">
        <v>650</v>
      </c>
      <c r="T85" s="177">
        <v>454.99999999999994</v>
      </c>
    </row>
    <row r="86" spans="1:20">
      <c r="A86" s="213" t="s">
        <v>31</v>
      </c>
      <c r="B86" s="213" t="s">
        <v>23</v>
      </c>
      <c r="C86" s="213" t="s">
        <v>56</v>
      </c>
      <c r="D86" s="213" t="s">
        <v>120</v>
      </c>
      <c r="E86" s="177"/>
      <c r="F86" s="177" t="s">
        <v>16</v>
      </c>
      <c r="G86" s="177">
        <v>0.25</v>
      </c>
      <c r="H86" s="177">
        <v>0.7</v>
      </c>
      <c r="I86" s="177"/>
      <c r="J86" s="177" t="s">
        <v>82</v>
      </c>
      <c r="K86" s="177"/>
      <c r="L86" s="177"/>
      <c r="M86" s="177">
        <v>0</v>
      </c>
      <c r="N86" s="177" t="s">
        <v>159</v>
      </c>
      <c r="O86" s="177">
        <v>1</v>
      </c>
      <c r="P86" s="177">
        <v>520</v>
      </c>
      <c r="Q86" s="177">
        <v>520</v>
      </c>
      <c r="R86" s="177">
        <v>520</v>
      </c>
      <c r="S86" s="177">
        <v>650</v>
      </c>
      <c r="T86" s="177">
        <v>454.99999999999994</v>
      </c>
    </row>
    <row r="87" spans="1:20">
      <c r="A87" s="213" t="s">
        <v>31</v>
      </c>
      <c r="B87" s="213" t="s">
        <v>23</v>
      </c>
      <c r="C87" s="213" t="s">
        <v>56</v>
      </c>
      <c r="D87" s="213" t="s">
        <v>120</v>
      </c>
      <c r="E87" s="177"/>
      <c r="F87" s="177" t="s">
        <v>16</v>
      </c>
      <c r="G87" s="177">
        <v>0.25</v>
      </c>
      <c r="H87" s="177">
        <v>0.7</v>
      </c>
      <c r="I87" s="177"/>
      <c r="J87" s="177" t="s">
        <v>82</v>
      </c>
      <c r="K87" s="177"/>
      <c r="L87" s="177"/>
      <c r="M87" s="177">
        <v>0</v>
      </c>
      <c r="N87" s="177" t="s">
        <v>45</v>
      </c>
      <c r="O87" s="177">
        <v>40</v>
      </c>
      <c r="P87" s="177">
        <v>150</v>
      </c>
      <c r="Q87" s="177">
        <v>6000</v>
      </c>
      <c r="R87" s="177">
        <v>6000</v>
      </c>
      <c r="S87" s="177">
        <v>7500</v>
      </c>
      <c r="T87" s="177">
        <v>5250</v>
      </c>
    </row>
    <row r="88" spans="1:20">
      <c r="A88" s="213" t="s">
        <v>31</v>
      </c>
      <c r="B88" s="213" t="s">
        <v>23</v>
      </c>
      <c r="C88" s="213" t="s">
        <v>56</v>
      </c>
      <c r="D88" s="213" t="s">
        <v>121</v>
      </c>
      <c r="E88" s="177" t="s">
        <v>158</v>
      </c>
      <c r="F88" s="177" t="s">
        <v>16</v>
      </c>
      <c r="G88" s="177">
        <v>0.25</v>
      </c>
      <c r="H88" s="177">
        <v>0.7</v>
      </c>
      <c r="I88" s="177"/>
      <c r="J88" s="177" t="s">
        <v>82</v>
      </c>
      <c r="K88" s="177"/>
      <c r="L88" s="177"/>
      <c r="M88" s="177">
        <v>0</v>
      </c>
      <c r="N88" s="177" t="s">
        <v>159</v>
      </c>
      <c r="O88" s="177">
        <v>2</v>
      </c>
      <c r="P88" s="177">
        <v>520</v>
      </c>
      <c r="Q88" s="177">
        <v>1040</v>
      </c>
      <c r="R88" s="177">
        <v>1040</v>
      </c>
      <c r="S88" s="177">
        <v>1300</v>
      </c>
      <c r="T88" s="177">
        <v>909.99999999999989</v>
      </c>
    </row>
    <row r="89" spans="1:20">
      <c r="A89" s="213" t="s">
        <v>31</v>
      </c>
      <c r="B89" s="213" t="s">
        <v>23</v>
      </c>
      <c r="C89" s="213" t="s">
        <v>53</v>
      </c>
      <c r="D89" s="213" t="s">
        <v>108</v>
      </c>
      <c r="E89" s="177">
        <v>0</v>
      </c>
      <c r="F89" s="177" t="s">
        <v>17</v>
      </c>
      <c r="G89" s="177">
        <v>0.18</v>
      </c>
      <c r="H89" s="177">
        <v>0.5</v>
      </c>
      <c r="I89" s="177" t="s">
        <v>222</v>
      </c>
      <c r="J89" s="177" t="s">
        <v>81</v>
      </c>
      <c r="K89" s="177">
        <v>42</v>
      </c>
      <c r="L89" s="177">
        <v>572</v>
      </c>
      <c r="M89" s="177">
        <v>24024</v>
      </c>
      <c r="N89" s="177">
        <v>0</v>
      </c>
      <c r="O89" s="177">
        <v>0</v>
      </c>
      <c r="P89" s="177">
        <v>0</v>
      </c>
      <c r="Q89" s="177">
        <v>0</v>
      </c>
      <c r="R89" s="177">
        <v>24024</v>
      </c>
      <c r="S89" s="177">
        <v>4324.32</v>
      </c>
      <c r="T89" s="177">
        <v>2162.16</v>
      </c>
    </row>
    <row r="90" spans="1:20">
      <c r="A90" s="213" t="s">
        <v>31</v>
      </c>
      <c r="B90" s="213" t="s">
        <v>23</v>
      </c>
      <c r="C90" s="213" t="s">
        <v>53</v>
      </c>
      <c r="D90" s="213" t="s">
        <v>108</v>
      </c>
      <c r="E90" s="177">
        <v>0</v>
      </c>
      <c r="F90" s="177" t="s">
        <v>17</v>
      </c>
      <c r="G90" s="177">
        <v>0.18</v>
      </c>
      <c r="H90" s="177">
        <v>0.5</v>
      </c>
      <c r="I90" s="177" t="s">
        <v>220</v>
      </c>
      <c r="J90" s="177" t="s">
        <v>81</v>
      </c>
      <c r="K90" s="177">
        <v>21</v>
      </c>
      <c r="L90" s="177">
        <v>494</v>
      </c>
      <c r="M90" s="177">
        <v>10374</v>
      </c>
      <c r="N90" s="177">
        <v>0</v>
      </c>
      <c r="O90" s="177">
        <v>0</v>
      </c>
      <c r="P90" s="177">
        <v>0</v>
      </c>
      <c r="Q90" s="177">
        <v>0</v>
      </c>
      <c r="R90" s="177">
        <v>10374</v>
      </c>
      <c r="S90" s="177">
        <v>1867.32</v>
      </c>
      <c r="T90" s="177">
        <v>933.66</v>
      </c>
    </row>
    <row r="91" spans="1:20">
      <c r="A91" s="213" t="s">
        <v>31</v>
      </c>
      <c r="B91" s="213" t="s">
        <v>23</v>
      </c>
      <c r="C91" s="213" t="s">
        <v>53</v>
      </c>
      <c r="D91" s="213" t="s">
        <v>108</v>
      </c>
      <c r="E91" s="177">
        <v>0</v>
      </c>
      <c r="F91" s="177" t="s">
        <v>17</v>
      </c>
      <c r="G91" s="177">
        <v>0.18</v>
      </c>
      <c r="H91" s="177">
        <v>0.5</v>
      </c>
      <c r="I91" s="177" t="s">
        <v>221</v>
      </c>
      <c r="J91" s="177" t="s">
        <v>82</v>
      </c>
      <c r="K91" s="177">
        <v>105</v>
      </c>
      <c r="L91" s="177">
        <v>119</v>
      </c>
      <c r="M91" s="177">
        <v>12495</v>
      </c>
      <c r="N91" s="177">
        <v>0</v>
      </c>
      <c r="O91" s="177">
        <v>0</v>
      </c>
      <c r="P91" s="177">
        <v>0</v>
      </c>
      <c r="Q91" s="177">
        <v>0</v>
      </c>
      <c r="R91" s="177">
        <v>12495</v>
      </c>
      <c r="S91" s="177">
        <v>14744.1</v>
      </c>
      <c r="T91" s="177">
        <v>7372.05</v>
      </c>
    </row>
    <row r="92" spans="1:20">
      <c r="A92" s="213" t="s">
        <v>31</v>
      </c>
      <c r="B92" s="213" t="s">
        <v>23</v>
      </c>
      <c r="C92" s="213" t="s">
        <v>53</v>
      </c>
      <c r="D92" s="213" t="s">
        <v>109</v>
      </c>
      <c r="E92" s="177" t="s">
        <v>195</v>
      </c>
      <c r="F92" s="177" t="s">
        <v>17</v>
      </c>
      <c r="G92" s="177">
        <v>0.18</v>
      </c>
      <c r="H92" s="177">
        <v>0.5</v>
      </c>
      <c r="I92" s="177" t="s">
        <v>222</v>
      </c>
      <c r="J92" s="177" t="s">
        <v>81</v>
      </c>
      <c r="K92" s="177">
        <v>10</v>
      </c>
      <c r="L92" s="177">
        <v>572</v>
      </c>
      <c r="M92" s="177">
        <v>5720</v>
      </c>
      <c r="N92" s="177" t="s">
        <v>45</v>
      </c>
      <c r="O92" s="177">
        <v>2</v>
      </c>
      <c r="P92" s="177">
        <v>150</v>
      </c>
      <c r="Q92" s="177">
        <v>300</v>
      </c>
      <c r="R92" s="177">
        <v>6020</v>
      </c>
      <c r="S92" s="177">
        <v>1383.6</v>
      </c>
      <c r="T92" s="177">
        <v>691.8</v>
      </c>
    </row>
    <row r="93" spans="1:20">
      <c r="A93" s="213" t="s">
        <v>31</v>
      </c>
      <c r="B93" s="213" t="s">
        <v>23</v>
      </c>
      <c r="C93" s="213" t="s">
        <v>53</v>
      </c>
      <c r="D93" s="213" t="s">
        <v>109</v>
      </c>
      <c r="E93" s="177" t="s">
        <v>195</v>
      </c>
      <c r="F93" s="177" t="s">
        <v>17</v>
      </c>
      <c r="G93" s="177">
        <v>0.18</v>
      </c>
      <c r="H93" s="177">
        <v>0.5</v>
      </c>
      <c r="I93" s="177" t="s">
        <v>220</v>
      </c>
      <c r="J93" s="177" t="s">
        <v>81</v>
      </c>
      <c r="K93" s="177">
        <v>5</v>
      </c>
      <c r="L93" s="177">
        <v>494</v>
      </c>
      <c r="M93" s="177">
        <v>2470</v>
      </c>
      <c r="N93" s="177" t="s">
        <v>45</v>
      </c>
      <c r="O93" s="177">
        <v>2</v>
      </c>
      <c r="P93" s="177">
        <v>150</v>
      </c>
      <c r="Q93" s="177">
        <v>300</v>
      </c>
      <c r="R93" s="177">
        <v>2770</v>
      </c>
      <c r="S93" s="177">
        <v>798.5999999999998</v>
      </c>
      <c r="T93" s="177">
        <v>399.2999999999999</v>
      </c>
    </row>
    <row r="94" spans="1:20">
      <c r="A94" s="213" t="s">
        <v>31</v>
      </c>
      <c r="B94" s="213" t="s">
        <v>23</v>
      </c>
      <c r="C94" s="213" t="s">
        <v>53</v>
      </c>
      <c r="D94" s="213" t="s">
        <v>109</v>
      </c>
      <c r="E94" s="177" t="s">
        <v>195</v>
      </c>
      <c r="F94" s="177" t="s">
        <v>17</v>
      </c>
      <c r="G94" s="177">
        <v>0.18</v>
      </c>
      <c r="H94" s="177">
        <v>0.5</v>
      </c>
      <c r="I94" s="177">
        <v>0</v>
      </c>
      <c r="J94" s="177">
        <v>0</v>
      </c>
      <c r="K94" s="177">
        <v>0</v>
      </c>
      <c r="L94" s="177">
        <v>0</v>
      </c>
      <c r="M94" s="177">
        <v>0</v>
      </c>
      <c r="N94" s="177" t="s">
        <v>45</v>
      </c>
      <c r="O94" s="177">
        <v>2</v>
      </c>
      <c r="P94" s="177">
        <v>150</v>
      </c>
      <c r="Q94" s="177">
        <v>300</v>
      </c>
      <c r="R94" s="177">
        <v>300</v>
      </c>
      <c r="S94" s="177">
        <v>354</v>
      </c>
      <c r="T94" s="177">
        <v>177</v>
      </c>
    </row>
    <row r="95" spans="1:20">
      <c r="A95" s="213" t="s">
        <v>31</v>
      </c>
      <c r="B95" s="213" t="s">
        <v>23</v>
      </c>
      <c r="C95" s="213" t="s">
        <v>53</v>
      </c>
      <c r="D95" s="213" t="s">
        <v>110</v>
      </c>
      <c r="E95" s="177">
        <v>0</v>
      </c>
      <c r="F95" s="177" t="s">
        <v>17</v>
      </c>
      <c r="G95" s="177">
        <v>0.18</v>
      </c>
      <c r="H95" s="177">
        <v>0.5</v>
      </c>
      <c r="I95" s="177" t="s">
        <v>222</v>
      </c>
      <c r="J95" s="177" t="s">
        <v>81</v>
      </c>
      <c r="K95" s="177">
        <v>10</v>
      </c>
      <c r="L95" s="177">
        <v>572</v>
      </c>
      <c r="M95" s="177">
        <v>5720</v>
      </c>
      <c r="N95" s="177">
        <v>0</v>
      </c>
      <c r="O95" s="177">
        <v>0</v>
      </c>
      <c r="P95" s="177">
        <v>0</v>
      </c>
      <c r="Q95" s="177">
        <v>0</v>
      </c>
      <c r="R95" s="177">
        <v>5720</v>
      </c>
      <c r="S95" s="177">
        <v>1029.5999999999999</v>
      </c>
      <c r="T95" s="177">
        <v>514.79999999999995</v>
      </c>
    </row>
    <row r="96" spans="1:20">
      <c r="A96" s="213" t="s">
        <v>31</v>
      </c>
      <c r="B96" s="213" t="s">
        <v>23</v>
      </c>
      <c r="C96" s="213" t="s">
        <v>53</v>
      </c>
      <c r="D96" s="213" t="s">
        <v>110</v>
      </c>
      <c r="E96" s="177">
        <v>0</v>
      </c>
      <c r="F96" s="177" t="s">
        <v>17</v>
      </c>
      <c r="G96" s="177">
        <v>0.18</v>
      </c>
      <c r="H96" s="177">
        <v>0.5</v>
      </c>
      <c r="I96" s="177" t="s">
        <v>220</v>
      </c>
      <c r="J96" s="177" t="s">
        <v>81</v>
      </c>
      <c r="K96" s="177">
        <v>5</v>
      </c>
      <c r="L96" s="177">
        <v>494</v>
      </c>
      <c r="M96" s="177">
        <v>2470</v>
      </c>
      <c r="N96" s="177">
        <v>0</v>
      </c>
      <c r="O96" s="177">
        <v>0</v>
      </c>
      <c r="P96" s="177">
        <v>0</v>
      </c>
      <c r="Q96" s="177">
        <v>0</v>
      </c>
      <c r="R96" s="177">
        <v>2470</v>
      </c>
      <c r="S96" s="177">
        <v>444.6</v>
      </c>
      <c r="T96" s="177">
        <v>222.3</v>
      </c>
    </row>
    <row r="97" spans="1:20">
      <c r="A97" s="213" t="s">
        <v>31</v>
      </c>
      <c r="B97" s="213" t="s">
        <v>23</v>
      </c>
      <c r="C97" s="213" t="s">
        <v>53</v>
      </c>
      <c r="D97" s="213" t="s">
        <v>110</v>
      </c>
      <c r="E97" s="177">
        <v>0</v>
      </c>
      <c r="F97" s="177" t="s">
        <v>17</v>
      </c>
      <c r="G97" s="177">
        <v>0.18</v>
      </c>
      <c r="H97" s="177">
        <v>0.5</v>
      </c>
      <c r="I97" s="177" t="s">
        <v>221</v>
      </c>
      <c r="J97" s="177" t="s">
        <v>82</v>
      </c>
      <c r="K97" s="177">
        <v>21</v>
      </c>
      <c r="L97" s="177">
        <v>119</v>
      </c>
      <c r="M97" s="177">
        <v>2499</v>
      </c>
      <c r="N97" s="177">
        <v>0</v>
      </c>
      <c r="O97" s="177">
        <v>0</v>
      </c>
      <c r="P97" s="177">
        <v>0</v>
      </c>
      <c r="Q97" s="177">
        <v>0</v>
      </c>
      <c r="R97" s="177">
        <v>2499</v>
      </c>
      <c r="S97" s="177">
        <v>2948.82</v>
      </c>
      <c r="T97" s="177">
        <v>1474.41</v>
      </c>
    </row>
    <row r="98" spans="1:20">
      <c r="A98" s="213" t="s">
        <v>31</v>
      </c>
      <c r="B98" s="213" t="s">
        <v>23</v>
      </c>
      <c r="C98" s="213" t="s">
        <v>56</v>
      </c>
      <c r="D98" s="213" t="s">
        <v>120</v>
      </c>
      <c r="E98" s="177" t="s">
        <v>223</v>
      </c>
      <c r="F98" s="177" t="s">
        <v>17</v>
      </c>
      <c r="G98" s="177">
        <v>0.18</v>
      </c>
      <c r="H98" s="177">
        <v>0.5</v>
      </c>
      <c r="I98" s="177" t="s">
        <v>222</v>
      </c>
      <c r="J98" s="177" t="s">
        <v>81</v>
      </c>
      <c r="K98" s="177">
        <v>5</v>
      </c>
      <c r="L98" s="177">
        <v>572</v>
      </c>
      <c r="M98" s="177">
        <v>2860</v>
      </c>
      <c r="N98" s="177" t="s">
        <v>45</v>
      </c>
      <c r="O98" s="177">
        <v>4</v>
      </c>
      <c r="P98" s="177">
        <v>150</v>
      </c>
      <c r="Q98" s="177">
        <v>600</v>
      </c>
      <c r="R98" s="177">
        <v>3460</v>
      </c>
      <c r="S98" s="177">
        <v>1222.8</v>
      </c>
      <c r="T98" s="177">
        <v>611.4</v>
      </c>
    </row>
    <row r="99" spans="1:20">
      <c r="A99" s="213" t="s">
        <v>31</v>
      </c>
      <c r="B99" s="213" t="s">
        <v>23</v>
      </c>
      <c r="C99" s="213" t="s">
        <v>56</v>
      </c>
      <c r="D99" s="213" t="s">
        <v>120</v>
      </c>
      <c r="E99" s="177" t="s">
        <v>223</v>
      </c>
      <c r="F99" s="177" t="s">
        <v>17</v>
      </c>
      <c r="G99" s="177">
        <v>0.18</v>
      </c>
      <c r="H99" s="177">
        <v>0.5</v>
      </c>
      <c r="I99" s="177" t="s">
        <v>220</v>
      </c>
      <c r="J99" s="177" t="s">
        <v>81</v>
      </c>
      <c r="K99" s="177">
        <v>5</v>
      </c>
      <c r="L99" s="177">
        <v>494</v>
      </c>
      <c r="M99" s="177">
        <v>2470</v>
      </c>
      <c r="N99" s="177" t="s">
        <v>45</v>
      </c>
      <c r="O99" s="177">
        <v>4</v>
      </c>
      <c r="P99" s="177">
        <v>150</v>
      </c>
      <c r="Q99" s="177">
        <v>600</v>
      </c>
      <c r="R99" s="177">
        <v>3070</v>
      </c>
      <c r="S99" s="177">
        <v>1152.5999999999999</v>
      </c>
      <c r="T99" s="177">
        <v>576.29999999999995</v>
      </c>
    </row>
    <row r="100" spans="1:20">
      <c r="A100" s="213" t="s">
        <v>31</v>
      </c>
      <c r="B100" s="213" t="s">
        <v>23</v>
      </c>
      <c r="C100" s="213" t="s">
        <v>56</v>
      </c>
      <c r="D100" s="213" t="s">
        <v>120</v>
      </c>
      <c r="E100" s="177" t="s">
        <v>223</v>
      </c>
      <c r="F100" s="177" t="s">
        <v>17</v>
      </c>
      <c r="G100" s="177">
        <v>0.18</v>
      </c>
      <c r="H100" s="177">
        <v>0.5</v>
      </c>
      <c r="I100" s="177" t="s">
        <v>221</v>
      </c>
      <c r="J100" s="177" t="s">
        <v>82</v>
      </c>
      <c r="K100" s="177">
        <v>5</v>
      </c>
      <c r="L100" s="177">
        <v>119</v>
      </c>
      <c r="M100" s="177">
        <v>595</v>
      </c>
      <c r="N100" s="177" t="s">
        <v>45</v>
      </c>
      <c r="O100" s="177">
        <v>4</v>
      </c>
      <c r="P100" s="177">
        <v>150</v>
      </c>
      <c r="Q100" s="177">
        <v>600</v>
      </c>
      <c r="R100" s="177">
        <v>1195</v>
      </c>
      <c r="S100" s="177">
        <v>1410.1</v>
      </c>
      <c r="T100" s="177">
        <v>705.05</v>
      </c>
    </row>
    <row r="101" spans="1:20">
      <c r="A101" s="213" t="s">
        <v>31</v>
      </c>
      <c r="B101" s="213" t="s">
        <v>23</v>
      </c>
      <c r="C101" s="213" t="s">
        <v>54</v>
      </c>
      <c r="D101" s="213" t="s">
        <v>112</v>
      </c>
      <c r="E101" s="177"/>
      <c r="F101" s="177" t="s">
        <v>19</v>
      </c>
      <c r="G101" s="177">
        <v>0.25</v>
      </c>
      <c r="H101" s="177">
        <v>0.5</v>
      </c>
      <c r="I101" s="177"/>
      <c r="J101" s="177" t="s">
        <v>82</v>
      </c>
      <c r="K101" s="177">
        <v>4</v>
      </c>
      <c r="L101" s="177">
        <v>350</v>
      </c>
      <c r="M101" s="177">
        <v>1400</v>
      </c>
      <c r="N101" s="177"/>
      <c r="O101" s="177"/>
      <c r="P101" s="177"/>
      <c r="Q101" s="177">
        <v>0</v>
      </c>
      <c r="R101" s="177">
        <v>1400</v>
      </c>
      <c r="S101" s="177">
        <v>1750</v>
      </c>
      <c r="T101" s="177">
        <v>875</v>
      </c>
    </row>
    <row r="102" spans="1:20">
      <c r="A102" s="213" t="s">
        <v>31</v>
      </c>
      <c r="B102" s="213" t="s">
        <v>23</v>
      </c>
      <c r="C102" s="213" t="s">
        <v>57</v>
      </c>
      <c r="D102" s="213" t="s">
        <v>115</v>
      </c>
      <c r="E102" s="177"/>
      <c r="F102" s="177" t="s">
        <v>19</v>
      </c>
      <c r="G102" s="177">
        <v>0.25</v>
      </c>
      <c r="H102" s="177">
        <v>0.5</v>
      </c>
      <c r="I102" s="177"/>
      <c r="J102" s="177" t="s">
        <v>82</v>
      </c>
      <c r="K102" s="177">
        <v>2</v>
      </c>
      <c r="L102" s="177">
        <v>350</v>
      </c>
      <c r="M102" s="177">
        <v>700</v>
      </c>
      <c r="N102" s="177"/>
      <c r="O102" s="177"/>
      <c r="P102" s="177"/>
      <c r="Q102" s="177">
        <v>0</v>
      </c>
      <c r="R102" s="177">
        <v>700</v>
      </c>
      <c r="S102" s="177">
        <v>875</v>
      </c>
      <c r="T102" s="177">
        <v>437.5</v>
      </c>
    </row>
    <row r="103" spans="1:20">
      <c r="A103" s="213" t="s">
        <v>31</v>
      </c>
      <c r="B103" s="213" t="s">
        <v>23</v>
      </c>
      <c r="C103" s="213" t="s">
        <v>55</v>
      </c>
      <c r="D103" s="213" t="s">
        <v>113</v>
      </c>
      <c r="E103" s="177"/>
      <c r="F103" s="177" t="s">
        <v>19</v>
      </c>
      <c r="G103" s="177">
        <v>0.25</v>
      </c>
      <c r="H103" s="177">
        <v>0.5</v>
      </c>
      <c r="I103" s="177"/>
      <c r="J103" s="177" t="s">
        <v>82</v>
      </c>
      <c r="K103" s="177">
        <v>4</v>
      </c>
      <c r="L103" s="177">
        <v>350</v>
      </c>
      <c r="M103" s="177">
        <v>1400</v>
      </c>
      <c r="N103" s="177"/>
      <c r="O103" s="177"/>
      <c r="P103" s="177"/>
      <c r="Q103" s="177">
        <v>0</v>
      </c>
      <c r="R103" s="177">
        <v>1400</v>
      </c>
      <c r="S103" s="177">
        <v>1750</v>
      </c>
      <c r="T103" s="177">
        <v>875</v>
      </c>
    </row>
    <row r="104" spans="1:20">
      <c r="A104" s="213" t="s">
        <v>31</v>
      </c>
      <c r="B104" s="213" t="s">
        <v>23</v>
      </c>
      <c r="C104" s="213" t="s">
        <v>56</v>
      </c>
      <c r="D104" s="213" t="s">
        <v>120</v>
      </c>
      <c r="E104" s="177" t="s">
        <v>252</v>
      </c>
      <c r="F104" s="177" t="s">
        <v>19</v>
      </c>
      <c r="G104" s="177">
        <v>0.25</v>
      </c>
      <c r="H104" s="177">
        <v>0.5</v>
      </c>
      <c r="I104" s="177"/>
      <c r="J104" s="177" t="s">
        <v>82</v>
      </c>
      <c r="K104" s="177">
        <v>1</v>
      </c>
      <c r="L104" s="177">
        <v>350</v>
      </c>
      <c r="M104" s="177">
        <v>350</v>
      </c>
      <c r="N104" s="177" t="s">
        <v>253</v>
      </c>
      <c r="O104" s="177">
        <v>1</v>
      </c>
      <c r="P104" s="177">
        <v>150</v>
      </c>
      <c r="Q104" s="177">
        <v>150</v>
      </c>
      <c r="R104" s="177">
        <v>500</v>
      </c>
      <c r="S104" s="177">
        <v>625</v>
      </c>
      <c r="T104" s="177">
        <v>312.5</v>
      </c>
    </row>
    <row r="105" spans="1:20">
      <c r="A105" s="213" t="s">
        <v>31</v>
      </c>
      <c r="B105" s="213" t="s">
        <v>23</v>
      </c>
      <c r="C105" s="213" t="s">
        <v>53</v>
      </c>
      <c r="D105" s="213" t="s">
        <v>108</v>
      </c>
      <c r="E105" s="177"/>
      <c r="F105" s="177" t="s">
        <v>22</v>
      </c>
      <c r="G105" s="177">
        <v>0.2</v>
      </c>
      <c r="H105" s="177">
        <v>0.5</v>
      </c>
      <c r="I105" s="177" t="s">
        <v>202</v>
      </c>
      <c r="J105" s="177" t="s">
        <v>82</v>
      </c>
      <c r="K105" s="177">
        <v>5</v>
      </c>
      <c r="L105" s="177">
        <v>380</v>
      </c>
      <c r="M105" s="177">
        <v>1900</v>
      </c>
      <c r="N105" s="177"/>
      <c r="O105" s="177"/>
      <c r="P105" s="177"/>
      <c r="Q105" s="177">
        <v>0</v>
      </c>
      <c r="R105" s="177">
        <v>1900</v>
      </c>
      <c r="S105" s="177">
        <v>2280</v>
      </c>
      <c r="T105" s="177">
        <v>1140</v>
      </c>
    </row>
    <row r="106" spans="1:20">
      <c r="A106" s="213" t="s">
        <v>31</v>
      </c>
      <c r="B106" s="213" t="s">
        <v>23</v>
      </c>
      <c r="C106" s="213" t="s">
        <v>53</v>
      </c>
      <c r="D106" s="213" t="s">
        <v>109</v>
      </c>
      <c r="E106" s="177"/>
      <c r="F106" s="177" t="s">
        <v>22</v>
      </c>
      <c r="G106" s="177">
        <v>0.2</v>
      </c>
      <c r="H106" s="177">
        <v>0.5</v>
      </c>
      <c r="I106" s="177" t="s">
        <v>202</v>
      </c>
      <c r="J106" s="177" t="s">
        <v>82</v>
      </c>
      <c r="K106" s="177">
        <v>1</v>
      </c>
      <c r="L106" s="177">
        <v>380</v>
      </c>
      <c r="M106" s="177">
        <v>380</v>
      </c>
      <c r="N106" s="177"/>
      <c r="O106" s="177"/>
      <c r="P106" s="177"/>
      <c r="Q106" s="177">
        <v>0</v>
      </c>
      <c r="R106" s="177">
        <v>380</v>
      </c>
      <c r="S106" s="177">
        <v>456</v>
      </c>
      <c r="T106" s="177">
        <v>228</v>
      </c>
    </row>
    <row r="107" spans="1:20">
      <c r="A107" s="213" t="s">
        <v>31</v>
      </c>
      <c r="B107" s="213" t="s">
        <v>23</v>
      </c>
      <c r="C107" s="213" t="s">
        <v>53</v>
      </c>
      <c r="D107" s="213" t="s">
        <v>110</v>
      </c>
      <c r="E107" s="177"/>
      <c r="F107" s="177" t="s">
        <v>22</v>
      </c>
      <c r="G107" s="177">
        <v>0.2</v>
      </c>
      <c r="H107" s="177">
        <v>0.5</v>
      </c>
      <c r="I107" s="177" t="s">
        <v>202</v>
      </c>
      <c r="J107" s="177" t="s">
        <v>82</v>
      </c>
      <c r="K107" s="177">
        <v>1</v>
      </c>
      <c r="L107" s="177">
        <v>380</v>
      </c>
      <c r="M107" s="177">
        <v>380</v>
      </c>
      <c r="N107" s="177"/>
      <c r="O107" s="177"/>
      <c r="P107" s="177"/>
      <c r="Q107" s="177">
        <v>0</v>
      </c>
      <c r="R107" s="177">
        <v>380</v>
      </c>
      <c r="S107" s="177">
        <v>456</v>
      </c>
      <c r="T107" s="177">
        <v>228</v>
      </c>
    </row>
    <row r="108" spans="1:20">
      <c r="A108" s="213" t="s">
        <v>31</v>
      </c>
      <c r="B108" s="213" t="s">
        <v>23</v>
      </c>
      <c r="C108" s="213" t="s">
        <v>56</v>
      </c>
      <c r="D108" s="213" t="s">
        <v>121</v>
      </c>
      <c r="E108" s="177"/>
      <c r="F108" s="177" t="s">
        <v>22</v>
      </c>
      <c r="G108" s="177">
        <v>0.2</v>
      </c>
      <c r="H108" s="177">
        <v>0.5</v>
      </c>
      <c r="I108" s="177" t="s">
        <v>202</v>
      </c>
      <c r="J108" s="177" t="s">
        <v>82</v>
      </c>
      <c r="K108" s="177">
        <v>1</v>
      </c>
      <c r="L108" s="177">
        <v>380</v>
      </c>
      <c r="M108" s="177">
        <v>380</v>
      </c>
      <c r="N108" s="177" t="s">
        <v>203</v>
      </c>
      <c r="O108" s="177">
        <v>1</v>
      </c>
      <c r="P108" s="177">
        <v>150</v>
      </c>
      <c r="Q108" s="177">
        <v>150</v>
      </c>
      <c r="R108" s="177">
        <v>530</v>
      </c>
      <c r="S108" s="177">
        <v>636</v>
      </c>
      <c r="T108" s="177">
        <v>318</v>
      </c>
    </row>
    <row r="109" spans="1:20">
      <c r="A109" s="213" t="s">
        <v>31</v>
      </c>
      <c r="B109" s="213" t="s">
        <v>23</v>
      </c>
      <c r="C109" s="213" t="s">
        <v>55</v>
      </c>
      <c r="D109" s="213" t="s">
        <v>114</v>
      </c>
      <c r="E109" s="177"/>
      <c r="F109" s="177" t="s">
        <v>20</v>
      </c>
      <c r="G109" s="177">
        <v>0.25</v>
      </c>
      <c r="H109" s="177">
        <v>0.5</v>
      </c>
      <c r="I109" s="177"/>
      <c r="J109" s="177" t="s">
        <v>82</v>
      </c>
      <c r="K109" s="177">
        <v>4</v>
      </c>
      <c r="L109" s="177">
        <v>350</v>
      </c>
      <c r="M109" s="177">
        <v>1400</v>
      </c>
      <c r="N109" s="177"/>
      <c r="O109" s="177"/>
      <c r="P109" s="177"/>
      <c r="Q109" s="177">
        <v>0</v>
      </c>
      <c r="R109" s="177">
        <v>1400</v>
      </c>
      <c r="S109" s="177">
        <v>1750</v>
      </c>
      <c r="T109" s="177">
        <v>875</v>
      </c>
    </row>
    <row r="110" spans="1:20">
      <c r="A110" s="213" t="s">
        <v>31</v>
      </c>
      <c r="B110" s="213" t="s">
        <v>23</v>
      </c>
      <c r="C110" s="213" t="s">
        <v>56</v>
      </c>
      <c r="D110" s="213" t="s">
        <v>120</v>
      </c>
      <c r="E110" s="177" t="s">
        <v>252</v>
      </c>
      <c r="F110" s="177" t="s">
        <v>20</v>
      </c>
      <c r="G110" s="177">
        <v>0.25</v>
      </c>
      <c r="H110" s="177">
        <v>0.5</v>
      </c>
      <c r="I110" s="177"/>
      <c r="J110" s="177" t="s">
        <v>82</v>
      </c>
      <c r="K110" s="177">
        <v>1</v>
      </c>
      <c r="L110" s="177">
        <v>350</v>
      </c>
      <c r="M110" s="177">
        <v>350</v>
      </c>
      <c r="N110" s="177" t="s">
        <v>253</v>
      </c>
      <c r="O110" s="177">
        <v>1</v>
      </c>
      <c r="P110" s="177">
        <v>150</v>
      </c>
      <c r="Q110" s="177">
        <v>150</v>
      </c>
      <c r="R110" s="177">
        <v>500</v>
      </c>
      <c r="S110" s="177">
        <v>625</v>
      </c>
      <c r="T110" s="177">
        <v>312.5</v>
      </c>
    </row>
    <row r="111" spans="1:20">
      <c r="A111" s="213" t="s">
        <v>31</v>
      </c>
      <c r="B111" s="213" t="s">
        <v>23</v>
      </c>
      <c r="C111" s="213" t="s">
        <v>63</v>
      </c>
      <c r="D111" s="213" t="s">
        <v>129</v>
      </c>
      <c r="E111" s="177"/>
      <c r="F111" s="177" t="s">
        <v>79</v>
      </c>
      <c r="G111" s="177">
        <v>0.16</v>
      </c>
      <c r="H111" s="177">
        <v>0.5</v>
      </c>
      <c r="I111" s="177" t="s">
        <v>238</v>
      </c>
      <c r="J111" s="177" t="s">
        <v>81</v>
      </c>
      <c r="K111" s="177">
        <v>4</v>
      </c>
      <c r="L111" s="177">
        <v>446</v>
      </c>
      <c r="M111" s="177">
        <v>1784</v>
      </c>
      <c r="N111" s="177" t="s">
        <v>242</v>
      </c>
      <c r="O111" s="177">
        <v>2</v>
      </c>
      <c r="P111" s="177">
        <v>150</v>
      </c>
      <c r="Q111" s="177">
        <v>300</v>
      </c>
      <c r="R111" s="177">
        <v>2084</v>
      </c>
      <c r="S111" s="177">
        <v>633.44000000000005</v>
      </c>
      <c r="T111" s="177">
        <v>316.72000000000003</v>
      </c>
    </row>
    <row r="112" spans="1:20">
      <c r="A112" s="213" t="s">
        <v>31</v>
      </c>
      <c r="B112" s="213" t="s">
        <v>23</v>
      </c>
      <c r="C112" s="213" t="s">
        <v>63</v>
      </c>
      <c r="D112" s="213" t="s">
        <v>129</v>
      </c>
      <c r="E112" s="177"/>
      <c r="F112" s="177" t="s">
        <v>79</v>
      </c>
      <c r="G112" s="177">
        <v>0.16</v>
      </c>
      <c r="H112" s="177">
        <v>0.5</v>
      </c>
      <c r="I112" s="177" t="s">
        <v>241</v>
      </c>
      <c r="J112" s="177" t="s">
        <v>81</v>
      </c>
      <c r="K112" s="177">
        <v>4</v>
      </c>
      <c r="L112" s="177">
        <v>275</v>
      </c>
      <c r="M112" s="177">
        <v>1100</v>
      </c>
      <c r="N112" s="177" t="s">
        <v>242</v>
      </c>
      <c r="O112" s="177">
        <v>2</v>
      </c>
      <c r="P112" s="177">
        <v>150</v>
      </c>
      <c r="Q112" s="177">
        <v>300</v>
      </c>
      <c r="R112" s="177">
        <v>1400</v>
      </c>
      <c r="S112" s="177">
        <v>524</v>
      </c>
      <c r="T112" s="177">
        <v>262</v>
      </c>
    </row>
    <row r="113" spans="1:20">
      <c r="A113" s="213" t="s">
        <v>31</v>
      </c>
      <c r="B113" s="213" t="s">
        <v>23</v>
      </c>
      <c r="C113" s="213" t="s">
        <v>64</v>
      </c>
      <c r="D113" s="213" t="s">
        <v>131</v>
      </c>
      <c r="E113" s="177"/>
      <c r="F113" s="177" t="s">
        <v>79</v>
      </c>
      <c r="G113" s="177">
        <v>0.16</v>
      </c>
      <c r="H113" s="177">
        <v>0.5</v>
      </c>
      <c r="I113" s="177" t="s">
        <v>238</v>
      </c>
      <c r="J113" s="177" t="s">
        <v>81</v>
      </c>
      <c r="K113" s="177">
        <v>2</v>
      </c>
      <c r="L113" s="177">
        <v>446</v>
      </c>
      <c r="M113" s="177">
        <v>892</v>
      </c>
      <c r="N113" s="177"/>
      <c r="O113" s="177"/>
      <c r="P113" s="177"/>
      <c r="Q113" s="177">
        <v>0</v>
      </c>
      <c r="R113" s="177">
        <v>892</v>
      </c>
      <c r="S113" s="177">
        <v>142.72</v>
      </c>
      <c r="T113" s="177">
        <v>71.36</v>
      </c>
    </row>
    <row r="114" spans="1:20">
      <c r="A114" s="213" t="s">
        <v>31</v>
      </c>
      <c r="B114" s="213" t="s">
        <v>23</v>
      </c>
      <c r="C114" s="213" t="s">
        <v>64</v>
      </c>
      <c r="D114" s="213" t="s">
        <v>132</v>
      </c>
      <c r="E114" s="177"/>
      <c r="F114" s="177" t="s">
        <v>79</v>
      </c>
      <c r="G114" s="177">
        <v>0.16</v>
      </c>
      <c r="H114" s="177">
        <v>0.5</v>
      </c>
      <c r="I114" s="177" t="s">
        <v>238</v>
      </c>
      <c r="J114" s="177" t="s">
        <v>81</v>
      </c>
      <c r="K114" s="177">
        <v>2</v>
      </c>
      <c r="L114" s="177">
        <v>446</v>
      </c>
      <c r="M114" s="177">
        <v>892</v>
      </c>
      <c r="N114" s="177"/>
      <c r="O114" s="177"/>
      <c r="P114" s="177"/>
      <c r="Q114" s="177">
        <v>0</v>
      </c>
      <c r="R114" s="177">
        <v>892</v>
      </c>
      <c r="S114" s="177">
        <v>142.72</v>
      </c>
      <c r="T114" s="177">
        <v>71.36</v>
      </c>
    </row>
    <row r="115" spans="1:20">
      <c r="A115" s="213" t="s">
        <v>31</v>
      </c>
      <c r="B115" s="213" t="s">
        <v>23</v>
      </c>
      <c r="C115" s="213" t="s">
        <v>65</v>
      </c>
      <c r="D115" s="213" t="s">
        <v>133</v>
      </c>
      <c r="E115" s="177"/>
      <c r="F115" s="177" t="s">
        <v>79</v>
      </c>
      <c r="G115" s="177">
        <v>0.16</v>
      </c>
      <c r="H115" s="177">
        <v>0.5</v>
      </c>
      <c r="I115" s="177" t="s">
        <v>238</v>
      </c>
      <c r="J115" s="177" t="s">
        <v>81</v>
      </c>
      <c r="K115" s="177">
        <v>2</v>
      </c>
      <c r="L115" s="177">
        <v>446</v>
      </c>
      <c r="M115" s="177">
        <v>892</v>
      </c>
      <c r="N115" s="177"/>
      <c r="O115" s="177"/>
      <c r="P115" s="177"/>
      <c r="Q115" s="177">
        <v>0</v>
      </c>
      <c r="R115" s="177">
        <v>892</v>
      </c>
      <c r="S115" s="177">
        <v>142.72</v>
      </c>
      <c r="T115" s="177">
        <v>71.36</v>
      </c>
    </row>
    <row r="116" spans="1:20">
      <c r="A116" s="213" t="s">
        <v>31</v>
      </c>
      <c r="B116" s="213" t="s">
        <v>23</v>
      </c>
      <c r="C116" s="213" t="s">
        <v>65</v>
      </c>
      <c r="D116" s="213" t="s">
        <v>134</v>
      </c>
      <c r="E116" s="177"/>
      <c r="F116" s="177" t="s">
        <v>79</v>
      </c>
      <c r="G116" s="177">
        <v>0.16</v>
      </c>
      <c r="H116" s="177">
        <v>0.5</v>
      </c>
      <c r="I116" s="177" t="s">
        <v>238</v>
      </c>
      <c r="J116" s="177" t="s">
        <v>81</v>
      </c>
      <c r="K116" s="177">
        <v>5</v>
      </c>
      <c r="L116" s="177">
        <v>446</v>
      </c>
      <c r="M116" s="177">
        <v>2230</v>
      </c>
      <c r="N116" s="177"/>
      <c r="O116" s="177"/>
      <c r="P116" s="177"/>
      <c r="Q116" s="177">
        <v>0</v>
      </c>
      <c r="R116" s="177">
        <v>2230</v>
      </c>
      <c r="S116" s="177">
        <v>356.8</v>
      </c>
      <c r="T116" s="177">
        <v>178.4</v>
      </c>
    </row>
    <row r="117" spans="1:20">
      <c r="A117" s="213" t="s">
        <v>31</v>
      </c>
      <c r="B117" s="213" t="s">
        <v>23</v>
      </c>
      <c r="C117" s="213" t="s">
        <v>65</v>
      </c>
      <c r="D117" s="213" t="s">
        <v>134</v>
      </c>
      <c r="E117" s="177"/>
      <c r="F117" s="177" t="s">
        <v>79</v>
      </c>
      <c r="G117" s="177">
        <v>0.16</v>
      </c>
      <c r="H117" s="177">
        <v>0.5</v>
      </c>
      <c r="I117" s="177" t="s">
        <v>240</v>
      </c>
      <c r="J117" s="177" t="s">
        <v>82</v>
      </c>
      <c r="K117" s="177">
        <v>15</v>
      </c>
      <c r="L117" s="177">
        <v>328</v>
      </c>
      <c r="M117" s="177">
        <v>4920</v>
      </c>
      <c r="N117" s="177"/>
      <c r="O117" s="177"/>
      <c r="P117" s="177"/>
      <c r="Q117" s="177">
        <v>0</v>
      </c>
      <c r="R117" s="177">
        <v>4920</v>
      </c>
      <c r="S117" s="177">
        <v>5707.2</v>
      </c>
      <c r="T117" s="177">
        <v>2853.6</v>
      </c>
    </row>
    <row r="118" spans="1:20">
      <c r="A118" s="213" t="s">
        <v>32</v>
      </c>
      <c r="B118" s="213" t="s">
        <v>25</v>
      </c>
      <c r="C118" s="213" t="s">
        <v>60</v>
      </c>
      <c r="D118" s="213" t="s">
        <v>123</v>
      </c>
      <c r="E118" s="177">
        <v>0</v>
      </c>
      <c r="F118" s="177" t="s">
        <v>18</v>
      </c>
      <c r="G118" s="177">
        <v>0.25</v>
      </c>
      <c r="H118" s="177">
        <v>0.7</v>
      </c>
      <c r="I118" s="177">
        <v>0</v>
      </c>
      <c r="J118" s="177" t="s">
        <v>82</v>
      </c>
      <c r="K118" s="177">
        <v>2.5</v>
      </c>
      <c r="L118" s="177">
        <v>490</v>
      </c>
      <c r="M118" s="177">
        <v>1225</v>
      </c>
      <c r="N118" s="177">
        <v>0</v>
      </c>
      <c r="O118" s="177">
        <v>0</v>
      </c>
      <c r="P118" s="177">
        <v>0</v>
      </c>
      <c r="Q118" s="177">
        <v>0</v>
      </c>
      <c r="R118" s="177">
        <v>1225</v>
      </c>
      <c r="S118" s="177">
        <v>1531.25</v>
      </c>
      <c r="T118" s="177">
        <v>1071.875</v>
      </c>
    </row>
    <row r="119" spans="1:20">
      <c r="A119" s="213" t="s">
        <v>32</v>
      </c>
      <c r="B119" s="213" t="s">
        <v>25</v>
      </c>
      <c r="C119" s="213" t="s">
        <v>60</v>
      </c>
      <c r="D119" s="213" t="s">
        <v>123</v>
      </c>
      <c r="E119" s="177"/>
      <c r="F119" s="177" t="s">
        <v>38</v>
      </c>
      <c r="G119" s="177">
        <v>0.22</v>
      </c>
      <c r="H119" s="177">
        <v>0.7</v>
      </c>
      <c r="I119" s="177" t="s">
        <v>46</v>
      </c>
      <c r="J119" s="177" t="s">
        <v>82</v>
      </c>
      <c r="K119" s="177">
        <v>1</v>
      </c>
      <c r="L119" s="177">
        <v>406</v>
      </c>
      <c r="M119" s="177">
        <v>406</v>
      </c>
      <c r="N119" s="177"/>
      <c r="O119" s="177"/>
      <c r="P119" s="177"/>
      <c r="Q119" s="177">
        <v>0</v>
      </c>
      <c r="R119" s="177">
        <v>406</v>
      </c>
      <c r="S119" s="177">
        <v>495.32</v>
      </c>
      <c r="T119" s="177">
        <v>346.72399999999999</v>
      </c>
    </row>
    <row r="120" spans="1:20">
      <c r="A120" s="213" t="s">
        <v>32</v>
      </c>
      <c r="B120" s="213" t="s">
        <v>25</v>
      </c>
      <c r="C120" s="213" t="s">
        <v>60</v>
      </c>
      <c r="D120" s="213" t="s">
        <v>123</v>
      </c>
      <c r="E120" s="177" t="s">
        <v>204</v>
      </c>
      <c r="F120" s="177" t="s">
        <v>15</v>
      </c>
      <c r="G120" s="177">
        <v>0.25</v>
      </c>
      <c r="H120" s="177">
        <v>0.5</v>
      </c>
      <c r="I120" s="177" t="s">
        <v>244</v>
      </c>
      <c r="J120" s="177" t="s">
        <v>81</v>
      </c>
      <c r="K120" s="177">
        <v>2</v>
      </c>
      <c r="L120" s="177">
        <v>792</v>
      </c>
      <c r="M120" s="177">
        <v>1584</v>
      </c>
      <c r="N120" s="177">
        <v>0</v>
      </c>
      <c r="O120" s="177">
        <v>0</v>
      </c>
      <c r="P120" s="177">
        <v>0</v>
      </c>
      <c r="Q120" s="177">
        <v>0</v>
      </c>
      <c r="R120" s="177">
        <v>1584</v>
      </c>
      <c r="S120" s="177">
        <v>396</v>
      </c>
      <c r="T120" s="177">
        <v>198</v>
      </c>
    </row>
    <row r="121" spans="1:20">
      <c r="A121" s="213" t="s">
        <v>32</v>
      </c>
      <c r="B121" s="213" t="s">
        <v>25</v>
      </c>
      <c r="C121" s="213" t="s">
        <v>60</v>
      </c>
      <c r="D121" s="213" t="s">
        <v>123</v>
      </c>
      <c r="E121" s="177" t="s">
        <v>204</v>
      </c>
      <c r="F121" s="177" t="s">
        <v>15</v>
      </c>
      <c r="G121" s="177">
        <v>0.25</v>
      </c>
      <c r="H121" s="177">
        <v>0.5</v>
      </c>
      <c r="I121" s="177" t="s">
        <v>241</v>
      </c>
      <c r="J121" s="177" t="s">
        <v>81</v>
      </c>
      <c r="K121" s="177">
        <v>2</v>
      </c>
      <c r="L121" s="177">
        <v>376</v>
      </c>
      <c r="M121" s="177">
        <v>752</v>
      </c>
      <c r="N121" s="177">
        <v>0</v>
      </c>
      <c r="O121" s="177">
        <v>0</v>
      </c>
      <c r="P121" s="177">
        <v>0</v>
      </c>
      <c r="Q121" s="177">
        <v>0</v>
      </c>
      <c r="R121" s="177">
        <v>752</v>
      </c>
      <c r="S121" s="177">
        <v>188</v>
      </c>
      <c r="T121" s="177">
        <v>94</v>
      </c>
    </row>
    <row r="122" spans="1:20">
      <c r="A122" s="213" t="s">
        <v>32</v>
      </c>
      <c r="B122" s="213" t="s">
        <v>25</v>
      </c>
      <c r="C122" s="213" t="s">
        <v>60</v>
      </c>
      <c r="D122" s="213" t="s">
        <v>123</v>
      </c>
      <c r="E122" s="177"/>
      <c r="F122" s="177" t="s">
        <v>16</v>
      </c>
      <c r="G122" s="177">
        <v>0.25</v>
      </c>
      <c r="H122" s="177">
        <v>0.7</v>
      </c>
      <c r="I122" s="177"/>
      <c r="J122" s="177" t="s">
        <v>82</v>
      </c>
      <c r="K122" s="177"/>
      <c r="L122" s="177"/>
      <c r="M122" s="177">
        <v>0</v>
      </c>
      <c r="N122" s="177" t="s">
        <v>163</v>
      </c>
      <c r="O122" s="177">
        <v>1</v>
      </c>
      <c r="P122" s="177">
        <v>520</v>
      </c>
      <c r="Q122" s="177">
        <v>520</v>
      </c>
      <c r="R122" s="177">
        <v>520</v>
      </c>
      <c r="S122" s="177">
        <v>650</v>
      </c>
      <c r="T122" s="177">
        <v>454.99999999999994</v>
      </c>
    </row>
    <row r="123" spans="1:20">
      <c r="A123" s="213" t="s">
        <v>32</v>
      </c>
      <c r="B123" s="213" t="s">
        <v>25</v>
      </c>
      <c r="C123" s="213" t="s">
        <v>60</v>
      </c>
      <c r="D123" s="213" t="s">
        <v>124</v>
      </c>
      <c r="E123" s="177"/>
      <c r="F123" s="177" t="s">
        <v>38</v>
      </c>
      <c r="G123" s="177">
        <v>0.22</v>
      </c>
      <c r="H123" s="177">
        <v>0.7</v>
      </c>
      <c r="I123" s="177" t="s">
        <v>46</v>
      </c>
      <c r="J123" s="177" t="s">
        <v>82</v>
      </c>
      <c r="K123" s="177">
        <v>1</v>
      </c>
      <c r="L123" s="177">
        <v>406</v>
      </c>
      <c r="M123" s="177">
        <v>406</v>
      </c>
      <c r="N123" s="177"/>
      <c r="O123" s="177"/>
      <c r="P123" s="177"/>
      <c r="Q123" s="177">
        <v>0</v>
      </c>
      <c r="R123" s="177">
        <v>406</v>
      </c>
      <c r="S123" s="177">
        <v>495.32</v>
      </c>
      <c r="T123" s="177">
        <v>346.72399999999999</v>
      </c>
    </row>
    <row r="124" spans="1:20">
      <c r="A124" s="213" t="s">
        <v>32</v>
      </c>
      <c r="B124" s="213" t="s">
        <v>25</v>
      </c>
      <c r="C124" s="213" t="s">
        <v>60</v>
      </c>
      <c r="D124" s="213" t="s">
        <v>124</v>
      </c>
      <c r="E124" s="177">
        <v>0</v>
      </c>
      <c r="F124" s="177" t="s">
        <v>18</v>
      </c>
      <c r="G124" s="177">
        <v>0.25</v>
      </c>
      <c r="H124" s="177">
        <v>0.7</v>
      </c>
      <c r="I124" s="177">
        <v>0</v>
      </c>
      <c r="J124" s="177" t="s">
        <v>82</v>
      </c>
      <c r="K124" s="177">
        <v>3</v>
      </c>
      <c r="L124" s="177">
        <v>490</v>
      </c>
      <c r="M124" s="177">
        <v>1470</v>
      </c>
      <c r="N124" s="177">
        <v>0</v>
      </c>
      <c r="O124" s="177">
        <v>0</v>
      </c>
      <c r="P124" s="177">
        <v>0</v>
      </c>
      <c r="Q124" s="177">
        <v>0</v>
      </c>
      <c r="R124" s="177">
        <v>1470</v>
      </c>
      <c r="S124" s="177">
        <v>1837.5</v>
      </c>
      <c r="T124" s="177">
        <v>1286.25</v>
      </c>
    </row>
    <row r="125" spans="1:20">
      <c r="A125" s="213" t="s">
        <v>32</v>
      </c>
      <c r="B125" s="213" t="s">
        <v>25</v>
      </c>
      <c r="C125" s="213" t="s">
        <v>60</v>
      </c>
      <c r="D125" s="213" t="s">
        <v>125</v>
      </c>
      <c r="E125" s="177" t="s">
        <v>158</v>
      </c>
      <c r="F125" s="177" t="s">
        <v>38</v>
      </c>
      <c r="G125" s="177">
        <v>0.22</v>
      </c>
      <c r="H125" s="177">
        <v>0.7</v>
      </c>
      <c r="I125" s="177" t="s">
        <v>46</v>
      </c>
      <c r="J125" s="177" t="s">
        <v>82</v>
      </c>
      <c r="K125" s="177">
        <v>0.5</v>
      </c>
      <c r="L125" s="177">
        <v>406</v>
      </c>
      <c r="M125" s="177">
        <v>203</v>
      </c>
      <c r="N125" s="177"/>
      <c r="O125" s="177"/>
      <c r="P125" s="177"/>
      <c r="Q125" s="177">
        <v>0</v>
      </c>
      <c r="R125" s="177">
        <v>203</v>
      </c>
      <c r="S125" s="177">
        <v>247.66</v>
      </c>
      <c r="T125" s="177">
        <v>173.36199999999999</v>
      </c>
    </row>
    <row r="126" spans="1:20">
      <c r="A126" s="213" t="s">
        <v>32</v>
      </c>
      <c r="B126" s="213" t="s">
        <v>25</v>
      </c>
      <c r="C126" s="213" t="s">
        <v>60</v>
      </c>
      <c r="D126" s="213" t="s">
        <v>124</v>
      </c>
      <c r="E126" s="177" t="s">
        <v>206</v>
      </c>
      <c r="F126" s="177" t="s">
        <v>15</v>
      </c>
      <c r="G126" s="177">
        <v>0.25</v>
      </c>
      <c r="H126" s="177">
        <v>0.5</v>
      </c>
      <c r="I126" s="177" t="s">
        <v>244</v>
      </c>
      <c r="J126" s="177" t="s">
        <v>81</v>
      </c>
      <c r="K126" s="177">
        <v>1</v>
      </c>
      <c r="L126" s="177">
        <v>792</v>
      </c>
      <c r="M126" s="177">
        <v>792</v>
      </c>
      <c r="N126" s="177">
        <v>0</v>
      </c>
      <c r="O126" s="177">
        <v>0</v>
      </c>
      <c r="P126" s="177">
        <v>0</v>
      </c>
      <c r="Q126" s="177">
        <v>0</v>
      </c>
      <c r="R126" s="177">
        <v>792</v>
      </c>
      <c r="S126" s="177">
        <v>198</v>
      </c>
      <c r="T126" s="177">
        <v>99</v>
      </c>
    </row>
    <row r="127" spans="1:20">
      <c r="A127" s="213" t="s">
        <v>32</v>
      </c>
      <c r="B127" s="213" t="s">
        <v>25</v>
      </c>
      <c r="C127" s="213" t="s">
        <v>60</v>
      </c>
      <c r="D127" s="213" t="s">
        <v>124</v>
      </c>
      <c r="E127" s="177" t="s">
        <v>206</v>
      </c>
      <c r="F127" s="177" t="s">
        <v>15</v>
      </c>
      <c r="G127" s="177">
        <v>0.25</v>
      </c>
      <c r="H127" s="177">
        <v>0.5</v>
      </c>
      <c r="I127" s="177" t="s">
        <v>241</v>
      </c>
      <c r="J127" s="177" t="s">
        <v>81</v>
      </c>
      <c r="K127" s="177">
        <v>1</v>
      </c>
      <c r="L127" s="177">
        <v>376</v>
      </c>
      <c r="M127" s="177">
        <v>376</v>
      </c>
      <c r="N127" s="177">
        <v>0</v>
      </c>
      <c r="O127" s="177">
        <v>0</v>
      </c>
      <c r="P127" s="177">
        <v>0</v>
      </c>
      <c r="Q127" s="177">
        <v>0</v>
      </c>
      <c r="R127" s="177">
        <v>376</v>
      </c>
      <c r="S127" s="177">
        <v>94</v>
      </c>
      <c r="T127" s="177">
        <v>47</v>
      </c>
    </row>
    <row r="128" spans="1:20">
      <c r="A128" s="213" t="s">
        <v>32</v>
      </c>
      <c r="B128" s="213" t="s">
        <v>25</v>
      </c>
      <c r="C128" s="213" t="s">
        <v>60</v>
      </c>
      <c r="D128" s="213" t="s">
        <v>124</v>
      </c>
      <c r="E128" s="177"/>
      <c r="F128" s="177" t="s">
        <v>16</v>
      </c>
      <c r="G128" s="177">
        <v>0.25</v>
      </c>
      <c r="H128" s="177">
        <v>0.7</v>
      </c>
      <c r="I128" s="177"/>
      <c r="J128" s="177" t="s">
        <v>82</v>
      </c>
      <c r="K128" s="177"/>
      <c r="L128" s="177"/>
      <c r="M128" s="177">
        <v>0</v>
      </c>
      <c r="N128" s="177" t="s">
        <v>163</v>
      </c>
      <c r="O128" s="177">
        <v>1</v>
      </c>
      <c r="P128" s="177">
        <v>520</v>
      </c>
      <c r="Q128" s="177">
        <v>520</v>
      </c>
      <c r="R128" s="177">
        <v>520</v>
      </c>
      <c r="S128" s="177">
        <v>650</v>
      </c>
      <c r="T128" s="177">
        <v>454.99999999999994</v>
      </c>
    </row>
    <row r="129" spans="1:20">
      <c r="A129" s="213" t="s">
        <v>32</v>
      </c>
      <c r="B129" s="213" t="s">
        <v>25</v>
      </c>
      <c r="C129" s="213" t="s">
        <v>61</v>
      </c>
      <c r="D129" s="213" t="s">
        <v>142</v>
      </c>
      <c r="E129" s="177" t="s">
        <v>158</v>
      </c>
      <c r="F129" s="177" t="s">
        <v>38</v>
      </c>
      <c r="G129" s="177">
        <v>0.22</v>
      </c>
      <c r="H129" s="177">
        <v>0.7</v>
      </c>
      <c r="I129" s="177" t="s">
        <v>46</v>
      </c>
      <c r="J129" s="177" t="s">
        <v>82</v>
      </c>
      <c r="K129" s="177">
        <v>1</v>
      </c>
      <c r="L129" s="177">
        <v>406</v>
      </c>
      <c r="M129" s="177">
        <v>406</v>
      </c>
      <c r="N129" s="177"/>
      <c r="O129" s="177"/>
      <c r="P129" s="177"/>
      <c r="Q129" s="177">
        <v>0</v>
      </c>
      <c r="R129" s="177">
        <v>406</v>
      </c>
      <c r="S129" s="177">
        <v>495.32</v>
      </c>
      <c r="T129" s="177">
        <v>346.72399999999999</v>
      </c>
    </row>
    <row r="130" spans="1:20">
      <c r="A130" s="213" t="s">
        <v>32</v>
      </c>
      <c r="B130" s="213" t="s">
        <v>25</v>
      </c>
      <c r="C130" s="213" t="s">
        <v>62</v>
      </c>
      <c r="D130" s="213" t="s">
        <v>214</v>
      </c>
      <c r="E130" s="177"/>
      <c r="F130" s="177" t="s">
        <v>38</v>
      </c>
      <c r="G130" s="177">
        <v>0.22</v>
      </c>
      <c r="H130" s="177">
        <v>0.7</v>
      </c>
      <c r="I130" s="177" t="s">
        <v>46</v>
      </c>
      <c r="J130" s="177" t="s">
        <v>251</v>
      </c>
      <c r="K130" s="177">
        <v>2</v>
      </c>
      <c r="L130" s="177">
        <v>406</v>
      </c>
      <c r="M130" s="177">
        <v>812</v>
      </c>
      <c r="N130" s="177"/>
      <c r="O130" s="177"/>
      <c r="P130" s="177"/>
      <c r="Q130" s="177">
        <v>0</v>
      </c>
      <c r="R130" s="177">
        <v>812</v>
      </c>
      <c r="S130" s="177">
        <v>990.64</v>
      </c>
      <c r="T130" s="177">
        <v>693.44799999999998</v>
      </c>
    </row>
    <row r="131" spans="1:20">
      <c r="A131" s="213" t="s">
        <v>32</v>
      </c>
      <c r="B131" s="213" t="s">
        <v>25</v>
      </c>
      <c r="C131" s="213" t="s">
        <v>60</v>
      </c>
      <c r="D131" s="213" t="s">
        <v>125</v>
      </c>
      <c r="E131" s="177">
        <v>0</v>
      </c>
      <c r="F131" s="177" t="s">
        <v>15</v>
      </c>
      <c r="G131" s="177">
        <v>0.25</v>
      </c>
      <c r="H131" s="177">
        <v>0.5</v>
      </c>
      <c r="I131" s="177" t="s">
        <v>244</v>
      </c>
      <c r="J131" s="177" t="s">
        <v>81</v>
      </c>
      <c r="K131" s="177">
        <v>2</v>
      </c>
      <c r="L131" s="177">
        <v>792</v>
      </c>
      <c r="M131" s="177">
        <v>1584</v>
      </c>
      <c r="N131" s="177">
        <v>0</v>
      </c>
      <c r="O131" s="177">
        <v>0</v>
      </c>
      <c r="P131" s="177">
        <v>0</v>
      </c>
      <c r="Q131" s="177">
        <v>0</v>
      </c>
      <c r="R131" s="177">
        <v>1584</v>
      </c>
      <c r="S131" s="177">
        <v>396</v>
      </c>
      <c r="T131" s="177">
        <v>198</v>
      </c>
    </row>
    <row r="132" spans="1:20">
      <c r="A132" s="213" t="s">
        <v>32</v>
      </c>
      <c r="B132" s="213" t="s">
        <v>25</v>
      </c>
      <c r="C132" s="213" t="s">
        <v>60</v>
      </c>
      <c r="D132" s="213" t="s">
        <v>125</v>
      </c>
      <c r="E132" s="177">
        <v>0</v>
      </c>
      <c r="F132" s="177" t="s">
        <v>15</v>
      </c>
      <c r="G132" s="177">
        <v>0.25</v>
      </c>
      <c r="H132" s="177">
        <v>0.5</v>
      </c>
      <c r="I132" s="177" t="s">
        <v>241</v>
      </c>
      <c r="J132" s="177" t="s">
        <v>81</v>
      </c>
      <c r="K132" s="177">
        <v>15</v>
      </c>
      <c r="L132" s="177">
        <v>376</v>
      </c>
      <c r="M132" s="177">
        <v>5640</v>
      </c>
      <c r="N132" s="177">
        <v>0</v>
      </c>
      <c r="O132" s="177">
        <v>0</v>
      </c>
      <c r="P132" s="177">
        <v>0</v>
      </c>
      <c r="Q132" s="177">
        <v>0</v>
      </c>
      <c r="R132" s="177">
        <v>5640</v>
      </c>
      <c r="S132" s="177">
        <v>1410</v>
      </c>
      <c r="T132" s="177">
        <v>705</v>
      </c>
    </row>
    <row r="133" spans="1:20">
      <c r="A133" s="213" t="s">
        <v>32</v>
      </c>
      <c r="B133" s="213" t="s">
        <v>25</v>
      </c>
      <c r="C133" s="213" t="s">
        <v>60</v>
      </c>
      <c r="D133" s="213" t="s">
        <v>125</v>
      </c>
      <c r="E133" s="177" t="s">
        <v>158</v>
      </c>
      <c r="F133" s="177" t="s">
        <v>16</v>
      </c>
      <c r="G133" s="177">
        <v>0.25</v>
      </c>
      <c r="H133" s="177">
        <v>0.7</v>
      </c>
      <c r="I133" s="177"/>
      <c r="J133" s="177" t="s">
        <v>82</v>
      </c>
      <c r="K133" s="177"/>
      <c r="L133" s="177"/>
      <c r="M133" s="177">
        <v>0</v>
      </c>
      <c r="N133" s="177" t="s">
        <v>163</v>
      </c>
      <c r="O133" s="177">
        <v>0.5</v>
      </c>
      <c r="P133" s="177">
        <v>520</v>
      </c>
      <c r="Q133" s="177">
        <v>260</v>
      </c>
      <c r="R133" s="177">
        <v>260</v>
      </c>
      <c r="S133" s="177">
        <v>325</v>
      </c>
      <c r="T133" s="177">
        <v>227.49999999999997</v>
      </c>
    </row>
    <row r="134" spans="1:20">
      <c r="A134" s="213" t="s">
        <v>32</v>
      </c>
      <c r="B134" s="213" t="s">
        <v>25</v>
      </c>
      <c r="C134" s="213" t="s">
        <v>62</v>
      </c>
      <c r="D134" s="213" t="s">
        <v>143</v>
      </c>
      <c r="E134" s="177"/>
      <c r="F134" s="177" t="s">
        <v>38</v>
      </c>
      <c r="G134" s="177">
        <v>0.22</v>
      </c>
      <c r="H134" s="177">
        <v>0.7</v>
      </c>
      <c r="I134" s="177" t="s">
        <v>46</v>
      </c>
      <c r="J134" s="177" t="s">
        <v>82</v>
      </c>
      <c r="K134" s="177">
        <v>1</v>
      </c>
      <c r="L134" s="177">
        <v>406</v>
      </c>
      <c r="M134" s="177">
        <v>406</v>
      </c>
      <c r="N134" s="177"/>
      <c r="O134" s="177"/>
      <c r="P134" s="177"/>
      <c r="Q134" s="177">
        <v>0</v>
      </c>
      <c r="R134" s="177">
        <v>406</v>
      </c>
      <c r="S134" s="177">
        <v>495.32</v>
      </c>
      <c r="T134" s="177">
        <v>346.72399999999999</v>
      </c>
    </row>
    <row r="135" spans="1:20">
      <c r="A135" s="213" t="s">
        <v>32</v>
      </c>
      <c r="B135" s="213" t="s">
        <v>25</v>
      </c>
      <c r="C135" s="213" t="s">
        <v>62</v>
      </c>
      <c r="D135" s="213" t="s">
        <v>144</v>
      </c>
      <c r="E135" s="177"/>
      <c r="F135" s="177" t="s">
        <v>38</v>
      </c>
      <c r="G135" s="177">
        <v>0.22</v>
      </c>
      <c r="H135" s="177">
        <v>0.7</v>
      </c>
      <c r="I135" s="177" t="s">
        <v>46</v>
      </c>
      <c r="J135" s="177" t="s">
        <v>82</v>
      </c>
      <c r="K135" s="177">
        <v>1</v>
      </c>
      <c r="L135" s="177">
        <v>406</v>
      </c>
      <c r="M135" s="177">
        <v>406</v>
      </c>
      <c r="N135" s="177"/>
      <c r="O135" s="177"/>
      <c r="P135" s="177"/>
      <c r="Q135" s="177">
        <v>0</v>
      </c>
      <c r="R135" s="177">
        <v>406</v>
      </c>
      <c r="S135" s="177">
        <v>495.32</v>
      </c>
      <c r="T135" s="177">
        <v>346.72399999999999</v>
      </c>
    </row>
    <row r="136" spans="1:20">
      <c r="A136" s="213" t="s">
        <v>32</v>
      </c>
      <c r="B136" s="213" t="s">
        <v>25</v>
      </c>
      <c r="C136" s="213" t="s">
        <v>61</v>
      </c>
      <c r="D136" s="213" t="s">
        <v>139</v>
      </c>
      <c r="E136" s="177" t="s">
        <v>248</v>
      </c>
      <c r="F136" s="177" t="s">
        <v>15</v>
      </c>
      <c r="G136" s="177">
        <v>0.25</v>
      </c>
      <c r="H136" s="177">
        <v>0.5</v>
      </c>
      <c r="I136" s="177" t="s">
        <v>244</v>
      </c>
      <c r="J136" s="177" t="s">
        <v>81</v>
      </c>
      <c r="K136" s="177">
        <v>4</v>
      </c>
      <c r="L136" s="177">
        <v>792</v>
      </c>
      <c r="M136" s="177">
        <v>3168</v>
      </c>
      <c r="N136" s="177" t="s">
        <v>45</v>
      </c>
      <c r="O136" s="177">
        <v>2</v>
      </c>
      <c r="P136" s="177">
        <v>150</v>
      </c>
      <c r="Q136" s="177">
        <v>300</v>
      </c>
      <c r="R136" s="177">
        <v>3468</v>
      </c>
      <c r="S136" s="177">
        <v>1167</v>
      </c>
      <c r="T136" s="177">
        <v>583.5</v>
      </c>
    </row>
    <row r="137" spans="1:20">
      <c r="A137" s="213" t="s">
        <v>32</v>
      </c>
      <c r="B137" s="213" t="s">
        <v>25</v>
      </c>
      <c r="C137" s="213" t="s">
        <v>61</v>
      </c>
      <c r="D137" s="213" t="s">
        <v>139</v>
      </c>
      <c r="E137" s="177" t="s">
        <v>248</v>
      </c>
      <c r="F137" s="177" t="s">
        <v>15</v>
      </c>
      <c r="G137" s="177">
        <v>0.25</v>
      </c>
      <c r="H137" s="177">
        <v>0.5</v>
      </c>
      <c r="I137" s="177" t="s">
        <v>241</v>
      </c>
      <c r="J137" s="177" t="s">
        <v>81</v>
      </c>
      <c r="K137" s="177">
        <v>4</v>
      </c>
      <c r="L137" s="177">
        <v>376</v>
      </c>
      <c r="M137" s="177">
        <v>1504</v>
      </c>
      <c r="N137" s="177" t="s">
        <v>45</v>
      </c>
      <c r="O137" s="177">
        <v>2</v>
      </c>
      <c r="P137" s="177">
        <v>150</v>
      </c>
      <c r="Q137" s="177">
        <v>300</v>
      </c>
      <c r="R137" s="177">
        <v>1804</v>
      </c>
      <c r="S137" s="177">
        <v>751</v>
      </c>
      <c r="T137" s="177">
        <v>375.5</v>
      </c>
    </row>
    <row r="138" spans="1:20">
      <c r="A138" s="213" t="s">
        <v>32</v>
      </c>
      <c r="B138" s="213" t="s">
        <v>25</v>
      </c>
      <c r="C138" s="213" t="s">
        <v>61</v>
      </c>
      <c r="D138" s="213" t="s">
        <v>140</v>
      </c>
      <c r="E138" s="177" t="s">
        <v>210</v>
      </c>
      <c r="F138" s="177" t="s">
        <v>15</v>
      </c>
      <c r="G138" s="177">
        <v>0.25</v>
      </c>
      <c r="H138" s="177">
        <v>0.5</v>
      </c>
      <c r="I138" s="177" t="s">
        <v>244</v>
      </c>
      <c r="J138" s="177" t="s">
        <v>81</v>
      </c>
      <c r="K138" s="177">
        <v>2</v>
      </c>
      <c r="L138" s="177">
        <v>792</v>
      </c>
      <c r="M138" s="177">
        <v>1584</v>
      </c>
      <c r="N138" s="177">
        <v>0</v>
      </c>
      <c r="O138" s="177">
        <v>0</v>
      </c>
      <c r="P138" s="177">
        <v>0</v>
      </c>
      <c r="Q138" s="177">
        <v>0</v>
      </c>
      <c r="R138" s="177">
        <v>1584</v>
      </c>
      <c r="S138" s="177">
        <v>396</v>
      </c>
      <c r="T138" s="177">
        <v>198</v>
      </c>
    </row>
    <row r="139" spans="1:20">
      <c r="A139" s="213" t="s">
        <v>32</v>
      </c>
      <c r="B139" s="213" t="s">
        <v>25</v>
      </c>
      <c r="C139" s="213" t="s">
        <v>61</v>
      </c>
      <c r="D139" s="213" t="s">
        <v>140</v>
      </c>
      <c r="E139" s="177" t="s">
        <v>210</v>
      </c>
      <c r="F139" s="177" t="s">
        <v>15</v>
      </c>
      <c r="G139" s="177">
        <v>0.25</v>
      </c>
      <c r="H139" s="177">
        <v>0.5</v>
      </c>
      <c r="I139" s="177" t="s">
        <v>241</v>
      </c>
      <c r="J139" s="177" t="s">
        <v>81</v>
      </c>
      <c r="K139" s="177">
        <v>5</v>
      </c>
      <c r="L139" s="177">
        <v>376</v>
      </c>
      <c r="M139" s="177">
        <v>1880</v>
      </c>
      <c r="N139" s="177">
        <v>0</v>
      </c>
      <c r="O139" s="177">
        <v>0</v>
      </c>
      <c r="P139" s="177">
        <v>0</v>
      </c>
      <c r="Q139" s="177">
        <v>0</v>
      </c>
      <c r="R139" s="177">
        <v>1880</v>
      </c>
      <c r="S139" s="177">
        <v>470</v>
      </c>
      <c r="T139" s="177">
        <v>235</v>
      </c>
    </row>
    <row r="140" spans="1:20">
      <c r="A140" s="213" t="s">
        <v>32</v>
      </c>
      <c r="B140" s="213" t="s">
        <v>25</v>
      </c>
      <c r="C140" s="213" t="s">
        <v>61</v>
      </c>
      <c r="D140" s="213" t="s">
        <v>140</v>
      </c>
      <c r="E140" s="177" t="s">
        <v>210</v>
      </c>
      <c r="F140" s="177" t="s">
        <v>15</v>
      </c>
      <c r="G140" s="177">
        <v>0.25</v>
      </c>
      <c r="H140" s="177">
        <v>0.5</v>
      </c>
      <c r="I140" s="177" t="s">
        <v>243</v>
      </c>
      <c r="J140" s="177" t="s">
        <v>82</v>
      </c>
      <c r="K140" s="177">
        <v>5</v>
      </c>
      <c r="L140" s="177">
        <v>277</v>
      </c>
      <c r="M140" s="177">
        <v>1385</v>
      </c>
      <c r="N140" s="177">
        <v>0</v>
      </c>
      <c r="O140" s="177">
        <v>0</v>
      </c>
      <c r="P140" s="177">
        <v>0</v>
      </c>
      <c r="Q140" s="177">
        <v>0</v>
      </c>
      <c r="R140" s="177">
        <v>1385</v>
      </c>
      <c r="S140" s="177">
        <v>1731.25</v>
      </c>
      <c r="T140" s="177">
        <v>865.625</v>
      </c>
    </row>
    <row r="141" spans="1:20">
      <c r="A141" s="213" t="s">
        <v>32</v>
      </c>
      <c r="B141" s="213" t="s">
        <v>25</v>
      </c>
      <c r="C141" s="213" t="s">
        <v>61</v>
      </c>
      <c r="D141" s="213" t="s">
        <v>141</v>
      </c>
      <c r="E141" s="177" t="s">
        <v>212</v>
      </c>
      <c r="F141" s="177" t="s">
        <v>15</v>
      </c>
      <c r="G141" s="177">
        <v>0.25</v>
      </c>
      <c r="H141" s="177">
        <v>0.5</v>
      </c>
      <c r="I141" s="177" t="s">
        <v>244</v>
      </c>
      <c r="J141" s="177" t="s">
        <v>81</v>
      </c>
      <c r="K141" s="177">
        <v>4</v>
      </c>
      <c r="L141" s="177">
        <v>792</v>
      </c>
      <c r="M141" s="177">
        <v>3168</v>
      </c>
      <c r="N141" s="177">
        <v>0</v>
      </c>
      <c r="O141" s="177">
        <v>0</v>
      </c>
      <c r="P141" s="177">
        <v>0</v>
      </c>
      <c r="Q141" s="177">
        <v>0</v>
      </c>
      <c r="R141" s="177">
        <v>3168</v>
      </c>
      <c r="S141" s="177">
        <v>792</v>
      </c>
      <c r="T141" s="177">
        <v>396</v>
      </c>
    </row>
    <row r="142" spans="1:20">
      <c r="A142" s="213" t="s">
        <v>32</v>
      </c>
      <c r="B142" s="213" t="s">
        <v>25</v>
      </c>
      <c r="C142" s="213" t="s">
        <v>61</v>
      </c>
      <c r="D142" s="213" t="s">
        <v>141</v>
      </c>
      <c r="E142" s="177" t="s">
        <v>212</v>
      </c>
      <c r="F142" s="177" t="s">
        <v>15</v>
      </c>
      <c r="G142" s="177">
        <v>0.25</v>
      </c>
      <c r="H142" s="177">
        <v>0.5</v>
      </c>
      <c r="I142" s="177" t="s">
        <v>241</v>
      </c>
      <c r="J142" s="177" t="s">
        <v>81</v>
      </c>
      <c r="K142" s="177">
        <v>5</v>
      </c>
      <c r="L142" s="177">
        <v>376</v>
      </c>
      <c r="M142" s="177">
        <v>1880</v>
      </c>
      <c r="N142" s="177">
        <v>0</v>
      </c>
      <c r="O142" s="177">
        <v>0</v>
      </c>
      <c r="P142" s="177">
        <v>0</v>
      </c>
      <c r="Q142" s="177">
        <v>0</v>
      </c>
      <c r="R142" s="177">
        <v>1880</v>
      </c>
      <c r="S142" s="177">
        <v>470</v>
      </c>
      <c r="T142" s="177">
        <v>235</v>
      </c>
    </row>
    <row r="143" spans="1:20">
      <c r="A143" s="213" t="s">
        <v>32</v>
      </c>
      <c r="B143" s="213" t="s">
        <v>25</v>
      </c>
      <c r="C143" s="213" t="s">
        <v>61</v>
      </c>
      <c r="D143" s="213" t="s">
        <v>141</v>
      </c>
      <c r="E143" s="177" t="s">
        <v>212</v>
      </c>
      <c r="F143" s="177" t="s">
        <v>15</v>
      </c>
      <c r="G143" s="177">
        <v>0.25</v>
      </c>
      <c r="H143" s="177">
        <v>0.5</v>
      </c>
      <c r="I143" s="177" t="s">
        <v>243</v>
      </c>
      <c r="J143" s="177" t="s">
        <v>82</v>
      </c>
      <c r="K143" s="177">
        <v>10</v>
      </c>
      <c r="L143" s="177">
        <v>277</v>
      </c>
      <c r="M143" s="177">
        <v>2770</v>
      </c>
      <c r="N143" s="177">
        <v>0</v>
      </c>
      <c r="O143" s="177">
        <v>0</v>
      </c>
      <c r="P143" s="177">
        <v>0</v>
      </c>
      <c r="Q143" s="177">
        <v>0</v>
      </c>
      <c r="R143" s="177">
        <v>2770</v>
      </c>
      <c r="S143" s="177">
        <v>3462.5</v>
      </c>
      <c r="T143" s="177">
        <v>1731.25</v>
      </c>
    </row>
    <row r="144" spans="1:20">
      <c r="A144" s="213" t="s">
        <v>32</v>
      </c>
      <c r="B144" s="213" t="s">
        <v>25</v>
      </c>
      <c r="C144" s="213" t="s">
        <v>61</v>
      </c>
      <c r="D144" s="213" t="s">
        <v>142</v>
      </c>
      <c r="E144" s="177">
        <v>0</v>
      </c>
      <c r="F144" s="177" t="s">
        <v>15</v>
      </c>
      <c r="G144" s="177">
        <v>0.25</v>
      </c>
      <c r="H144" s="177">
        <v>0.5</v>
      </c>
      <c r="I144" s="177" t="s">
        <v>244</v>
      </c>
      <c r="J144" s="177" t="s">
        <v>81</v>
      </c>
      <c r="K144" s="177">
        <v>2</v>
      </c>
      <c r="L144" s="177">
        <v>792</v>
      </c>
      <c r="M144" s="177">
        <v>1584</v>
      </c>
      <c r="N144" s="177">
        <v>0</v>
      </c>
      <c r="O144" s="177">
        <v>0</v>
      </c>
      <c r="P144" s="177">
        <v>0</v>
      </c>
      <c r="Q144" s="177">
        <v>0</v>
      </c>
      <c r="R144" s="177">
        <v>1584</v>
      </c>
      <c r="S144" s="177">
        <v>396</v>
      </c>
      <c r="T144" s="177">
        <v>198</v>
      </c>
    </row>
    <row r="145" spans="1:20">
      <c r="A145" s="213" t="s">
        <v>32</v>
      </c>
      <c r="B145" s="213" t="s">
        <v>25</v>
      </c>
      <c r="C145" s="213" t="s">
        <v>61</v>
      </c>
      <c r="D145" s="213" t="s">
        <v>142</v>
      </c>
      <c r="E145" s="177">
        <v>0</v>
      </c>
      <c r="F145" s="177" t="s">
        <v>15</v>
      </c>
      <c r="G145" s="177">
        <v>0.25</v>
      </c>
      <c r="H145" s="177">
        <v>0.5</v>
      </c>
      <c r="I145" s="177" t="s">
        <v>241</v>
      </c>
      <c r="J145" s="177" t="s">
        <v>81</v>
      </c>
      <c r="K145" s="177">
        <v>20</v>
      </c>
      <c r="L145" s="177">
        <v>376</v>
      </c>
      <c r="M145" s="177">
        <v>7520</v>
      </c>
      <c r="N145" s="177">
        <v>0</v>
      </c>
      <c r="O145" s="177">
        <v>0</v>
      </c>
      <c r="P145" s="177">
        <v>0</v>
      </c>
      <c r="Q145" s="177">
        <v>0</v>
      </c>
      <c r="R145" s="177">
        <v>7520</v>
      </c>
      <c r="S145" s="177">
        <v>1880</v>
      </c>
      <c r="T145" s="177">
        <v>940</v>
      </c>
    </row>
    <row r="146" spans="1:20">
      <c r="A146" s="213" t="s">
        <v>32</v>
      </c>
      <c r="B146" s="213" t="s">
        <v>25</v>
      </c>
      <c r="C146" s="213" t="s">
        <v>61</v>
      </c>
      <c r="D146" s="213" t="s">
        <v>142</v>
      </c>
      <c r="E146" s="177" t="s">
        <v>158</v>
      </c>
      <c r="F146" s="177" t="s">
        <v>16</v>
      </c>
      <c r="G146" s="177">
        <v>0.25</v>
      </c>
      <c r="H146" s="177">
        <v>0.7</v>
      </c>
      <c r="I146" s="177"/>
      <c r="J146" s="177" t="s">
        <v>82</v>
      </c>
      <c r="K146" s="177"/>
      <c r="L146" s="177"/>
      <c r="M146" s="177">
        <v>0</v>
      </c>
      <c r="N146" s="177" t="s">
        <v>163</v>
      </c>
      <c r="O146" s="177">
        <v>1</v>
      </c>
      <c r="P146" s="177">
        <v>520</v>
      </c>
      <c r="Q146" s="177">
        <v>520</v>
      </c>
      <c r="R146" s="177">
        <v>520</v>
      </c>
      <c r="S146" s="177">
        <v>650</v>
      </c>
      <c r="T146" s="177">
        <v>454.99999999999994</v>
      </c>
    </row>
    <row r="147" spans="1:20">
      <c r="A147" s="213" t="s">
        <v>32</v>
      </c>
      <c r="B147" s="213" t="s">
        <v>25</v>
      </c>
      <c r="C147" s="213" t="s">
        <v>62</v>
      </c>
      <c r="D147" s="213" t="s">
        <v>143</v>
      </c>
      <c r="E147" s="177">
        <v>0</v>
      </c>
      <c r="F147" s="177" t="s">
        <v>15</v>
      </c>
      <c r="G147" s="177">
        <v>0.25</v>
      </c>
      <c r="H147" s="177">
        <v>0.5</v>
      </c>
      <c r="I147" s="177" t="s">
        <v>246</v>
      </c>
      <c r="J147" s="177" t="s">
        <v>81</v>
      </c>
      <c r="K147" s="177">
        <v>5</v>
      </c>
      <c r="L147" s="177">
        <v>548</v>
      </c>
      <c r="M147" s="177">
        <v>2740</v>
      </c>
      <c r="N147" s="177">
        <v>0</v>
      </c>
      <c r="O147" s="177">
        <v>0</v>
      </c>
      <c r="P147" s="177">
        <v>0</v>
      </c>
      <c r="Q147" s="177">
        <v>0</v>
      </c>
      <c r="R147" s="177">
        <v>2740</v>
      </c>
      <c r="S147" s="177">
        <v>685</v>
      </c>
      <c r="T147" s="177">
        <v>342.5</v>
      </c>
    </row>
    <row r="148" spans="1:20">
      <c r="A148" s="213" t="s">
        <v>32</v>
      </c>
      <c r="B148" s="213" t="s">
        <v>25</v>
      </c>
      <c r="C148" s="213" t="s">
        <v>62</v>
      </c>
      <c r="D148" s="213" t="s">
        <v>143</v>
      </c>
      <c r="E148" s="177">
        <v>0</v>
      </c>
      <c r="F148" s="177" t="s">
        <v>15</v>
      </c>
      <c r="G148" s="177">
        <v>0.25</v>
      </c>
      <c r="H148" s="177">
        <v>0.5</v>
      </c>
      <c r="I148" s="177" t="s">
        <v>241</v>
      </c>
      <c r="J148" s="177" t="s">
        <v>81</v>
      </c>
      <c r="K148" s="177">
        <v>20</v>
      </c>
      <c r="L148" s="177">
        <v>376</v>
      </c>
      <c r="M148" s="177">
        <v>7520</v>
      </c>
      <c r="N148" s="177">
        <v>0</v>
      </c>
      <c r="O148" s="177">
        <v>0</v>
      </c>
      <c r="P148" s="177">
        <v>0</v>
      </c>
      <c r="Q148" s="177">
        <v>0</v>
      </c>
      <c r="R148" s="177">
        <v>7520</v>
      </c>
      <c r="S148" s="177">
        <v>1880</v>
      </c>
      <c r="T148" s="177">
        <v>940</v>
      </c>
    </row>
    <row r="149" spans="1:20">
      <c r="A149" s="213" t="s">
        <v>32</v>
      </c>
      <c r="B149" s="213" t="s">
        <v>25</v>
      </c>
      <c r="C149" s="213" t="s">
        <v>62</v>
      </c>
      <c r="D149" s="213" t="s">
        <v>143</v>
      </c>
      <c r="E149" s="177">
        <v>0</v>
      </c>
      <c r="F149" s="177" t="s">
        <v>15</v>
      </c>
      <c r="G149" s="177">
        <v>0.25</v>
      </c>
      <c r="H149" s="177">
        <v>0.5</v>
      </c>
      <c r="I149" s="177" t="s">
        <v>239</v>
      </c>
      <c r="J149" s="177" t="s">
        <v>82</v>
      </c>
      <c r="K149" s="177">
        <v>40</v>
      </c>
      <c r="L149" s="177">
        <v>30</v>
      </c>
      <c r="M149" s="177">
        <v>1200</v>
      </c>
      <c r="N149" s="177">
        <v>0</v>
      </c>
      <c r="O149" s="177">
        <v>0</v>
      </c>
      <c r="P149" s="177">
        <v>0</v>
      </c>
      <c r="Q149" s="177">
        <v>0</v>
      </c>
      <c r="R149" s="177">
        <v>1200</v>
      </c>
      <c r="S149" s="177">
        <v>1500</v>
      </c>
      <c r="T149" s="177">
        <v>750</v>
      </c>
    </row>
    <row r="150" spans="1:20">
      <c r="A150" s="213" t="s">
        <v>32</v>
      </c>
      <c r="B150" s="213" t="s">
        <v>25</v>
      </c>
      <c r="C150" s="213" t="s">
        <v>62</v>
      </c>
      <c r="D150" s="213" t="s">
        <v>143</v>
      </c>
      <c r="E150" s="177"/>
      <c r="F150" s="177" t="s">
        <v>16</v>
      </c>
      <c r="G150" s="177">
        <v>0.25</v>
      </c>
      <c r="H150" s="177">
        <v>0.7</v>
      </c>
      <c r="I150" s="177"/>
      <c r="J150" s="177" t="s">
        <v>82</v>
      </c>
      <c r="K150" s="177"/>
      <c r="L150" s="177"/>
      <c r="M150" s="177">
        <v>0</v>
      </c>
      <c r="N150" s="177" t="s">
        <v>163</v>
      </c>
      <c r="O150" s="177">
        <v>1</v>
      </c>
      <c r="P150" s="177">
        <v>520</v>
      </c>
      <c r="Q150" s="177">
        <v>520</v>
      </c>
      <c r="R150" s="177">
        <v>520</v>
      </c>
      <c r="S150" s="177">
        <v>650</v>
      </c>
      <c r="T150" s="177">
        <v>454.99999999999994</v>
      </c>
    </row>
    <row r="151" spans="1:20">
      <c r="A151" s="213" t="s">
        <v>32</v>
      </c>
      <c r="B151" s="213" t="s">
        <v>25</v>
      </c>
      <c r="C151" s="213" t="s">
        <v>62</v>
      </c>
      <c r="D151" s="213" t="s">
        <v>144</v>
      </c>
      <c r="E151" s="177">
        <v>0</v>
      </c>
      <c r="F151" s="177" t="s">
        <v>15</v>
      </c>
      <c r="G151" s="177">
        <v>0.25</v>
      </c>
      <c r="H151" s="177">
        <v>0.5</v>
      </c>
      <c r="I151" s="177" t="s">
        <v>246</v>
      </c>
      <c r="J151" s="177" t="s">
        <v>81</v>
      </c>
      <c r="K151" s="177">
        <v>5</v>
      </c>
      <c r="L151" s="177">
        <v>548</v>
      </c>
      <c r="M151" s="177">
        <v>2740</v>
      </c>
      <c r="N151" s="177">
        <v>0</v>
      </c>
      <c r="O151" s="177">
        <v>0</v>
      </c>
      <c r="P151" s="177">
        <v>0</v>
      </c>
      <c r="Q151" s="177">
        <v>0</v>
      </c>
      <c r="R151" s="177">
        <v>2740</v>
      </c>
      <c r="S151" s="177">
        <v>685</v>
      </c>
      <c r="T151" s="177">
        <v>342.5</v>
      </c>
    </row>
    <row r="152" spans="1:20">
      <c r="A152" s="213" t="s">
        <v>32</v>
      </c>
      <c r="B152" s="213" t="s">
        <v>25</v>
      </c>
      <c r="C152" s="213" t="s">
        <v>62</v>
      </c>
      <c r="D152" s="213" t="s">
        <v>144</v>
      </c>
      <c r="E152" s="177">
        <v>0</v>
      </c>
      <c r="F152" s="177" t="s">
        <v>15</v>
      </c>
      <c r="G152" s="177">
        <v>0.25</v>
      </c>
      <c r="H152" s="177">
        <v>0.5</v>
      </c>
      <c r="I152" s="177" t="s">
        <v>241</v>
      </c>
      <c r="J152" s="177" t="s">
        <v>81</v>
      </c>
      <c r="K152" s="177">
        <v>10</v>
      </c>
      <c r="L152" s="177">
        <v>376</v>
      </c>
      <c r="M152" s="177">
        <v>3760</v>
      </c>
      <c r="N152" s="177">
        <v>0</v>
      </c>
      <c r="O152" s="177">
        <v>0</v>
      </c>
      <c r="P152" s="177">
        <v>0</v>
      </c>
      <c r="Q152" s="177">
        <v>0</v>
      </c>
      <c r="R152" s="177">
        <v>3760</v>
      </c>
      <c r="S152" s="177">
        <v>940</v>
      </c>
      <c r="T152" s="177">
        <v>470</v>
      </c>
    </row>
    <row r="153" spans="1:20">
      <c r="A153" s="213" t="s">
        <v>32</v>
      </c>
      <c r="B153" s="213" t="s">
        <v>25</v>
      </c>
      <c r="C153" s="213" t="s">
        <v>62</v>
      </c>
      <c r="D153" s="213" t="s">
        <v>144</v>
      </c>
      <c r="E153" s="177"/>
      <c r="F153" s="177" t="s">
        <v>16</v>
      </c>
      <c r="G153" s="177">
        <v>0.25</v>
      </c>
      <c r="H153" s="177">
        <v>0.7</v>
      </c>
      <c r="I153" s="177"/>
      <c r="J153" s="177" t="s">
        <v>82</v>
      </c>
      <c r="K153" s="177"/>
      <c r="L153" s="177"/>
      <c r="M153" s="177">
        <v>0</v>
      </c>
      <c r="N153" s="177" t="s">
        <v>163</v>
      </c>
      <c r="O153" s="177">
        <v>1</v>
      </c>
      <c r="P153" s="177">
        <v>520</v>
      </c>
      <c r="Q153" s="177">
        <v>520</v>
      </c>
      <c r="R153" s="177">
        <v>520</v>
      </c>
      <c r="S153" s="177">
        <v>650</v>
      </c>
      <c r="T153" s="177">
        <v>454.99999999999994</v>
      </c>
    </row>
    <row r="154" spans="1:20">
      <c r="A154" s="213" t="s">
        <v>32</v>
      </c>
      <c r="B154" s="213" t="s">
        <v>25</v>
      </c>
      <c r="C154" s="213" t="s">
        <v>60</v>
      </c>
      <c r="D154" s="213" t="s">
        <v>123</v>
      </c>
      <c r="E154" s="177" t="s">
        <v>204</v>
      </c>
      <c r="F154" s="177" t="s">
        <v>17</v>
      </c>
      <c r="G154" s="177">
        <v>0.18</v>
      </c>
      <c r="H154" s="177">
        <v>0.5</v>
      </c>
      <c r="I154" s="177" t="s">
        <v>222</v>
      </c>
      <c r="J154" s="177" t="s">
        <v>81</v>
      </c>
      <c r="K154" s="177">
        <v>2</v>
      </c>
      <c r="L154" s="177">
        <v>572</v>
      </c>
      <c r="M154" s="177">
        <v>1144</v>
      </c>
      <c r="N154" s="177" t="s">
        <v>45</v>
      </c>
      <c r="O154" s="177">
        <v>2</v>
      </c>
      <c r="P154" s="177">
        <v>150</v>
      </c>
      <c r="Q154" s="177">
        <v>300</v>
      </c>
      <c r="R154" s="177">
        <v>1444</v>
      </c>
      <c r="S154" s="177">
        <v>559.91999999999996</v>
      </c>
      <c r="T154" s="177">
        <v>279.95999999999998</v>
      </c>
    </row>
    <row r="155" spans="1:20">
      <c r="A155" s="213" t="s">
        <v>32</v>
      </c>
      <c r="B155" s="213" t="s">
        <v>25</v>
      </c>
      <c r="C155" s="213" t="s">
        <v>60</v>
      </c>
      <c r="D155" s="213" t="s">
        <v>123</v>
      </c>
      <c r="E155" s="177" t="s">
        <v>204</v>
      </c>
      <c r="F155" s="177" t="s">
        <v>17</v>
      </c>
      <c r="G155" s="177">
        <v>0.18</v>
      </c>
      <c r="H155" s="177">
        <v>0.5</v>
      </c>
      <c r="I155" s="177" t="s">
        <v>220</v>
      </c>
      <c r="J155" s="177" t="s">
        <v>81</v>
      </c>
      <c r="K155" s="177">
        <v>2</v>
      </c>
      <c r="L155" s="177">
        <v>494</v>
      </c>
      <c r="M155" s="177">
        <v>988</v>
      </c>
      <c r="N155" s="177" t="s">
        <v>45</v>
      </c>
      <c r="O155" s="177">
        <v>2</v>
      </c>
      <c r="P155" s="177">
        <v>150</v>
      </c>
      <c r="Q155" s="177">
        <v>300</v>
      </c>
      <c r="R155" s="177">
        <v>1288</v>
      </c>
      <c r="S155" s="177">
        <v>531.84</v>
      </c>
      <c r="T155" s="177">
        <v>265.92</v>
      </c>
    </row>
    <row r="156" spans="1:20">
      <c r="A156" s="213" t="s">
        <v>32</v>
      </c>
      <c r="B156" s="213" t="s">
        <v>25</v>
      </c>
      <c r="C156" s="213" t="s">
        <v>60</v>
      </c>
      <c r="D156" s="213" t="s">
        <v>123</v>
      </c>
      <c r="E156" s="177" t="s">
        <v>204</v>
      </c>
      <c r="F156" s="177" t="s">
        <v>17</v>
      </c>
      <c r="G156" s="177">
        <v>0.18</v>
      </c>
      <c r="H156" s="177">
        <v>0.5</v>
      </c>
      <c r="I156" s="177" t="s">
        <v>221</v>
      </c>
      <c r="J156" s="177" t="s">
        <v>82</v>
      </c>
      <c r="K156" s="177">
        <v>2</v>
      </c>
      <c r="L156" s="177">
        <v>119</v>
      </c>
      <c r="M156" s="177">
        <v>238</v>
      </c>
      <c r="N156" s="177" t="s">
        <v>45</v>
      </c>
      <c r="O156" s="177">
        <v>2</v>
      </c>
      <c r="P156" s="177">
        <v>150</v>
      </c>
      <c r="Q156" s="177">
        <v>300</v>
      </c>
      <c r="R156" s="177">
        <v>538</v>
      </c>
      <c r="S156" s="177">
        <v>634.84</v>
      </c>
      <c r="T156" s="177">
        <v>317.42</v>
      </c>
    </row>
    <row r="157" spans="1:20">
      <c r="A157" s="213" t="s">
        <v>32</v>
      </c>
      <c r="B157" s="213" t="s">
        <v>25</v>
      </c>
      <c r="C157" s="213" t="s">
        <v>60</v>
      </c>
      <c r="D157" s="213" t="s">
        <v>124</v>
      </c>
      <c r="E157" s="177" t="s">
        <v>206</v>
      </c>
      <c r="F157" s="177" t="s">
        <v>17</v>
      </c>
      <c r="G157" s="177">
        <v>0.18</v>
      </c>
      <c r="H157" s="177">
        <v>0.5</v>
      </c>
      <c r="I157" s="177" t="s">
        <v>222</v>
      </c>
      <c r="J157" s="177" t="s">
        <v>81</v>
      </c>
      <c r="K157" s="177">
        <v>2</v>
      </c>
      <c r="L157" s="177">
        <v>572</v>
      </c>
      <c r="M157" s="177">
        <v>1144</v>
      </c>
      <c r="N157" s="177" t="s">
        <v>45</v>
      </c>
      <c r="O157" s="177">
        <v>2</v>
      </c>
      <c r="P157" s="177">
        <v>150</v>
      </c>
      <c r="Q157" s="177">
        <v>300</v>
      </c>
      <c r="R157" s="177">
        <v>1444</v>
      </c>
      <c r="S157" s="177">
        <v>559.91999999999996</v>
      </c>
      <c r="T157" s="177">
        <v>279.95999999999998</v>
      </c>
    </row>
    <row r="158" spans="1:20">
      <c r="A158" s="213" t="s">
        <v>32</v>
      </c>
      <c r="B158" s="213" t="s">
        <v>25</v>
      </c>
      <c r="C158" s="213" t="s">
        <v>60</v>
      </c>
      <c r="D158" s="213" t="s">
        <v>124</v>
      </c>
      <c r="E158" s="177" t="s">
        <v>206</v>
      </c>
      <c r="F158" s="177" t="s">
        <v>17</v>
      </c>
      <c r="G158" s="177">
        <v>0.18</v>
      </c>
      <c r="H158" s="177">
        <v>0.5</v>
      </c>
      <c r="I158" s="177" t="s">
        <v>220</v>
      </c>
      <c r="J158" s="177" t="s">
        <v>81</v>
      </c>
      <c r="K158" s="177">
        <v>2</v>
      </c>
      <c r="L158" s="177">
        <v>494</v>
      </c>
      <c r="M158" s="177">
        <v>988</v>
      </c>
      <c r="N158" s="177" t="s">
        <v>45</v>
      </c>
      <c r="O158" s="177">
        <v>2</v>
      </c>
      <c r="P158" s="177">
        <v>150</v>
      </c>
      <c r="Q158" s="177">
        <v>300</v>
      </c>
      <c r="R158" s="177">
        <v>1288</v>
      </c>
      <c r="S158" s="177">
        <v>531.84</v>
      </c>
      <c r="T158" s="177">
        <v>265.92</v>
      </c>
    </row>
    <row r="159" spans="1:20">
      <c r="A159" s="213" t="s">
        <v>32</v>
      </c>
      <c r="B159" s="213" t="s">
        <v>25</v>
      </c>
      <c r="C159" s="213" t="s">
        <v>60</v>
      </c>
      <c r="D159" s="213" t="s">
        <v>124</v>
      </c>
      <c r="E159" s="177" t="s">
        <v>206</v>
      </c>
      <c r="F159" s="177" t="s">
        <v>17</v>
      </c>
      <c r="G159" s="177">
        <v>0.18</v>
      </c>
      <c r="H159" s="177">
        <v>0.5</v>
      </c>
      <c r="I159" s="177" t="s">
        <v>221</v>
      </c>
      <c r="J159" s="177" t="s">
        <v>82</v>
      </c>
      <c r="K159" s="177">
        <v>2</v>
      </c>
      <c r="L159" s="177">
        <v>119</v>
      </c>
      <c r="M159" s="177">
        <v>238</v>
      </c>
      <c r="N159" s="177" t="s">
        <v>45</v>
      </c>
      <c r="O159" s="177">
        <v>2</v>
      </c>
      <c r="P159" s="177">
        <v>150</v>
      </c>
      <c r="Q159" s="177">
        <v>300</v>
      </c>
      <c r="R159" s="177">
        <v>538</v>
      </c>
      <c r="S159" s="177">
        <v>634.84</v>
      </c>
      <c r="T159" s="177">
        <v>317.42</v>
      </c>
    </row>
    <row r="160" spans="1:20">
      <c r="A160" s="213" t="s">
        <v>32</v>
      </c>
      <c r="B160" s="213" t="s">
        <v>25</v>
      </c>
      <c r="C160" s="213" t="s">
        <v>60</v>
      </c>
      <c r="D160" s="213" t="s">
        <v>125</v>
      </c>
      <c r="E160" s="177">
        <v>0</v>
      </c>
      <c r="F160" s="177" t="s">
        <v>17</v>
      </c>
      <c r="G160" s="177">
        <v>0.18</v>
      </c>
      <c r="H160" s="177">
        <v>0.5</v>
      </c>
      <c r="I160" s="177" t="s">
        <v>222</v>
      </c>
      <c r="J160" s="177" t="s">
        <v>81</v>
      </c>
      <c r="K160" s="177">
        <v>15</v>
      </c>
      <c r="L160" s="177">
        <v>572</v>
      </c>
      <c r="M160" s="177">
        <v>8580</v>
      </c>
      <c r="N160" s="177">
        <v>0</v>
      </c>
      <c r="O160" s="177">
        <v>0</v>
      </c>
      <c r="P160" s="177">
        <v>0</v>
      </c>
      <c r="Q160" s="177">
        <v>0</v>
      </c>
      <c r="R160" s="177">
        <v>8580</v>
      </c>
      <c r="S160" s="177">
        <v>1544.4</v>
      </c>
      <c r="T160" s="177">
        <v>772.2</v>
      </c>
    </row>
    <row r="161" spans="1:20">
      <c r="A161" s="213" t="s">
        <v>32</v>
      </c>
      <c r="B161" s="213" t="s">
        <v>25</v>
      </c>
      <c r="C161" s="213" t="s">
        <v>60</v>
      </c>
      <c r="D161" s="213" t="s">
        <v>125</v>
      </c>
      <c r="E161" s="177">
        <v>0</v>
      </c>
      <c r="F161" s="177" t="s">
        <v>17</v>
      </c>
      <c r="G161" s="177">
        <v>0.18</v>
      </c>
      <c r="H161" s="177">
        <v>0.5</v>
      </c>
      <c r="I161" s="177" t="s">
        <v>220</v>
      </c>
      <c r="J161" s="177" t="s">
        <v>81</v>
      </c>
      <c r="K161" s="177">
        <v>10</v>
      </c>
      <c r="L161" s="177">
        <v>494</v>
      </c>
      <c r="M161" s="177">
        <v>4940</v>
      </c>
      <c r="N161" s="177">
        <v>0</v>
      </c>
      <c r="O161" s="177">
        <v>0</v>
      </c>
      <c r="P161" s="177">
        <v>0</v>
      </c>
      <c r="Q161" s="177">
        <v>0</v>
      </c>
      <c r="R161" s="177">
        <v>4940</v>
      </c>
      <c r="S161" s="177">
        <v>889.2</v>
      </c>
      <c r="T161" s="177">
        <v>444.6</v>
      </c>
    </row>
    <row r="162" spans="1:20">
      <c r="A162" s="213" t="s">
        <v>32</v>
      </c>
      <c r="B162" s="213" t="s">
        <v>25</v>
      </c>
      <c r="C162" s="213" t="s">
        <v>60</v>
      </c>
      <c r="D162" s="213" t="s">
        <v>125</v>
      </c>
      <c r="E162" s="177">
        <v>0</v>
      </c>
      <c r="F162" s="177" t="s">
        <v>17</v>
      </c>
      <c r="G162" s="177">
        <v>0.18</v>
      </c>
      <c r="H162" s="177">
        <v>0.5</v>
      </c>
      <c r="I162" s="177" t="s">
        <v>221</v>
      </c>
      <c r="J162" s="177" t="s">
        <v>82</v>
      </c>
      <c r="K162" s="177">
        <v>0</v>
      </c>
      <c r="L162" s="177">
        <v>119</v>
      </c>
      <c r="M162" s="177">
        <v>0</v>
      </c>
      <c r="N162" s="177">
        <v>0</v>
      </c>
      <c r="O162" s="177">
        <v>0</v>
      </c>
      <c r="P162" s="177">
        <v>0</v>
      </c>
      <c r="Q162" s="177">
        <v>0</v>
      </c>
      <c r="R162" s="177">
        <v>0</v>
      </c>
      <c r="S162" s="177">
        <v>0</v>
      </c>
      <c r="T162" s="177">
        <v>0</v>
      </c>
    </row>
    <row r="163" spans="1:20">
      <c r="A163" s="213" t="s">
        <v>32</v>
      </c>
      <c r="B163" s="213" t="s">
        <v>25</v>
      </c>
      <c r="C163" s="213" t="s">
        <v>61</v>
      </c>
      <c r="D163" s="213" t="s">
        <v>139</v>
      </c>
      <c r="E163" s="177" t="s">
        <v>224</v>
      </c>
      <c r="F163" s="177" t="s">
        <v>17</v>
      </c>
      <c r="G163" s="177">
        <v>0.18</v>
      </c>
      <c r="H163" s="177">
        <v>0.5</v>
      </c>
      <c r="I163" s="177" t="s">
        <v>222</v>
      </c>
      <c r="J163" s="177" t="s">
        <v>81</v>
      </c>
      <c r="K163" s="177">
        <v>8</v>
      </c>
      <c r="L163" s="177">
        <v>572</v>
      </c>
      <c r="M163" s="177">
        <v>4576</v>
      </c>
      <c r="N163" s="177" t="s">
        <v>45</v>
      </c>
      <c r="O163" s="177">
        <v>4</v>
      </c>
      <c r="P163" s="177">
        <v>150</v>
      </c>
      <c r="Q163" s="177">
        <v>600</v>
      </c>
      <c r="R163" s="177">
        <v>5176</v>
      </c>
      <c r="S163" s="177">
        <v>1531.6799999999998</v>
      </c>
      <c r="T163" s="177">
        <v>765.84</v>
      </c>
    </row>
    <row r="164" spans="1:20">
      <c r="A164" s="213" t="s">
        <v>32</v>
      </c>
      <c r="B164" s="213" t="s">
        <v>25</v>
      </c>
      <c r="C164" s="213" t="s">
        <v>61</v>
      </c>
      <c r="D164" s="213" t="s">
        <v>139</v>
      </c>
      <c r="E164" s="177" t="s">
        <v>224</v>
      </c>
      <c r="F164" s="177" t="s">
        <v>17</v>
      </c>
      <c r="G164" s="177">
        <v>0.18</v>
      </c>
      <c r="H164" s="177">
        <v>0.5</v>
      </c>
      <c r="I164" s="177" t="s">
        <v>220</v>
      </c>
      <c r="J164" s="177" t="s">
        <v>81</v>
      </c>
      <c r="K164" s="177">
        <v>8</v>
      </c>
      <c r="L164" s="177">
        <v>494</v>
      </c>
      <c r="M164" s="177">
        <v>3952</v>
      </c>
      <c r="N164" s="177" t="s">
        <v>45</v>
      </c>
      <c r="O164" s="177">
        <v>4</v>
      </c>
      <c r="P164" s="177">
        <v>150</v>
      </c>
      <c r="Q164" s="177">
        <v>600</v>
      </c>
      <c r="R164" s="177">
        <v>4552</v>
      </c>
      <c r="S164" s="177">
        <v>1419.36</v>
      </c>
      <c r="T164" s="177">
        <v>709.68000000000006</v>
      </c>
    </row>
    <row r="165" spans="1:20">
      <c r="A165" s="213" t="s">
        <v>32</v>
      </c>
      <c r="B165" s="213" t="s">
        <v>25</v>
      </c>
      <c r="C165" s="213" t="s">
        <v>61</v>
      </c>
      <c r="D165" s="213" t="s">
        <v>139</v>
      </c>
      <c r="E165" s="177" t="s">
        <v>224</v>
      </c>
      <c r="F165" s="177" t="s">
        <v>17</v>
      </c>
      <c r="G165" s="177">
        <v>0.18</v>
      </c>
      <c r="H165" s="177">
        <v>0.5</v>
      </c>
      <c r="I165" s="177" t="s">
        <v>221</v>
      </c>
      <c r="J165" s="177" t="s">
        <v>82</v>
      </c>
      <c r="K165" s="177">
        <v>8</v>
      </c>
      <c r="L165" s="177">
        <v>119</v>
      </c>
      <c r="M165" s="177">
        <v>952</v>
      </c>
      <c r="N165" s="177" t="s">
        <v>45</v>
      </c>
      <c r="O165" s="177">
        <v>4</v>
      </c>
      <c r="P165" s="177">
        <v>150</v>
      </c>
      <c r="Q165" s="177">
        <v>600</v>
      </c>
      <c r="R165" s="177">
        <v>1552</v>
      </c>
      <c r="S165" s="177">
        <v>1831.36</v>
      </c>
      <c r="T165" s="177">
        <v>915.68</v>
      </c>
    </row>
    <row r="166" spans="1:20">
      <c r="A166" s="213" t="s">
        <v>32</v>
      </c>
      <c r="B166" s="213" t="s">
        <v>25</v>
      </c>
      <c r="C166" s="213" t="s">
        <v>61</v>
      </c>
      <c r="D166" s="213" t="s">
        <v>140</v>
      </c>
      <c r="E166" s="177">
        <v>0</v>
      </c>
      <c r="F166" s="177" t="s">
        <v>17</v>
      </c>
      <c r="G166" s="177">
        <v>0.18</v>
      </c>
      <c r="H166" s="177">
        <v>0.5</v>
      </c>
      <c r="I166" s="177" t="s">
        <v>222</v>
      </c>
      <c r="J166" s="177" t="s">
        <v>81</v>
      </c>
      <c r="K166" s="177">
        <v>15</v>
      </c>
      <c r="L166" s="177">
        <v>572</v>
      </c>
      <c r="M166" s="177">
        <v>8580</v>
      </c>
      <c r="N166" s="177">
        <v>0</v>
      </c>
      <c r="O166" s="177">
        <v>0</v>
      </c>
      <c r="P166" s="177">
        <v>0</v>
      </c>
      <c r="Q166" s="177">
        <v>0</v>
      </c>
      <c r="R166" s="177">
        <v>8580</v>
      </c>
      <c r="S166" s="177">
        <v>1544.4</v>
      </c>
      <c r="T166" s="177">
        <v>772.2</v>
      </c>
    </row>
    <row r="167" spans="1:20">
      <c r="A167" s="213" t="s">
        <v>32</v>
      </c>
      <c r="B167" s="213" t="s">
        <v>25</v>
      </c>
      <c r="C167" s="213" t="s">
        <v>61</v>
      </c>
      <c r="D167" s="213" t="s">
        <v>140</v>
      </c>
      <c r="E167" s="177">
        <v>0</v>
      </c>
      <c r="F167" s="177" t="s">
        <v>17</v>
      </c>
      <c r="G167" s="177">
        <v>0.18</v>
      </c>
      <c r="H167" s="177">
        <v>0.5</v>
      </c>
      <c r="I167" s="177" t="s">
        <v>220</v>
      </c>
      <c r="J167" s="177" t="s">
        <v>81</v>
      </c>
      <c r="K167" s="177">
        <v>10</v>
      </c>
      <c r="L167" s="177">
        <v>494</v>
      </c>
      <c r="M167" s="177">
        <v>4940</v>
      </c>
      <c r="N167" s="177">
        <v>0</v>
      </c>
      <c r="O167" s="177">
        <v>0</v>
      </c>
      <c r="P167" s="177">
        <v>0</v>
      </c>
      <c r="Q167" s="177">
        <v>0</v>
      </c>
      <c r="R167" s="177">
        <v>4940</v>
      </c>
      <c r="S167" s="177">
        <v>889.2</v>
      </c>
      <c r="T167" s="177">
        <v>444.6</v>
      </c>
    </row>
    <row r="168" spans="1:20">
      <c r="A168" s="213" t="s">
        <v>32</v>
      </c>
      <c r="B168" s="213" t="s">
        <v>25</v>
      </c>
      <c r="C168" s="213" t="s">
        <v>61</v>
      </c>
      <c r="D168" s="213" t="s">
        <v>140</v>
      </c>
      <c r="E168" s="177">
        <v>0</v>
      </c>
      <c r="F168" s="177" t="s">
        <v>17</v>
      </c>
      <c r="G168" s="177">
        <v>0.18</v>
      </c>
      <c r="H168" s="177">
        <v>0.5</v>
      </c>
      <c r="I168" s="177" t="s">
        <v>221</v>
      </c>
      <c r="J168" s="177" t="s">
        <v>82</v>
      </c>
      <c r="K168" s="177">
        <v>0</v>
      </c>
      <c r="L168" s="177">
        <v>119</v>
      </c>
      <c r="M168" s="177">
        <v>0</v>
      </c>
      <c r="N168" s="177">
        <v>0</v>
      </c>
      <c r="O168" s="177">
        <v>0</v>
      </c>
      <c r="P168" s="177">
        <v>0</v>
      </c>
      <c r="Q168" s="177">
        <v>0</v>
      </c>
      <c r="R168" s="177">
        <v>0</v>
      </c>
      <c r="S168" s="177">
        <v>0</v>
      </c>
      <c r="T168" s="177">
        <v>0</v>
      </c>
    </row>
    <row r="169" spans="1:20">
      <c r="A169" s="213" t="s">
        <v>32</v>
      </c>
      <c r="B169" s="213" t="s">
        <v>25</v>
      </c>
      <c r="C169" s="213" t="s">
        <v>61</v>
      </c>
      <c r="D169" s="213" t="s">
        <v>141</v>
      </c>
      <c r="E169" s="177" t="s">
        <v>225</v>
      </c>
      <c r="F169" s="177" t="s">
        <v>17</v>
      </c>
      <c r="G169" s="177">
        <v>0.18</v>
      </c>
      <c r="H169" s="177">
        <v>0.5</v>
      </c>
      <c r="I169" s="177" t="s">
        <v>222</v>
      </c>
      <c r="J169" s="177" t="s">
        <v>81</v>
      </c>
      <c r="K169" s="177">
        <v>4</v>
      </c>
      <c r="L169" s="177">
        <v>572</v>
      </c>
      <c r="M169" s="177">
        <v>2288</v>
      </c>
      <c r="N169" s="177" t="s">
        <v>45</v>
      </c>
      <c r="O169" s="177">
        <v>2</v>
      </c>
      <c r="P169" s="177">
        <v>150</v>
      </c>
      <c r="Q169" s="177">
        <v>300</v>
      </c>
      <c r="R169" s="177">
        <v>2588</v>
      </c>
      <c r="S169" s="177">
        <v>765.84</v>
      </c>
      <c r="T169" s="177">
        <v>382.92</v>
      </c>
    </row>
    <row r="170" spans="1:20">
      <c r="A170" s="213" t="s">
        <v>32</v>
      </c>
      <c r="B170" s="213" t="s">
        <v>25</v>
      </c>
      <c r="C170" s="213" t="s">
        <v>61</v>
      </c>
      <c r="D170" s="213" t="s">
        <v>141</v>
      </c>
      <c r="E170" s="177" t="s">
        <v>225</v>
      </c>
      <c r="F170" s="177" t="s">
        <v>17</v>
      </c>
      <c r="G170" s="177">
        <v>0.18</v>
      </c>
      <c r="H170" s="177">
        <v>0.5</v>
      </c>
      <c r="I170" s="177" t="s">
        <v>220</v>
      </c>
      <c r="J170" s="177" t="s">
        <v>81</v>
      </c>
      <c r="K170" s="177">
        <v>4</v>
      </c>
      <c r="L170" s="177">
        <v>494</v>
      </c>
      <c r="M170" s="177">
        <v>1976</v>
      </c>
      <c r="N170" s="177" t="s">
        <v>45</v>
      </c>
      <c r="O170" s="177">
        <v>2</v>
      </c>
      <c r="P170" s="177">
        <v>150</v>
      </c>
      <c r="Q170" s="177">
        <v>300</v>
      </c>
      <c r="R170" s="177">
        <v>2276</v>
      </c>
      <c r="S170" s="177">
        <v>709.68000000000006</v>
      </c>
      <c r="T170" s="177">
        <v>354.84000000000003</v>
      </c>
    </row>
    <row r="171" spans="1:20">
      <c r="A171" s="213" t="s">
        <v>32</v>
      </c>
      <c r="B171" s="213" t="s">
        <v>25</v>
      </c>
      <c r="C171" s="213" t="s">
        <v>61</v>
      </c>
      <c r="D171" s="213" t="s">
        <v>141</v>
      </c>
      <c r="E171" s="177" t="s">
        <v>225</v>
      </c>
      <c r="F171" s="177" t="s">
        <v>17</v>
      </c>
      <c r="G171" s="177">
        <v>0.18</v>
      </c>
      <c r="H171" s="177">
        <v>0.5</v>
      </c>
      <c r="I171" s="177" t="s">
        <v>254</v>
      </c>
      <c r="J171" s="177" t="s">
        <v>82</v>
      </c>
      <c r="K171" s="177">
        <v>4</v>
      </c>
      <c r="L171" s="177">
        <v>119</v>
      </c>
      <c r="M171" s="177">
        <v>476</v>
      </c>
      <c r="N171" s="177" t="s">
        <v>45</v>
      </c>
      <c r="O171" s="177">
        <v>2</v>
      </c>
      <c r="P171" s="177">
        <v>150</v>
      </c>
      <c r="Q171" s="177">
        <v>300</v>
      </c>
      <c r="R171" s="177">
        <v>776</v>
      </c>
      <c r="S171" s="177">
        <v>915.68</v>
      </c>
      <c r="T171" s="177">
        <v>457.84</v>
      </c>
    </row>
    <row r="172" spans="1:20">
      <c r="A172" s="213" t="s">
        <v>32</v>
      </c>
      <c r="B172" s="213" t="s">
        <v>25</v>
      </c>
      <c r="C172" s="213" t="s">
        <v>61</v>
      </c>
      <c r="D172" s="213" t="s">
        <v>142</v>
      </c>
      <c r="E172" s="177">
        <v>0</v>
      </c>
      <c r="F172" s="177" t="s">
        <v>17</v>
      </c>
      <c r="G172" s="177">
        <v>0.18</v>
      </c>
      <c r="H172" s="177">
        <v>0.5</v>
      </c>
      <c r="I172" s="177" t="s">
        <v>222</v>
      </c>
      <c r="J172" s="177" t="s">
        <v>81</v>
      </c>
      <c r="K172" s="177">
        <v>15</v>
      </c>
      <c r="L172" s="177">
        <v>572</v>
      </c>
      <c r="M172" s="177">
        <v>8580</v>
      </c>
      <c r="N172" s="177">
        <v>0</v>
      </c>
      <c r="O172" s="177">
        <v>0</v>
      </c>
      <c r="P172" s="177">
        <v>0</v>
      </c>
      <c r="Q172" s="177">
        <v>0</v>
      </c>
      <c r="R172" s="177">
        <v>8580</v>
      </c>
      <c r="S172" s="177">
        <v>1544.4</v>
      </c>
      <c r="T172" s="177">
        <v>772.2</v>
      </c>
    </row>
    <row r="173" spans="1:20">
      <c r="A173" s="213" t="s">
        <v>32</v>
      </c>
      <c r="B173" s="213" t="s">
        <v>25</v>
      </c>
      <c r="C173" s="213" t="s">
        <v>61</v>
      </c>
      <c r="D173" s="213" t="s">
        <v>142</v>
      </c>
      <c r="E173" s="177">
        <v>0</v>
      </c>
      <c r="F173" s="177" t="s">
        <v>17</v>
      </c>
      <c r="G173" s="177">
        <v>0.18</v>
      </c>
      <c r="H173" s="177">
        <v>0.5</v>
      </c>
      <c r="I173" s="177" t="s">
        <v>220</v>
      </c>
      <c r="J173" s="177" t="s">
        <v>81</v>
      </c>
      <c r="K173" s="177">
        <v>10</v>
      </c>
      <c r="L173" s="177">
        <v>494</v>
      </c>
      <c r="M173" s="177">
        <v>4940</v>
      </c>
      <c r="N173" s="177">
        <v>0</v>
      </c>
      <c r="O173" s="177">
        <v>0</v>
      </c>
      <c r="P173" s="177">
        <v>0</v>
      </c>
      <c r="Q173" s="177">
        <v>0</v>
      </c>
      <c r="R173" s="177">
        <v>4940</v>
      </c>
      <c r="S173" s="177">
        <v>889.2</v>
      </c>
      <c r="T173" s="177">
        <v>444.6</v>
      </c>
    </row>
    <row r="174" spans="1:20">
      <c r="A174" s="213" t="s">
        <v>32</v>
      </c>
      <c r="B174" s="213" t="s">
        <v>25</v>
      </c>
      <c r="C174" s="213" t="s">
        <v>61</v>
      </c>
      <c r="D174" s="213" t="s">
        <v>142</v>
      </c>
      <c r="E174" s="177">
        <v>0</v>
      </c>
      <c r="F174" s="177" t="s">
        <v>17</v>
      </c>
      <c r="G174" s="177">
        <v>0.18</v>
      </c>
      <c r="H174" s="177">
        <v>0.5</v>
      </c>
      <c r="I174" s="177" t="s">
        <v>221</v>
      </c>
      <c r="J174" s="177" t="s">
        <v>82</v>
      </c>
      <c r="K174" s="177">
        <v>0</v>
      </c>
      <c r="L174" s="177">
        <v>119</v>
      </c>
      <c r="M174" s="177">
        <v>0</v>
      </c>
      <c r="N174" s="177">
        <v>0</v>
      </c>
      <c r="O174" s="177">
        <v>0</v>
      </c>
      <c r="P174" s="177">
        <v>0</v>
      </c>
      <c r="Q174" s="177">
        <v>0</v>
      </c>
      <c r="R174" s="177">
        <v>0</v>
      </c>
      <c r="S174" s="177">
        <v>0</v>
      </c>
      <c r="T174" s="177">
        <v>0</v>
      </c>
    </row>
    <row r="175" spans="1:20">
      <c r="A175" s="213" t="s">
        <v>32</v>
      </c>
      <c r="B175" s="213" t="s">
        <v>25</v>
      </c>
      <c r="C175" s="213" t="s">
        <v>60</v>
      </c>
      <c r="D175" s="213" t="s">
        <v>123</v>
      </c>
      <c r="E175" s="177" t="s">
        <v>204</v>
      </c>
      <c r="F175" s="177" t="s">
        <v>79</v>
      </c>
      <c r="G175" s="177">
        <v>0.16</v>
      </c>
      <c r="H175" s="177">
        <v>0.5</v>
      </c>
      <c r="I175" s="177" t="s">
        <v>238</v>
      </c>
      <c r="J175" s="177" t="s">
        <v>81</v>
      </c>
      <c r="K175" s="177">
        <v>2</v>
      </c>
      <c r="L175" s="177">
        <v>446</v>
      </c>
      <c r="M175" s="177">
        <v>892</v>
      </c>
      <c r="N175" s="177" t="s">
        <v>45</v>
      </c>
      <c r="O175" s="177">
        <v>2</v>
      </c>
      <c r="P175" s="177">
        <v>150</v>
      </c>
      <c r="Q175" s="177">
        <v>300</v>
      </c>
      <c r="R175" s="177">
        <v>1192</v>
      </c>
      <c r="S175" s="177">
        <v>490.72</v>
      </c>
      <c r="T175" s="177">
        <v>245.36</v>
      </c>
    </row>
    <row r="176" spans="1:20">
      <c r="A176" s="213" t="s">
        <v>32</v>
      </c>
      <c r="B176" s="213" t="s">
        <v>25</v>
      </c>
      <c r="C176" s="213" t="s">
        <v>60</v>
      </c>
      <c r="D176" s="213" t="s">
        <v>123</v>
      </c>
      <c r="E176" s="177" t="s">
        <v>204</v>
      </c>
      <c r="F176" s="177" t="s">
        <v>79</v>
      </c>
      <c r="G176" s="177">
        <v>0.16</v>
      </c>
      <c r="H176" s="177">
        <v>0.5</v>
      </c>
      <c r="I176" s="177" t="s">
        <v>241</v>
      </c>
      <c r="J176" s="177" t="s">
        <v>81</v>
      </c>
      <c r="K176" s="177">
        <v>2</v>
      </c>
      <c r="L176" s="177">
        <v>275</v>
      </c>
      <c r="M176" s="177">
        <v>550</v>
      </c>
      <c r="N176" s="177" t="s">
        <v>45</v>
      </c>
      <c r="O176" s="177">
        <v>2</v>
      </c>
      <c r="P176" s="177">
        <v>150</v>
      </c>
      <c r="Q176" s="177">
        <v>300</v>
      </c>
      <c r="R176" s="177">
        <v>850</v>
      </c>
      <c r="S176" s="177">
        <v>436</v>
      </c>
      <c r="T176" s="177">
        <v>218</v>
      </c>
    </row>
    <row r="177" spans="1:20">
      <c r="A177" s="213" t="s">
        <v>32</v>
      </c>
      <c r="B177" s="213" t="s">
        <v>25</v>
      </c>
      <c r="C177" s="213" t="s">
        <v>60</v>
      </c>
      <c r="D177" s="213" t="s">
        <v>124</v>
      </c>
      <c r="E177" s="177" t="s">
        <v>206</v>
      </c>
      <c r="F177" s="177" t="s">
        <v>79</v>
      </c>
      <c r="G177" s="177">
        <v>0.16</v>
      </c>
      <c r="H177" s="177">
        <v>0.5</v>
      </c>
      <c r="I177" s="177" t="s">
        <v>238</v>
      </c>
      <c r="J177" s="177" t="s">
        <v>81</v>
      </c>
      <c r="K177" s="177">
        <v>1</v>
      </c>
      <c r="L177" s="177">
        <v>446</v>
      </c>
      <c r="M177" s="177">
        <v>446</v>
      </c>
      <c r="N177" s="177" t="s">
        <v>242</v>
      </c>
      <c r="O177" s="177">
        <v>1</v>
      </c>
      <c r="P177" s="177">
        <v>150</v>
      </c>
      <c r="Q177" s="177">
        <v>150</v>
      </c>
      <c r="R177" s="177">
        <v>596</v>
      </c>
      <c r="S177" s="177">
        <v>245.36</v>
      </c>
      <c r="T177" s="177">
        <v>122.68</v>
      </c>
    </row>
    <row r="178" spans="1:20">
      <c r="A178" s="213" t="s">
        <v>32</v>
      </c>
      <c r="B178" s="213" t="s">
        <v>25</v>
      </c>
      <c r="C178" s="213" t="s">
        <v>60</v>
      </c>
      <c r="D178" s="213" t="s">
        <v>124</v>
      </c>
      <c r="E178" s="177" t="s">
        <v>206</v>
      </c>
      <c r="F178" s="177" t="s">
        <v>79</v>
      </c>
      <c r="G178" s="177">
        <v>0.16</v>
      </c>
      <c r="H178" s="177">
        <v>0.5</v>
      </c>
      <c r="I178" s="177" t="s">
        <v>241</v>
      </c>
      <c r="J178" s="177" t="s">
        <v>81</v>
      </c>
      <c r="K178" s="177">
        <v>1</v>
      </c>
      <c r="L178" s="177">
        <v>275</v>
      </c>
      <c r="M178" s="177">
        <v>275</v>
      </c>
      <c r="N178" s="177" t="s">
        <v>242</v>
      </c>
      <c r="O178" s="177">
        <v>1</v>
      </c>
      <c r="P178" s="177">
        <v>150</v>
      </c>
      <c r="Q178" s="177">
        <v>150</v>
      </c>
      <c r="R178" s="177">
        <v>425</v>
      </c>
      <c r="S178" s="177">
        <v>218</v>
      </c>
      <c r="T178" s="177">
        <v>109</v>
      </c>
    </row>
    <row r="179" spans="1:20">
      <c r="A179" s="213" t="s">
        <v>32</v>
      </c>
      <c r="B179" s="213" t="s">
        <v>25</v>
      </c>
      <c r="C179" s="213" t="s">
        <v>60</v>
      </c>
      <c r="D179" s="213" t="s">
        <v>125</v>
      </c>
      <c r="E179" s="177" t="s">
        <v>158</v>
      </c>
      <c r="F179" s="177" t="s">
        <v>79</v>
      </c>
      <c r="G179" s="177">
        <v>0.16</v>
      </c>
      <c r="H179" s="177">
        <v>0.5</v>
      </c>
      <c r="I179" s="177" t="s">
        <v>238</v>
      </c>
      <c r="J179" s="177" t="s">
        <v>81</v>
      </c>
      <c r="K179" s="177">
        <v>1</v>
      </c>
      <c r="L179" s="177">
        <v>446</v>
      </c>
      <c r="M179" s="177">
        <v>446</v>
      </c>
      <c r="N179" s="177"/>
      <c r="O179" s="177"/>
      <c r="P179" s="177"/>
      <c r="Q179" s="177">
        <v>0</v>
      </c>
      <c r="R179" s="177">
        <v>446</v>
      </c>
      <c r="S179" s="177">
        <v>71.36</v>
      </c>
      <c r="T179" s="177">
        <v>35.68</v>
      </c>
    </row>
    <row r="180" spans="1:20">
      <c r="A180" s="213" t="s">
        <v>32</v>
      </c>
      <c r="B180" s="213" t="s">
        <v>25</v>
      </c>
      <c r="C180" s="213" t="s">
        <v>60</v>
      </c>
      <c r="D180" s="213" t="s">
        <v>125</v>
      </c>
      <c r="E180" s="177" t="s">
        <v>158</v>
      </c>
      <c r="F180" s="177" t="s">
        <v>79</v>
      </c>
      <c r="G180" s="177">
        <v>0.16</v>
      </c>
      <c r="H180" s="177">
        <v>0.5</v>
      </c>
      <c r="I180" s="177" t="s">
        <v>241</v>
      </c>
      <c r="J180" s="177" t="s">
        <v>81</v>
      </c>
      <c r="K180" s="177">
        <v>1</v>
      </c>
      <c r="L180" s="177">
        <v>275</v>
      </c>
      <c r="M180" s="177">
        <v>275</v>
      </c>
      <c r="N180" s="177"/>
      <c r="O180" s="177"/>
      <c r="P180" s="177"/>
      <c r="Q180" s="177">
        <v>0</v>
      </c>
      <c r="R180" s="177">
        <v>275</v>
      </c>
      <c r="S180" s="177">
        <v>44</v>
      </c>
      <c r="T180" s="177">
        <v>22</v>
      </c>
    </row>
    <row r="181" spans="1:20">
      <c r="A181" s="213" t="s">
        <v>32</v>
      </c>
      <c r="B181" s="213" t="s">
        <v>25</v>
      </c>
      <c r="C181" s="213" t="s">
        <v>61</v>
      </c>
      <c r="D181" s="213" t="s">
        <v>139</v>
      </c>
      <c r="E181" s="177" t="s">
        <v>195</v>
      </c>
      <c r="F181" s="177" t="s">
        <v>79</v>
      </c>
      <c r="G181" s="177">
        <v>0.16</v>
      </c>
      <c r="H181" s="177">
        <v>0.5</v>
      </c>
      <c r="I181" s="177" t="s">
        <v>238</v>
      </c>
      <c r="J181" s="177" t="s">
        <v>81</v>
      </c>
      <c r="K181" s="177">
        <v>2</v>
      </c>
      <c r="L181" s="177">
        <v>446</v>
      </c>
      <c r="M181" s="177">
        <v>892</v>
      </c>
      <c r="N181" s="177" t="s">
        <v>242</v>
      </c>
      <c r="O181" s="177">
        <v>2</v>
      </c>
      <c r="P181" s="177">
        <v>150</v>
      </c>
      <c r="Q181" s="177">
        <v>300</v>
      </c>
      <c r="R181" s="177">
        <v>1192</v>
      </c>
      <c r="S181" s="177">
        <v>490.72</v>
      </c>
      <c r="T181" s="177">
        <v>245.36</v>
      </c>
    </row>
    <row r="182" spans="1:20">
      <c r="A182" s="213" t="s">
        <v>32</v>
      </c>
      <c r="B182" s="213" t="s">
        <v>25</v>
      </c>
      <c r="C182" s="213" t="s">
        <v>61</v>
      </c>
      <c r="D182" s="213" t="s">
        <v>139</v>
      </c>
      <c r="E182" s="177" t="s">
        <v>195</v>
      </c>
      <c r="F182" s="177" t="s">
        <v>79</v>
      </c>
      <c r="G182" s="177">
        <v>0.16</v>
      </c>
      <c r="H182" s="177">
        <v>0.5</v>
      </c>
      <c r="I182" s="177" t="s">
        <v>241</v>
      </c>
      <c r="J182" s="177" t="s">
        <v>81</v>
      </c>
      <c r="K182" s="177">
        <v>2</v>
      </c>
      <c r="L182" s="177">
        <v>275</v>
      </c>
      <c r="M182" s="177">
        <v>550</v>
      </c>
      <c r="N182" s="177" t="s">
        <v>242</v>
      </c>
      <c r="O182" s="177">
        <v>2</v>
      </c>
      <c r="P182" s="177">
        <v>150</v>
      </c>
      <c r="Q182" s="177">
        <v>300</v>
      </c>
      <c r="R182" s="177">
        <v>850</v>
      </c>
      <c r="S182" s="177">
        <v>436</v>
      </c>
      <c r="T182" s="177">
        <v>218</v>
      </c>
    </row>
    <row r="183" spans="1:20">
      <c r="A183" s="213" t="s">
        <v>32</v>
      </c>
      <c r="B183" s="213" t="s">
        <v>25</v>
      </c>
      <c r="C183" s="213" t="s">
        <v>61</v>
      </c>
      <c r="D183" s="213" t="s">
        <v>140</v>
      </c>
      <c r="E183" s="177"/>
      <c r="F183" s="177" t="s">
        <v>79</v>
      </c>
      <c r="G183" s="177">
        <v>0.16</v>
      </c>
      <c r="H183" s="177">
        <v>0.5</v>
      </c>
      <c r="I183" s="177" t="s">
        <v>238</v>
      </c>
      <c r="J183" s="177" t="s">
        <v>81</v>
      </c>
      <c r="K183" s="177">
        <v>4</v>
      </c>
      <c r="L183" s="177">
        <v>446</v>
      </c>
      <c r="M183" s="177">
        <v>1784</v>
      </c>
      <c r="N183" s="177"/>
      <c r="O183" s="177"/>
      <c r="P183" s="177"/>
      <c r="Q183" s="177">
        <v>0</v>
      </c>
      <c r="R183" s="177">
        <v>1784</v>
      </c>
      <c r="S183" s="177">
        <v>285.44</v>
      </c>
      <c r="T183" s="177">
        <v>142.72</v>
      </c>
    </row>
    <row r="184" spans="1:20">
      <c r="A184" s="213" t="s">
        <v>32</v>
      </c>
      <c r="B184" s="213" t="s">
        <v>25</v>
      </c>
      <c r="C184" s="213" t="s">
        <v>61</v>
      </c>
      <c r="D184" s="213" t="s">
        <v>140</v>
      </c>
      <c r="E184" s="177"/>
      <c r="F184" s="177" t="s">
        <v>79</v>
      </c>
      <c r="G184" s="177">
        <v>0.16</v>
      </c>
      <c r="H184" s="177">
        <v>0.5</v>
      </c>
      <c r="I184" s="177" t="s">
        <v>243</v>
      </c>
      <c r="J184" s="177" t="s">
        <v>82</v>
      </c>
      <c r="K184" s="177">
        <v>4</v>
      </c>
      <c r="L184" s="177">
        <v>328</v>
      </c>
      <c r="M184" s="177">
        <v>1312</v>
      </c>
      <c r="N184" s="177"/>
      <c r="O184" s="177"/>
      <c r="P184" s="177"/>
      <c r="Q184" s="177">
        <v>0</v>
      </c>
      <c r="R184" s="177">
        <v>1312</v>
      </c>
      <c r="S184" s="177">
        <v>1521.92</v>
      </c>
      <c r="T184" s="177">
        <v>760.96</v>
      </c>
    </row>
    <row r="185" spans="1:20">
      <c r="A185" s="213" t="s">
        <v>32</v>
      </c>
      <c r="B185" s="213" t="s">
        <v>25</v>
      </c>
      <c r="C185" s="213" t="s">
        <v>61</v>
      </c>
      <c r="D185" s="213" t="s">
        <v>140</v>
      </c>
      <c r="E185" s="177"/>
      <c r="F185" s="177" t="s">
        <v>79</v>
      </c>
      <c r="G185" s="177">
        <v>0.16</v>
      </c>
      <c r="H185" s="177">
        <v>0.5</v>
      </c>
      <c r="I185" s="177" t="s">
        <v>241</v>
      </c>
      <c r="J185" s="177" t="s">
        <v>81</v>
      </c>
      <c r="K185" s="177">
        <v>4</v>
      </c>
      <c r="L185" s="177">
        <v>275</v>
      </c>
      <c r="M185" s="177">
        <v>1100</v>
      </c>
      <c r="N185" s="177"/>
      <c r="O185" s="177"/>
      <c r="P185" s="177"/>
      <c r="Q185" s="177">
        <v>0</v>
      </c>
      <c r="R185" s="177">
        <v>1100</v>
      </c>
      <c r="S185" s="177">
        <v>176</v>
      </c>
      <c r="T185" s="177">
        <v>88</v>
      </c>
    </row>
    <row r="186" spans="1:20">
      <c r="A186" s="213" t="s">
        <v>32</v>
      </c>
      <c r="B186" s="213" t="s">
        <v>25</v>
      </c>
      <c r="C186" s="213" t="s">
        <v>61</v>
      </c>
      <c r="D186" s="213" t="s">
        <v>141</v>
      </c>
      <c r="E186" s="177"/>
      <c r="F186" s="177" t="s">
        <v>79</v>
      </c>
      <c r="G186" s="177">
        <v>0.16</v>
      </c>
      <c r="H186" s="177">
        <v>0.5</v>
      </c>
      <c r="I186" s="177" t="s">
        <v>238</v>
      </c>
      <c r="J186" s="177" t="s">
        <v>81</v>
      </c>
      <c r="K186" s="177">
        <v>2</v>
      </c>
      <c r="L186" s="177">
        <v>446</v>
      </c>
      <c r="M186" s="177">
        <v>892</v>
      </c>
      <c r="N186" s="177"/>
      <c r="O186" s="177"/>
      <c r="P186" s="177"/>
      <c r="Q186" s="177">
        <v>0</v>
      </c>
      <c r="R186" s="177">
        <v>892</v>
      </c>
      <c r="S186" s="177">
        <v>142.72</v>
      </c>
      <c r="T186" s="177">
        <v>71.36</v>
      </c>
    </row>
    <row r="187" spans="1:20">
      <c r="A187" s="213" t="s">
        <v>32</v>
      </c>
      <c r="B187" s="213" t="s">
        <v>25</v>
      </c>
      <c r="C187" s="213" t="s">
        <v>61</v>
      </c>
      <c r="D187" s="213" t="s">
        <v>141</v>
      </c>
      <c r="E187" s="177"/>
      <c r="F187" s="177" t="s">
        <v>79</v>
      </c>
      <c r="G187" s="177">
        <v>0.16</v>
      </c>
      <c r="H187" s="177">
        <v>0.5</v>
      </c>
      <c r="I187" s="177" t="s">
        <v>241</v>
      </c>
      <c r="J187" s="177" t="s">
        <v>81</v>
      </c>
      <c r="K187" s="177">
        <v>2</v>
      </c>
      <c r="L187" s="177">
        <v>275</v>
      </c>
      <c r="M187" s="177">
        <v>550</v>
      </c>
      <c r="N187" s="177"/>
      <c r="O187" s="177"/>
      <c r="P187" s="177"/>
      <c r="Q187" s="177">
        <v>0</v>
      </c>
      <c r="R187" s="177">
        <v>550</v>
      </c>
      <c r="S187" s="177">
        <v>88</v>
      </c>
      <c r="T187" s="177">
        <v>44</v>
      </c>
    </row>
    <row r="188" spans="1:20">
      <c r="A188" s="213" t="s">
        <v>32</v>
      </c>
      <c r="B188" s="213" t="s">
        <v>25</v>
      </c>
      <c r="C188" s="213" t="s">
        <v>61</v>
      </c>
      <c r="D188" s="213" t="s">
        <v>142</v>
      </c>
      <c r="E188" s="177"/>
      <c r="F188" s="177" t="s">
        <v>79</v>
      </c>
      <c r="G188" s="177">
        <v>0.16</v>
      </c>
      <c r="H188" s="177">
        <v>0.5</v>
      </c>
      <c r="I188" s="177" t="s">
        <v>238</v>
      </c>
      <c r="J188" s="177" t="s">
        <v>81</v>
      </c>
      <c r="K188" s="177">
        <v>2</v>
      </c>
      <c r="L188" s="177">
        <v>446</v>
      </c>
      <c r="M188" s="177">
        <v>892</v>
      </c>
      <c r="N188" s="177"/>
      <c r="O188" s="177"/>
      <c r="P188" s="177"/>
      <c r="Q188" s="177">
        <v>0</v>
      </c>
      <c r="R188" s="177">
        <v>892</v>
      </c>
      <c r="S188" s="177">
        <v>142.72</v>
      </c>
      <c r="T188" s="177">
        <v>71.36</v>
      </c>
    </row>
    <row r="189" spans="1:20">
      <c r="A189" s="213" t="s">
        <v>32</v>
      </c>
      <c r="B189" s="213" t="s">
        <v>25</v>
      </c>
      <c r="C189" s="213" t="s">
        <v>61</v>
      </c>
      <c r="D189" s="213" t="s">
        <v>142</v>
      </c>
      <c r="E189" s="177"/>
      <c r="F189" s="177" t="s">
        <v>79</v>
      </c>
      <c r="G189" s="177">
        <v>0.16</v>
      </c>
      <c r="H189" s="177">
        <v>0.5</v>
      </c>
      <c r="I189" s="177" t="s">
        <v>241</v>
      </c>
      <c r="J189" s="177" t="s">
        <v>81</v>
      </c>
      <c r="K189" s="177">
        <v>2</v>
      </c>
      <c r="L189" s="177">
        <v>275</v>
      </c>
      <c r="M189" s="177">
        <v>550</v>
      </c>
      <c r="N189" s="177"/>
      <c r="O189" s="177"/>
      <c r="P189" s="177"/>
      <c r="Q189" s="177">
        <v>0</v>
      </c>
      <c r="R189" s="177">
        <v>550</v>
      </c>
      <c r="S189" s="177">
        <v>88</v>
      </c>
      <c r="T189" s="177">
        <v>44</v>
      </c>
    </row>
    <row r="190" spans="1:20">
      <c r="A190" s="213" t="s">
        <v>32</v>
      </c>
      <c r="B190" s="213" t="s">
        <v>25</v>
      </c>
      <c r="C190" s="213" t="s">
        <v>61</v>
      </c>
      <c r="D190" s="213" t="s">
        <v>142</v>
      </c>
      <c r="E190" s="177"/>
      <c r="F190" s="177" t="s">
        <v>79</v>
      </c>
      <c r="G190" s="177">
        <v>0.16</v>
      </c>
      <c r="H190" s="177">
        <v>0.5</v>
      </c>
      <c r="I190" s="177" t="s">
        <v>243</v>
      </c>
      <c r="J190" s="177" t="s">
        <v>82</v>
      </c>
      <c r="K190" s="177">
        <v>10</v>
      </c>
      <c r="L190" s="177">
        <v>328</v>
      </c>
      <c r="M190" s="177">
        <v>3280</v>
      </c>
      <c r="N190" s="177"/>
      <c r="O190" s="177"/>
      <c r="P190" s="177"/>
      <c r="Q190" s="177">
        <v>0</v>
      </c>
      <c r="R190" s="177">
        <v>3280</v>
      </c>
      <c r="S190" s="177">
        <v>3804.8</v>
      </c>
      <c r="T190" s="177">
        <v>1902.4</v>
      </c>
    </row>
    <row r="191" spans="1:20">
      <c r="A191" s="213" t="s">
        <v>32</v>
      </c>
      <c r="B191" s="213" t="s">
        <v>25</v>
      </c>
      <c r="C191" s="213" t="s">
        <v>62</v>
      </c>
      <c r="D191" s="213" t="s">
        <v>143</v>
      </c>
      <c r="E191" s="177"/>
      <c r="F191" s="177" t="s">
        <v>21</v>
      </c>
      <c r="G191" s="177">
        <v>0.25</v>
      </c>
      <c r="H191" s="177">
        <v>0.7</v>
      </c>
      <c r="I191" s="177" t="s">
        <v>259</v>
      </c>
      <c r="J191" s="177"/>
      <c r="K191" s="177">
        <v>4</v>
      </c>
      <c r="L191" s="177">
        <v>430</v>
      </c>
      <c r="M191" s="177">
        <v>1720</v>
      </c>
      <c r="N191" s="177" t="s">
        <v>45</v>
      </c>
      <c r="O191" s="177">
        <v>4</v>
      </c>
      <c r="P191" s="177"/>
      <c r="Q191" s="177">
        <v>0</v>
      </c>
      <c r="R191" s="177">
        <v>1720</v>
      </c>
      <c r="S191" s="177">
        <v>430</v>
      </c>
      <c r="T191" s="177">
        <v>301</v>
      </c>
    </row>
    <row r="192" spans="1:20">
      <c r="A192" s="213" t="s">
        <v>32</v>
      </c>
      <c r="B192" s="213" t="s">
        <v>25</v>
      </c>
      <c r="C192" s="213" t="s">
        <v>62</v>
      </c>
      <c r="D192" s="213" t="s">
        <v>144</v>
      </c>
      <c r="E192" s="177"/>
      <c r="F192" s="177" t="s">
        <v>21</v>
      </c>
      <c r="G192" s="177">
        <v>0.25</v>
      </c>
      <c r="H192" s="177">
        <v>0.7</v>
      </c>
      <c r="I192" s="177" t="s">
        <v>259</v>
      </c>
      <c r="J192" s="177"/>
      <c r="K192" s="177">
        <v>2</v>
      </c>
      <c r="L192" s="177">
        <v>430</v>
      </c>
      <c r="M192" s="177">
        <v>860</v>
      </c>
      <c r="N192" s="177" t="s">
        <v>45</v>
      </c>
      <c r="O192" s="177">
        <v>2</v>
      </c>
      <c r="P192" s="177"/>
      <c r="Q192" s="177">
        <v>0</v>
      </c>
      <c r="R192" s="177">
        <v>860</v>
      </c>
      <c r="S192" s="177">
        <v>215</v>
      </c>
      <c r="T192" s="177">
        <v>150.5</v>
      </c>
    </row>
    <row r="193" spans="1:20">
      <c r="A193" s="213" t="s">
        <v>32</v>
      </c>
      <c r="B193" s="213" t="s">
        <v>25</v>
      </c>
      <c r="C193" s="213" t="s">
        <v>60</v>
      </c>
      <c r="D193" s="213" t="s">
        <v>123</v>
      </c>
      <c r="E193" s="177" t="s">
        <v>204</v>
      </c>
      <c r="F193" s="177" t="s">
        <v>22</v>
      </c>
      <c r="G193" s="177">
        <v>0.2</v>
      </c>
      <c r="H193" s="177">
        <v>0.5</v>
      </c>
      <c r="I193" s="177" t="s">
        <v>205</v>
      </c>
      <c r="J193" s="177" t="s">
        <v>82</v>
      </c>
      <c r="K193" s="177">
        <v>1</v>
      </c>
      <c r="L193" s="177">
        <v>380</v>
      </c>
      <c r="M193" s="177">
        <v>380</v>
      </c>
      <c r="N193" s="177"/>
      <c r="O193" s="177"/>
      <c r="P193" s="177"/>
      <c r="Q193" s="177">
        <v>0</v>
      </c>
      <c r="R193" s="177">
        <v>380</v>
      </c>
      <c r="S193" s="177">
        <v>456</v>
      </c>
      <c r="T193" s="177">
        <v>228</v>
      </c>
    </row>
    <row r="194" spans="1:20">
      <c r="A194" s="213" t="s">
        <v>32</v>
      </c>
      <c r="B194" s="213" t="s">
        <v>25</v>
      </c>
      <c r="C194" s="213" t="s">
        <v>60</v>
      </c>
      <c r="D194" s="213" t="s">
        <v>124</v>
      </c>
      <c r="E194" s="177" t="s">
        <v>204</v>
      </c>
      <c r="F194" s="177" t="s">
        <v>22</v>
      </c>
      <c r="G194" s="177">
        <v>0.2</v>
      </c>
      <c r="H194" s="177">
        <v>0.5</v>
      </c>
      <c r="I194" s="177" t="s">
        <v>205</v>
      </c>
      <c r="J194" s="177" t="s">
        <v>82</v>
      </c>
      <c r="K194" s="177">
        <v>1</v>
      </c>
      <c r="L194" s="177">
        <v>380</v>
      </c>
      <c r="M194" s="177">
        <v>380</v>
      </c>
      <c r="N194" s="177"/>
      <c r="O194" s="177"/>
      <c r="P194" s="177"/>
      <c r="Q194" s="177">
        <v>0</v>
      </c>
      <c r="R194" s="177">
        <v>380</v>
      </c>
      <c r="S194" s="177">
        <v>456</v>
      </c>
      <c r="T194" s="177">
        <v>228</v>
      </c>
    </row>
    <row r="195" spans="1:20">
      <c r="A195" s="213" t="s">
        <v>32</v>
      </c>
      <c r="B195" s="213" t="s">
        <v>25</v>
      </c>
      <c r="C195" s="213" t="s">
        <v>60</v>
      </c>
      <c r="D195" s="213" t="s">
        <v>125</v>
      </c>
      <c r="E195" s="177" t="s">
        <v>206</v>
      </c>
      <c r="F195" s="177" t="s">
        <v>22</v>
      </c>
      <c r="G195" s="177">
        <v>0.2</v>
      </c>
      <c r="H195" s="177">
        <v>0.5</v>
      </c>
      <c r="I195" s="177" t="s">
        <v>205</v>
      </c>
      <c r="J195" s="177" t="s">
        <v>82</v>
      </c>
      <c r="K195" s="177">
        <v>1</v>
      </c>
      <c r="L195" s="177">
        <v>380</v>
      </c>
      <c r="M195" s="177">
        <v>380</v>
      </c>
      <c r="N195" s="177"/>
      <c r="O195" s="177"/>
      <c r="P195" s="177"/>
      <c r="Q195" s="177">
        <v>0</v>
      </c>
      <c r="R195" s="177">
        <v>380</v>
      </c>
      <c r="S195" s="177">
        <v>456</v>
      </c>
      <c r="T195" s="177">
        <v>228</v>
      </c>
    </row>
    <row r="196" spans="1:20">
      <c r="A196" s="213" t="s">
        <v>32</v>
      </c>
      <c r="B196" s="213" t="s">
        <v>25</v>
      </c>
      <c r="C196" s="213" t="s">
        <v>61</v>
      </c>
      <c r="D196" s="213" t="s">
        <v>139</v>
      </c>
      <c r="E196" s="177" t="s">
        <v>206</v>
      </c>
      <c r="F196" s="177" t="s">
        <v>22</v>
      </c>
      <c r="G196" s="177">
        <v>0.2</v>
      </c>
      <c r="H196" s="177">
        <v>0.5</v>
      </c>
      <c r="I196" s="177" t="s">
        <v>205</v>
      </c>
      <c r="J196" s="177" t="s">
        <v>82</v>
      </c>
      <c r="K196" s="177">
        <v>1</v>
      </c>
      <c r="L196" s="177">
        <v>380</v>
      </c>
      <c r="M196" s="177">
        <v>380</v>
      </c>
      <c r="N196" s="177"/>
      <c r="O196" s="177"/>
      <c r="P196" s="177"/>
      <c r="Q196" s="177">
        <v>0</v>
      </c>
      <c r="R196" s="177">
        <v>380</v>
      </c>
      <c r="S196" s="177">
        <v>456</v>
      </c>
      <c r="T196" s="177">
        <v>228</v>
      </c>
    </row>
    <row r="197" spans="1:20">
      <c r="A197" s="213" t="s">
        <v>32</v>
      </c>
      <c r="B197" s="213" t="s">
        <v>25</v>
      </c>
      <c r="C197" s="213" t="s">
        <v>61</v>
      </c>
      <c r="D197" s="213" t="s">
        <v>207</v>
      </c>
      <c r="E197" s="177" t="s">
        <v>208</v>
      </c>
      <c r="F197" s="177" t="s">
        <v>22</v>
      </c>
      <c r="G197" s="177">
        <v>0.2</v>
      </c>
      <c r="H197" s="177">
        <v>0.5</v>
      </c>
      <c r="I197" s="177" t="s">
        <v>205</v>
      </c>
      <c r="J197" s="177" t="s">
        <v>82</v>
      </c>
      <c r="K197" s="177">
        <v>1</v>
      </c>
      <c r="L197" s="177">
        <v>380</v>
      </c>
      <c r="M197" s="177">
        <v>380</v>
      </c>
      <c r="N197" s="177"/>
      <c r="O197" s="177"/>
      <c r="P197" s="177"/>
      <c r="Q197" s="177">
        <v>0</v>
      </c>
      <c r="R197" s="177">
        <v>380</v>
      </c>
      <c r="S197" s="177">
        <v>456</v>
      </c>
      <c r="T197" s="177">
        <v>228</v>
      </c>
    </row>
    <row r="198" spans="1:20">
      <c r="A198" s="213" t="s">
        <v>32</v>
      </c>
      <c r="B198" s="213" t="s">
        <v>25</v>
      </c>
      <c r="C198" s="213" t="s">
        <v>61</v>
      </c>
      <c r="D198" s="213" t="s">
        <v>209</v>
      </c>
      <c r="E198" s="177" t="s">
        <v>210</v>
      </c>
      <c r="F198" s="177" t="s">
        <v>22</v>
      </c>
      <c r="G198" s="177">
        <v>0.2</v>
      </c>
      <c r="H198" s="177">
        <v>0.5</v>
      </c>
      <c r="I198" s="177" t="s">
        <v>205</v>
      </c>
      <c r="J198" s="177" t="s">
        <v>82</v>
      </c>
      <c r="K198" s="177">
        <v>1</v>
      </c>
      <c r="L198" s="177">
        <v>380</v>
      </c>
      <c r="M198" s="177">
        <v>380</v>
      </c>
      <c r="N198" s="177"/>
      <c r="O198" s="177"/>
      <c r="P198" s="177"/>
      <c r="Q198" s="177">
        <v>0</v>
      </c>
      <c r="R198" s="177">
        <v>380</v>
      </c>
      <c r="S198" s="177">
        <v>456</v>
      </c>
      <c r="T198" s="177">
        <v>228</v>
      </c>
    </row>
    <row r="199" spans="1:20">
      <c r="A199" s="213" t="s">
        <v>32</v>
      </c>
      <c r="B199" s="213" t="s">
        <v>25</v>
      </c>
      <c r="C199" s="213" t="s">
        <v>61</v>
      </c>
      <c r="D199" s="213" t="s">
        <v>211</v>
      </c>
      <c r="E199" s="177" t="s">
        <v>212</v>
      </c>
      <c r="F199" s="177" t="s">
        <v>22</v>
      </c>
      <c r="G199" s="177">
        <v>0.2</v>
      </c>
      <c r="H199" s="177">
        <v>0.5</v>
      </c>
      <c r="I199" s="177" t="s">
        <v>205</v>
      </c>
      <c r="J199" s="177" t="s">
        <v>82</v>
      </c>
      <c r="K199" s="177">
        <v>1</v>
      </c>
      <c r="L199" s="177">
        <v>380</v>
      </c>
      <c r="M199" s="177">
        <v>380</v>
      </c>
      <c r="N199" s="177"/>
      <c r="O199" s="177"/>
      <c r="P199" s="177"/>
      <c r="Q199" s="177">
        <v>0</v>
      </c>
      <c r="R199" s="177">
        <v>380</v>
      </c>
      <c r="S199" s="177">
        <v>456</v>
      </c>
      <c r="T199" s="177">
        <v>228</v>
      </c>
    </row>
    <row r="200" spans="1:20">
      <c r="A200" s="213" t="s">
        <v>32</v>
      </c>
      <c r="B200" s="213" t="s">
        <v>25</v>
      </c>
      <c r="C200" s="213" t="s">
        <v>62</v>
      </c>
      <c r="D200" s="213" t="s">
        <v>213</v>
      </c>
      <c r="E200" s="177"/>
      <c r="F200" s="177" t="s">
        <v>22</v>
      </c>
      <c r="G200" s="177">
        <v>0.2</v>
      </c>
      <c r="H200" s="177">
        <v>0.5</v>
      </c>
      <c r="I200" s="177" t="s">
        <v>205</v>
      </c>
      <c r="J200" s="177" t="s">
        <v>82</v>
      </c>
      <c r="K200" s="177">
        <v>0</v>
      </c>
      <c r="L200" s="177">
        <v>380</v>
      </c>
      <c r="M200" s="177">
        <v>0</v>
      </c>
      <c r="N200" s="177"/>
      <c r="O200" s="177"/>
      <c r="P200" s="177"/>
      <c r="Q200" s="177">
        <v>0</v>
      </c>
      <c r="R200" s="177">
        <v>0</v>
      </c>
      <c r="S200" s="177">
        <v>0</v>
      </c>
      <c r="T200" s="177">
        <v>0</v>
      </c>
    </row>
    <row r="201" spans="1:20">
      <c r="A201" s="213" t="s">
        <v>32</v>
      </c>
      <c r="B201" s="213" t="s">
        <v>25</v>
      </c>
      <c r="C201" s="213" t="s">
        <v>62</v>
      </c>
      <c r="D201" s="213" t="s">
        <v>214</v>
      </c>
      <c r="E201" s="177"/>
      <c r="F201" s="177" t="s">
        <v>22</v>
      </c>
      <c r="G201" s="177">
        <v>0.2</v>
      </c>
      <c r="H201" s="177">
        <v>0.5</v>
      </c>
      <c r="I201" s="177" t="s">
        <v>205</v>
      </c>
      <c r="J201" s="177" t="s">
        <v>82</v>
      </c>
      <c r="K201" s="177">
        <v>0</v>
      </c>
      <c r="L201" s="177">
        <v>380</v>
      </c>
      <c r="M201" s="177">
        <v>0</v>
      </c>
      <c r="N201" s="177"/>
      <c r="O201" s="177"/>
      <c r="P201" s="177"/>
      <c r="Q201" s="177">
        <v>0</v>
      </c>
      <c r="R201" s="177">
        <v>0</v>
      </c>
      <c r="S201" s="177">
        <v>0</v>
      </c>
      <c r="T201" s="177">
        <v>0</v>
      </c>
    </row>
    <row r="202" spans="1:20">
      <c r="A202" s="213" t="s">
        <v>32</v>
      </c>
      <c r="B202" s="213" t="s">
        <v>25</v>
      </c>
      <c r="C202" s="213" t="s">
        <v>62</v>
      </c>
      <c r="D202" s="213" t="s">
        <v>215</v>
      </c>
      <c r="E202" s="177"/>
      <c r="F202" s="177" t="s">
        <v>22</v>
      </c>
      <c r="G202" s="177">
        <v>0.2</v>
      </c>
      <c r="H202" s="177">
        <v>0.5</v>
      </c>
      <c r="I202" s="177" t="s">
        <v>205</v>
      </c>
      <c r="J202" s="177" t="s">
        <v>82</v>
      </c>
      <c r="K202" s="177">
        <v>0</v>
      </c>
      <c r="L202" s="177">
        <v>380</v>
      </c>
      <c r="M202" s="177">
        <v>0</v>
      </c>
      <c r="N202" s="177"/>
      <c r="O202" s="177"/>
      <c r="P202" s="177"/>
      <c r="Q202" s="177">
        <v>0</v>
      </c>
      <c r="R202" s="177">
        <v>0</v>
      </c>
      <c r="S202" s="177">
        <v>0</v>
      </c>
      <c r="T202" s="177">
        <v>0</v>
      </c>
    </row>
    <row r="203" spans="1:20">
      <c r="A203" s="213" t="s">
        <v>33</v>
      </c>
      <c r="B203" s="213" t="s">
        <v>26</v>
      </c>
      <c r="C203" s="213" t="s">
        <v>151</v>
      </c>
      <c r="D203" s="213" t="s">
        <v>146</v>
      </c>
      <c r="E203" s="177" t="s">
        <v>158</v>
      </c>
      <c r="F203" s="177" t="s">
        <v>38</v>
      </c>
      <c r="G203" s="177">
        <v>0.22</v>
      </c>
      <c r="H203" s="177">
        <v>0.7</v>
      </c>
      <c r="I203" s="177" t="s">
        <v>46</v>
      </c>
      <c r="J203" s="177" t="s">
        <v>82</v>
      </c>
      <c r="K203" s="177">
        <v>1</v>
      </c>
      <c r="L203" s="177">
        <v>406</v>
      </c>
      <c r="M203" s="177">
        <v>406</v>
      </c>
      <c r="N203" s="177"/>
      <c r="O203" s="177"/>
      <c r="P203" s="177"/>
      <c r="Q203" s="177">
        <v>0</v>
      </c>
      <c r="R203" s="177">
        <v>406</v>
      </c>
      <c r="S203" s="177">
        <v>495.32</v>
      </c>
      <c r="T203" s="177">
        <v>346.72399999999999</v>
      </c>
    </row>
    <row r="204" spans="1:20">
      <c r="A204" s="213" t="s">
        <v>33</v>
      </c>
      <c r="B204" s="213" t="s">
        <v>26</v>
      </c>
      <c r="C204" s="213" t="s">
        <v>151</v>
      </c>
      <c r="D204" s="213" t="s">
        <v>145</v>
      </c>
      <c r="E204" s="177">
        <v>0</v>
      </c>
      <c r="F204" s="177" t="s">
        <v>15</v>
      </c>
      <c r="G204" s="177">
        <v>0.25</v>
      </c>
      <c r="H204" s="177">
        <v>0.5</v>
      </c>
      <c r="I204" s="177" t="s">
        <v>241</v>
      </c>
      <c r="J204" s="177" t="s">
        <v>81</v>
      </c>
      <c r="K204" s="177">
        <v>10</v>
      </c>
      <c r="L204" s="177">
        <v>376</v>
      </c>
      <c r="M204" s="177">
        <v>3760</v>
      </c>
      <c r="N204" s="177">
        <v>0</v>
      </c>
      <c r="O204" s="177">
        <v>0</v>
      </c>
      <c r="P204" s="177">
        <v>0</v>
      </c>
      <c r="Q204" s="177">
        <v>0</v>
      </c>
      <c r="R204" s="177">
        <v>3760</v>
      </c>
      <c r="S204" s="177">
        <v>940</v>
      </c>
      <c r="T204" s="177">
        <v>470</v>
      </c>
    </row>
    <row r="205" spans="1:20">
      <c r="A205" s="213" t="s">
        <v>33</v>
      </c>
      <c r="B205" s="213" t="s">
        <v>26</v>
      </c>
      <c r="C205" s="213" t="s">
        <v>151</v>
      </c>
      <c r="D205" s="213" t="s">
        <v>145</v>
      </c>
      <c r="E205" s="177">
        <v>0</v>
      </c>
      <c r="F205" s="177" t="s">
        <v>15</v>
      </c>
      <c r="G205" s="177">
        <v>0.25</v>
      </c>
      <c r="H205" s="177">
        <v>0.5</v>
      </c>
      <c r="I205" s="177" t="s">
        <v>249</v>
      </c>
      <c r="J205" s="177" t="s">
        <v>81</v>
      </c>
      <c r="K205" s="177">
        <v>20</v>
      </c>
      <c r="L205" s="177">
        <v>324</v>
      </c>
      <c r="M205" s="177">
        <v>6480</v>
      </c>
      <c r="N205" s="177" t="s">
        <v>250</v>
      </c>
      <c r="O205" s="177">
        <v>1</v>
      </c>
      <c r="P205" s="177">
        <v>15000</v>
      </c>
      <c r="Q205" s="177">
        <v>15000</v>
      </c>
      <c r="R205" s="177">
        <v>21480</v>
      </c>
      <c r="S205" s="177">
        <v>20370</v>
      </c>
      <c r="T205" s="177">
        <v>10185</v>
      </c>
    </row>
    <row r="206" spans="1:20">
      <c r="A206" s="213" t="s">
        <v>33</v>
      </c>
      <c r="B206" s="213" t="s">
        <v>26</v>
      </c>
      <c r="C206" s="213" t="s">
        <v>151</v>
      </c>
      <c r="D206" s="213" t="s">
        <v>145</v>
      </c>
      <c r="E206" s="177">
        <v>0</v>
      </c>
      <c r="F206" s="177" t="s">
        <v>15</v>
      </c>
      <c r="G206" s="177">
        <v>0.25</v>
      </c>
      <c r="H206" s="177">
        <v>0.5</v>
      </c>
      <c r="I206" s="177" t="s">
        <v>243</v>
      </c>
      <c r="J206" s="177" t="s">
        <v>82</v>
      </c>
      <c r="K206" s="177">
        <v>40</v>
      </c>
      <c r="L206" s="177">
        <v>277</v>
      </c>
      <c r="M206" s="177">
        <v>11080</v>
      </c>
      <c r="N206" s="177">
        <v>0</v>
      </c>
      <c r="O206" s="177">
        <v>0</v>
      </c>
      <c r="P206" s="177">
        <v>0</v>
      </c>
      <c r="Q206" s="177">
        <v>0</v>
      </c>
      <c r="R206" s="177">
        <v>11080</v>
      </c>
      <c r="S206" s="177">
        <v>13850</v>
      </c>
      <c r="T206" s="177">
        <v>6925</v>
      </c>
    </row>
    <row r="207" spans="1:20">
      <c r="A207" s="213" t="s">
        <v>33</v>
      </c>
      <c r="B207" s="213" t="s">
        <v>26</v>
      </c>
      <c r="C207" s="213" t="s">
        <v>151</v>
      </c>
      <c r="D207" s="213" t="s">
        <v>145</v>
      </c>
      <c r="E207" s="177">
        <v>0</v>
      </c>
      <c r="F207" s="177" t="s">
        <v>15</v>
      </c>
      <c r="G207" s="177">
        <v>0.25</v>
      </c>
      <c r="H207" s="177">
        <v>0.5</v>
      </c>
      <c r="I207" s="177" t="s">
        <v>239</v>
      </c>
      <c r="J207" s="177" t="s">
        <v>82</v>
      </c>
      <c r="K207" s="177">
        <v>60</v>
      </c>
      <c r="L207" s="177">
        <v>30</v>
      </c>
      <c r="M207" s="177">
        <v>1800</v>
      </c>
      <c r="N207" s="177">
        <v>0</v>
      </c>
      <c r="O207" s="177">
        <v>0</v>
      </c>
      <c r="P207" s="177">
        <v>0</v>
      </c>
      <c r="Q207" s="177">
        <v>0</v>
      </c>
      <c r="R207" s="177">
        <v>1800</v>
      </c>
      <c r="S207" s="177">
        <v>2250</v>
      </c>
      <c r="T207" s="177">
        <v>1125</v>
      </c>
    </row>
    <row r="208" spans="1:20">
      <c r="A208" s="213" t="s">
        <v>33</v>
      </c>
      <c r="B208" s="213" t="s">
        <v>26</v>
      </c>
      <c r="C208" s="213" t="s">
        <v>153</v>
      </c>
      <c r="D208" s="213" t="s">
        <v>137</v>
      </c>
      <c r="E208" s="177"/>
      <c r="F208" s="177" t="s">
        <v>38</v>
      </c>
      <c r="G208" s="177">
        <v>0.22</v>
      </c>
      <c r="H208" s="177">
        <v>0.7</v>
      </c>
      <c r="I208" s="177" t="s">
        <v>46</v>
      </c>
      <c r="J208" s="177" t="s">
        <v>82</v>
      </c>
      <c r="K208" s="177">
        <v>4</v>
      </c>
      <c r="L208" s="177">
        <v>406</v>
      </c>
      <c r="M208" s="177">
        <v>1624</v>
      </c>
      <c r="N208" s="177"/>
      <c r="O208" s="177"/>
      <c r="P208" s="177"/>
      <c r="Q208" s="177">
        <v>0</v>
      </c>
      <c r="R208" s="177">
        <v>1624</v>
      </c>
      <c r="S208" s="177">
        <v>1981.28</v>
      </c>
      <c r="T208" s="177">
        <v>1386.896</v>
      </c>
    </row>
    <row r="209" spans="1:20">
      <c r="A209" s="213" t="s">
        <v>33</v>
      </c>
      <c r="B209" s="213" t="s">
        <v>26</v>
      </c>
      <c r="C209" s="213" t="s">
        <v>153</v>
      </c>
      <c r="D209" s="213" t="s">
        <v>138</v>
      </c>
      <c r="E209" s="177"/>
      <c r="F209" s="177" t="s">
        <v>38</v>
      </c>
      <c r="G209" s="177">
        <v>0.22</v>
      </c>
      <c r="H209" s="177">
        <v>0.7</v>
      </c>
      <c r="I209" s="177" t="s">
        <v>46</v>
      </c>
      <c r="J209" s="177" t="s">
        <v>82</v>
      </c>
      <c r="K209" s="177">
        <v>1</v>
      </c>
      <c r="L209" s="177">
        <v>406</v>
      </c>
      <c r="M209" s="177">
        <v>406</v>
      </c>
      <c r="N209" s="177"/>
      <c r="O209" s="177"/>
      <c r="P209" s="177"/>
      <c r="Q209" s="177">
        <v>0</v>
      </c>
      <c r="R209" s="177">
        <v>406</v>
      </c>
      <c r="S209" s="177">
        <v>495.32</v>
      </c>
      <c r="T209" s="177">
        <v>346.72399999999999</v>
      </c>
    </row>
    <row r="210" spans="1:20">
      <c r="A210" s="213" t="s">
        <v>33</v>
      </c>
      <c r="B210" s="213" t="s">
        <v>26</v>
      </c>
      <c r="C210" s="213" t="s">
        <v>151</v>
      </c>
      <c r="D210" s="213" t="s">
        <v>146</v>
      </c>
      <c r="E210" s="177">
        <v>0</v>
      </c>
      <c r="F210" s="177" t="s">
        <v>15</v>
      </c>
      <c r="G210" s="177">
        <v>0.25</v>
      </c>
      <c r="H210" s="177">
        <v>0.5</v>
      </c>
      <c r="I210" s="177" t="s">
        <v>241</v>
      </c>
      <c r="J210" s="177" t="s">
        <v>81</v>
      </c>
      <c r="K210" s="177">
        <v>10</v>
      </c>
      <c r="L210" s="177">
        <v>376</v>
      </c>
      <c r="M210" s="177">
        <v>3760</v>
      </c>
      <c r="N210" s="177">
        <v>0</v>
      </c>
      <c r="O210" s="177">
        <v>0</v>
      </c>
      <c r="P210" s="177">
        <v>0</v>
      </c>
      <c r="Q210" s="177">
        <v>0</v>
      </c>
      <c r="R210" s="177">
        <v>3760</v>
      </c>
      <c r="S210" s="177">
        <v>940</v>
      </c>
      <c r="T210" s="177">
        <v>470</v>
      </c>
    </row>
    <row r="211" spans="1:20">
      <c r="A211" s="213" t="s">
        <v>33</v>
      </c>
      <c r="B211" s="213" t="s">
        <v>26</v>
      </c>
      <c r="C211" s="213" t="s">
        <v>151</v>
      </c>
      <c r="D211" s="213" t="s">
        <v>146</v>
      </c>
      <c r="E211" s="177">
        <v>0</v>
      </c>
      <c r="F211" s="177" t="s">
        <v>15</v>
      </c>
      <c r="G211" s="177">
        <v>0.25</v>
      </c>
      <c r="H211" s="177">
        <v>0.5</v>
      </c>
      <c r="I211" s="177" t="s">
        <v>243</v>
      </c>
      <c r="J211" s="177" t="s">
        <v>82</v>
      </c>
      <c r="K211" s="177">
        <v>20</v>
      </c>
      <c r="L211" s="177">
        <v>277</v>
      </c>
      <c r="M211" s="177">
        <v>5540</v>
      </c>
      <c r="N211" s="177">
        <v>0</v>
      </c>
      <c r="O211" s="177">
        <v>0</v>
      </c>
      <c r="P211" s="177">
        <v>0</v>
      </c>
      <c r="Q211" s="177">
        <v>0</v>
      </c>
      <c r="R211" s="177">
        <v>5540</v>
      </c>
      <c r="S211" s="177">
        <v>6925</v>
      </c>
      <c r="T211" s="177">
        <v>3462.5</v>
      </c>
    </row>
    <row r="212" spans="1:20">
      <c r="A212" s="213" t="s">
        <v>33</v>
      </c>
      <c r="B212" s="213" t="s">
        <v>26</v>
      </c>
      <c r="C212" s="213" t="s">
        <v>151</v>
      </c>
      <c r="D212" s="213" t="s">
        <v>146</v>
      </c>
      <c r="E212" s="177">
        <v>0</v>
      </c>
      <c r="F212" s="177" t="s">
        <v>15</v>
      </c>
      <c r="G212" s="177">
        <v>0.25</v>
      </c>
      <c r="H212" s="177">
        <v>0.5</v>
      </c>
      <c r="I212" s="177" t="s">
        <v>239</v>
      </c>
      <c r="J212" s="177" t="s">
        <v>82</v>
      </c>
      <c r="K212" s="177">
        <v>40</v>
      </c>
      <c r="L212" s="177">
        <v>30</v>
      </c>
      <c r="M212" s="177">
        <v>1200</v>
      </c>
      <c r="N212" s="177">
        <v>0</v>
      </c>
      <c r="O212" s="177">
        <v>0</v>
      </c>
      <c r="P212" s="177">
        <v>0</v>
      </c>
      <c r="Q212" s="177">
        <v>0</v>
      </c>
      <c r="R212" s="177">
        <v>1200</v>
      </c>
      <c r="S212" s="177">
        <v>1500</v>
      </c>
      <c r="T212" s="177">
        <v>750</v>
      </c>
    </row>
    <row r="213" spans="1:20">
      <c r="A213" s="213" t="s">
        <v>33</v>
      </c>
      <c r="B213" s="213" t="s">
        <v>26</v>
      </c>
      <c r="C213" s="213" t="s">
        <v>151</v>
      </c>
      <c r="D213" s="213" t="s">
        <v>146</v>
      </c>
      <c r="E213" s="177" t="s">
        <v>158</v>
      </c>
      <c r="F213" s="177" t="s">
        <v>16</v>
      </c>
      <c r="G213" s="177">
        <v>0.25</v>
      </c>
      <c r="H213" s="177">
        <v>0.7</v>
      </c>
      <c r="I213" s="177"/>
      <c r="J213" s="177" t="s">
        <v>82</v>
      </c>
      <c r="K213" s="177"/>
      <c r="L213" s="177"/>
      <c r="M213" s="177">
        <v>0</v>
      </c>
      <c r="N213" s="177" t="s">
        <v>163</v>
      </c>
      <c r="O213" s="177">
        <v>1</v>
      </c>
      <c r="P213" s="177">
        <v>520</v>
      </c>
      <c r="Q213" s="177">
        <v>520</v>
      </c>
      <c r="R213" s="177">
        <v>520</v>
      </c>
      <c r="S213" s="177">
        <v>650</v>
      </c>
      <c r="T213" s="177">
        <v>454.99999999999994</v>
      </c>
    </row>
    <row r="214" spans="1:20">
      <c r="A214" s="213" t="s">
        <v>33</v>
      </c>
      <c r="B214" s="213" t="s">
        <v>26</v>
      </c>
      <c r="C214" s="213" t="s">
        <v>147</v>
      </c>
      <c r="D214" s="213" t="s">
        <v>148</v>
      </c>
      <c r="E214" s="177">
        <v>0</v>
      </c>
      <c r="F214" s="177" t="s">
        <v>15</v>
      </c>
      <c r="G214" s="177">
        <v>0.25</v>
      </c>
      <c r="H214" s="177">
        <v>0.5</v>
      </c>
      <c r="I214" s="177" t="s">
        <v>241</v>
      </c>
      <c r="J214" s="177" t="s">
        <v>81</v>
      </c>
      <c r="K214" s="177">
        <v>10</v>
      </c>
      <c r="L214" s="177">
        <v>376</v>
      </c>
      <c r="M214" s="177">
        <v>3760</v>
      </c>
      <c r="N214" s="177">
        <v>0</v>
      </c>
      <c r="O214" s="177">
        <v>0</v>
      </c>
      <c r="P214" s="177">
        <v>0</v>
      </c>
      <c r="Q214" s="177">
        <v>0</v>
      </c>
      <c r="R214" s="177">
        <v>3760</v>
      </c>
      <c r="S214" s="177">
        <v>940</v>
      </c>
      <c r="T214" s="177">
        <v>470</v>
      </c>
    </row>
    <row r="215" spans="1:20">
      <c r="A215" s="213" t="s">
        <v>33</v>
      </c>
      <c r="B215" s="213" t="s">
        <v>26</v>
      </c>
      <c r="C215" s="213" t="s">
        <v>147</v>
      </c>
      <c r="D215" s="213" t="s">
        <v>148</v>
      </c>
      <c r="E215" s="177">
        <v>0</v>
      </c>
      <c r="F215" s="177" t="s">
        <v>15</v>
      </c>
      <c r="G215" s="177">
        <v>0.25</v>
      </c>
      <c r="H215" s="177">
        <v>0.5</v>
      </c>
      <c r="I215" s="177" t="s">
        <v>243</v>
      </c>
      <c r="J215" s="177" t="s">
        <v>82</v>
      </c>
      <c r="K215" s="177">
        <v>20</v>
      </c>
      <c r="L215" s="177">
        <v>277</v>
      </c>
      <c r="M215" s="177">
        <v>5540</v>
      </c>
      <c r="N215" s="177">
        <v>0</v>
      </c>
      <c r="O215" s="177">
        <v>0</v>
      </c>
      <c r="P215" s="177">
        <v>0</v>
      </c>
      <c r="Q215" s="177">
        <v>0</v>
      </c>
      <c r="R215" s="177">
        <v>5540</v>
      </c>
      <c r="S215" s="177">
        <v>6925</v>
      </c>
      <c r="T215" s="177">
        <v>3462.5</v>
      </c>
    </row>
    <row r="216" spans="1:20">
      <c r="A216" s="213" t="s">
        <v>33</v>
      </c>
      <c r="B216" s="213" t="s">
        <v>26</v>
      </c>
      <c r="C216" s="213" t="s">
        <v>147</v>
      </c>
      <c r="D216" s="213" t="s">
        <v>149</v>
      </c>
      <c r="E216" s="177">
        <v>0</v>
      </c>
      <c r="F216" s="177" t="s">
        <v>15</v>
      </c>
      <c r="G216" s="177">
        <v>0.25</v>
      </c>
      <c r="H216" s="177">
        <v>0.5</v>
      </c>
      <c r="I216" s="177" t="s">
        <v>241</v>
      </c>
      <c r="J216" s="177" t="s">
        <v>81</v>
      </c>
      <c r="K216" s="177">
        <v>10</v>
      </c>
      <c r="L216" s="177">
        <v>376</v>
      </c>
      <c r="M216" s="177">
        <v>3760</v>
      </c>
      <c r="N216" s="177">
        <v>0</v>
      </c>
      <c r="O216" s="177">
        <v>0</v>
      </c>
      <c r="P216" s="177">
        <v>0</v>
      </c>
      <c r="Q216" s="177">
        <v>0</v>
      </c>
      <c r="R216" s="177">
        <v>3760</v>
      </c>
      <c r="S216" s="177">
        <v>940</v>
      </c>
      <c r="T216" s="177">
        <v>470</v>
      </c>
    </row>
    <row r="217" spans="1:20">
      <c r="A217" s="213" t="s">
        <v>33</v>
      </c>
      <c r="B217" s="213" t="s">
        <v>26</v>
      </c>
      <c r="C217" s="213" t="s">
        <v>147</v>
      </c>
      <c r="D217" s="213" t="s">
        <v>149</v>
      </c>
      <c r="E217" s="177">
        <v>0</v>
      </c>
      <c r="F217" s="177" t="s">
        <v>15</v>
      </c>
      <c r="G217" s="177">
        <v>0.25</v>
      </c>
      <c r="H217" s="177">
        <v>0.5</v>
      </c>
      <c r="I217" s="177" t="s">
        <v>243</v>
      </c>
      <c r="J217" s="177" t="s">
        <v>82</v>
      </c>
      <c r="K217" s="177">
        <v>20</v>
      </c>
      <c r="L217" s="177">
        <v>277</v>
      </c>
      <c r="M217" s="177">
        <v>5540</v>
      </c>
      <c r="N217" s="177">
        <v>0</v>
      </c>
      <c r="O217" s="177">
        <v>0</v>
      </c>
      <c r="P217" s="177">
        <v>0</v>
      </c>
      <c r="Q217" s="177">
        <v>0</v>
      </c>
      <c r="R217" s="177">
        <v>5540</v>
      </c>
      <c r="S217" s="177">
        <v>6925</v>
      </c>
      <c r="T217" s="177">
        <v>3462.5</v>
      </c>
    </row>
    <row r="218" spans="1:20">
      <c r="A218" s="213" t="s">
        <v>33</v>
      </c>
      <c r="B218" s="213" t="s">
        <v>26</v>
      </c>
      <c r="C218" s="213" t="s">
        <v>152</v>
      </c>
      <c r="D218" s="213" t="s">
        <v>150</v>
      </c>
      <c r="E218" s="177">
        <v>0</v>
      </c>
      <c r="F218" s="177" t="s">
        <v>15</v>
      </c>
      <c r="G218" s="177">
        <v>0.25</v>
      </c>
      <c r="H218" s="177">
        <v>0.5</v>
      </c>
      <c r="I218" s="177" t="s">
        <v>241</v>
      </c>
      <c r="J218" s="177" t="s">
        <v>81</v>
      </c>
      <c r="K218" s="177">
        <v>5</v>
      </c>
      <c r="L218" s="177">
        <v>376</v>
      </c>
      <c r="M218" s="177">
        <v>1880</v>
      </c>
      <c r="N218" s="177">
        <v>0</v>
      </c>
      <c r="O218" s="177">
        <v>0</v>
      </c>
      <c r="P218" s="177">
        <v>0</v>
      </c>
      <c r="Q218" s="177">
        <v>0</v>
      </c>
      <c r="R218" s="177">
        <v>1880</v>
      </c>
      <c r="S218" s="177">
        <v>470</v>
      </c>
      <c r="T218" s="177">
        <v>235</v>
      </c>
    </row>
    <row r="219" spans="1:20">
      <c r="A219" s="213" t="s">
        <v>33</v>
      </c>
      <c r="B219" s="213" t="s">
        <v>26</v>
      </c>
      <c r="C219" s="213" t="s">
        <v>152</v>
      </c>
      <c r="D219" s="213" t="s">
        <v>150</v>
      </c>
      <c r="E219" s="177">
        <v>0</v>
      </c>
      <c r="F219" s="177" t="s">
        <v>15</v>
      </c>
      <c r="G219" s="177">
        <v>0.25</v>
      </c>
      <c r="H219" s="177">
        <v>0.5</v>
      </c>
      <c r="I219" s="177" t="s">
        <v>243</v>
      </c>
      <c r="J219" s="177" t="s">
        <v>82</v>
      </c>
      <c r="K219" s="177">
        <v>10</v>
      </c>
      <c r="L219" s="177">
        <v>277</v>
      </c>
      <c r="M219" s="177">
        <v>2770</v>
      </c>
      <c r="N219" s="177">
        <v>0</v>
      </c>
      <c r="O219" s="177">
        <v>0</v>
      </c>
      <c r="P219" s="177">
        <v>0</v>
      </c>
      <c r="Q219" s="177">
        <v>0</v>
      </c>
      <c r="R219" s="177">
        <v>2770</v>
      </c>
      <c r="S219" s="177">
        <v>3462.5</v>
      </c>
      <c r="T219" s="177">
        <v>1731.25</v>
      </c>
    </row>
    <row r="220" spans="1:20">
      <c r="A220" s="213" t="s">
        <v>33</v>
      </c>
      <c r="B220" s="213" t="s">
        <v>26</v>
      </c>
      <c r="C220" s="213" t="s">
        <v>153</v>
      </c>
      <c r="D220" s="213" t="s">
        <v>137</v>
      </c>
      <c r="E220" s="177">
        <v>0</v>
      </c>
      <c r="F220" s="177" t="s">
        <v>15</v>
      </c>
      <c r="G220" s="177">
        <v>0.25</v>
      </c>
      <c r="H220" s="177">
        <v>0.5</v>
      </c>
      <c r="I220" s="177" t="s">
        <v>246</v>
      </c>
      <c r="J220" s="177" t="s">
        <v>81</v>
      </c>
      <c r="K220" s="177">
        <v>4</v>
      </c>
      <c r="L220" s="177">
        <v>548</v>
      </c>
      <c r="M220" s="177">
        <v>2192</v>
      </c>
      <c r="N220" s="177">
        <v>0</v>
      </c>
      <c r="O220" s="177">
        <v>0</v>
      </c>
      <c r="P220" s="177">
        <v>0</v>
      </c>
      <c r="Q220" s="177">
        <v>0</v>
      </c>
      <c r="R220" s="177">
        <v>2192</v>
      </c>
      <c r="S220" s="177">
        <v>548</v>
      </c>
      <c r="T220" s="177">
        <v>274</v>
      </c>
    </row>
    <row r="221" spans="1:20">
      <c r="A221" s="213" t="s">
        <v>33</v>
      </c>
      <c r="B221" s="213" t="s">
        <v>26</v>
      </c>
      <c r="C221" s="213" t="s">
        <v>153</v>
      </c>
      <c r="D221" s="213" t="s">
        <v>137</v>
      </c>
      <c r="E221" s="177">
        <v>0</v>
      </c>
      <c r="F221" s="177" t="s">
        <v>15</v>
      </c>
      <c r="G221" s="177">
        <v>0.25</v>
      </c>
      <c r="H221" s="177">
        <v>0.5</v>
      </c>
      <c r="I221" s="177" t="s">
        <v>241</v>
      </c>
      <c r="J221" s="177" t="s">
        <v>81</v>
      </c>
      <c r="K221" s="177">
        <v>20</v>
      </c>
      <c r="L221" s="177">
        <v>376</v>
      </c>
      <c r="M221" s="177">
        <v>7520</v>
      </c>
      <c r="N221" s="177">
        <v>0</v>
      </c>
      <c r="O221" s="177">
        <v>0</v>
      </c>
      <c r="P221" s="177">
        <v>0</v>
      </c>
      <c r="Q221" s="177">
        <v>0</v>
      </c>
      <c r="R221" s="177">
        <v>7520</v>
      </c>
      <c r="S221" s="177">
        <v>1880</v>
      </c>
      <c r="T221" s="177">
        <v>940</v>
      </c>
    </row>
    <row r="222" spans="1:20">
      <c r="A222" s="213" t="s">
        <v>33</v>
      </c>
      <c r="B222" s="213" t="s">
        <v>26</v>
      </c>
      <c r="C222" s="213" t="s">
        <v>153</v>
      </c>
      <c r="D222" s="213" t="s">
        <v>137</v>
      </c>
      <c r="E222" s="177">
        <v>0</v>
      </c>
      <c r="F222" s="177" t="s">
        <v>15</v>
      </c>
      <c r="G222" s="177">
        <v>0.25</v>
      </c>
      <c r="H222" s="177">
        <v>0.5</v>
      </c>
      <c r="I222" s="177" t="s">
        <v>239</v>
      </c>
      <c r="J222" s="177" t="s">
        <v>82</v>
      </c>
      <c r="K222" s="177">
        <v>40</v>
      </c>
      <c r="L222" s="177">
        <v>30</v>
      </c>
      <c r="M222" s="177">
        <v>1200</v>
      </c>
      <c r="N222" s="177">
        <v>0</v>
      </c>
      <c r="O222" s="177">
        <v>0</v>
      </c>
      <c r="P222" s="177">
        <v>0</v>
      </c>
      <c r="Q222" s="177">
        <v>0</v>
      </c>
      <c r="R222" s="177">
        <v>1200</v>
      </c>
      <c r="S222" s="177">
        <v>1500</v>
      </c>
      <c r="T222" s="177">
        <v>750</v>
      </c>
    </row>
    <row r="223" spans="1:20">
      <c r="A223" s="213" t="s">
        <v>33</v>
      </c>
      <c r="B223" s="213" t="s">
        <v>26</v>
      </c>
      <c r="C223" s="213" t="s">
        <v>153</v>
      </c>
      <c r="D223" s="213" t="s">
        <v>138</v>
      </c>
      <c r="E223" s="177">
        <v>0</v>
      </c>
      <c r="F223" s="177" t="s">
        <v>15</v>
      </c>
      <c r="G223" s="177">
        <v>0.25</v>
      </c>
      <c r="H223" s="177">
        <v>0.5</v>
      </c>
      <c r="I223" s="177" t="s">
        <v>246</v>
      </c>
      <c r="J223" s="177" t="s">
        <v>81</v>
      </c>
      <c r="K223" s="177">
        <v>4</v>
      </c>
      <c r="L223" s="177">
        <v>548</v>
      </c>
      <c r="M223" s="177">
        <v>2192</v>
      </c>
      <c r="N223" s="177">
        <v>0</v>
      </c>
      <c r="O223" s="177">
        <v>0</v>
      </c>
      <c r="P223" s="177">
        <v>0</v>
      </c>
      <c r="Q223" s="177">
        <v>0</v>
      </c>
      <c r="R223" s="177">
        <v>2192</v>
      </c>
      <c r="S223" s="177">
        <v>548</v>
      </c>
      <c r="T223" s="177">
        <v>274</v>
      </c>
    </row>
    <row r="224" spans="1:20">
      <c r="A224" s="213" t="s">
        <v>33</v>
      </c>
      <c r="B224" s="213" t="s">
        <v>26</v>
      </c>
      <c r="C224" s="213" t="s">
        <v>153</v>
      </c>
      <c r="D224" s="213" t="s">
        <v>138</v>
      </c>
      <c r="E224" s="177">
        <v>0</v>
      </c>
      <c r="F224" s="177" t="s">
        <v>15</v>
      </c>
      <c r="G224" s="177">
        <v>0.25</v>
      </c>
      <c r="H224" s="177">
        <v>0.5</v>
      </c>
      <c r="I224" s="177" t="s">
        <v>241</v>
      </c>
      <c r="J224" s="177" t="s">
        <v>81</v>
      </c>
      <c r="K224" s="177">
        <v>20</v>
      </c>
      <c r="L224" s="177">
        <v>376</v>
      </c>
      <c r="M224" s="177">
        <v>7520</v>
      </c>
      <c r="N224" s="177">
        <v>0</v>
      </c>
      <c r="O224" s="177">
        <v>0</v>
      </c>
      <c r="P224" s="177">
        <v>0</v>
      </c>
      <c r="Q224" s="177">
        <v>0</v>
      </c>
      <c r="R224" s="177">
        <v>7520</v>
      </c>
      <c r="S224" s="177">
        <v>1880</v>
      </c>
      <c r="T224" s="177">
        <v>940</v>
      </c>
    </row>
    <row r="225" spans="1:20">
      <c r="A225" s="213" t="s">
        <v>33</v>
      </c>
      <c r="B225" s="213" t="s">
        <v>26</v>
      </c>
      <c r="C225" s="213" t="s">
        <v>153</v>
      </c>
      <c r="D225" s="213" t="s">
        <v>138</v>
      </c>
      <c r="E225" s="177">
        <v>0</v>
      </c>
      <c r="F225" s="177" t="s">
        <v>15</v>
      </c>
      <c r="G225" s="177">
        <v>0.25</v>
      </c>
      <c r="H225" s="177">
        <v>0.5</v>
      </c>
      <c r="I225" s="177" t="s">
        <v>239</v>
      </c>
      <c r="J225" s="177" t="s">
        <v>82</v>
      </c>
      <c r="K225" s="177">
        <v>40</v>
      </c>
      <c r="L225" s="177">
        <v>30</v>
      </c>
      <c r="M225" s="177">
        <v>1200</v>
      </c>
      <c r="N225" s="177">
        <v>0</v>
      </c>
      <c r="O225" s="177">
        <v>0</v>
      </c>
      <c r="P225" s="177">
        <v>0</v>
      </c>
      <c r="Q225" s="177">
        <v>0</v>
      </c>
      <c r="R225" s="177">
        <v>1200</v>
      </c>
      <c r="S225" s="177">
        <v>1500</v>
      </c>
      <c r="T225" s="177">
        <v>750</v>
      </c>
    </row>
    <row r="226" spans="1:20">
      <c r="A226" s="213" t="s">
        <v>33</v>
      </c>
      <c r="B226" s="213" t="s">
        <v>26</v>
      </c>
      <c r="C226" s="213" t="s">
        <v>153</v>
      </c>
      <c r="D226" s="213" t="s">
        <v>138</v>
      </c>
      <c r="E226" s="177"/>
      <c r="F226" s="177" t="s">
        <v>16</v>
      </c>
      <c r="G226" s="177">
        <v>0.25</v>
      </c>
      <c r="H226" s="177">
        <v>0.7</v>
      </c>
      <c r="I226" s="177"/>
      <c r="J226" s="177" t="s">
        <v>82</v>
      </c>
      <c r="K226" s="177"/>
      <c r="L226" s="177"/>
      <c r="M226" s="177">
        <v>0</v>
      </c>
      <c r="N226" s="177" t="s">
        <v>163</v>
      </c>
      <c r="O226" s="177">
        <v>1</v>
      </c>
      <c r="P226" s="177">
        <v>520</v>
      </c>
      <c r="Q226" s="177">
        <v>520</v>
      </c>
      <c r="R226" s="177">
        <v>520</v>
      </c>
      <c r="S226" s="177">
        <v>650</v>
      </c>
      <c r="T226" s="177">
        <v>454.99999999999994</v>
      </c>
    </row>
    <row r="227" spans="1:20">
      <c r="A227" s="213" t="s">
        <v>33</v>
      </c>
      <c r="B227" s="213" t="s">
        <v>26</v>
      </c>
      <c r="C227" s="213" t="s">
        <v>151</v>
      </c>
      <c r="D227" s="213" t="s">
        <v>145</v>
      </c>
      <c r="E227" s="177" t="s">
        <v>227</v>
      </c>
      <c r="F227" s="177" t="s">
        <v>17</v>
      </c>
      <c r="G227" s="177">
        <v>0.18</v>
      </c>
      <c r="H227" s="177">
        <v>0.5</v>
      </c>
      <c r="I227" s="177" t="s">
        <v>222</v>
      </c>
      <c r="J227" s="177" t="s">
        <v>81</v>
      </c>
      <c r="K227" s="177">
        <v>10</v>
      </c>
      <c r="L227" s="177">
        <v>572</v>
      </c>
      <c r="M227" s="177">
        <v>5720</v>
      </c>
      <c r="N227" s="177">
        <v>0</v>
      </c>
      <c r="O227" s="177">
        <v>0</v>
      </c>
      <c r="P227" s="177">
        <v>0</v>
      </c>
      <c r="Q227" s="177">
        <v>0</v>
      </c>
      <c r="R227" s="177">
        <v>5720</v>
      </c>
      <c r="S227" s="177">
        <v>1029.5999999999999</v>
      </c>
      <c r="T227" s="177">
        <v>514.79999999999995</v>
      </c>
    </row>
    <row r="228" spans="1:20">
      <c r="A228" s="213" t="s">
        <v>33</v>
      </c>
      <c r="B228" s="213" t="s">
        <v>26</v>
      </c>
      <c r="C228" s="213" t="s">
        <v>151</v>
      </c>
      <c r="D228" s="213" t="s">
        <v>145</v>
      </c>
      <c r="E228" s="177" t="s">
        <v>227</v>
      </c>
      <c r="F228" s="177" t="s">
        <v>17</v>
      </c>
      <c r="G228" s="177">
        <v>0.18</v>
      </c>
      <c r="H228" s="177">
        <v>0.5</v>
      </c>
      <c r="I228" s="177" t="s">
        <v>220</v>
      </c>
      <c r="J228" s="177" t="s">
        <v>81</v>
      </c>
      <c r="K228" s="177">
        <v>10</v>
      </c>
      <c r="L228" s="177">
        <v>494</v>
      </c>
      <c r="M228" s="177">
        <v>4940</v>
      </c>
      <c r="N228" s="177">
        <v>0</v>
      </c>
      <c r="O228" s="177">
        <v>0</v>
      </c>
      <c r="P228" s="177">
        <v>0</v>
      </c>
      <c r="Q228" s="177">
        <v>0</v>
      </c>
      <c r="R228" s="177">
        <v>4940</v>
      </c>
      <c r="S228" s="177">
        <v>889.2</v>
      </c>
      <c r="T228" s="177">
        <v>444.6</v>
      </c>
    </row>
    <row r="229" spans="1:20">
      <c r="A229" s="213" t="s">
        <v>33</v>
      </c>
      <c r="B229" s="213" t="s">
        <v>26</v>
      </c>
      <c r="C229" s="213" t="s">
        <v>151</v>
      </c>
      <c r="D229" s="213" t="s">
        <v>145</v>
      </c>
      <c r="E229" s="177" t="s">
        <v>227</v>
      </c>
      <c r="F229" s="177" t="s">
        <v>17</v>
      </c>
      <c r="G229" s="177">
        <v>0.18</v>
      </c>
      <c r="H229" s="177">
        <v>0.5</v>
      </c>
      <c r="I229" s="177" t="s">
        <v>254</v>
      </c>
      <c r="J229" s="177" t="s">
        <v>82</v>
      </c>
      <c r="K229" s="177">
        <v>130</v>
      </c>
      <c r="L229" s="177">
        <v>119</v>
      </c>
      <c r="M229" s="177">
        <v>15470</v>
      </c>
      <c r="N229" s="177" t="s">
        <v>232</v>
      </c>
      <c r="O229" s="177">
        <v>1</v>
      </c>
      <c r="P229" s="177">
        <v>15000</v>
      </c>
      <c r="Q229" s="177">
        <v>15000</v>
      </c>
      <c r="R229" s="177">
        <v>30470</v>
      </c>
      <c r="S229" s="177">
        <v>35954.6</v>
      </c>
      <c r="T229" s="177">
        <v>17977.3</v>
      </c>
    </row>
    <row r="230" spans="1:20">
      <c r="A230" s="213" t="s">
        <v>33</v>
      </c>
      <c r="B230" s="213" t="s">
        <v>26</v>
      </c>
      <c r="C230" s="213" t="s">
        <v>151</v>
      </c>
      <c r="D230" s="213" t="s">
        <v>146</v>
      </c>
      <c r="E230" s="177" t="s">
        <v>228</v>
      </c>
      <c r="F230" s="177" t="s">
        <v>17</v>
      </c>
      <c r="G230" s="177">
        <v>0.18</v>
      </c>
      <c r="H230" s="177">
        <v>0.5</v>
      </c>
      <c r="I230" s="177" t="s">
        <v>222</v>
      </c>
      <c r="J230" s="177" t="s">
        <v>81</v>
      </c>
      <c r="K230" s="177">
        <v>15</v>
      </c>
      <c r="L230" s="177">
        <v>572</v>
      </c>
      <c r="M230" s="177">
        <v>8580</v>
      </c>
      <c r="N230" s="177">
        <v>0</v>
      </c>
      <c r="O230" s="177">
        <v>0</v>
      </c>
      <c r="P230" s="177">
        <v>0</v>
      </c>
      <c r="Q230" s="177">
        <v>0</v>
      </c>
      <c r="R230" s="177">
        <v>8580</v>
      </c>
      <c r="S230" s="177">
        <v>1544.4</v>
      </c>
      <c r="T230" s="177">
        <v>772.2</v>
      </c>
    </row>
    <row r="231" spans="1:20">
      <c r="A231" s="213" t="s">
        <v>33</v>
      </c>
      <c r="B231" s="213" t="s">
        <v>26</v>
      </c>
      <c r="C231" s="213" t="s">
        <v>151</v>
      </c>
      <c r="D231" s="213" t="s">
        <v>146</v>
      </c>
      <c r="E231" s="177" t="s">
        <v>228</v>
      </c>
      <c r="F231" s="177" t="s">
        <v>17</v>
      </c>
      <c r="G231" s="177">
        <v>0.18</v>
      </c>
      <c r="H231" s="177">
        <v>0.5</v>
      </c>
      <c r="I231" s="177" t="s">
        <v>220</v>
      </c>
      <c r="J231" s="177" t="s">
        <v>81</v>
      </c>
      <c r="K231" s="177">
        <v>10</v>
      </c>
      <c r="L231" s="177">
        <v>494</v>
      </c>
      <c r="M231" s="177">
        <v>4940</v>
      </c>
      <c r="N231" s="177">
        <v>0</v>
      </c>
      <c r="O231" s="177">
        <v>0</v>
      </c>
      <c r="P231" s="177">
        <v>0</v>
      </c>
      <c r="Q231" s="177">
        <v>0</v>
      </c>
      <c r="R231" s="177">
        <v>4940</v>
      </c>
      <c r="S231" s="177">
        <v>889.2</v>
      </c>
      <c r="T231" s="177">
        <v>444.6</v>
      </c>
    </row>
    <row r="232" spans="1:20">
      <c r="A232" s="213" t="s">
        <v>33</v>
      </c>
      <c r="B232" s="213" t="s">
        <v>26</v>
      </c>
      <c r="C232" s="213" t="s">
        <v>151</v>
      </c>
      <c r="D232" s="213" t="s">
        <v>146</v>
      </c>
      <c r="E232" s="177" t="s">
        <v>228</v>
      </c>
      <c r="F232" s="177" t="s">
        <v>17</v>
      </c>
      <c r="G232" s="177">
        <v>0.18</v>
      </c>
      <c r="H232" s="177">
        <v>0.5</v>
      </c>
      <c r="I232" s="177" t="s">
        <v>254</v>
      </c>
      <c r="J232" s="177" t="s">
        <v>82</v>
      </c>
      <c r="K232" s="177">
        <v>0</v>
      </c>
      <c r="L232" s="177">
        <v>119</v>
      </c>
      <c r="M232" s="177">
        <v>0</v>
      </c>
      <c r="N232" s="177">
        <v>0</v>
      </c>
      <c r="O232" s="177">
        <v>0</v>
      </c>
      <c r="P232" s="177">
        <v>0</v>
      </c>
      <c r="Q232" s="177">
        <v>0</v>
      </c>
      <c r="R232" s="177">
        <v>0</v>
      </c>
      <c r="S232" s="177">
        <v>0</v>
      </c>
      <c r="T232" s="177">
        <v>0</v>
      </c>
    </row>
    <row r="233" spans="1:20">
      <c r="A233" s="213" t="s">
        <v>33</v>
      </c>
      <c r="B233" s="213" t="s">
        <v>26</v>
      </c>
      <c r="C233" s="213" t="s">
        <v>147</v>
      </c>
      <c r="D233" s="213" t="s">
        <v>122</v>
      </c>
      <c r="E233" s="177" t="s">
        <v>226</v>
      </c>
      <c r="F233" s="177" t="s">
        <v>17</v>
      </c>
      <c r="G233" s="177">
        <v>0.18</v>
      </c>
      <c r="H233" s="177">
        <v>0.5</v>
      </c>
      <c r="I233" s="177" t="s">
        <v>222</v>
      </c>
      <c r="J233" s="177" t="s">
        <v>81</v>
      </c>
      <c r="K233" s="177">
        <v>5</v>
      </c>
      <c r="L233" s="177">
        <v>572</v>
      </c>
      <c r="M233" s="177">
        <v>2860</v>
      </c>
      <c r="N233" s="177">
        <v>0</v>
      </c>
      <c r="O233" s="177">
        <v>0</v>
      </c>
      <c r="P233" s="177">
        <v>0</v>
      </c>
      <c r="Q233" s="177">
        <v>0</v>
      </c>
      <c r="R233" s="177">
        <v>2860</v>
      </c>
      <c r="S233" s="177">
        <v>514.79999999999995</v>
      </c>
      <c r="T233" s="177">
        <v>257.39999999999998</v>
      </c>
    </row>
    <row r="234" spans="1:20">
      <c r="A234" s="213" t="s">
        <v>33</v>
      </c>
      <c r="B234" s="213" t="s">
        <v>26</v>
      </c>
      <c r="C234" s="213" t="s">
        <v>147</v>
      </c>
      <c r="D234" s="213" t="s">
        <v>122</v>
      </c>
      <c r="E234" s="177" t="s">
        <v>226</v>
      </c>
      <c r="F234" s="177" t="s">
        <v>17</v>
      </c>
      <c r="G234" s="177">
        <v>0.18</v>
      </c>
      <c r="H234" s="177">
        <v>0.5</v>
      </c>
      <c r="I234" s="177" t="s">
        <v>220</v>
      </c>
      <c r="J234" s="177" t="s">
        <v>81</v>
      </c>
      <c r="K234" s="177">
        <v>0</v>
      </c>
      <c r="L234" s="177">
        <v>494</v>
      </c>
      <c r="M234" s="177">
        <v>0</v>
      </c>
      <c r="N234" s="177">
        <v>0</v>
      </c>
      <c r="O234" s="177">
        <v>0</v>
      </c>
      <c r="P234" s="177">
        <v>0</v>
      </c>
      <c r="Q234" s="177">
        <v>0</v>
      </c>
      <c r="R234" s="177">
        <v>0</v>
      </c>
      <c r="S234" s="177">
        <v>0</v>
      </c>
      <c r="T234" s="177">
        <v>0</v>
      </c>
    </row>
    <row r="235" spans="1:20">
      <c r="A235" s="213" t="s">
        <v>33</v>
      </c>
      <c r="B235" s="213" t="s">
        <v>26</v>
      </c>
      <c r="C235" s="213" t="s">
        <v>147</v>
      </c>
      <c r="D235" s="213" t="s">
        <v>122</v>
      </c>
      <c r="E235" s="177" t="s">
        <v>226</v>
      </c>
      <c r="F235" s="177" t="s">
        <v>17</v>
      </c>
      <c r="G235" s="177">
        <v>0.18</v>
      </c>
      <c r="H235" s="177">
        <v>0.5</v>
      </c>
      <c r="I235" s="177" t="s">
        <v>254</v>
      </c>
      <c r="J235" s="177" t="s">
        <v>82</v>
      </c>
      <c r="K235" s="177">
        <v>0</v>
      </c>
      <c r="L235" s="177">
        <v>119</v>
      </c>
      <c r="M235" s="177">
        <v>0</v>
      </c>
      <c r="N235" s="177">
        <v>0</v>
      </c>
      <c r="O235" s="177">
        <v>0</v>
      </c>
      <c r="P235" s="177">
        <v>0</v>
      </c>
      <c r="Q235" s="177">
        <v>0</v>
      </c>
      <c r="R235" s="177">
        <v>0</v>
      </c>
      <c r="S235" s="177">
        <v>0</v>
      </c>
      <c r="T235" s="177">
        <v>0</v>
      </c>
    </row>
    <row r="236" spans="1:20">
      <c r="A236" s="213" t="s">
        <v>33</v>
      </c>
      <c r="B236" s="213" t="s">
        <v>26</v>
      </c>
      <c r="C236" s="213" t="s">
        <v>147</v>
      </c>
      <c r="D236" s="213" t="s">
        <v>148</v>
      </c>
      <c r="E236" s="177" t="s">
        <v>229</v>
      </c>
      <c r="F236" s="177" t="s">
        <v>17</v>
      </c>
      <c r="G236" s="177">
        <v>0.18</v>
      </c>
      <c r="H236" s="177">
        <v>0.5</v>
      </c>
      <c r="I236" s="177" t="s">
        <v>222</v>
      </c>
      <c r="J236" s="177" t="s">
        <v>81</v>
      </c>
      <c r="K236" s="177">
        <v>10</v>
      </c>
      <c r="L236" s="177">
        <v>572</v>
      </c>
      <c r="M236" s="177">
        <v>5720</v>
      </c>
      <c r="N236" s="177">
        <v>0</v>
      </c>
      <c r="O236" s="177">
        <v>0</v>
      </c>
      <c r="P236" s="177">
        <v>0</v>
      </c>
      <c r="Q236" s="177">
        <v>0</v>
      </c>
      <c r="R236" s="177">
        <v>5720</v>
      </c>
      <c r="S236" s="177">
        <v>1029.5999999999999</v>
      </c>
      <c r="T236" s="177">
        <v>514.79999999999995</v>
      </c>
    </row>
    <row r="237" spans="1:20">
      <c r="A237" s="213" t="s">
        <v>33</v>
      </c>
      <c r="B237" s="213" t="s">
        <v>26</v>
      </c>
      <c r="C237" s="213" t="s">
        <v>147</v>
      </c>
      <c r="D237" s="213" t="s">
        <v>148</v>
      </c>
      <c r="E237" s="177" t="s">
        <v>229</v>
      </c>
      <c r="F237" s="177" t="s">
        <v>17</v>
      </c>
      <c r="G237" s="177">
        <v>0.18</v>
      </c>
      <c r="H237" s="177">
        <v>0.5</v>
      </c>
      <c r="I237" s="177" t="s">
        <v>220</v>
      </c>
      <c r="J237" s="177" t="s">
        <v>81</v>
      </c>
      <c r="K237" s="177">
        <v>5</v>
      </c>
      <c r="L237" s="177">
        <v>494</v>
      </c>
      <c r="M237" s="177">
        <v>2470</v>
      </c>
      <c r="N237" s="177">
        <v>0</v>
      </c>
      <c r="O237" s="177">
        <v>0</v>
      </c>
      <c r="P237" s="177">
        <v>0</v>
      </c>
      <c r="Q237" s="177">
        <v>0</v>
      </c>
      <c r="R237" s="177">
        <v>2470</v>
      </c>
      <c r="S237" s="177">
        <v>444.6</v>
      </c>
      <c r="T237" s="177">
        <v>222.3</v>
      </c>
    </row>
    <row r="238" spans="1:20">
      <c r="A238" s="213" t="s">
        <v>33</v>
      </c>
      <c r="B238" s="213" t="s">
        <v>26</v>
      </c>
      <c r="C238" s="213" t="s">
        <v>147</v>
      </c>
      <c r="D238" s="213" t="s">
        <v>148</v>
      </c>
      <c r="E238" s="177" t="s">
        <v>229</v>
      </c>
      <c r="F238" s="177" t="s">
        <v>17</v>
      </c>
      <c r="G238" s="177">
        <v>0.18</v>
      </c>
      <c r="H238" s="177">
        <v>0.5</v>
      </c>
      <c r="I238" s="177" t="s">
        <v>254</v>
      </c>
      <c r="J238" s="177" t="s">
        <v>82</v>
      </c>
      <c r="K238" s="177">
        <v>60</v>
      </c>
      <c r="L238" s="177">
        <v>119</v>
      </c>
      <c r="M238" s="177">
        <v>7140</v>
      </c>
      <c r="N238" s="177">
        <v>0</v>
      </c>
      <c r="O238" s="177">
        <v>0</v>
      </c>
      <c r="P238" s="177">
        <v>0</v>
      </c>
      <c r="Q238" s="177">
        <v>0</v>
      </c>
      <c r="R238" s="177">
        <v>7140</v>
      </c>
      <c r="S238" s="177">
        <v>8425.2000000000007</v>
      </c>
      <c r="T238" s="177">
        <v>4212.6000000000004</v>
      </c>
    </row>
    <row r="239" spans="1:20">
      <c r="A239" s="213" t="s">
        <v>33</v>
      </c>
      <c r="B239" s="213" t="s">
        <v>26</v>
      </c>
      <c r="C239" s="213" t="s">
        <v>147</v>
      </c>
      <c r="D239" s="213" t="s">
        <v>149</v>
      </c>
      <c r="E239" s="177" t="s">
        <v>229</v>
      </c>
      <c r="F239" s="177" t="s">
        <v>17</v>
      </c>
      <c r="G239" s="177">
        <v>0.18</v>
      </c>
      <c r="H239" s="177">
        <v>0.5</v>
      </c>
      <c r="I239" s="177" t="s">
        <v>222</v>
      </c>
      <c r="J239" s="177" t="s">
        <v>81</v>
      </c>
      <c r="K239" s="177">
        <v>10</v>
      </c>
      <c r="L239" s="177">
        <v>572</v>
      </c>
      <c r="M239" s="177">
        <v>5720</v>
      </c>
      <c r="N239" s="177">
        <v>0</v>
      </c>
      <c r="O239" s="177">
        <v>0</v>
      </c>
      <c r="P239" s="177">
        <v>0</v>
      </c>
      <c r="Q239" s="177">
        <v>0</v>
      </c>
      <c r="R239" s="177">
        <v>5720</v>
      </c>
      <c r="S239" s="177">
        <v>1029.5999999999999</v>
      </c>
      <c r="T239" s="177">
        <v>514.79999999999995</v>
      </c>
    </row>
    <row r="240" spans="1:20">
      <c r="A240" s="213" t="s">
        <v>33</v>
      </c>
      <c r="B240" s="213" t="s">
        <v>26</v>
      </c>
      <c r="C240" s="213" t="s">
        <v>147</v>
      </c>
      <c r="D240" s="213" t="s">
        <v>149</v>
      </c>
      <c r="E240" s="177" t="s">
        <v>229</v>
      </c>
      <c r="F240" s="177" t="s">
        <v>17</v>
      </c>
      <c r="G240" s="177">
        <v>0.18</v>
      </c>
      <c r="H240" s="177">
        <v>0.5</v>
      </c>
      <c r="I240" s="177" t="s">
        <v>220</v>
      </c>
      <c r="J240" s="177" t="s">
        <v>81</v>
      </c>
      <c r="K240" s="177">
        <v>5</v>
      </c>
      <c r="L240" s="177">
        <v>494</v>
      </c>
      <c r="M240" s="177">
        <v>2470</v>
      </c>
      <c r="N240" s="177">
        <v>0</v>
      </c>
      <c r="O240" s="177">
        <v>0</v>
      </c>
      <c r="P240" s="177">
        <v>0</v>
      </c>
      <c r="Q240" s="177">
        <v>0</v>
      </c>
      <c r="R240" s="177">
        <v>2470</v>
      </c>
      <c r="S240" s="177">
        <v>444.6</v>
      </c>
      <c r="T240" s="177">
        <v>222.3</v>
      </c>
    </row>
    <row r="241" spans="1:20">
      <c r="A241" s="213" t="s">
        <v>33</v>
      </c>
      <c r="B241" s="213" t="s">
        <v>26</v>
      </c>
      <c r="C241" s="213" t="s">
        <v>147</v>
      </c>
      <c r="D241" s="213" t="s">
        <v>149</v>
      </c>
      <c r="E241" s="177" t="s">
        <v>229</v>
      </c>
      <c r="F241" s="177" t="s">
        <v>17</v>
      </c>
      <c r="G241" s="177">
        <v>0.18</v>
      </c>
      <c r="H241" s="177">
        <v>0.5</v>
      </c>
      <c r="I241" s="177" t="s">
        <v>221</v>
      </c>
      <c r="J241" s="177" t="s">
        <v>82</v>
      </c>
      <c r="K241" s="177">
        <v>60</v>
      </c>
      <c r="L241" s="177">
        <v>119</v>
      </c>
      <c r="M241" s="177">
        <v>7140</v>
      </c>
      <c r="N241" s="177">
        <v>0</v>
      </c>
      <c r="O241" s="177">
        <v>0</v>
      </c>
      <c r="P241" s="177">
        <v>0</v>
      </c>
      <c r="Q241" s="177">
        <v>0</v>
      </c>
      <c r="R241" s="177">
        <v>7140</v>
      </c>
      <c r="S241" s="177">
        <v>8425.2000000000007</v>
      </c>
      <c r="T241" s="177">
        <v>4212.6000000000004</v>
      </c>
    </row>
    <row r="242" spans="1:20">
      <c r="A242" s="213" t="s">
        <v>33</v>
      </c>
      <c r="B242" s="213" t="s">
        <v>26</v>
      </c>
      <c r="C242" s="213" t="s">
        <v>152</v>
      </c>
      <c r="D242" s="213" t="s">
        <v>150</v>
      </c>
      <c r="E242" s="177" t="s">
        <v>230</v>
      </c>
      <c r="F242" s="177" t="s">
        <v>17</v>
      </c>
      <c r="G242" s="177">
        <v>0.18</v>
      </c>
      <c r="H242" s="177">
        <v>0.5</v>
      </c>
      <c r="I242" s="177" t="s">
        <v>231</v>
      </c>
      <c r="J242" s="177" t="s">
        <v>81</v>
      </c>
      <c r="K242" s="177">
        <v>15</v>
      </c>
      <c r="L242" s="177">
        <v>572</v>
      </c>
      <c r="M242" s="177">
        <v>8580</v>
      </c>
      <c r="N242" s="177">
        <v>0</v>
      </c>
      <c r="O242" s="177">
        <v>0</v>
      </c>
      <c r="P242" s="177">
        <v>0</v>
      </c>
      <c r="Q242" s="177">
        <v>0</v>
      </c>
      <c r="R242" s="177">
        <v>8580</v>
      </c>
      <c r="S242" s="177">
        <v>1544.4</v>
      </c>
      <c r="T242" s="177">
        <v>772.2</v>
      </c>
    </row>
    <row r="243" spans="1:20">
      <c r="A243" s="213" t="s">
        <v>33</v>
      </c>
      <c r="B243" s="213" t="s">
        <v>26</v>
      </c>
      <c r="C243" s="213" t="s">
        <v>152</v>
      </c>
      <c r="D243" s="213" t="s">
        <v>150</v>
      </c>
      <c r="E243" s="177" t="s">
        <v>230</v>
      </c>
      <c r="F243" s="177" t="s">
        <v>17</v>
      </c>
      <c r="G243" s="177">
        <v>0.18</v>
      </c>
      <c r="H243" s="177">
        <v>0.5</v>
      </c>
      <c r="I243" s="177" t="s">
        <v>220</v>
      </c>
      <c r="J243" s="177" t="s">
        <v>81</v>
      </c>
      <c r="K243" s="177">
        <v>10</v>
      </c>
      <c r="L243" s="177">
        <v>494</v>
      </c>
      <c r="M243" s="177">
        <v>4940</v>
      </c>
      <c r="N243" s="177">
        <v>0</v>
      </c>
      <c r="O243" s="177">
        <v>0</v>
      </c>
      <c r="P243" s="177">
        <v>0</v>
      </c>
      <c r="Q243" s="177">
        <v>0</v>
      </c>
      <c r="R243" s="177">
        <v>4940</v>
      </c>
      <c r="S243" s="177">
        <v>889.2</v>
      </c>
      <c r="T243" s="177">
        <v>444.6</v>
      </c>
    </row>
    <row r="244" spans="1:20">
      <c r="A244" s="213" t="s">
        <v>33</v>
      </c>
      <c r="B244" s="213" t="s">
        <v>26</v>
      </c>
      <c r="C244" s="213" t="s">
        <v>152</v>
      </c>
      <c r="D244" s="213" t="s">
        <v>150</v>
      </c>
      <c r="E244" s="177" t="s">
        <v>230</v>
      </c>
      <c r="F244" s="177" t="s">
        <v>17</v>
      </c>
      <c r="G244" s="177">
        <v>0.18</v>
      </c>
      <c r="H244" s="177">
        <v>0.5</v>
      </c>
      <c r="I244" s="177" t="s">
        <v>254</v>
      </c>
      <c r="J244" s="177" t="s">
        <v>82</v>
      </c>
      <c r="K244" s="177">
        <v>20</v>
      </c>
      <c r="L244" s="177">
        <v>119</v>
      </c>
      <c r="M244" s="177">
        <v>2380</v>
      </c>
      <c r="N244" s="177">
        <v>0</v>
      </c>
      <c r="O244" s="177">
        <v>0</v>
      </c>
      <c r="P244" s="177">
        <v>0</v>
      </c>
      <c r="Q244" s="177">
        <v>0</v>
      </c>
      <c r="R244" s="177">
        <v>2380</v>
      </c>
      <c r="S244" s="177">
        <v>2808.4</v>
      </c>
      <c r="T244" s="177">
        <v>1404.2</v>
      </c>
    </row>
    <row r="245" spans="1:20">
      <c r="A245" s="213" t="s">
        <v>33</v>
      </c>
      <c r="B245" s="213" t="s">
        <v>26</v>
      </c>
      <c r="C245" s="213" t="s">
        <v>151</v>
      </c>
      <c r="D245" s="213" t="s">
        <v>145</v>
      </c>
      <c r="E245" s="177"/>
      <c r="F245" s="177" t="s">
        <v>79</v>
      </c>
      <c r="G245" s="177">
        <v>0.16</v>
      </c>
      <c r="H245" s="177">
        <v>0.5</v>
      </c>
      <c r="I245" s="177" t="s">
        <v>243</v>
      </c>
      <c r="J245" s="177" t="s">
        <v>82</v>
      </c>
      <c r="K245" s="177">
        <v>63</v>
      </c>
      <c r="L245" s="177">
        <v>328</v>
      </c>
      <c r="M245" s="177">
        <v>20664</v>
      </c>
      <c r="N245" s="177"/>
      <c r="O245" s="177"/>
      <c r="P245" s="177"/>
      <c r="Q245" s="177">
        <v>0</v>
      </c>
      <c r="R245" s="177">
        <v>20664</v>
      </c>
      <c r="S245" s="177">
        <v>23970.240000000002</v>
      </c>
      <c r="T245" s="177">
        <v>11985.12</v>
      </c>
    </row>
    <row r="246" spans="1:20">
      <c r="A246" s="213" t="s">
        <v>33</v>
      </c>
      <c r="B246" s="213" t="s">
        <v>26</v>
      </c>
      <c r="C246" s="213" t="s">
        <v>151</v>
      </c>
      <c r="D246" s="213" t="s">
        <v>145</v>
      </c>
      <c r="E246" s="177"/>
      <c r="F246" s="177" t="s">
        <v>79</v>
      </c>
      <c r="G246" s="177">
        <v>0.16</v>
      </c>
      <c r="H246" s="177">
        <v>0.5</v>
      </c>
      <c r="I246" s="177" t="s">
        <v>241</v>
      </c>
      <c r="J246" s="177" t="s">
        <v>81</v>
      </c>
      <c r="K246" s="177">
        <v>63</v>
      </c>
      <c r="L246" s="177">
        <v>275</v>
      </c>
      <c r="M246" s="177">
        <v>17325</v>
      </c>
      <c r="N246" s="177"/>
      <c r="O246" s="177"/>
      <c r="P246" s="177"/>
      <c r="Q246" s="177">
        <v>0</v>
      </c>
      <c r="R246" s="177">
        <v>17325</v>
      </c>
      <c r="S246" s="177">
        <v>2772</v>
      </c>
      <c r="T246" s="177">
        <v>1386</v>
      </c>
    </row>
    <row r="247" spans="1:20">
      <c r="A247" s="213" t="s">
        <v>33</v>
      </c>
      <c r="B247" s="213" t="s">
        <v>26</v>
      </c>
      <c r="C247" s="213" t="s">
        <v>151</v>
      </c>
      <c r="D247" s="213" t="s">
        <v>145</v>
      </c>
      <c r="E247" s="177"/>
      <c r="F247" s="177" t="s">
        <v>79</v>
      </c>
      <c r="G247" s="177">
        <v>0.16</v>
      </c>
      <c r="H247" s="177">
        <v>0.5</v>
      </c>
      <c r="I247" s="177" t="s">
        <v>239</v>
      </c>
      <c r="J247" s="177" t="s">
        <v>82</v>
      </c>
      <c r="K247" s="177">
        <v>63</v>
      </c>
      <c r="L247" s="177">
        <v>30</v>
      </c>
      <c r="M247" s="177">
        <v>1890</v>
      </c>
      <c r="N247" s="177"/>
      <c r="O247" s="177"/>
      <c r="P247" s="177"/>
      <c r="Q247" s="177">
        <v>0</v>
      </c>
      <c r="R247" s="177">
        <v>1890</v>
      </c>
      <c r="S247" s="177">
        <v>2192.4</v>
      </c>
      <c r="T247" s="177">
        <v>1096.2</v>
      </c>
    </row>
    <row r="248" spans="1:20">
      <c r="A248" s="213" t="s">
        <v>33</v>
      </c>
      <c r="B248" s="213" t="s">
        <v>26</v>
      </c>
      <c r="C248" s="213" t="s">
        <v>151</v>
      </c>
      <c r="D248" s="213" t="s">
        <v>146</v>
      </c>
      <c r="E248" s="177"/>
      <c r="F248" s="177" t="s">
        <v>79</v>
      </c>
      <c r="G248" s="177">
        <v>0.16</v>
      </c>
      <c r="H248" s="177">
        <v>0.5</v>
      </c>
      <c r="I248" s="177" t="s">
        <v>238</v>
      </c>
      <c r="J248" s="177" t="s">
        <v>81</v>
      </c>
      <c r="K248" s="177">
        <v>4</v>
      </c>
      <c r="L248" s="177">
        <v>446</v>
      </c>
      <c r="M248" s="177">
        <v>1784</v>
      </c>
      <c r="N248" s="177"/>
      <c r="O248" s="177"/>
      <c r="P248" s="177"/>
      <c r="Q248" s="177">
        <v>0</v>
      </c>
      <c r="R248" s="177">
        <v>1784</v>
      </c>
      <c r="S248" s="177">
        <v>285.44</v>
      </c>
      <c r="T248" s="177">
        <v>142.72</v>
      </c>
    </row>
    <row r="249" spans="1:20">
      <c r="A249" s="213" t="s">
        <v>33</v>
      </c>
      <c r="B249" s="213" t="s">
        <v>26</v>
      </c>
      <c r="C249" s="213" t="s">
        <v>151</v>
      </c>
      <c r="D249" s="213" t="s">
        <v>146</v>
      </c>
      <c r="E249" s="177"/>
      <c r="F249" s="177" t="s">
        <v>79</v>
      </c>
      <c r="G249" s="177">
        <v>0.16</v>
      </c>
      <c r="H249" s="177">
        <v>0.5</v>
      </c>
      <c r="I249" s="177" t="s">
        <v>243</v>
      </c>
      <c r="J249" s="177" t="s">
        <v>82</v>
      </c>
      <c r="K249" s="177">
        <v>4</v>
      </c>
      <c r="L249" s="177">
        <v>328</v>
      </c>
      <c r="M249" s="177">
        <v>1312</v>
      </c>
      <c r="N249" s="177"/>
      <c r="O249" s="177"/>
      <c r="P249" s="177"/>
      <c r="Q249" s="177">
        <v>0</v>
      </c>
      <c r="R249" s="177">
        <v>1312</v>
      </c>
      <c r="S249" s="177">
        <v>1521.92</v>
      </c>
      <c r="T249" s="177">
        <v>760.96</v>
      </c>
    </row>
    <row r="250" spans="1:20">
      <c r="A250" s="213" t="s">
        <v>33</v>
      </c>
      <c r="B250" s="213" t="s">
        <v>26</v>
      </c>
      <c r="C250" s="213"/>
      <c r="D250" s="213" t="s">
        <v>146</v>
      </c>
      <c r="E250" s="177"/>
      <c r="F250" s="177" t="s">
        <v>79</v>
      </c>
      <c r="G250" s="177">
        <v>0.16</v>
      </c>
      <c r="H250" s="177">
        <v>0.5</v>
      </c>
      <c r="I250" s="177" t="s">
        <v>239</v>
      </c>
      <c r="J250" s="177" t="s">
        <v>82</v>
      </c>
      <c r="K250" s="177">
        <v>5</v>
      </c>
      <c r="L250" s="177">
        <v>30</v>
      </c>
      <c r="M250" s="177">
        <v>150</v>
      </c>
      <c r="N250" s="177"/>
      <c r="O250" s="177"/>
      <c r="P250" s="177"/>
      <c r="Q250" s="177">
        <v>0</v>
      </c>
      <c r="R250" s="177">
        <v>150</v>
      </c>
      <c r="S250" s="177">
        <v>174</v>
      </c>
      <c r="T250" s="177">
        <v>87</v>
      </c>
    </row>
    <row r="251" spans="1:20">
      <c r="A251" s="213" t="s">
        <v>33</v>
      </c>
      <c r="B251" s="213" t="s">
        <v>26</v>
      </c>
      <c r="C251" s="213" t="s">
        <v>147</v>
      </c>
      <c r="D251" s="213" t="s">
        <v>148</v>
      </c>
      <c r="E251" s="177"/>
      <c r="F251" s="177" t="s">
        <v>79</v>
      </c>
      <c r="G251" s="177">
        <v>0.16</v>
      </c>
      <c r="H251" s="177">
        <v>0.5</v>
      </c>
      <c r="I251" s="177" t="s">
        <v>238</v>
      </c>
      <c r="J251" s="177" t="s">
        <v>81</v>
      </c>
      <c r="K251" s="177">
        <v>2</v>
      </c>
      <c r="L251" s="177">
        <v>446</v>
      </c>
      <c r="M251" s="177">
        <v>892</v>
      </c>
      <c r="N251" s="177"/>
      <c r="O251" s="177"/>
      <c r="P251" s="177"/>
      <c r="Q251" s="177">
        <v>0</v>
      </c>
      <c r="R251" s="177">
        <v>892</v>
      </c>
      <c r="S251" s="177">
        <v>142.72</v>
      </c>
      <c r="T251" s="177">
        <v>71.36</v>
      </c>
    </row>
    <row r="252" spans="1:20">
      <c r="A252" s="213" t="s">
        <v>33</v>
      </c>
      <c r="B252" s="213" t="s">
        <v>26</v>
      </c>
      <c r="C252" s="213" t="s">
        <v>147</v>
      </c>
      <c r="D252" s="213" t="s">
        <v>148</v>
      </c>
      <c r="E252" s="177"/>
      <c r="F252" s="177" t="s">
        <v>79</v>
      </c>
      <c r="G252" s="177">
        <v>0.16</v>
      </c>
      <c r="H252" s="177">
        <v>0.5</v>
      </c>
      <c r="I252" s="177" t="s">
        <v>243</v>
      </c>
      <c r="J252" s="177" t="s">
        <v>82</v>
      </c>
      <c r="K252" s="177">
        <v>3</v>
      </c>
      <c r="L252" s="177">
        <v>328</v>
      </c>
      <c r="M252" s="177">
        <v>984</v>
      </c>
      <c r="N252" s="177"/>
      <c r="O252" s="177"/>
      <c r="P252" s="177"/>
      <c r="Q252" s="177">
        <v>0</v>
      </c>
      <c r="R252" s="177">
        <v>984</v>
      </c>
      <c r="S252" s="177">
        <v>1141.44</v>
      </c>
      <c r="T252" s="177">
        <v>570.72</v>
      </c>
    </row>
    <row r="253" spans="1:20">
      <c r="A253" s="213" t="s">
        <v>33</v>
      </c>
      <c r="B253" s="213" t="s">
        <v>26</v>
      </c>
      <c r="C253" s="213" t="s">
        <v>147</v>
      </c>
      <c r="D253" s="213" t="s">
        <v>148</v>
      </c>
      <c r="E253" s="177"/>
      <c r="F253" s="177" t="s">
        <v>79</v>
      </c>
      <c r="G253" s="177">
        <v>0.16</v>
      </c>
      <c r="H253" s="177">
        <v>0.5</v>
      </c>
      <c r="I253" s="177" t="s">
        <v>239</v>
      </c>
      <c r="J253" s="177" t="s">
        <v>82</v>
      </c>
      <c r="K253" s="177">
        <v>10</v>
      </c>
      <c r="L253" s="177">
        <v>30</v>
      </c>
      <c r="M253" s="177">
        <v>300</v>
      </c>
      <c r="N253" s="177"/>
      <c r="O253" s="177"/>
      <c r="P253" s="177"/>
      <c r="Q253" s="177">
        <v>0</v>
      </c>
      <c r="R253" s="177">
        <v>300</v>
      </c>
      <c r="S253" s="177">
        <v>348</v>
      </c>
      <c r="T253" s="177">
        <v>174</v>
      </c>
    </row>
    <row r="254" spans="1:20">
      <c r="A254" s="213" t="s">
        <v>33</v>
      </c>
      <c r="B254" s="213" t="s">
        <v>26</v>
      </c>
      <c r="C254" s="213" t="s">
        <v>147</v>
      </c>
      <c r="D254" s="213" t="s">
        <v>149</v>
      </c>
      <c r="E254" s="177"/>
      <c r="F254" s="177" t="s">
        <v>79</v>
      </c>
      <c r="G254" s="177">
        <v>0.16</v>
      </c>
      <c r="H254" s="177">
        <v>0.5</v>
      </c>
      <c r="I254" s="177" t="s">
        <v>238</v>
      </c>
      <c r="J254" s="177" t="s">
        <v>81</v>
      </c>
      <c r="K254" s="177">
        <v>1</v>
      </c>
      <c r="L254" s="177">
        <v>446</v>
      </c>
      <c r="M254" s="177">
        <v>446</v>
      </c>
      <c r="N254" s="177"/>
      <c r="O254" s="177"/>
      <c r="P254" s="177"/>
      <c r="Q254" s="177">
        <v>0</v>
      </c>
      <c r="R254" s="177">
        <v>446</v>
      </c>
      <c r="S254" s="177">
        <v>71.36</v>
      </c>
      <c r="T254" s="177">
        <v>35.68</v>
      </c>
    </row>
    <row r="255" spans="1:20">
      <c r="A255" s="213" t="s">
        <v>33</v>
      </c>
      <c r="B255" s="213" t="s">
        <v>26</v>
      </c>
      <c r="C255" s="213" t="s">
        <v>147</v>
      </c>
      <c r="D255" s="213" t="s">
        <v>149</v>
      </c>
      <c r="E255" s="177"/>
      <c r="F255" s="177" t="s">
        <v>79</v>
      </c>
      <c r="G255" s="177">
        <v>0.16</v>
      </c>
      <c r="H255" s="177">
        <v>0.5</v>
      </c>
      <c r="I255" s="177" t="s">
        <v>243</v>
      </c>
      <c r="J255" s="177" t="s">
        <v>82</v>
      </c>
      <c r="K255" s="177">
        <v>3</v>
      </c>
      <c r="L255" s="177">
        <v>328</v>
      </c>
      <c r="M255" s="177">
        <v>984</v>
      </c>
      <c r="N255" s="177"/>
      <c r="O255" s="177"/>
      <c r="P255" s="177"/>
      <c r="Q255" s="177">
        <v>0</v>
      </c>
      <c r="R255" s="177">
        <v>984</v>
      </c>
      <c r="S255" s="177">
        <v>1141.44</v>
      </c>
      <c r="T255" s="177">
        <v>570.72</v>
      </c>
    </row>
    <row r="256" spans="1:20">
      <c r="A256" s="213" t="s">
        <v>33</v>
      </c>
      <c r="B256" s="213" t="s">
        <v>26</v>
      </c>
      <c r="C256" s="213" t="s">
        <v>147</v>
      </c>
      <c r="D256" s="213" t="s">
        <v>149</v>
      </c>
      <c r="E256" s="177"/>
      <c r="F256" s="177" t="s">
        <v>79</v>
      </c>
      <c r="G256" s="177">
        <v>0.16</v>
      </c>
      <c r="H256" s="177">
        <v>0.5</v>
      </c>
      <c r="I256" s="177" t="s">
        <v>239</v>
      </c>
      <c r="J256" s="177" t="s">
        <v>82</v>
      </c>
      <c r="K256" s="177">
        <v>10</v>
      </c>
      <c r="L256" s="177">
        <v>30</v>
      </c>
      <c r="M256" s="177">
        <v>300</v>
      </c>
      <c r="N256" s="177"/>
      <c r="O256" s="177"/>
      <c r="P256" s="177"/>
      <c r="Q256" s="177">
        <v>0</v>
      </c>
      <c r="R256" s="177">
        <v>300</v>
      </c>
      <c r="S256" s="177">
        <v>348</v>
      </c>
      <c r="T256" s="177">
        <v>174</v>
      </c>
    </row>
    <row r="257" spans="1:20">
      <c r="A257" s="213" t="s">
        <v>33</v>
      </c>
      <c r="B257" s="213" t="s">
        <v>26</v>
      </c>
      <c r="C257" s="213" t="s">
        <v>152</v>
      </c>
      <c r="D257" s="213" t="s">
        <v>150</v>
      </c>
      <c r="E257" s="177"/>
      <c r="F257" s="177" t="s">
        <v>79</v>
      </c>
      <c r="G257" s="177">
        <v>0.16</v>
      </c>
      <c r="H257" s="177">
        <v>0.5</v>
      </c>
      <c r="I257" s="177" t="s">
        <v>238</v>
      </c>
      <c r="J257" s="177" t="s">
        <v>81</v>
      </c>
      <c r="K257" s="177">
        <v>1</v>
      </c>
      <c r="L257" s="177">
        <v>446</v>
      </c>
      <c r="M257" s="177">
        <v>446</v>
      </c>
      <c r="N257" s="177"/>
      <c r="O257" s="177"/>
      <c r="P257" s="177"/>
      <c r="Q257" s="177">
        <v>0</v>
      </c>
      <c r="R257" s="177">
        <v>446</v>
      </c>
      <c r="S257" s="177">
        <v>71.36</v>
      </c>
      <c r="T257" s="177">
        <v>35.68</v>
      </c>
    </row>
    <row r="258" spans="1:20">
      <c r="A258" s="213" t="s">
        <v>33</v>
      </c>
      <c r="B258" s="213" t="s">
        <v>26</v>
      </c>
      <c r="C258" s="213" t="s">
        <v>152</v>
      </c>
      <c r="D258" s="213" t="s">
        <v>150</v>
      </c>
      <c r="E258" s="177"/>
      <c r="F258" s="177" t="s">
        <v>79</v>
      </c>
      <c r="G258" s="177">
        <v>0.16</v>
      </c>
      <c r="H258" s="177">
        <v>0.5</v>
      </c>
      <c r="I258" s="177" t="s">
        <v>243</v>
      </c>
      <c r="J258" s="177" t="s">
        <v>82</v>
      </c>
      <c r="K258" s="177">
        <v>5</v>
      </c>
      <c r="L258" s="177">
        <v>328</v>
      </c>
      <c r="M258" s="177">
        <v>1640</v>
      </c>
      <c r="N258" s="177"/>
      <c r="O258" s="177"/>
      <c r="P258" s="177"/>
      <c r="Q258" s="177">
        <v>0</v>
      </c>
      <c r="R258" s="177">
        <v>1640</v>
      </c>
      <c r="S258" s="177">
        <v>1902.4</v>
      </c>
      <c r="T258" s="177">
        <v>951.2</v>
      </c>
    </row>
    <row r="259" spans="1:20">
      <c r="A259" s="213" t="s">
        <v>33</v>
      </c>
      <c r="B259" s="213" t="s">
        <v>26</v>
      </c>
      <c r="C259" s="213" t="s">
        <v>152</v>
      </c>
      <c r="D259" s="213" t="s">
        <v>150</v>
      </c>
      <c r="E259" s="177"/>
      <c r="F259" s="177" t="s">
        <v>79</v>
      </c>
      <c r="G259" s="177">
        <v>0.16</v>
      </c>
      <c r="H259" s="177">
        <v>0.5</v>
      </c>
      <c r="I259" s="177" t="s">
        <v>239</v>
      </c>
      <c r="J259" s="177" t="s">
        <v>82</v>
      </c>
      <c r="K259" s="177">
        <v>5</v>
      </c>
      <c r="L259" s="177">
        <v>30</v>
      </c>
      <c r="M259" s="177">
        <v>150</v>
      </c>
      <c r="N259" s="177"/>
      <c r="O259" s="177"/>
      <c r="P259" s="177"/>
      <c r="Q259" s="177">
        <v>0</v>
      </c>
      <c r="R259" s="177">
        <v>150</v>
      </c>
      <c r="S259" s="177">
        <v>174</v>
      </c>
      <c r="T259" s="177">
        <v>87</v>
      </c>
    </row>
    <row r="260" spans="1:20">
      <c r="A260" s="213" t="s">
        <v>33</v>
      </c>
      <c r="B260" s="213" t="s">
        <v>26</v>
      </c>
      <c r="C260" s="213" t="s">
        <v>153</v>
      </c>
      <c r="D260" s="213" t="s">
        <v>137</v>
      </c>
      <c r="E260" s="177"/>
      <c r="F260" s="177" t="s">
        <v>21</v>
      </c>
      <c r="G260" s="177">
        <v>0.25</v>
      </c>
      <c r="H260" s="177">
        <v>0.7</v>
      </c>
      <c r="I260" s="177" t="s">
        <v>259</v>
      </c>
      <c r="J260" s="177" t="s">
        <v>82</v>
      </c>
      <c r="K260" s="177">
        <v>16</v>
      </c>
      <c r="L260" s="177">
        <v>430</v>
      </c>
      <c r="M260" s="177">
        <v>6880</v>
      </c>
      <c r="N260" s="177" t="s">
        <v>45</v>
      </c>
      <c r="O260" s="177">
        <v>14</v>
      </c>
      <c r="P260" s="177">
        <v>150</v>
      </c>
      <c r="Q260" s="177">
        <v>2100</v>
      </c>
      <c r="R260" s="177">
        <v>8980</v>
      </c>
      <c r="S260" s="177">
        <v>11225</v>
      </c>
      <c r="T260" s="177">
        <v>7857.4999999999982</v>
      </c>
    </row>
    <row r="261" spans="1:20">
      <c r="A261" s="213" t="s">
        <v>33</v>
      </c>
      <c r="B261" s="213" t="s">
        <v>26</v>
      </c>
      <c r="C261" s="213" t="s">
        <v>153</v>
      </c>
      <c r="D261" s="213" t="s">
        <v>138</v>
      </c>
      <c r="E261" s="177"/>
      <c r="F261" s="177" t="s">
        <v>21</v>
      </c>
      <c r="G261" s="177">
        <v>0.25</v>
      </c>
      <c r="H261" s="177">
        <v>0.7</v>
      </c>
      <c r="I261" s="177" t="s">
        <v>259</v>
      </c>
      <c r="J261" s="177" t="s">
        <v>82</v>
      </c>
      <c r="K261" s="177">
        <v>2</v>
      </c>
      <c r="L261" s="177">
        <v>430</v>
      </c>
      <c r="M261" s="177">
        <v>860</v>
      </c>
      <c r="N261" s="177" t="s">
        <v>45</v>
      </c>
      <c r="O261" s="177"/>
      <c r="P261" s="177"/>
      <c r="Q261" s="177">
        <v>0</v>
      </c>
      <c r="R261" s="177">
        <v>860</v>
      </c>
      <c r="S261" s="177">
        <v>1075</v>
      </c>
      <c r="T261" s="177">
        <v>752.5</v>
      </c>
    </row>
    <row r="262" spans="1:20">
      <c r="A262" s="213" t="s">
        <v>33</v>
      </c>
      <c r="B262" s="213" t="s">
        <v>26</v>
      </c>
      <c r="C262" s="213" t="s">
        <v>151</v>
      </c>
      <c r="D262" s="213" t="s">
        <v>145</v>
      </c>
      <c r="E262" s="177" t="s">
        <v>260</v>
      </c>
      <c r="F262" s="177" t="s">
        <v>21</v>
      </c>
      <c r="G262" s="177">
        <v>0.25</v>
      </c>
      <c r="H262" s="177">
        <v>0.7</v>
      </c>
      <c r="I262" s="177" t="s">
        <v>259</v>
      </c>
      <c r="J262" s="177" t="s">
        <v>82</v>
      </c>
      <c r="K262" s="177">
        <v>4</v>
      </c>
      <c r="L262" s="177">
        <v>430</v>
      </c>
      <c r="M262" s="177">
        <v>1720</v>
      </c>
      <c r="N262" s="177" t="s">
        <v>261</v>
      </c>
      <c r="O262" s="177">
        <v>2</v>
      </c>
      <c r="P262" s="177">
        <v>8500</v>
      </c>
      <c r="Q262" s="177">
        <v>17000</v>
      </c>
      <c r="R262" s="177">
        <v>18720</v>
      </c>
      <c r="S262" s="177">
        <v>23400</v>
      </c>
      <c r="T262" s="177">
        <v>16379.999999999998</v>
      </c>
    </row>
    <row r="263" spans="1:20">
      <c r="A263" s="213" t="s">
        <v>33</v>
      </c>
      <c r="B263" s="213" t="s">
        <v>26</v>
      </c>
      <c r="C263" s="213" t="s">
        <v>151</v>
      </c>
      <c r="D263" s="213" t="s">
        <v>122</v>
      </c>
      <c r="E263" s="177"/>
      <c r="F263" s="177" t="s">
        <v>22</v>
      </c>
      <c r="G263" s="177">
        <v>0.2</v>
      </c>
      <c r="H263" s="177">
        <v>0.5</v>
      </c>
      <c r="I263" s="177" t="s">
        <v>216</v>
      </c>
      <c r="J263" s="177" t="s">
        <v>82</v>
      </c>
      <c r="K263" s="177">
        <v>5</v>
      </c>
      <c r="L263" s="177">
        <v>380</v>
      </c>
      <c r="M263" s="177">
        <v>1900</v>
      </c>
      <c r="N263" s="177"/>
      <c r="O263" s="177"/>
      <c r="P263" s="177"/>
      <c r="Q263" s="177">
        <v>0</v>
      </c>
      <c r="R263" s="177">
        <v>1900</v>
      </c>
      <c r="S263" s="177">
        <v>2280</v>
      </c>
      <c r="T263" s="177">
        <v>1140</v>
      </c>
    </row>
    <row r="264" spans="1:20">
      <c r="A264" s="213" t="s">
        <v>33</v>
      </c>
      <c r="B264" s="213" t="s">
        <v>26</v>
      </c>
      <c r="C264" s="213" t="s">
        <v>151</v>
      </c>
      <c r="D264" s="213" t="s">
        <v>145</v>
      </c>
      <c r="E264" s="177"/>
      <c r="F264" s="177" t="s">
        <v>22</v>
      </c>
      <c r="G264" s="177">
        <v>0.2</v>
      </c>
      <c r="H264" s="177">
        <v>0.5</v>
      </c>
      <c r="I264" s="177" t="s">
        <v>216</v>
      </c>
      <c r="J264" s="177" t="s">
        <v>82</v>
      </c>
      <c r="K264" s="177">
        <v>1</v>
      </c>
      <c r="L264" s="177">
        <v>380</v>
      </c>
      <c r="M264" s="177">
        <v>380</v>
      </c>
      <c r="N264" s="177"/>
      <c r="O264" s="177"/>
      <c r="P264" s="177"/>
      <c r="Q264" s="177">
        <v>0</v>
      </c>
      <c r="R264" s="177">
        <v>380</v>
      </c>
      <c r="S264" s="177">
        <v>456</v>
      </c>
      <c r="T264" s="177">
        <v>228</v>
      </c>
    </row>
    <row r="265" spans="1:20">
      <c r="A265" s="213" t="s">
        <v>33</v>
      </c>
      <c r="B265" s="213" t="s">
        <v>26</v>
      </c>
      <c r="C265" s="213" t="s">
        <v>151</v>
      </c>
      <c r="D265" s="213" t="s">
        <v>145</v>
      </c>
      <c r="E265" s="177"/>
      <c r="F265" s="177" t="s">
        <v>22</v>
      </c>
      <c r="G265" s="177">
        <v>0.2</v>
      </c>
      <c r="H265" s="177">
        <v>0.5</v>
      </c>
      <c r="I265" s="177" t="s">
        <v>217</v>
      </c>
      <c r="J265" s="177" t="s">
        <v>82</v>
      </c>
      <c r="K265" s="177">
        <v>80</v>
      </c>
      <c r="L265" s="177">
        <v>280</v>
      </c>
      <c r="M265" s="177">
        <v>22400</v>
      </c>
      <c r="N265" s="177" t="s">
        <v>218</v>
      </c>
      <c r="O265" s="177">
        <v>1</v>
      </c>
      <c r="P265" s="177">
        <v>7000</v>
      </c>
      <c r="Q265" s="177">
        <v>7000</v>
      </c>
      <c r="R265" s="177">
        <v>29400</v>
      </c>
      <c r="S265" s="177">
        <v>35280</v>
      </c>
      <c r="T265" s="177">
        <v>17640</v>
      </c>
    </row>
    <row r="266" spans="1:20">
      <c r="A266" s="213" t="s">
        <v>33</v>
      </c>
      <c r="B266" s="213" t="s">
        <v>26</v>
      </c>
      <c r="C266" s="213" t="s">
        <v>151</v>
      </c>
      <c r="D266" s="213" t="s">
        <v>146</v>
      </c>
      <c r="E266" s="177"/>
      <c r="F266" s="177" t="s">
        <v>22</v>
      </c>
      <c r="G266" s="177">
        <v>0.2</v>
      </c>
      <c r="H266" s="177">
        <v>0.5</v>
      </c>
      <c r="I266" s="177" t="s">
        <v>216</v>
      </c>
      <c r="J266" s="177" t="s">
        <v>82</v>
      </c>
      <c r="K266" s="177">
        <v>3</v>
      </c>
      <c r="L266" s="177">
        <v>380</v>
      </c>
      <c r="M266" s="177">
        <v>1140</v>
      </c>
      <c r="N266" s="177"/>
      <c r="O266" s="177"/>
      <c r="P266" s="177"/>
      <c r="Q266" s="177">
        <v>0</v>
      </c>
      <c r="R266" s="177">
        <v>1140</v>
      </c>
      <c r="S266" s="177">
        <v>1368</v>
      </c>
      <c r="T266" s="177">
        <v>684</v>
      </c>
    </row>
    <row r="267" spans="1:20">
      <c r="A267" s="213" t="s">
        <v>33</v>
      </c>
      <c r="B267" s="213" t="s">
        <v>26</v>
      </c>
      <c r="C267" s="213" t="s">
        <v>147</v>
      </c>
      <c r="D267" s="213" t="s">
        <v>148</v>
      </c>
      <c r="E267" s="177"/>
      <c r="F267" s="177" t="s">
        <v>22</v>
      </c>
      <c r="G267" s="177">
        <v>0.2</v>
      </c>
      <c r="H267" s="177">
        <v>0.5</v>
      </c>
      <c r="I267" s="177" t="s">
        <v>216</v>
      </c>
      <c r="J267" s="177" t="s">
        <v>82</v>
      </c>
      <c r="K267" s="177">
        <v>1</v>
      </c>
      <c r="L267" s="177">
        <v>380</v>
      </c>
      <c r="M267" s="177">
        <v>380</v>
      </c>
      <c r="N267" s="177"/>
      <c r="O267" s="177"/>
      <c r="P267" s="177"/>
      <c r="Q267" s="177">
        <v>0</v>
      </c>
      <c r="R267" s="177">
        <v>380</v>
      </c>
      <c r="S267" s="177">
        <v>456</v>
      </c>
      <c r="T267" s="177">
        <v>228</v>
      </c>
    </row>
    <row r="268" spans="1:20">
      <c r="A268" s="213" t="s">
        <v>33</v>
      </c>
      <c r="B268" s="213" t="s">
        <v>26</v>
      </c>
      <c r="C268" s="213" t="s">
        <v>147</v>
      </c>
      <c r="D268" s="213" t="s">
        <v>149</v>
      </c>
      <c r="E268" s="177"/>
      <c r="F268" s="177" t="s">
        <v>22</v>
      </c>
      <c r="G268" s="177">
        <v>0.2</v>
      </c>
      <c r="H268" s="177">
        <v>0.5</v>
      </c>
      <c r="I268" s="177" t="s">
        <v>216</v>
      </c>
      <c r="J268" s="177" t="s">
        <v>82</v>
      </c>
      <c r="K268" s="177">
        <v>1</v>
      </c>
      <c r="L268" s="177">
        <v>380</v>
      </c>
      <c r="M268" s="177">
        <v>380</v>
      </c>
      <c r="N268" s="177"/>
      <c r="O268" s="177"/>
      <c r="P268" s="177"/>
      <c r="Q268" s="177">
        <v>0</v>
      </c>
      <c r="R268" s="177">
        <v>380</v>
      </c>
      <c r="S268" s="177">
        <v>456</v>
      </c>
      <c r="T268" s="177">
        <v>228</v>
      </c>
    </row>
    <row r="269" spans="1:20">
      <c r="A269" s="213" t="s">
        <v>33</v>
      </c>
      <c r="B269" s="213" t="s">
        <v>26</v>
      </c>
      <c r="C269" s="213" t="s">
        <v>152</v>
      </c>
      <c r="D269" s="213" t="s">
        <v>150</v>
      </c>
      <c r="E269" s="177"/>
      <c r="F269" s="177" t="s">
        <v>22</v>
      </c>
      <c r="G269" s="177">
        <v>0.2</v>
      </c>
      <c r="H269" s="177">
        <v>0.5</v>
      </c>
      <c r="I269" s="177" t="s">
        <v>216</v>
      </c>
      <c r="J269" s="177" t="s">
        <v>82</v>
      </c>
      <c r="K269" s="177">
        <v>1</v>
      </c>
      <c r="L269" s="177">
        <v>380</v>
      </c>
      <c r="M269" s="177">
        <v>380</v>
      </c>
      <c r="N269" s="177"/>
      <c r="O269" s="177"/>
      <c r="P269" s="177"/>
      <c r="Q269" s="177">
        <v>0</v>
      </c>
      <c r="R269" s="177">
        <v>380</v>
      </c>
      <c r="S269" s="177">
        <v>456</v>
      </c>
      <c r="T269" s="177">
        <v>228</v>
      </c>
    </row>
    <row r="270" spans="1:20">
      <c r="A270" s="213" t="s">
        <v>34</v>
      </c>
      <c r="B270" s="213" t="s">
        <v>27</v>
      </c>
      <c r="C270" s="213" t="s">
        <v>63</v>
      </c>
      <c r="D270" s="213" t="s">
        <v>126</v>
      </c>
      <c r="E270" s="177">
        <v>0</v>
      </c>
      <c r="F270" s="177" t="s">
        <v>18</v>
      </c>
      <c r="G270" s="177">
        <v>0.25</v>
      </c>
      <c r="H270" s="177">
        <v>0.7</v>
      </c>
      <c r="I270" s="177">
        <v>0</v>
      </c>
      <c r="J270" s="177" t="s">
        <v>82</v>
      </c>
      <c r="K270" s="177">
        <v>1.5</v>
      </c>
      <c r="L270" s="177">
        <v>490</v>
      </c>
      <c r="M270" s="177">
        <v>735</v>
      </c>
      <c r="N270" s="177" t="s">
        <v>45</v>
      </c>
      <c r="O270" s="177">
        <v>1</v>
      </c>
      <c r="P270" s="177">
        <v>150</v>
      </c>
      <c r="Q270" s="177">
        <v>150</v>
      </c>
      <c r="R270" s="177">
        <v>885</v>
      </c>
      <c r="S270" s="177">
        <v>1106.25</v>
      </c>
      <c r="T270" s="177">
        <v>774.375</v>
      </c>
    </row>
    <row r="271" spans="1:20">
      <c r="A271" s="213" t="s">
        <v>34</v>
      </c>
      <c r="B271" s="213" t="s">
        <v>27</v>
      </c>
      <c r="C271" s="213" t="s">
        <v>63</v>
      </c>
      <c r="D271" s="213" t="s">
        <v>126</v>
      </c>
      <c r="E271" s="177"/>
      <c r="F271" s="177" t="s">
        <v>16</v>
      </c>
      <c r="G271" s="177">
        <v>0.25</v>
      </c>
      <c r="H271" s="177">
        <v>0.7</v>
      </c>
      <c r="I271" s="177"/>
      <c r="J271" s="177" t="s">
        <v>82</v>
      </c>
      <c r="K271" s="177"/>
      <c r="L271" s="177"/>
      <c r="M271" s="177">
        <v>0</v>
      </c>
      <c r="N271" s="177" t="s">
        <v>163</v>
      </c>
      <c r="O271" s="177">
        <v>2</v>
      </c>
      <c r="P271" s="177">
        <v>520</v>
      </c>
      <c r="Q271" s="177">
        <v>1040</v>
      </c>
      <c r="R271" s="177">
        <v>1040</v>
      </c>
      <c r="S271" s="177">
        <v>1300</v>
      </c>
      <c r="T271" s="177">
        <v>909.99999999999989</v>
      </c>
    </row>
    <row r="272" spans="1:20">
      <c r="A272" s="213" t="s">
        <v>34</v>
      </c>
      <c r="B272" s="213" t="s">
        <v>27</v>
      </c>
      <c r="C272" s="213" t="s">
        <v>63</v>
      </c>
      <c r="D272" s="213" t="s">
        <v>126</v>
      </c>
      <c r="E272" s="177"/>
      <c r="F272" s="177" t="s">
        <v>38</v>
      </c>
      <c r="G272" s="177">
        <v>0.22</v>
      </c>
      <c r="H272" s="177">
        <v>0.7</v>
      </c>
      <c r="I272" s="177" t="s">
        <v>46</v>
      </c>
      <c r="J272" s="177" t="s">
        <v>82</v>
      </c>
      <c r="K272" s="177">
        <v>2</v>
      </c>
      <c r="L272" s="177">
        <v>406</v>
      </c>
      <c r="M272" s="177">
        <v>812</v>
      </c>
      <c r="N272" s="177"/>
      <c r="O272" s="177"/>
      <c r="P272" s="177"/>
      <c r="Q272" s="177">
        <v>0</v>
      </c>
      <c r="R272" s="177">
        <v>812</v>
      </c>
      <c r="S272" s="177">
        <v>990.64</v>
      </c>
      <c r="T272" s="177">
        <v>693.44799999999998</v>
      </c>
    </row>
    <row r="273" spans="1:20">
      <c r="A273" s="213" t="s">
        <v>34</v>
      </c>
      <c r="B273" s="213" t="s">
        <v>27</v>
      </c>
      <c r="C273" s="213" t="s">
        <v>63</v>
      </c>
      <c r="D273" s="213" t="s">
        <v>127</v>
      </c>
      <c r="E273" s="177">
        <v>0</v>
      </c>
      <c r="F273" s="177" t="s">
        <v>18</v>
      </c>
      <c r="G273" s="177">
        <v>0.25</v>
      </c>
      <c r="H273" s="177">
        <v>0.7</v>
      </c>
      <c r="I273" s="177">
        <v>0</v>
      </c>
      <c r="J273" s="177" t="s">
        <v>82</v>
      </c>
      <c r="K273" s="177">
        <v>2</v>
      </c>
      <c r="L273" s="177">
        <v>490</v>
      </c>
      <c r="M273" s="177">
        <v>980</v>
      </c>
      <c r="N273" s="177" t="s">
        <v>45</v>
      </c>
      <c r="O273" s="177">
        <v>2</v>
      </c>
      <c r="P273" s="177">
        <v>150</v>
      </c>
      <c r="Q273" s="177">
        <v>300</v>
      </c>
      <c r="R273" s="177">
        <v>1280</v>
      </c>
      <c r="S273" s="177">
        <v>1600</v>
      </c>
      <c r="T273" s="177">
        <v>1120</v>
      </c>
    </row>
    <row r="274" spans="1:20">
      <c r="A274" s="213" t="s">
        <v>34</v>
      </c>
      <c r="B274" s="213" t="s">
        <v>27</v>
      </c>
      <c r="C274" s="213" t="s">
        <v>63</v>
      </c>
      <c r="D274" s="213" t="s">
        <v>127</v>
      </c>
      <c r="E274" s="177"/>
      <c r="F274" s="177" t="s">
        <v>38</v>
      </c>
      <c r="G274" s="177">
        <v>0.22</v>
      </c>
      <c r="H274" s="177">
        <v>0.7</v>
      </c>
      <c r="I274" s="177" t="s">
        <v>46</v>
      </c>
      <c r="J274" s="177" t="s">
        <v>82</v>
      </c>
      <c r="K274" s="177">
        <v>2</v>
      </c>
      <c r="L274" s="177">
        <v>406</v>
      </c>
      <c r="M274" s="177">
        <v>812</v>
      </c>
      <c r="N274" s="177"/>
      <c r="O274" s="177"/>
      <c r="P274" s="177"/>
      <c r="Q274" s="177">
        <v>0</v>
      </c>
      <c r="R274" s="177">
        <v>812</v>
      </c>
      <c r="S274" s="177">
        <v>990.64</v>
      </c>
      <c r="T274" s="177">
        <v>693.44799999999998</v>
      </c>
    </row>
    <row r="275" spans="1:20">
      <c r="A275" s="213" t="s">
        <v>34</v>
      </c>
      <c r="B275" s="213" t="s">
        <v>27</v>
      </c>
      <c r="C275" s="213" t="s">
        <v>63</v>
      </c>
      <c r="D275" s="213" t="s">
        <v>127</v>
      </c>
      <c r="E275" s="177"/>
      <c r="F275" s="177" t="s">
        <v>16</v>
      </c>
      <c r="G275" s="177">
        <v>0.25</v>
      </c>
      <c r="H275" s="177">
        <v>0.7</v>
      </c>
      <c r="I275" s="177"/>
      <c r="J275" s="177" t="s">
        <v>82</v>
      </c>
      <c r="K275" s="177"/>
      <c r="L275" s="177"/>
      <c r="M275" s="177">
        <v>0</v>
      </c>
      <c r="N275" s="177" t="s">
        <v>163</v>
      </c>
      <c r="O275" s="177">
        <v>2</v>
      </c>
      <c r="P275" s="177">
        <v>520</v>
      </c>
      <c r="Q275" s="177">
        <v>1040</v>
      </c>
      <c r="R275" s="177">
        <v>1040</v>
      </c>
      <c r="S275" s="177">
        <v>1300</v>
      </c>
      <c r="T275" s="177">
        <v>909.99999999999989</v>
      </c>
    </row>
    <row r="276" spans="1:20">
      <c r="A276" s="213" t="s">
        <v>34</v>
      </c>
      <c r="B276" s="213" t="s">
        <v>27</v>
      </c>
      <c r="C276" s="213" t="s">
        <v>63</v>
      </c>
      <c r="D276" s="213" t="s">
        <v>128</v>
      </c>
      <c r="E276" s="177" t="s">
        <v>164</v>
      </c>
      <c r="F276" s="177" t="s">
        <v>38</v>
      </c>
      <c r="G276" s="177">
        <v>0.22</v>
      </c>
      <c r="H276" s="177">
        <v>0.7</v>
      </c>
      <c r="I276" s="177" t="s">
        <v>46</v>
      </c>
      <c r="J276" s="177" t="s">
        <v>82</v>
      </c>
      <c r="K276" s="177">
        <v>2</v>
      </c>
      <c r="L276" s="177">
        <v>406</v>
      </c>
      <c r="M276" s="177">
        <v>812</v>
      </c>
      <c r="N276" s="177"/>
      <c r="O276" s="177"/>
      <c r="P276" s="177"/>
      <c r="Q276" s="177">
        <v>0</v>
      </c>
      <c r="R276" s="177">
        <v>812</v>
      </c>
      <c r="S276" s="177">
        <v>990.64</v>
      </c>
      <c r="T276" s="177">
        <v>693.44799999999998</v>
      </c>
    </row>
    <row r="277" spans="1:20">
      <c r="A277" s="213" t="s">
        <v>34</v>
      </c>
      <c r="B277" s="213" t="s">
        <v>27</v>
      </c>
      <c r="C277" s="213" t="s">
        <v>63</v>
      </c>
      <c r="D277" s="213" t="s">
        <v>128</v>
      </c>
      <c r="E277" s="177" t="s">
        <v>164</v>
      </c>
      <c r="F277" s="177" t="s">
        <v>38</v>
      </c>
      <c r="G277" s="177">
        <v>0.22</v>
      </c>
      <c r="H277" s="177">
        <v>0.7</v>
      </c>
      <c r="I277" s="177" t="s">
        <v>155</v>
      </c>
      <c r="J277" s="177" t="s">
        <v>82</v>
      </c>
      <c r="K277" s="177">
        <v>6</v>
      </c>
      <c r="L277" s="177">
        <v>304</v>
      </c>
      <c r="M277" s="177">
        <v>1824</v>
      </c>
      <c r="N277" s="177"/>
      <c r="O277" s="177"/>
      <c r="P277" s="177"/>
      <c r="Q277" s="177">
        <v>0</v>
      </c>
      <c r="R277" s="177">
        <v>1824</v>
      </c>
      <c r="S277" s="177">
        <v>2225.2800000000002</v>
      </c>
      <c r="T277" s="177">
        <v>1557.6959999999999</v>
      </c>
    </row>
    <row r="278" spans="1:20">
      <c r="A278" s="213" t="s">
        <v>34</v>
      </c>
      <c r="B278" s="213" t="s">
        <v>27</v>
      </c>
      <c r="C278" s="213" t="s">
        <v>63</v>
      </c>
      <c r="D278" s="213" t="s">
        <v>128</v>
      </c>
      <c r="E278" s="177" t="s">
        <v>164</v>
      </c>
      <c r="F278" s="177" t="s">
        <v>16</v>
      </c>
      <c r="G278" s="177">
        <v>0.25</v>
      </c>
      <c r="H278" s="177">
        <v>0.7</v>
      </c>
      <c r="I278" s="177"/>
      <c r="J278" s="177" t="s">
        <v>82</v>
      </c>
      <c r="K278" s="177"/>
      <c r="L278" s="177"/>
      <c r="M278" s="177">
        <v>0</v>
      </c>
      <c r="N278" s="177" t="s">
        <v>163</v>
      </c>
      <c r="O278" s="177">
        <v>1</v>
      </c>
      <c r="P278" s="177">
        <v>520</v>
      </c>
      <c r="Q278" s="177">
        <v>520</v>
      </c>
      <c r="R278" s="177">
        <v>520</v>
      </c>
      <c r="S278" s="177">
        <v>650</v>
      </c>
      <c r="T278" s="177">
        <v>454.99999999999994</v>
      </c>
    </row>
    <row r="279" spans="1:20">
      <c r="A279" s="213" t="s">
        <v>34</v>
      </c>
      <c r="B279" s="213" t="s">
        <v>27</v>
      </c>
      <c r="C279" s="213" t="s">
        <v>63</v>
      </c>
      <c r="D279" s="213" t="s">
        <v>129</v>
      </c>
      <c r="E279" s="177">
        <v>0</v>
      </c>
      <c r="F279" s="177" t="s">
        <v>18</v>
      </c>
      <c r="G279" s="177">
        <v>0.25</v>
      </c>
      <c r="H279" s="177">
        <v>0.7</v>
      </c>
      <c r="I279" s="177">
        <v>0</v>
      </c>
      <c r="J279" s="177" t="s">
        <v>82</v>
      </c>
      <c r="K279" s="177">
        <v>4</v>
      </c>
      <c r="L279" s="177">
        <v>490</v>
      </c>
      <c r="M279" s="177">
        <v>1960</v>
      </c>
      <c r="N279" s="177" t="s">
        <v>45</v>
      </c>
      <c r="O279" s="177">
        <v>2</v>
      </c>
      <c r="P279" s="177">
        <v>150</v>
      </c>
      <c r="Q279" s="177">
        <v>300</v>
      </c>
      <c r="R279" s="177">
        <v>2260</v>
      </c>
      <c r="S279" s="177">
        <v>2825</v>
      </c>
      <c r="T279" s="177">
        <v>1977.5</v>
      </c>
    </row>
    <row r="280" spans="1:20">
      <c r="A280" s="213" t="s">
        <v>34</v>
      </c>
      <c r="B280" s="213" t="s">
        <v>27</v>
      </c>
      <c r="C280" s="213" t="s">
        <v>63</v>
      </c>
      <c r="D280" s="213" t="s">
        <v>129</v>
      </c>
      <c r="E280" s="177" t="s">
        <v>164</v>
      </c>
      <c r="F280" s="177" t="s">
        <v>38</v>
      </c>
      <c r="G280" s="177">
        <v>0.22</v>
      </c>
      <c r="H280" s="177">
        <v>0.7</v>
      </c>
      <c r="I280" s="177" t="s">
        <v>46</v>
      </c>
      <c r="J280" s="177" t="s">
        <v>82</v>
      </c>
      <c r="K280" s="177">
        <v>3</v>
      </c>
      <c r="L280" s="177">
        <v>406</v>
      </c>
      <c r="M280" s="177">
        <v>1218</v>
      </c>
      <c r="N280" s="177" t="s">
        <v>45</v>
      </c>
      <c r="O280" s="177">
        <v>2</v>
      </c>
      <c r="P280" s="177">
        <v>150</v>
      </c>
      <c r="Q280" s="177">
        <v>300</v>
      </c>
      <c r="R280" s="177">
        <v>1518</v>
      </c>
      <c r="S280" s="177">
        <v>1851.96</v>
      </c>
      <c r="T280" s="177">
        <v>1296.3719999999998</v>
      </c>
    </row>
    <row r="281" spans="1:20">
      <c r="A281" s="213" t="s">
        <v>34</v>
      </c>
      <c r="B281" s="213" t="s">
        <v>27</v>
      </c>
      <c r="C281" s="213" t="s">
        <v>63</v>
      </c>
      <c r="D281" s="213" t="s">
        <v>129</v>
      </c>
      <c r="E281" s="177" t="s">
        <v>164</v>
      </c>
      <c r="F281" s="177" t="s">
        <v>38</v>
      </c>
      <c r="G281" s="177">
        <v>0.22</v>
      </c>
      <c r="H281" s="177">
        <v>0.7</v>
      </c>
      <c r="I281" s="177" t="s">
        <v>155</v>
      </c>
      <c r="J281" s="177" t="s">
        <v>82</v>
      </c>
      <c r="K281" s="177">
        <v>3</v>
      </c>
      <c r="L281" s="177">
        <v>304</v>
      </c>
      <c r="M281" s="177">
        <v>912</v>
      </c>
      <c r="N281" s="177" t="s">
        <v>45</v>
      </c>
      <c r="O281" s="177">
        <v>2</v>
      </c>
      <c r="P281" s="177">
        <v>150</v>
      </c>
      <c r="Q281" s="177">
        <v>300</v>
      </c>
      <c r="R281" s="177">
        <v>1212</v>
      </c>
      <c r="S281" s="177">
        <v>1478.64</v>
      </c>
      <c r="T281" s="177">
        <v>1035.0479999999998</v>
      </c>
    </row>
    <row r="282" spans="1:20">
      <c r="A282" s="213" t="s">
        <v>34</v>
      </c>
      <c r="B282" s="213" t="s">
        <v>27</v>
      </c>
      <c r="C282" s="213" t="s">
        <v>63</v>
      </c>
      <c r="D282" s="213" t="s">
        <v>129</v>
      </c>
      <c r="E282" s="177">
        <v>0</v>
      </c>
      <c r="F282" s="177" t="s">
        <v>15</v>
      </c>
      <c r="G282" s="177">
        <v>0.25</v>
      </c>
      <c r="H282" s="177">
        <v>0.5</v>
      </c>
      <c r="I282" s="177" t="s">
        <v>244</v>
      </c>
      <c r="J282" s="177" t="s">
        <v>81</v>
      </c>
      <c r="K282" s="177">
        <v>4</v>
      </c>
      <c r="L282" s="177">
        <v>792</v>
      </c>
      <c r="M282" s="177">
        <v>3168</v>
      </c>
      <c r="N282" s="177" t="s">
        <v>45</v>
      </c>
      <c r="O282" s="177">
        <v>2</v>
      </c>
      <c r="P282" s="177">
        <v>150</v>
      </c>
      <c r="Q282" s="177">
        <v>300</v>
      </c>
      <c r="R282" s="177">
        <v>3468</v>
      </c>
      <c r="S282" s="177">
        <v>1167</v>
      </c>
      <c r="T282" s="177">
        <v>583.5</v>
      </c>
    </row>
    <row r="283" spans="1:20">
      <c r="A283" s="213" t="s">
        <v>34</v>
      </c>
      <c r="B283" s="213" t="s">
        <v>27</v>
      </c>
      <c r="C283" s="213" t="s">
        <v>63</v>
      </c>
      <c r="D283" s="213" t="s">
        <v>129</v>
      </c>
      <c r="E283" s="177" t="s">
        <v>164</v>
      </c>
      <c r="F283" s="177" t="s">
        <v>16</v>
      </c>
      <c r="G283" s="177">
        <v>0.25</v>
      </c>
      <c r="H283" s="177">
        <v>0.7</v>
      </c>
      <c r="I283" s="177"/>
      <c r="J283" s="177" t="s">
        <v>82</v>
      </c>
      <c r="K283" s="177"/>
      <c r="L283" s="177"/>
      <c r="M283" s="177">
        <v>0</v>
      </c>
      <c r="N283" s="177" t="s">
        <v>163</v>
      </c>
      <c r="O283" s="177">
        <v>3</v>
      </c>
      <c r="P283" s="177">
        <v>520</v>
      </c>
      <c r="Q283" s="177">
        <v>1560</v>
      </c>
      <c r="R283" s="177">
        <v>1560</v>
      </c>
      <c r="S283" s="177">
        <v>1950</v>
      </c>
      <c r="T283" s="177">
        <v>1365</v>
      </c>
    </row>
    <row r="284" spans="1:20">
      <c r="A284" s="213" t="s">
        <v>34</v>
      </c>
      <c r="B284" s="213" t="s">
        <v>27</v>
      </c>
      <c r="C284" s="213" t="s">
        <v>63</v>
      </c>
      <c r="D284" s="213" t="s">
        <v>129</v>
      </c>
      <c r="E284" s="177" t="s">
        <v>165</v>
      </c>
      <c r="F284" s="177" t="s">
        <v>16</v>
      </c>
      <c r="G284" s="177">
        <v>0.25</v>
      </c>
      <c r="H284" s="177">
        <v>0.7</v>
      </c>
      <c r="I284" s="177"/>
      <c r="J284" s="177" t="s">
        <v>82</v>
      </c>
      <c r="K284" s="177"/>
      <c r="L284" s="177"/>
      <c r="M284" s="177">
        <v>0</v>
      </c>
      <c r="N284" s="177" t="s">
        <v>45</v>
      </c>
      <c r="O284" s="177">
        <v>62</v>
      </c>
      <c r="P284" s="177">
        <v>150</v>
      </c>
      <c r="Q284" s="177">
        <v>9300</v>
      </c>
      <c r="R284" s="177">
        <v>9300</v>
      </c>
      <c r="S284" s="177">
        <v>11625</v>
      </c>
      <c r="T284" s="177">
        <v>8137.4999999999982</v>
      </c>
    </row>
    <row r="285" spans="1:20">
      <c r="A285" s="213" t="s">
        <v>34</v>
      </c>
      <c r="B285" s="213" t="s">
        <v>27</v>
      </c>
      <c r="C285" s="213" t="s">
        <v>64</v>
      </c>
      <c r="D285" s="213" t="s">
        <v>131</v>
      </c>
      <c r="E285" s="177">
        <v>0</v>
      </c>
      <c r="F285" s="177" t="s">
        <v>18</v>
      </c>
      <c r="G285" s="177">
        <v>0.25</v>
      </c>
      <c r="H285" s="177">
        <v>0.7</v>
      </c>
      <c r="I285" s="177">
        <v>0</v>
      </c>
      <c r="J285" s="177" t="s">
        <v>82</v>
      </c>
      <c r="K285" s="177">
        <v>4</v>
      </c>
      <c r="L285" s="177">
        <v>490</v>
      </c>
      <c r="M285" s="177">
        <v>1960</v>
      </c>
      <c r="N285" s="177">
        <v>0</v>
      </c>
      <c r="O285" s="177">
        <v>0</v>
      </c>
      <c r="P285" s="177">
        <v>0</v>
      </c>
      <c r="Q285" s="177">
        <v>0</v>
      </c>
      <c r="R285" s="177">
        <v>1960</v>
      </c>
      <c r="S285" s="177">
        <v>2450</v>
      </c>
      <c r="T285" s="177">
        <v>1715</v>
      </c>
    </row>
    <row r="286" spans="1:20">
      <c r="A286" s="213" t="s">
        <v>34</v>
      </c>
      <c r="B286" s="213" t="s">
        <v>27</v>
      </c>
      <c r="C286" s="213" t="s">
        <v>65</v>
      </c>
      <c r="D286" s="213" t="s">
        <v>133</v>
      </c>
      <c r="E286" s="177">
        <v>0</v>
      </c>
      <c r="F286" s="177" t="s">
        <v>18</v>
      </c>
      <c r="G286" s="177">
        <v>0.25</v>
      </c>
      <c r="H286" s="177">
        <v>0.7</v>
      </c>
      <c r="I286" s="177">
        <v>0</v>
      </c>
      <c r="J286" s="177" t="s">
        <v>82</v>
      </c>
      <c r="K286" s="177">
        <v>2</v>
      </c>
      <c r="L286" s="177">
        <v>490</v>
      </c>
      <c r="M286" s="177">
        <v>980</v>
      </c>
      <c r="N286" s="177">
        <v>0</v>
      </c>
      <c r="O286" s="177">
        <v>0</v>
      </c>
      <c r="P286" s="177">
        <v>0</v>
      </c>
      <c r="Q286" s="177">
        <v>0</v>
      </c>
      <c r="R286" s="177">
        <v>980</v>
      </c>
      <c r="S286" s="177">
        <v>1225</v>
      </c>
      <c r="T286" s="177">
        <v>857.5</v>
      </c>
    </row>
    <row r="287" spans="1:20">
      <c r="A287" s="213" t="s">
        <v>34</v>
      </c>
      <c r="B287" s="213" t="s">
        <v>27</v>
      </c>
      <c r="C287" s="213" t="s">
        <v>63</v>
      </c>
      <c r="D287" s="213" t="s">
        <v>130</v>
      </c>
      <c r="E287" s="177"/>
      <c r="F287" s="177" t="s">
        <v>38</v>
      </c>
      <c r="G287" s="177">
        <v>0.22</v>
      </c>
      <c r="H287" s="177">
        <v>0.7</v>
      </c>
      <c r="I287" s="177" t="s">
        <v>46</v>
      </c>
      <c r="J287" s="177" t="s">
        <v>82</v>
      </c>
      <c r="K287" s="177">
        <v>1</v>
      </c>
      <c r="L287" s="177">
        <v>406</v>
      </c>
      <c r="M287" s="177">
        <v>406</v>
      </c>
      <c r="N287" s="177"/>
      <c r="O287" s="177"/>
      <c r="P287" s="177"/>
      <c r="Q287" s="177">
        <v>0</v>
      </c>
      <c r="R287" s="177">
        <v>406</v>
      </c>
      <c r="S287" s="177">
        <v>495.32</v>
      </c>
      <c r="T287" s="177">
        <v>346.72399999999999</v>
      </c>
    </row>
    <row r="288" spans="1:20">
      <c r="A288" s="213" t="s">
        <v>34</v>
      </c>
      <c r="B288" s="213" t="s">
        <v>27</v>
      </c>
      <c r="C288" s="213" t="s">
        <v>63</v>
      </c>
      <c r="D288" s="213" t="s">
        <v>130</v>
      </c>
      <c r="E288" s="177"/>
      <c r="F288" s="177" t="s">
        <v>38</v>
      </c>
      <c r="G288" s="177">
        <v>0.22</v>
      </c>
      <c r="H288" s="177">
        <v>0.7</v>
      </c>
      <c r="I288" s="177" t="s">
        <v>155</v>
      </c>
      <c r="J288" s="177" t="s">
        <v>82</v>
      </c>
      <c r="K288" s="177">
        <v>3</v>
      </c>
      <c r="L288" s="177">
        <v>304</v>
      </c>
      <c r="M288" s="177">
        <v>912</v>
      </c>
      <c r="N288" s="177"/>
      <c r="O288" s="177"/>
      <c r="P288" s="177"/>
      <c r="Q288" s="177">
        <v>0</v>
      </c>
      <c r="R288" s="177">
        <v>912</v>
      </c>
      <c r="S288" s="177">
        <v>1112.6400000000001</v>
      </c>
      <c r="T288" s="177">
        <v>778.84799999999996</v>
      </c>
    </row>
    <row r="289" spans="1:20">
      <c r="A289" s="213" t="s">
        <v>34</v>
      </c>
      <c r="B289" s="213" t="s">
        <v>27</v>
      </c>
      <c r="C289" s="213" t="s">
        <v>63</v>
      </c>
      <c r="D289" s="213" t="s">
        <v>130</v>
      </c>
      <c r="E289" s="177" t="s">
        <v>164</v>
      </c>
      <c r="F289" s="177" t="s">
        <v>16</v>
      </c>
      <c r="G289" s="177">
        <v>0.25</v>
      </c>
      <c r="H289" s="177">
        <v>0.7</v>
      </c>
      <c r="I289" s="177"/>
      <c r="J289" s="177" t="s">
        <v>82</v>
      </c>
      <c r="K289" s="177"/>
      <c r="L289" s="177"/>
      <c r="M289" s="177">
        <v>0</v>
      </c>
      <c r="N289" s="177" t="s">
        <v>163</v>
      </c>
      <c r="O289" s="177">
        <v>1</v>
      </c>
      <c r="P289" s="177">
        <v>520</v>
      </c>
      <c r="Q289" s="177">
        <v>520</v>
      </c>
      <c r="R289" s="177">
        <v>520</v>
      </c>
      <c r="S289" s="177">
        <v>650</v>
      </c>
      <c r="T289" s="177">
        <v>454.99999999999994</v>
      </c>
    </row>
    <row r="290" spans="1:20">
      <c r="A290" s="213" t="s">
        <v>34</v>
      </c>
      <c r="B290" s="213" t="s">
        <v>27</v>
      </c>
      <c r="C290" s="213" t="s">
        <v>65</v>
      </c>
      <c r="D290" s="213" t="s">
        <v>134</v>
      </c>
      <c r="E290" s="177">
        <v>0</v>
      </c>
      <c r="F290" s="177" t="s">
        <v>18</v>
      </c>
      <c r="G290" s="177">
        <v>0.25</v>
      </c>
      <c r="H290" s="177">
        <v>0.7</v>
      </c>
      <c r="I290" s="177">
        <v>0</v>
      </c>
      <c r="J290" s="177" t="s">
        <v>82</v>
      </c>
      <c r="K290" s="177">
        <v>3</v>
      </c>
      <c r="L290" s="177">
        <v>490</v>
      </c>
      <c r="M290" s="177">
        <v>1470</v>
      </c>
      <c r="N290" s="177">
        <v>0</v>
      </c>
      <c r="O290" s="177">
        <v>0</v>
      </c>
      <c r="P290" s="177">
        <v>0</v>
      </c>
      <c r="Q290" s="177">
        <v>0</v>
      </c>
      <c r="R290" s="177">
        <v>1470</v>
      </c>
      <c r="S290" s="177">
        <v>1837.5</v>
      </c>
      <c r="T290" s="177">
        <v>1286.25</v>
      </c>
    </row>
    <row r="291" spans="1:20">
      <c r="A291" s="213" t="s">
        <v>34</v>
      </c>
      <c r="B291" s="213" t="s">
        <v>27</v>
      </c>
      <c r="C291" s="213" t="s">
        <v>64</v>
      </c>
      <c r="D291" s="213" t="s">
        <v>131</v>
      </c>
      <c r="E291" s="177"/>
      <c r="F291" s="177" t="s">
        <v>38</v>
      </c>
      <c r="G291" s="177">
        <v>0.22</v>
      </c>
      <c r="H291" s="177">
        <v>0.7</v>
      </c>
      <c r="I291" s="177" t="s">
        <v>46</v>
      </c>
      <c r="J291" s="177" t="s">
        <v>82</v>
      </c>
      <c r="K291" s="177">
        <v>2</v>
      </c>
      <c r="L291" s="177">
        <v>406</v>
      </c>
      <c r="M291" s="177">
        <v>812</v>
      </c>
      <c r="N291" s="177"/>
      <c r="O291" s="177"/>
      <c r="P291" s="177"/>
      <c r="Q291" s="177">
        <v>0</v>
      </c>
      <c r="R291" s="177">
        <v>812</v>
      </c>
      <c r="S291" s="177">
        <v>990.64</v>
      </c>
      <c r="T291" s="177">
        <v>693.44799999999998</v>
      </c>
    </row>
    <row r="292" spans="1:20">
      <c r="A292" s="213" t="s">
        <v>34</v>
      </c>
      <c r="B292" s="213" t="s">
        <v>27</v>
      </c>
      <c r="C292" s="213" t="s">
        <v>64</v>
      </c>
      <c r="D292" s="213" t="s">
        <v>131</v>
      </c>
      <c r="E292" s="177">
        <v>0</v>
      </c>
      <c r="F292" s="177" t="s">
        <v>15</v>
      </c>
      <c r="G292" s="177">
        <v>0.25</v>
      </c>
      <c r="H292" s="177">
        <v>0.5</v>
      </c>
      <c r="I292" s="177" t="s">
        <v>244</v>
      </c>
      <c r="J292" s="177" t="s">
        <v>81</v>
      </c>
      <c r="K292" s="177">
        <v>2</v>
      </c>
      <c r="L292" s="177">
        <v>792</v>
      </c>
      <c r="M292" s="177">
        <v>1584</v>
      </c>
      <c r="N292" s="177">
        <v>0</v>
      </c>
      <c r="O292" s="177">
        <v>0</v>
      </c>
      <c r="P292" s="177">
        <v>0</v>
      </c>
      <c r="Q292" s="177">
        <v>0</v>
      </c>
      <c r="R292" s="177">
        <v>1584</v>
      </c>
      <c r="S292" s="177">
        <v>396</v>
      </c>
      <c r="T292" s="177">
        <v>198</v>
      </c>
    </row>
    <row r="293" spans="1:20">
      <c r="A293" s="213" t="s">
        <v>34</v>
      </c>
      <c r="B293" s="213" t="s">
        <v>27</v>
      </c>
      <c r="C293" s="213" t="s">
        <v>64</v>
      </c>
      <c r="D293" s="213" t="s">
        <v>131</v>
      </c>
      <c r="E293" s="177">
        <v>0</v>
      </c>
      <c r="F293" s="177" t="s">
        <v>15</v>
      </c>
      <c r="G293" s="177">
        <v>0.25</v>
      </c>
      <c r="H293" s="177">
        <v>0.5</v>
      </c>
      <c r="I293" s="177" t="s">
        <v>241</v>
      </c>
      <c r="J293" s="177" t="s">
        <v>81</v>
      </c>
      <c r="K293" s="177">
        <v>2</v>
      </c>
      <c r="L293" s="177">
        <v>376</v>
      </c>
      <c r="M293" s="177">
        <v>752</v>
      </c>
      <c r="N293" s="177">
        <v>0</v>
      </c>
      <c r="O293" s="177">
        <v>0</v>
      </c>
      <c r="P293" s="177">
        <v>0</v>
      </c>
      <c r="Q293" s="177">
        <v>0</v>
      </c>
      <c r="R293" s="177">
        <v>752</v>
      </c>
      <c r="S293" s="177">
        <v>188</v>
      </c>
      <c r="T293" s="177">
        <v>94</v>
      </c>
    </row>
    <row r="294" spans="1:20">
      <c r="A294" s="213" t="s">
        <v>34</v>
      </c>
      <c r="B294" s="213" t="s">
        <v>27</v>
      </c>
      <c r="C294" s="213" t="s">
        <v>64</v>
      </c>
      <c r="D294" s="213" t="s">
        <v>131</v>
      </c>
      <c r="E294" s="177"/>
      <c r="F294" s="177" t="s">
        <v>16</v>
      </c>
      <c r="G294" s="177">
        <v>0.25</v>
      </c>
      <c r="H294" s="177">
        <v>0.7</v>
      </c>
      <c r="I294" s="177"/>
      <c r="J294" s="177" t="s">
        <v>82</v>
      </c>
      <c r="K294" s="177"/>
      <c r="L294" s="177"/>
      <c r="M294" s="177">
        <v>0</v>
      </c>
      <c r="N294" s="177" t="s">
        <v>163</v>
      </c>
      <c r="O294" s="177">
        <v>2</v>
      </c>
      <c r="P294" s="177">
        <v>520</v>
      </c>
      <c r="Q294" s="177">
        <v>1040</v>
      </c>
      <c r="R294" s="177">
        <v>1040</v>
      </c>
      <c r="S294" s="177">
        <v>1300</v>
      </c>
      <c r="T294" s="177">
        <v>909.99999999999989</v>
      </c>
    </row>
    <row r="295" spans="1:20">
      <c r="A295" s="213" t="s">
        <v>34</v>
      </c>
      <c r="B295" s="213" t="s">
        <v>27</v>
      </c>
      <c r="C295" s="213" t="s">
        <v>64</v>
      </c>
      <c r="D295" s="213" t="s">
        <v>132</v>
      </c>
      <c r="E295" s="177"/>
      <c r="F295" s="177" t="s">
        <v>38</v>
      </c>
      <c r="G295" s="177">
        <v>0.22</v>
      </c>
      <c r="H295" s="177">
        <v>0.7</v>
      </c>
      <c r="I295" s="177" t="s">
        <v>46</v>
      </c>
      <c r="J295" s="177" t="s">
        <v>82</v>
      </c>
      <c r="K295" s="177">
        <v>1</v>
      </c>
      <c r="L295" s="177">
        <v>406</v>
      </c>
      <c r="M295" s="177">
        <v>406</v>
      </c>
      <c r="N295" s="177"/>
      <c r="O295" s="177"/>
      <c r="P295" s="177"/>
      <c r="Q295" s="177">
        <v>0</v>
      </c>
      <c r="R295" s="177">
        <v>406</v>
      </c>
      <c r="S295" s="177">
        <v>495.32</v>
      </c>
      <c r="T295" s="177">
        <v>346.72399999999999</v>
      </c>
    </row>
    <row r="296" spans="1:20">
      <c r="A296" s="213" t="s">
        <v>34</v>
      </c>
      <c r="B296" s="213" t="s">
        <v>27</v>
      </c>
      <c r="C296" s="213" t="s">
        <v>64</v>
      </c>
      <c r="D296" s="213" t="s">
        <v>132</v>
      </c>
      <c r="E296" s="177">
        <v>0</v>
      </c>
      <c r="F296" s="177" t="s">
        <v>15</v>
      </c>
      <c r="G296" s="177">
        <v>0.25</v>
      </c>
      <c r="H296" s="177">
        <v>0.5</v>
      </c>
      <c r="I296" s="177" t="s">
        <v>244</v>
      </c>
      <c r="J296" s="177" t="s">
        <v>81</v>
      </c>
      <c r="K296" s="177">
        <v>2</v>
      </c>
      <c r="L296" s="177">
        <v>792</v>
      </c>
      <c r="M296" s="177">
        <v>1584</v>
      </c>
      <c r="N296" s="177">
        <v>0</v>
      </c>
      <c r="O296" s="177">
        <v>0</v>
      </c>
      <c r="P296" s="177">
        <v>0</v>
      </c>
      <c r="Q296" s="177">
        <v>0</v>
      </c>
      <c r="R296" s="177">
        <v>1584</v>
      </c>
      <c r="S296" s="177">
        <v>396</v>
      </c>
      <c r="T296" s="177">
        <v>198</v>
      </c>
    </row>
    <row r="297" spans="1:20">
      <c r="A297" s="213" t="s">
        <v>34</v>
      </c>
      <c r="B297" s="213" t="s">
        <v>27</v>
      </c>
      <c r="C297" s="213" t="s">
        <v>64</v>
      </c>
      <c r="D297" s="213" t="s">
        <v>132</v>
      </c>
      <c r="E297" s="177">
        <v>0</v>
      </c>
      <c r="F297" s="177" t="s">
        <v>15</v>
      </c>
      <c r="G297" s="177">
        <v>0.25</v>
      </c>
      <c r="H297" s="177">
        <v>0.5</v>
      </c>
      <c r="I297" s="177" t="s">
        <v>241</v>
      </c>
      <c r="J297" s="177" t="s">
        <v>81</v>
      </c>
      <c r="K297" s="177">
        <v>2</v>
      </c>
      <c r="L297" s="177">
        <v>376</v>
      </c>
      <c r="M297" s="177">
        <v>752</v>
      </c>
      <c r="N297" s="177">
        <v>0</v>
      </c>
      <c r="O297" s="177">
        <v>0</v>
      </c>
      <c r="P297" s="177">
        <v>0</v>
      </c>
      <c r="Q297" s="177">
        <v>0</v>
      </c>
      <c r="R297" s="177">
        <v>752</v>
      </c>
      <c r="S297" s="177">
        <v>188</v>
      </c>
      <c r="T297" s="177">
        <v>94</v>
      </c>
    </row>
    <row r="298" spans="1:20">
      <c r="A298" s="213" t="s">
        <v>34</v>
      </c>
      <c r="B298" s="213" t="s">
        <v>27</v>
      </c>
      <c r="C298" s="213" t="s">
        <v>64</v>
      </c>
      <c r="D298" s="213" t="s">
        <v>132</v>
      </c>
      <c r="E298" s="177"/>
      <c r="F298" s="177" t="s">
        <v>16</v>
      </c>
      <c r="G298" s="177">
        <v>0.25</v>
      </c>
      <c r="H298" s="177">
        <v>0.7</v>
      </c>
      <c r="I298" s="177"/>
      <c r="J298" s="177" t="s">
        <v>82</v>
      </c>
      <c r="K298" s="177"/>
      <c r="L298" s="177"/>
      <c r="M298" s="177">
        <v>0</v>
      </c>
      <c r="N298" s="177" t="s">
        <v>163</v>
      </c>
      <c r="O298" s="177">
        <v>1</v>
      </c>
      <c r="P298" s="177">
        <v>520</v>
      </c>
      <c r="Q298" s="177">
        <v>520</v>
      </c>
      <c r="R298" s="177">
        <v>520</v>
      </c>
      <c r="S298" s="177">
        <v>650</v>
      </c>
      <c r="T298" s="177">
        <v>454.99999999999994</v>
      </c>
    </row>
    <row r="299" spans="1:20">
      <c r="A299" s="213" t="s">
        <v>34</v>
      </c>
      <c r="B299" s="213" t="s">
        <v>27</v>
      </c>
      <c r="C299" s="213" t="s">
        <v>65</v>
      </c>
      <c r="D299" s="213" t="s">
        <v>133</v>
      </c>
      <c r="E299" s="177"/>
      <c r="F299" s="177" t="s">
        <v>38</v>
      </c>
      <c r="G299" s="177">
        <v>0.22</v>
      </c>
      <c r="H299" s="177">
        <v>0.7</v>
      </c>
      <c r="I299" s="177" t="s">
        <v>46</v>
      </c>
      <c r="J299" s="177" t="s">
        <v>82</v>
      </c>
      <c r="K299" s="177">
        <v>1</v>
      </c>
      <c r="L299" s="177">
        <v>406</v>
      </c>
      <c r="M299" s="177">
        <v>406</v>
      </c>
      <c r="N299" s="177"/>
      <c r="O299" s="177"/>
      <c r="P299" s="177"/>
      <c r="Q299" s="177">
        <v>0</v>
      </c>
      <c r="R299" s="177">
        <v>406</v>
      </c>
      <c r="S299" s="177">
        <v>495.32</v>
      </c>
      <c r="T299" s="177">
        <v>346.72399999999999</v>
      </c>
    </row>
    <row r="300" spans="1:20">
      <c r="A300" s="213" t="s">
        <v>34</v>
      </c>
      <c r="B300" s="213" t="s">
        <v>27</v>
      </c>
      <c r="C300" s="213" t="s">
        <v>65</v>
      </c>
      <c r="D300" s="213" t="s">
        <v>133</v>
      </c>
      <c r="E300" s="177"/>
      <c r="F300" s="177" t="s">
        <v>16</v>
      </c>
      <c r="G300" s="177">
        <v>0.25</v>
      </c>
      <c r="H300" s="177">
        <v>0.7</v>
      </c>
      <c r="I300" s="177"/>
      <c r="J300" s="177" t="s">
        <v>82</v>
      </c>
      <c r="K300" s="177"/>
      <c r="L300" s="177"/>
      <c r="M300" s="177">
        <v>0</v>
      </c>
      <c r="N300" s="177" t="s">
        <v>163</v>
      </c>
      <c r="O300" s="177">
        <v>3</v>
      </c>
      <c r="P300" s="177">
        <v>520</v>
      </c>
      <c r="Q300" s="177">
        <v>1560</v>
      </c>
      <c r="R300" s="177">
        <v>1560</v>
      </c>
      <c r="S300" s="177">
        <v>1950</v>
      </c>
      <c r="T300" s="177">
        <v>1365</v>
      </c>
    </row>
    <row r="301" spans="1:20">
      <c r="A301" s="213" t="s">
        <v>34</v>
      </c>
      <c r="B301" s="213" t="s">
        <v>27</v>
      </c>
      <c r="C301" s="213" t="s">
        <v>65</v>
      </c>
      <c r="D301" s="213" t="s">
        <v>133</v>
      </c>
      <c r="E301" s="177"/>
      <c r="F301" s="177" t="s">
        <v>16</v>
      </c>
      <c r="G301" s="177">
        <v>0.25</v>
      </c>
      <c r="H301" s="177">
        <v>0.7</v>
      </c>
      <c r="I301" s="177"/>
      <c r="J301" s="177"/>
      <c r="K301" s="177"/>
      <c r="L301" s="177"/>
      <c r="M301" s="177">
        <v>0</v>
      </c>
      <c r="N301" s="177" t="s">
        <v>45</v>
      </c>
      <c r="O301" s="177">
        <v>1</v>
      </c>
      <c r="P301" s="177">
        <v>150</v>
      </c>
      <c r="Q301" s="177">
        <v>150</v>
      </c>
      <c r="R301" s="177">
        <v>150</v>
      </c>
      <c r="S301" s="177">
        <v>187.5</v>
      </c>
      <c r="T301" s="177">
        <v>131.25</v>
      </c>
    </row>
    <row r="302" spans="1:20">
      <c r="A302" s="213" t="s">
        <v>34</v>
      </c>
      <c r="B302" s="213" t="s">
        <v>27</v>
      </c>
      <c r="C302" s="213" t="s">
        <v>65</v>
      </c>
      <c r="D302" s="213" t="s">
        <v>134</v>
      </c>
      <c r="E302" s="177"/>
      <c r="F302" s="177" t="s">
        <v>38</v>
      </c>
      <c r="G302" s="177">
        <v>0.22</v>
      </c>
      <c r="H302" s="177">
        <v>0.7</v>
      </c>
      <c r="I302" s="177" t="s">
        <v>46</v>
      </c>
      <c r="J302" s="177" t="s">
        <v>82</v>
      </c>
      <c r="K302" s="177">
        <v>3</v>
      </c>
      <c r="L302" s="177">
        <v>406</v>
      </c>
      <c r="M302" s="177">
        <v>1218</v>
      </c>
      <c r="N302" s="177"/>
      <c r="O302" s="177"/>
      <c r="P302" s="177"/>
      <c r="Q302" s="177">
        <v>0</v>
      </c>
      <c r="R302" s="177">
        <v>1218</v>
      </c>
      <c r="S302" s="177">
        <v>1485.96</v>
      </c>
      <c r="T302" s="177">
        <v>1040.172</v>
      </c>
    </row>
    <row r="303" spans="1:20">
      <c r="A303" s="213" t="s">
        <v>34</v>
      </c>
      <c r="B303" s="213" t="s">
        <v>27</v>
      </c>
      <c r="C303" s="213" t="s">
        <v>65</v>
      </c>
      <c r="D303" s="213" t="s">
        <v>134</v>
      </c>
      <c r="E303" s="177"/>
      <c r="F303" s="177" t="s">
        <v>16</v>
      </c>
      <c r="G303" s="177">
        <v>0.25</v>
      </c>
      <c r="H303" s="177">
        <v>0.7</v>
      </c>
      <c r="I303" s="177"/>
      <c r="J303" s="177" t="s">
        <v>82</v>
      </c>
      <c r="K303" s="177"/>
      <c r="L303" s="177"/>
      <c r="M303" s="177">
        <v>0</v>
      </c>
      <c r="N303" s="177" t="s">
        <v>163</v>
      </c>
      <c r="O303" s="177">
        <v>3</v>
      </c>
      <c r="P303" s="177">
        <v>520</v>
      </c>
      <c r="Q303" s="177">
        <v>1560</v>
      </c>
      <c r="R303" s="177">
        <v>1560</v>
      </c>
      <c r="S303" s="177">
        <v>1950</v>
      </c>
      <c r="T303" s="177">
        <v>1365</v>
      </c>
    </row>
    <row r="304" spans="1:20">
      <c r="A304" s="213" t="s">
        <v>34</v>
      </c>
      <c r="B304" s="213" t="s">
        <v>27</v>
      </c>
      <c r="C304" s="213" t="s">
        <v>63</v>
      </c>
      <c r="D304" s="213" t="s">
        <v>129</v>
      </c>
      <c r="E304" s="177" t="s">
        <v>164</v>
      </c>
      <c r="F304" s="177" t="s">
        <v>19</v>
      </c>
      <c r="G304" s="177">
        <v>0.25</v>
      </c>
      <c r="H304" s="177">
        <v>0.5</v>
      </c>
      <c r="I304" s="177"/>
      <c r="J304" s="177" t="s">
        <v>82</v>
      </c>
      <c r="K304" s="177">
        <v>3</v>
      </c>
      <c r="L304" s="177">
        <v>350</v>
      </c>
      <c r="M304" s="177">
        <v>1050</v>
      </c>
      <c r="N304" s="177" t="s">
        <v>242</v>
      </c>
      <c r="O304" s="177">
        <v>2</v>
      </c>
      <c r="P304" s="177">
        <v>150</v>
      </c>
      <c r="Q304" s="177">
        <v>300</v>
      </c>
      <c r="R304" s="177">
        <v>1350</v>
      </c>
      <c r="S304" s="177">
        <v>1687.5</v>
      </c>
      <c r="T304" s="177">
        <v>843.75</v>
      </c>
    </row>
    <row r="305" spans="1:20">
      <c r="A305" s="213" t="s">
        <v>34</v>
      </c>
      <c r="B305" s="213" t="s">
        <v>27</v>
      </c>
      <c r="C305" s="213" t="s">
        <v>64</v>
      </c>
      <c r="D305" s="213" t="s">
        <v>131</v>
      </c>
      <c r="E305" s="177"/>
      <c r="F305" s="177" t="s">
        <v>19</v>
      </c>
      <c r="G305" s="177">
        <v>0.25</v>
      </c>
      <c r="H305" s="177">
        <v>0.5</v>
      </c>
      <c r="I305" s="177"/>
      <c r="J305" s="177" t="s">
        <v>82</v>
      </c>
      <c r="K305" s="177">
        <v>5</v>
      </c>
      <c r="L305" s="177">
        <v>350</v>
      </c>
      <c r="M305" s="177">
        <v>1750</v>
      </c>
      <c r="N305" s="177"/>
      <c r="O305" s="177"/>
      <c r="P305" s="177"/>
      <c r="Q305" s="177">
        <v>0</v>
      </c>
      <c r="R305" s="177">
        <v>1750</v>
      </c>
      <c r="S305" s="177">
        <v>2187.5</v>
      </c>
      <c r="T305" s="177">
        <v>1093.75</v>
      </c>
    </row>
    <row r="306" spans="1:20">
      <c r="A306" s="213" t="s">
        <v>34</v>
      </c>
      <c r="B306" s="213" t="s">
        <v>27</v>
      </c>
      <c r="C306" s="213" t="s">
        <v>64</v>
      </c>
      <c r="D306" s="213" t="s">
        <v>132</v>
      </c>
      <c r="E306" s="177"/>
      <c r="F306" s="177" t="s">
        <v>19</v>
      </c>
      <c r="G306" s="177">
        <v>0.25</v>
      </c>
      <c r="H306" s="177">
        <v>0.5</v>
      </c>
      <c r="I306" s="177"/>
      <c r="J306" s="177" t="s">
        <v>82</v>
      </c>
      <c r="K306" s="177">
        <v>5</v>
      </c>
      <c r="L306" s="177">
        <v>350</v>
      </c>
      <c r="M306" s="177">
        <v>1750</v>
      </c>
      <c r="N306" s="177"/>
      <c r="O306" s="177"/>
      <c r="P306" s="177"/>
      <c r="Q306" s="177">
        <v>0</v>
      </c>
      <c r="R306" s="177">
        <v>1750</v>
      </c>
      <c r="S306" s="177">
        <v>2187.5</v>
      </c>
      <c r="T306" s="177">
        <v>1093.75</v>
      </c>
    </row>
    <row r="307" spans="1:20">
      <c r="A307" s="213" t="s">
        <v>34</v>
      </c>
      <c r="B307" s="213" t="s">
        <v>27</v>
      </c>
      <c r="C307" s="213" t="s">
        <v>65</v>
      </c>
      <c r="D307" s="213" t="s">
        <v>133</v>
      </c>
      <c r="E307" s="177"/>
      <c r="F307" s="177" t="s">
        <v>19</v>
      </c>
      <c r="G307" s="177">
        <v>0.25</v>
      </c>
      <c r="H307" s="177">
        <v>0.5</v>
      </c>
      <c r="I307" s="177"/>
      <c r="J307" s="177" t="s">
        <v>82</v>
      </c>
      <c r="K307" s="177">
        <v>5</v>
      </c>
      <c r="L307" s="177">
        <v>350</v>
      </c>
      <c r="M307" s="177">
        <v>1750</v>
      </c>
      <c r="N307" s="177"/>
      <c r="O307" s="177"/>
      <c r="P307" s="177"/>
      <c r="Q307" s="177">
        <v>0</v>
      </c>
      <c r="R307" s="177">
        <v>1750</v>
      </c>
      <c r="S307" s="177">
        <v>2187.5</v>
      </c>
      <c r="T307" s="177">
        <v>1093.75</v>
      </c>
    </row>
    <row r="308" spans="1:20">
      <c r="A308" s="213" t="s">
        <v>34</v>
      </c>
      <c r="B308" s="213" t="s">
        <v>27</v>
      </c>
      <c r="C308" s="213" t="s">
        <v>65</v>
      </c>
      <c r="D308" s="213" t="s">
        <v>134</v>
      </c>
      <c r="E308" s="177"/>
      <c r="F308" s="177" t="s">
        <v>19</v>
      </c>
      <c r="G308" s="177">
        <v>0.25</v>
      </c>
      <c r="H308" s="177">
        <v>0.5</v>
      </c>
      <c r="I308" s="177"/>
      <c r="J308" s="177" t="s">
        <v>82</v>
      </c>
      <c r="K308" s="177">
        <v>15</v>
      </c>
      <c r="L308" s="177">
        <v>350</v>
      </c>
      <c r="M308" s="177">
        <v>5250</v>
      </c>
      <c r="N308" s="177" t="s">
        <v>242</v>
      </c>
      <c r="O308" s="177">
        <v>1</v>
      </c>
      <c r="P308" s="177">
        <v>150</v>
      </c>
      <c r="Q308" s="177">
        <v>150</v>
      </c>
      <c r="R308" s="177">
        <v>5400</v>
      </c>
      <c r="S308" s="177">
        <v>6750</v>
      </c>
      <c r="T308" s="177">
        <v>3375</v>
      </c>
    </row>
    <row r="309" spans="1:20">
      <c r="A309" s="213" t="s">
        <v>34</v>
      </c>
      <c r="B309" s="213" t="s">
        <v>27</v>
      </c>
      <c r="C309" s="213" t="s">
        <v>63</v>
      </c>
      <c r="D309" s="213" t="s">
        <v>129</v>
      </c>
      <c r="E309" s="177" t="s">
        <v>233</v>
      </c>
      <c r="F309" s="177" t="s">
        <v>17</v>
      </c>
      <c r="G309" s="177">
        <v>0.18</v>
      </c>
      <c r="H309" s="177">
        <v>0.5</v>
      </c>
      <c r="I309" s="177" t="s">
        <v>222</v>
      </c>
      <c r="J309" s="177" t="s">
        <v>81</v>
      </c>
      <c r="K309" s="177">
        <v>5</v>
      </c>
      <c r="L309" s="177">
        <v>572</v>
      </c>
      <c r="M309" s="177">
        <v>2860</v>
      </c>
      <c r="N309" s="177" t="s">
        <v>45</v>
      </c>
      <c r="O309" s="177">
        <v>5</v>
      </c>
      <c r="P309" s="177">
        <v>150</v>
      </c>
      <c r="Q309" s="177">
        <v>750</v>
      </c>
      <c r="R309" s="177">
        <v>3610</v>
      </c>
      <c r="S309" s="177">
        <v>1399.8</v>
      </c>
      <c r="T309" s="177">
        <v>699.9</v>
      </c>
    </row>
    <row r="310" spans="1:20">
      <c r="A310" s="213" t="s">
        <v>34</v>
      </c>
      <c r="B310" s="213" t="s">
        <v>27</v>
      </c>
      <c r="C310" s="213" t="s">
        <v>63</v>
      </c>
      <c r="D310" s="213" t="s">
        <v>129</v>
      </c>
      <c r="E310" s="177" t="s">
        <v>233</v>
      </c>
      <c r="F310" s="177" t="s">
        <v>17</v>
      </c>
      <c r="G310" s="177">
        <v>0.18</v>
      </c>
      <c r="H310" s="177">
        <v>0.5</v>
      </c>
      <c r="I310" s="177" t="s">
        <v>220</v>
      </c>
      <c r="J310" s="177" t="s">
        <v>81</v>
      </c>
      <c r="K310" s="177">
        <v>5</v>
      </c>
      <c r="L310" s="177">
        <v>494</v>
      </c>
      <c r="M310" s="177">
        <v>2470</v>
      </c>
      <c r="N310" s="177" t="s">
        <v>45</v>
      </c>
      <c r="O310" s="177">
        <v>5</v>
      </c>
      <c r="P310" s="177">
        <v>150</v>
      </c>
      <c r="Q310" s="177">
        <v>750</v>
      </c>
      <c r="R310" s="177">
        <v>3220</v>
      </c>
      <c r="S310" s="177">
        <v>1329.6</v>
      </c>
      <c r="T310" s="177">
        <v>664.8</v>
      </c>
    </row>
    <row r="311" spans="1:20">
      <c r="A311" s="213" t="s">
        <v>34</v>
      </c>
      <c r="B311" s="213" t="s">
        <v>27</v>
      </c>
      <c r="C311" s="213" t="s">
        <v>63</v>
      </c>
      <c r="D311" s="213" t="s">
        <v>129</v>
      </c>
      <c r="E311" s="177" t="s">
        <v>233</v>
      </c>
      <c r="F311" s="177" t="s">
        <v>17</v>
      </c>
      <c r="G311" s="177">
        <v>0.18</v>
      </c>
      <c r="H311" s="177">
        <v>0.5</v>
      </c>
      <c r="I311" s="177" t="s">
        <v>221</v>
      </c>
      <c r="J311" s="177" t="s">
        <v>81</v>
      </c>
      <c r="K311" s="177">
        <v>5</v>
      </c>
      <c r="L311" s="177">
        <v>119</v>
      </c>
      <c r="M311" s="177">
        <v>595</v>
      </c>
      <c r="N311" s="177" t="s">
        <v>45</v>
      </c>
      <c r="O311" s="177">
        <v>5</v>
      </c>
      <c r="P311" s="177">
        <v>150</v>
      </c>
      <c r="Q311" s="177">
        <v>750</v>
      </c>
      <c r="R311" s="177">
        <v>1345</v>
      </c>
      <c r="S311" s="177">
        <v>992.1</v>
      </c>
      <c r="T311" s="177">
        <v>496.05</v>
      </c>
    </row>
    <row r="312" spans="1:20">
      <c r="A312" s="213" t="s">
        <v>34</v>
      </c>
      <c r="B312" s="213" t="s">
        <v>27</v>
      </c>
      <c r="C312" s="213" t="s">
        <v>64</v>
      </c>
      <c r="D312" s="213" t="s">
        <v>131</v>
      </c>
      <c r="E312" s="177" t="s">
        <v>233</v>
      </c>
      <c r="F312" s="177" t="s">
        <v>17</v>
      </c>
      <c r="G312" s="177">
        <v>0.18</v>
      </c>
      <c r="H312" s="177">
        <v>0.5</v>
      </c>
      <c r="I312" s="177" t="s">
        <v>222</v>
      </c>
      <c r="J312" s="177" t="s">
        <v>81</v>
      </c>
      <c r="K312" s="177">
        <v>5</v>
      </c>
      <c r="L312" s="177">
        <v>572</v>
      </c>
      <c r="M312" s="177">
        <v>2860</v>
      </c>
      <c r="N312" s="177" t="s">
        <v>45</v>
      </c>
      <c r="O312" s="177">
        <v>5</v>
      </c>
      <c r="P312" s="177">
        <v>150</v>
      </c>
      <c r="Q312" s="177">
        <v>750</v>
      </c>
      <c r="R312" s="177">
        <v>3610</v>
      </c>
      <c r="S312" s="177">
        <v>1399.8</v>
      </c>
      <c r="T312" s="177">
        <v>699.9</v>
      </c>
    </row>
    <row r="313" spans="1:20">
      <c r="A313" s="213" t="s">
        <v>34</v>
      </c>
      <c r="B313" s="213" t="s">
        <v>27</v>
      </c>
      <c r="C313" s="213" t="s">
        <v>64</v>
      </c>
      <c r="D313" s="213" t="s">
        <v>131</v>
      </c>
      <c r="E313" s="177" t="s">
        <v>233</v>
      </c>
      <c r="F313" s="177" t="s">
        <v>17</v>
      </c>
      <c r="G313" s="177">
        <v>0.18</v>
      </c>
      <c r="H313" s="177">
        <v>0.5</v>
      </c>
      <c r="I313" s="177" t="s">
        <v>220</v>
      </c>
      <c r="J313" s="177" t="s">
        <v>81</v>
      </c>
      <c r="K313" s="177">
        <v>5</v>
      </c>
      <c r="L313" s="177">
        <v>494</v>
      </c>
      <c r="M313" s="177">
        <v>2470</v>
      </c>
      <c r="N313" s="177" t="s">
        <v>45</v>
      </c>
      <c r="O313" s="177">
        <v>5</v>
      </c>
      <c r="P313" s="177">
        <v>150</v>
      </c>
      <c r="Q313" s="177">
        <v>750</v>
      </c>
      <c r="R313" s="177">
        <v>3220</v>
      </c>
      <c r="S313" s="177">
        <v>1329.6</v>
      </c>
      <c r="T313" s="177">
        <v>664.8</v>
      </c>
    </row>
    <row r="314" spans="1:20">
      <c r="A314" s="213" t="s">
        <v>34</v>
      </c>
      <c r="B314" s="213" t="s">
        <v>27</v>
      </c>
      <c r="C314" s="213" t="s">
        <v>64</v>
      </c>
      <c r="D314" s="213" t="s">
        <v>131</v>
      </c>
      <c r="E314" s="177" t="s">
        <v>233</v>
      </c>
      <c r="F314" s="177" t="s">
        <v>17</v>
      </c>
      <c r="G314" s="177">
        <v>0.18</v>
      </c>
      <c r="H314" s="177">
        <v>0.5</v>
      </c>
      <c r="I314" s="177" t="s">
        <v>221</v>
      </c>
      <c r="J314" s="177" t="s">
        <v>81</v>
      </c>
      <c r="K314" s="177">
        <v>5</v>
      </c>
      <c r="L314" s="177">
        <v>119</v>
      </c>
      <c r="M314" s="177">
        <v>595</v>
      </c>
      <c r="N314" s="177" t="s">
        <v>45</v>
      </c>
      <c r="O314" s="177">
        <v>5</v>
      </c>
      <c r="P314" s="177">
        <v>150</v>
      </c>
      <c r="Q314" s="177">
        <v>750</v>
      </c>
      <c r="R314" s="177">
        <v>1345</v>
      </c>
      <c r="S314" s="177">
        <v>992.1</v>
      </c>
      <c r="T314" s="177">
        <v>496.05</v>
      </c>
    </row>
    <row r="315" spans="1:20">
      <c r="A315" s="213" t="s">
        <v>34</v>
      </c>
      <c r="B315" s="213" t="s">
        <v>27</v>
      </c>
      <c r="C315" s="213" t="s">
        <v>63</v>
      </c>
      <c r="D315" s="213" t="s">
        <v>256</v>
      </c>
      <c r="E315" s="177" t="s">
        <v>257</v>
      </c>
      <c r="F315" s="177" t="s">
        <v>20</v>
      </c>
      <c r="G315" s="177">
        <v>0.25</v>
      </c>
      <c r="H315" s="177">
        <v>0.5</v>
      </c>
      <c r="I315" s="177"/>
      <c r="J315" s="177" t="s">
        <v>82</v>
      </c>
      <c r="K315" s="177">
        <v>1</v>
      </c>
      <c r="L315" s="177">
        <v>350</v>
      </c>
      <c r="M315" s="177">
        <v>350</v>
      </c>
      <c r="N315" s="177"/>
      <c r="O315" s="177"/>
      <c r="P315" s="177"/>
      <c r="Q315" s="177">
        <v>0</v>
      </c>
      <c r="R315" s="177">
        <v>350</v>
      </c>
      <c r="S315" s="177">
        <v>437.5</v>
      </c>
      <c r="T315" s="177">
        <v>218.75</v>
      </c>
    </row>
    <row r="316" spans="1:20">
      <c r="A316" s="213" t="s">
        <v>34</v>
      </c>
      <c r="B316" s="213" t="s">
        <v>27</v>
      </c>
      <c r="C316" s="213" t="s">
        <v>63</v>
      </c>
      <c r="D316" s="213" t="s">
        <v>128</v>
      </c>
      <c r="E316" s="177"/>
      <c r="F316" s="177" t="s">
        <v>20</v>
      </c>
      <c r="G316" s="177">
        <v>0.25</v>
      </c>
      <c r="H316" s="177">
        <v>0.5</v>
      </c>
      <c r="I316" s="177"/>
      <c r="J316" s="177" t="s">
        <v>82</v>
      </c>
      <c r="K316" s="177">
        <v>1</v>
      </c>
      <c r="L316" s="177">
        <v>350</v>
      </c>
      <c r="M316" s="177">
        <v>350</v>
      </c>
      <c r="N316" s="177"/>
      <c r="O316" s="177"/>
      <c r="P316" s="177"/>
      <c r="Q316" s="177">
        <v>0</v>
      </c>
      <c r="R316" s="177">
        <v>350</v>
      </c>
      <c r="S316" s="177">
        <v>437.5</v>
      </c>
      <c r="T316" s="177">
        <v>218.75</v>
      </c>
    </row>
    <row r="317" spans="1:20">
      <c r="A317" s="213" t="s">
        <v>34</v>
      </c>
      <c r="B317" s="213" t="s">
        <v>27</v>
      </c>
      <c r="C317" s="213" t="s">
        <v>63</v>
      </c>
      <c r="D317" s="213" t="s">
        <v>129</v>
      </c>
      <c r="E317" s="177" t="s">
        <v>255</v>
      </c>
      <c r="F317" s="177" t="s">
        <v>20</v>
      </c>
      <c r="G317" s="177">
        <v>0.25</v>
      </c>
      <c r="H317" s="177">
        <v>0.5</v>
      </c>
      <c r="I317" s="177"/>
      <c r="J317" s="177" t="s">
        <v>82</v>
      </c>
      <c r="K317" s="177">
        <v>3</v>
      </c>
      <c r="L317" s="177">
        <v>350</v>
      </c>
      <c r="M317" s="177">
        <v>1050</v>
      </c>
      <c r="N317" s="177" t="s">
        <v>242</v>
      </c>
      <c r="O317" s="177">
        <v>2</v>
      </c>
      <c r="P317" s="177">
        <v>150</v>
      </c>
      <c r="Q317" s="177">
        <v>300</v>
      </c>
      <c r="R317" s="177">
        <v>1350</v>
      </c>
      <c r="S317" s="177">
        <v>1687.5</v>
      </c>
      <c r="T317" s="177">
        <v>843.75</v>
      </c>
    </row>
    <row r="318" spans="1:20">
      <c r="A318" s="213" t="s">
        <v>34</v>
      </c>
      <c r="B318" s="213" t="s">
        <v>27</v>
      </c>
      <c r="C318" s="213" t="s">
        <v>64</v>
      </c>
      <c r="D318" s="213" t="s">
        <v>131</v>
      </c>
      <c r="E318" s="177"/>
      <c r="F318" s="177" t="s">
        <v>20</v>
      </c>
      <c r="G318" s="177">
        <v>0.25</v>
      </c>
      <c r="H318" s="177">
        <v>0.5</v>
      </c>
      <c r="I318" s="177"/>
      <c r="J318" s="177" t="s">
        <v>82</v>
      </c>
      <c r="K318" s="177">
        <v>5</v>
      </c>
      <c r="L318" s="177">
        <v>350</v>
      </c>
      <c r="M318" s="177">
        <v>1750</v>
      </c>
      <c r="N318" s="177"/>
      <c r="O318" s="177"/>
      <c r="P318" s="177"/>
      <c r="Q318" s="177">
        <v>0</v>
      </c>
      <c r="R318" s="177">
        <v>1750</v>
      </c>
      <c r="S318" s="177">
        <v>2187.5</v>
      </c>
      <c r="T318" s="177">
        <v>1093.75</v>
      </c>
    </row>
    <row r="319" spans="1:20">
      <c r="A319" s="213" t="s">
        <v>34</v>
      </c>
      <c r="B319" s="213" t="s">
        <v>27</v>
      </c>
      <c r="C319" s="213" t="s">
        <v>64</v>
      </c>
      <c r="D319" s="213" t="s">
        <v>132</v>
      </c>
      <c r="E319" s="177"/>
      <c r="F319" s="177" t="s">
        <v>20</v>
      </c>
      <c r="G319" s="177">
        <v>0.25</v>
      </c>
      <c r="H319" s="177">
        <v>0.5</v>
      </c>
      <c r="I319" s="177"/>
      <c r="J319" s="177" t="s">
        <v>251</v>
      </c>
      <c r="K319" s="177">
        <v>5</v>
      </c>
      <c r="L319" s="177">
        <v>350</v>
      </c>
      <c r="M319" s="177">
        <v>1750</v>
      </c>
      <c r="N319" s="177"/>
      <c r="O319" s="177"/>
      <c r="P319" s="177"/>
      <c r="Q319" s="177">
        <v>0</v>
      </c>
      <c r="R319" s="177">
        <v>1750</v>
      </c>
      <c r="S319" s="177">
        <v>2187.5</v>
      </c>
      <c r="T319" s="177">
        <v>1093.75</v>
      </c>
    </row>
    <row r="320" spans="1:20">
      <c r="A320" s="213" t="s">
        <v>34</v>
      </c>
      <c r="B320" s="213" t="s">
        <v>27</v>
      </c>
      <c r="C320" s="213" t="s">
        <v>63</v>
      </c>
      <c r="D320" s="213" t="s">
        <v>129</v>
      </c>
      <c r="E320" s="177"/>
      <c r="F320" s="177" t="s">
        <v>79</v>
      </c>
      <c r="G320" s="177">
        <v>0.16</v>
      </c>
      <c r="H320" s="177">
        <v>0.5</v>
      </c>
      <c r="I320" s="177" t="s">
        <v>238</v>
      </c>
      <c r="J320" s="177" t="s">
        <v>81</v>
      </c>
      <c r="K320" s="177">
        <v>3</v>
      </c>
      <c r="L320" s="177">
        <v>446</v>
      </c>
      <c r="M320" s="177">
        <v>1338</v>
      </c>
      <c r="N320" s="177" t="s">
        <v>242</v>
      </c>
      <c r="O320" s="177">
        <v>2</v>
      </c>
      <c r="P320" s="177">
        <v>150</v>
      </c>
      <c r="Q320" s="177">
        <v>300</v>
      </c>
      <c r="R320" s="177">
        <v>1638</v>
      </c>
      <c r="S320" s="177">
        <v>562.08000000000004</v>
      </c>
      <c r="T320" s="177">
        <v>281.04000000000002</v>
      </c>
    </row>
    <row r="321" spans="1:20">
      <c r="A321" s="213" t="s">
        <v>34</v>
      </c>
      <c r="B321" s="213" t="s">
        <v>27</v>
      </c>
      <c r="C321" s="213" t="s">
        <v>63</v>
      </c>
      <c r="D321" s="213" t="s">
        <v>129</v>
      </c>
      <c r="E321" s="177"/>
      <c r="F321" s="177" t="s">
        <v>79</v>
      </c>
      <c r="G321" s="177">
        <v>0.16</v>
      </c>
      <c r="H321" s="177">
        <v>0.5</v>
      </c>
      <c r="I321" s="177" t="s">
        <v>241</v>
      </c>
      <c r="J321" s="177" t="s">
        <v>81</v>
      </c>
      <c r="K321" s="177">
        <v>3</v>
      </c>
      <c r="L321" s="177">
        <v>275</v>
      </c>
      <c r="M321" s="177">
        <v>825</v>
      </c>
      <c r="N321" s="177" t="s">
        <v>242</v>
      </c>
      <c r="O321" s="177">
        <v>2</v>
      </c>
      <c r="P321" s="177">
        <v>150</v>
      </c>
      <c r="Q321" s="177">
        <v>300</v>
      </c>
      <c r="R321" s="177">
        <v>1125</v>
      </c>
      <c r="S321" s="177">
        <v>480</v>
      </c>
      <c r="T321" s="177">
        <v>240</v>
      </c>
    </row>
    <row r="322" spans="1:20">
      <c r="A322" s="213" t="s">
        <v>34</v>
      </c>
      <c r="B322" s="213" t="s">
        <v>27</v>
      </c>
      <c r="C322" s="213" t="s">
        <v>64</v>
      </c>
      <c r="D322" s="213" t="s">
        <v>131</v>
      </c>
      <c r="E322" s="177"/>
      <c r="F322" s="177" t="s">
        <v>79</v>
      </c>
      <c r="G322" s="177">
        <v>0.16</v>
      </c>
      <c r="H322" s="177">
        <v>0.5</v>
      </c>
      <c r="I322" s="177" t="s">
        <v>238</v>
      </c>
      <c r="J322" s="177" t="s">
        <v>81</v>
      </c>
      <c r="K322" s="177">
        <v>5</v>
      </c>
      <c r="L322" s="177">
        <v>446</v>
      </c>
      <c r="M322" s="177">
        <v>2230</v>
      </c>
      <c r="N322" s="177" t="s">
        <v>45</v>
      </c>
      <c r="O322" s="177">
        <v>5</v>
      </c>
      <c r="P322" s="177">
        <v>150</v>
      </c>
      <c r="Q322" s="177">
        <v>750</v>
      </c>
      <c r="R322" s="177">
        <v>2980</v>
      </c>
      <c r="S322" s="177">
        <v>1226.8</v>
      </c>
      <c r="T322" s="177">
        <v>613.4</v>
      </c>
    </row>
    <row r="323" spans="1:20">
      <c r="A323" s="213" t="s">
        <v>34</v>
      </c>
      <c r="B323" s="213" t="s">
        <v>27</v>
      </c>
      <c r="C323" s="213" t="s">
        <v>64</v>
      </c>
      <c r="D323" s="213" t="s">
        <v>131</v>
      </c>
      <c r="E323" s="177"/>
      <c r="F323" s="177" t="s">
        <v>79</v>
      </c>
      <c r="G323" s="177">
        <v>0.16</v>
      </c>
      <c r="H323" s="177">
        <v>0.5</v>
      </c>
      <c r="I323" s="177" t="s">
        <v>241</v>
      </c>
      <c r="J323" s="177" t="s">
        <v>81</v>
      </c>
      <c r="K323" s="177">
        <v>2</v>
      </c>
      <c r="L323" s="177">
        <v>275</v>
      </c>
      <c r="M323" s="177">
        <v>550</v>
      </c>
      <c r="N323" s="177" t="s">
        <v>45</v>
      </c>
      <c r="O323" s="177">
        <v>5</v>
      </c>
      <c r="P323" s="177">
        <v>150</v>
      </c>
      <c r="Q323" s="177">
        <v>750</v>
      </c>
      <c r="R323" s="177">
        <v>1300</v>
      </c>
      <c r="S323" s="177">
        <v>958</v>
      </c>
      <c r="T323" s="177">
        <v>479</v>
      </c>
    </row>
    <row r="324" spans="1:20">
      <c r="A324" s="213" t="s">
        <v>34</v>
      </c>
      <c r="B324" s="213" t="s">
        <v>27</v>
      </c>
      <c r="C324" s="213" t="s">
        <v>64</v>
      </c>
      <c r="D324" s="213" t="s">
        <v>132</v>
      </c>
      <c r="E324" s="177"/>
      <c r="F324" s="177" t="s">
        <v>79</v>
      </c>
      <c r="G324" s="177">
        <v>0.16</v>
      </c>
      <c r="H324" s="177">
        <v>0.5</v>
      </c>
      <c r="I324" s="177" t="s">
        <v>238</v>
      </c>
      <c r="J324" s="177" t="s">
        <v>81</v>
      </c>
      <c r="K324" s="177">
        <v>2</v>
      </c>
      <c r="L324" s="177">
        <v>446</v>
      </c>
      <c r="M324" s="177">
        <v>892</v>
      </c>
      <c r="N324" s="177"/>
      <c r="O324" s="177"/>
      <c r="P324" s="177"/>
      <c r="Q324" s="177">
        <v>0</v>
      </c>
      <c r="R324" s="177">
        <v>892</v>
      </c>
      <c r="S324" s="177">
        <v>142.72</v>
      </c>
      <c r="T324" s="177">
        <v>71.36</v>
      </c>
    </row>
    <row r="325" spans="1:20">
      <c r="A325" s="213" t="s">
        <v>34</v>
      </c>
      <c r="B325" s="213" t="s">
        <v>27</v>
      </c>
      <c r="C325" s="213" t="s">
        <v>65</v>
      </c>
      <c r="D325" s="213" t="s">
        <v>133</v>
      </c>
      <c r="E325" s="177"/>
      <c r="F325" s="177" t="s">
        <v>79</v>
      </c>
      <c r="G325" s="177">
        <v>0.16</v>
      </c>
      <c r="H325" s="177">
        <v>0.5</v>
      </c>
      <c r="I325" s="177" t="s">
        <v>238</v>
      </c>
      <c r="J325" s="177" t="s">
        <v>81</v>
      </c>
      <c r="K325" s="177">
        <v>2</v>
      </c>
      <c r="L325" s="177">
        <v>446</v>
      </c>
      <c r="M325" s="177">
        <v>892</v>
      </c>
      <c r="N325" s="177"/>
      <c r="O325" s="177"/>
      <c r="P325" s="177"/>
      <c r="Q325" s="177">
        <v>0</v>
      </c>
      <c r="R325" s="177">
        <v>892</v>
      </c>
      <c r="S325" s="177">
        <v>142.72</v>
      </c>
      <c r="T325" s="177">
        <v>71.36</v>
      </c>
    </row>
    <row r="326" spans="1:20">
      <c r="A326" s="213" t="s">
        <v>34</v>
      </c>
      <c r="B326" s="213" t="s">
        <v>27</v>
      </c>
      <c r="C326" s="213" t="s">
        <v>65</v>
      </c>
      <c r="D326" s="213" t="s">
        <v>134</v>
      </c>
      <c r="E326" s="177"/>
      <c r="F326" s="177" t="s">
        <v>79</v>
      </c>
      <c r="G326" s="177">
        <v>0.16</v>
      </c>
      <c r="H326" s="177">
        <v>0.5</v>
      </c>
      <c r="I326" s="177" t="s">
        <v>238</v>
      </c>
      <c r="J326" s="177" t="s">
        <v>81</v>
      </c>
      <c r="K326" s="177">
        <v>2</v>
      </c>
      <c r="L326" s="177">
        <v>446</v>
      </c>
      <c r="M326" s="177">
        <v>892</v>
      </c>
      <c r="N326" s="177"/>
      <c r="O326" s="177"/>
      <c r="P326" s="177"/>
      <c r="Q326" s="177">
        <v>0</v>
      </c>
      <c r="R326" s="177">
        <v>892</v>
      </c>
      <c r="S326" s="177">
        <v>142.72</v>
      </c>
      <c r="T326" s="177">
        <v>71.36</v>
      </c>
    </row>
    <row r="327" spans="1:20">
      <c r="A327" s="213" t="s">
        <v>34</v>
      </c>
      <c r="B327" s="213" t="s">
        <v>27</v>
      </c>
      <c r="C327" s="213" t="s">
        <v>65</v>
      </c>
      <c r="D327" s="213" t="s">
        <v>134</v>
      </c>
      <c r="E327" s="177"/>
      <c r="F327" s="177" t="s">
        <v>79</v>
      </c>
      <c r="G327" s="177">
        <v>0.16</v>
      </c>
      <c r="H327" s="177">
        <v>0.5</v>
      </c>
      <c r="I327" s="177" t="s">
        <v>240</v>
      </c>
      <c r="J327" s="177" t="s">
        <v>82</v>
      </c>
      <c r="K327" s="177"/>
      <c r="L327" s="177">
        <v>328</v>
      </c>
      <c r="M327" s="177">
        <v>0</v>
      </c>
      <c r="N327" s="177"/>
      <c r="O327" s="177"/>
      <c r="P327" s="177"/>
      <c r="Q327" s="177">
        <v>0</v>
      </c>
      <c r="R327" s="177">
        <v>0</v>
      </c>
      <c r="S327" s="177">
        <v>0</v>
      </c>
      <c r="T327" s="177">
        <v>0</v>
      </c>
    </row>
    <row r="328" spans="1:20">
      <c r="A328" s="213" t="s">
        <v>34</v>
      </c>
      <c r="B328" s="213" t="s">
        <v>27</v>
      </c>
      <c r="C328" s="213" t="s">
        <v>63</v>
      </c>
      <c r="D328" s="213" t="s">
        <v>129</v>
      </c>
      <c r="E328" s="177"/>
      <c r="F328" s="177" t="s">
        <v>135</v>
      </c>
      <c r="G328" s="177">
        <v>0.25</v>
      </c>
      <c r="H328" s="177">
        <v>0.7</v>
      </c>
      <c r="I328" s="177"/>
      <c r="J328" s="177" t="s">
        <v>82</v>
      </c>
      <c r="K328" s="177">
        <v>6</v>
      </c>
      <c r="L328" s="177">
        <v>422</v>
      </c>
      <c r="M328" s="177">
        <v>2532</v>
      </c>
      <c r="N328" s="177" t="s">
        <v>45</v>
      </c>
      <c r="O328" s="177">
        <v>3</v>
      </c>
      <c r="P328" s="177">
        <v>150</v>
      </c>
      <c r="Q328" s="177">
        <v>450</v>
      </c>
      <c r="R328" s="177">
        <v>2982</v>
      </c>
      <c r="S328" s="177">
        <v>3727.5</v>
      </c>
      <c r="T328" s="177">
        <v>2609.25</v>
      </c>
    </row>
    <row r="329" spans="1:20">
      <c r="A329" s="213" t="s">
        <v>34</v>
      </c>
      <c r="B329" s="213" t="s">
        <v>27</v>
      </c>
      <c r="C329" s="213" t="s">
        <v>63</v>
      </c>
      <c r="D329" s="213" t="s">
        <v>129</v>
      </c>
      <c r="E329" s="177"/>
      <c r="F329" s="177" t="s">
        <v>21</v>
      </c>
      <c r="G329" s="177">
        <v>0.25</v>
      </c>
      <c r="H329" s="177">
        <v>0.7</v>
      </c>
      <c r="I329" s="177" t="s">
        <v>259</v>
      </c>
      <c r="J329" s="177" t="s">
        <v>82</v>
      </c>
      <c r="K329" s="177">
        <v>6</v>
      </c>
      <c r="L329" s="177">
        <v>430</v>
      </c>
      <c r="M329" s="177">
        <v>2580</v>
      </c>
      <c r="N329" s="177" t="s">
        <v>45</v>
      </c>
      <c r="O329" s="177">
        <v>6</v>
      </c>
      <c r="P329" s="177">
        <v>150</v>
      </c>
      <c r="Q329" s="177">
        <v>900</v>
      </c>
      <c r="R329" s="177">
        <v>3480</v>
      </c>
      <c r="S329" s="177">
        <v>4350</v>
      </c>
      <c r="T329" s="177">
        <v>3045</v>
      </c>
    </row>
    <row r="330" spans="1:20">
      <c r="A330" s="213" t="s">
        <v>34</v>
      </c>
      <c r="B330" s="213" t="s">
        <v>27</v>
      </c>
      <c r="C330" s="213" t="s">
        <v>64</v>
      </c>
      <c r="D330" s="213" t="s">
        <v>131</v>
      </c>
      <c r="E330" s="177"/>
      <c r="F330" s="177" t="s">
        <v>21</v>
      </c>
      <c r="G330" s="177">
        <v>0.25</v>
      </c>
      <c r="H330" s="177">
        <v>0.7</v>
      </c>
      <c r="I330" s="177" t="s">
        <v>259</v>
      </c>
      <c r="J330" s="177" t="s">
        <v>82</v>
      </c>
      <c r="K330" s="177">
        <v>2</v>
      </c>
      <c r="L330" s="177">
        <v>430</v>
      </c>
      <c r="M330" s="177">
        <v>860</v>
      </c>
      <c r="N330" s="177" t="s">
        <v>45</v>
      </c>
      <c r="O330" s="177">
        <v>2</v>
      </c>
      <c r="P330" s="177">
        <v>150</v>
      </c>
      <c r="Q330" s="177">
        <v>300</v>
      </c>
      <c r="R330" s="177">
        <v>1160</v>
      </c>
      <c r="S330" s="177">
        <v>1450</v>
      </c>
      <c r="T330" s="177">
        <v>1015</v>
      </c>
    </row>
    <row r="331" spans="1:20">
      <c r="A331" s="213" t="s">
        <v>34</v>
      </c>
      <c r="B331" s="213" t="s">
        <v>27</v>
      </c>
      <c r="C331" s="213" t="s">
        <v>65</v>
      </c>
      <c r="D331" s="213" t="s">
        <v>134</v>
      </c>
      <c r="E331" s="177"/>
      <c r="F331" s="177" t="s">
        <v>21</v>
      </c>
      <c r="G331" s="177">
        <v>0.25</v>
      </c>
      <c r="H331" s="177">
        <v>0.7</v>
      </c>
      <c r="I331" s="177" t="s">
        <v>259</v>
      </c>
      <c r="J331" s="177" t="s">
        <v>82</v>
      </c>
      <c r="K331" s="177">
        <v>2</v>
      </c>
      <c r="L331" s="177">
        <v>430</v>
      </c>
      <c r="M331" s="177">
        <v>860</v>
      </c>
      <c r="N331" s="177" t="s">
        <v>45</v>
      </c>
      <c r="O331" s="177">
        <v>2</v>
      </c>
      <c r="P331" s="177">
        <v>150</v>
      </c>
      <c r="Q331" s="177">
        <v>300</v>
      </c>
      <c r="R331" s="177">
        <v>1160</v>
      </c>
      <c r="S331" s="177">
        <v>1450</v>
      </c>
      <c r="T331" s="177">
        <v>1015</v>
      </c>
    </row>
    <row r="332" spans="1:20">
      <c r="A332" s="213" t="s">
        <v>34</v>
      </c>
      <c r="B332" s="213" t="s">
        <v>27</v>
      </c>
      <c r="C332" s="213" t="s">
        <v>63</v>
      </c>
      <c r="D332" s="213" t="s">
        <v>129</v>
      </c>
      <c r="E332" s="177"/>
      <c r="F332" s="177" t="s">
        <v>22</v>
      </c>
      <c r="G332" s="177">
        <v>0.2</v>
      </c>
      <c r="H332" s="177">
        <v>0.5</v>
      </c>
      <c r="I332" s="177" t="s">
        <v>202</v>
      </c>
      <c r="J332" s="177" t="s">
        <v>82</v>
      </c>
      <c r="K332" s="177">
        <v>4</v>
      </c>
      <c r="L332" s="177">
        <v>380</v>
      </c>
      <c r="M332" s="177">
        <v>1520</v>
      </c>
      <c r="N332" s="177" t="s">
        <v>203</v>
      </c>
      <c r="O332" s="177">
        <v>4</v>
      </c>
      <c r="P332" s="177">
        <v>150</v>
      </c>
      <c r="Q332" s="177">
        <v>600</v>
      </c>
      <c r="R332" s="177">
        <v>2120</v>
      </c>
      <c r="S332" s="177">
        <v>2544</v>
      </c>
      <c r="T332" s="177">
        <v>1272</v>
      </c>
    </row>
    <row r="333" spans="1:20">
      <c r="A333" s="213" t="s">
        <v>35</v>
      </c>
      <c r="B333" s="213" t="s">
        <v>28</v>
      </c>
      <c r="C333" s="213" t="s">
        <v>68</v>
      </c>
      <c r="D333" s="213" t="s">
        <v>100</v>
      </c>
      <c r="E333" s="177">
        <v>0</v>
      </c>
      <c r="F333" s="177" t="s">
        <v>18</v>
      </c>
      <c r="G333" s="177">
        <v>0.25</v>
      </c>
      <c r="H333" s="177">
        <v>0.7</v>
      </c>
      <c r="I333" s="177">
        <v>0</v>
      </c>
      <c r="J333" s="177" t="s">
        <v>82</v>
      </c>
      <c r="K333" s="177">
        <v>6</v>
      </c>
      <c r="L333" s="177">
        <v>490</v>
      </c>
      <c r="M333" s="177">
        <v>2940</v>
      </c>
      <c r="N333" s="177" t="s">
        <v>45</v>
      </c>
      <c r="O333" s="177">
        <v>6</v>
      </c>
      <c r="P333" s="177">
        <v>150</v>
      </c>
      <c r="Q333" s="177">
        <v>900</v>
      </c>
      <c r="R333" s="177">
        <v>3840</v>
      </c>
      <c r="S333" s="177">
        <v>4800</v>
      </c>
      <c r="T333" s="177">
        <v>3360</v>
      </c>
    </row>
    <row r="334" spans="1:20">
      <c r="A334" s="213" t="s">
        <v>35</v>
      </c>
      <c r="B334" s="213" t="s">
        <v>28</v>
      </c>
      <c r="C334" s="213" t="s">
        <v>68</v>
      </c>
      <c r="D334" s="213" t="s">
        <v>101</v>
      </c>
      <c r="E334" s="177">
        <v>0</v>
      </c>
      <c r="F334" s="177" t="s">
        <v>18</v>
      </c>
      <c r="G334" s="177">
        <v>0.25</v>
      </c>
      <c r="H334" s="177">
        <v>0.7</v>
      </c>
      <c r="I334" s="177">
        <v>0</v>
      </c>
      <c r="J334" s="177" t="s">
        <v>82</v>
      </c>
      <c r="K334" s="177">
        <v>4</v>
      </c>
      <c r="L334" s="177">
        <v>490</v>
      </c>
      <c r="M334" s="177">
        <v>1960</v>
      </c>
      <c r="N334" s="177" t="s">
        <v>45</v>
      </c>
      <c r="O334" s="177">
        <v>4</v>
      </c>
      <c r="P334" s="177">
        <v>150</v>
      </c>
      <c r="Q334" s="177">
        <v>600</v>
      </c>
      <c r="R334" s="177">
        <v>2560</v>
      </c>
      <c r="S334" s="177">
        <v>3200</v>
      </c>
      <c r="T334" s="177">
        <v>2240</v>
      </c>
    </row>
    <row r="335" spans="1:20">
      <c r="A335" s="213" t="s">
        <v>35</v>
      </c>
      <c r="B335" s="213" t="s">
        <v>28</v>
      </c>
      <c r="C335" s="213" t="s">
        <v>66</v>
      </c>
      <c r="D335" s="213" t="s">
        <v>95</v>
      </c>
      <c r="E335" s="177"/>
      <c r="F335" s="177" t="s">
        <v>38</v>
      </c>
      <c r="G335" s="177">
        <v>0.22</v>
      </c>
      <c r="H335" s="177">
        <v>0.7</v>
      </c>
      <c r="I335" s="177" t="s">
        <v>46</v>
      </c>
      <c r="J335" s="177" t="s">
        <v>82</v>
      </c>
      <c r="K335" s="177">
        <v>1</v>
      </c>
      <c r="L335" s="177">
        <v>406</v>
      </c>
      <c r="M335" s="177">
        <v>406</v>
      </c>
      <c r="N335" s="177" t="s">
        <v>166</v>
      </c>
      <c r="O335" s="177">
        <v>1</v>
      </c>
      <c r="P335" s="177">
        <v>3500</v>
      </c>
      <c r="Q335" s="177">
        <v>3500</v>
      </c>
      <c r="R335" s="177">
        <v>3906</v>
      </c>
      <c r="S335" s="177">
        <v>4765.32</v>
      </c>
      <c r="T335" s="177">
        <v>3335.7239999999997</v>
      </c>
    </row>
    <row r="336" spans="1:20">
      <c r="A336" s="213" t="s">
        <v>35</v>
      </c>
      <c r="B336" s="213" t="s">
        <v>28</v>
      </c>
      <c r="C336" s="213" t="s">
        <v>66</v>
      </c>
      <c r="D336" s="213" t="s">
        <v>95</v>
      </c>
      <c r="E336" s="177"/>
      <c r="F336" s="177" t="s">
        <v>38</v>
      </c>
      <c r="G336" s="177">
        <v>0.22</v>
      </c>
      <c r="H336" s="177">
        <v>0.7</v>
      </c>
      <c r="I336" s="177" t="s">
        <v>155</v>
      </c>
      <c r="J336" s="177" t="s">
        <v>82</v>
      </c>
      <c r="K336" s="177">
        <v>4</v>
      </c>
      <c r="L336" s="177">
        <v>304</v>
      </c>
      <c r="M336" s="177">
        <v>1216</v>
      </c>
      <c r="N336" s="177"/>
      <c r="O336" s="177"/>
      <c r="P336" s="177"/>
      <c r="Q336" s="177">
        <v>0</v>
      </c>
      <c r="R336" s="177">
        <v>1216</v>
      </c>
      <c r="S336" s="177">
        <v>1483.52</v>
      </c>
      <c r="T336" s="177">
        <v>1038.4639999999999</v>
      </c>
    </row>
    <row r="337" spans="1:20">
      <c r="A337" s="213" t="s">
        <v>35</v>
      </c>
      <c r="B337" s="213" t="s">
        <v>28</v>
      </c>
      <c r="C337" s="213" t="s">
        <v>66</v>
      </c>
      <c r="D337" s="213" t="s">
        <v>102</v>
      </c>
      <c r="E337" s="177"/>
      <c r="F337" s="177" t="s">
        <v>38</v>
      </c>
      <c r="G337" s="177">
        <v>0.22</v>
      </c>
      <c r="H337" s="177">
        <v>0.7</v>
      </c>
      <c r="I337" s="177" t="s">
        <v>46</v>
      </c>
      <c r="J337" s="177" t="s">
        <v>82</v>
      </c>
      <c r="K337" s="177">
        <v>4</v>
      </c>
      <c r="L337" s="177">
        <v>406</v>
      </c>
      <c r="M337" s="177">
        <v>1624</v>
      </c>
      <c r="N337" s="177"/>
      <c r="O337" s="177"/>
      <c r="P337" s="177"/>
      <c r="Q337" s="177">
        <v>0</v>
      </c>
      <c r="R337" s="177">
        <v>1624</v>
      </c>
      <c r="S337" s="177">
        <v>1981.28</v>
      </c>
      <c r="T337" s="177">
        <v>1386.896</v>
      </c>
    </row>
    <row r="338" spans="1:20">
      <c r="A338" s="213" t="s">
        <v>35</v>
      </c>
      <c r="B338" s="213" t="s">
        <v>28</v>
      </c>
      <c r="C338" s="213" t="s">
        <v>66</v>
      </c>
      <c r="D338" s="213" t="s">
        <v>94</v>
      </c>
      <c r="E338" s="177"/>
      <c r="F338" s="177" t="s">
        <v>38</v>
      </c>
      <c r="G338" s="177">
        <v>0.22</v>
      </c>
      <c r="H338" s="177">
        <v>0.7</v>
      </c>
      <c r="I338" s="177" t="s">
        <v>155</v>
      </c>
      <c r="J338" s="177" t="s">
        <v>82</v>
      </c>
      <c r="K338" s="177">
        <v>9</v>
      </c>
      <c r="L338" s="177">
        <v>304</v>
      </c>
      <c r="M338" s="177">
        <v>2736</v>
      </c>
      <c r="N338" s="177"/>
      <c r="O338" s="177"/>
      <c r="P338" s="177"/>
      <c r="Q338" s="177">
        <v>0</v>
      </c>
      <c r="R338" s="177">
        <v>2736</v>
      </c>
      <c r="S338" s="177">
        <v>3337.92</v>
      </c>
      <c r="T338" s="177">
        <v>2336.5439999999999</v>
      </c>
    </row>
    <row r="339" spans="1:20">
      <c r="A339" s="213" t="s">
        <v>35</v>
      </c>
      <c r="B339" s="213" t="s">
        <v>28</v>
      </c>
      <c r="C339" s="213" t="s">
        <v>67</v>
      </c>
      <c r="D339" s="213" t="s">
        <v>96</v>
      </c>
      <c r="E339" s="177" t="s">
        <v>158</v>
      </c>
      <c r="F339" s="177" t="s">
        <v>38</v>
      </c>
      <c r="G339" s="177">
        <v>0.22</v>
      </c>
      <c r="H339" s="177">
        <v>0.7</v>
      </c>
      <c r="I339" s="177" t="s">
        <v>46</v>
      </c>
      <c r="J339" s="177" t="s">
        <v>82</v>
      </c>
      <c r="K339" s="177">
        <v>1</v>
      </c>
      <c r="L339" s="177">
        <v>406</v>
      </c>
      <c r="M339" s="177">
        <v>406</v>
      </c>
      <c r="N339" s="177"/>
      <c r="O339" s="177"/>
      <c r="P339" s="177"/>
      <c r="Q339" s="177">
        <v>0</v>
      </c>
      <c r="R339" s="177">
        <v>406</v>
      </c>
      <c r="S339" s="177">
        <v>495.32</v>
      </c>
      <c r="T339" s="177">
        <v>346.72399999999999</v>
      </c>
    </row>
    <row r="340" spans="1:20">
      <c r="A340" s="213" t="s">
        <v>35</v>
      </c>
      <c r="B340" s="213" t="s">
        <v>28</v>
      </c>
      <c r="C340" s="213" t="s">
        <v>67</v>
      </c>
      <c r="D340" s="213" t="s">
        <v>97</v>
      </c>
      <c r="E340" s="177"/>
      <c r="F340" s="177" t="s">
        <v>38</v>
      </c>
      <c r="G340" s="177">
        <v>0.22</v>
      </c>
      <c r="H340" s="177">
        <v>0.7</v>
      </c>
      <c r="I340" s="177" t="s">
        <v>46</v>
      </c>
      <c r="J340" s="177" t="s">
        <v>82</v>
      </c>
      <c r="K340" s="177">
        <v>3</v>
      </c>
      <c r="L340" s="177">
        <v>406</v>
      </c>
      <c r="M340" s="177">
        <v>1218</v>
      </c>
      <c r="N340" s="177"/>
      <c r="O340" s="177"/>
      <c r="P340" s="177"/>
      <c r="Q340" s="177">
        <v>0</v>
      </c>
      <c r="R340" s="177">
        <v>1218</v>
      </c>
      <c r="S340" s="177">
        <v>1485.96</v>
      </c>
      <c r="T340" s="177">
        <v>1040.172</v>
      </c>
    </row>
    <row r="341" spans="1:20">
      <c r="A341" s="213" t="s">
        <v>35</v>
      </c>
      <c r="B341" s="213" t="s">
        <v>28</v>
      </c>
      <c r="C341" s="213" t="s">
        <v>67</v>
      </c>
      <c r="D341" s="213" t="s">
        <v>97</v>
      </c>
      <c r="E341" s="177"/>
      <c r="F341" s="177" t="s">
        <v>38</v>
      </c>
      <c r="G341" s="177">
        <v>0.22</v>
      </c>
      <c r="H341" s="177">
        <v>0.7</v>
      </c>
      <c r="I341" s="177" t="s">
        <v>155</v>
      </c>
      <c r="J341" s="177" t="s">
        <v>82</v>
      </c>
      <c r="K341" s="177">
        <v>6</v>
      </c>
      <c r="L341" s="177">
        <v>304</v>
      </c>
      <c r="M341" s="177">
        <v>1824</v>
      </c>
      <c r="N341" s="177"/>
      <c r="O341" s="177"/>
      <c r="P341" s="177"/>
      <c r="Q341" s="177">
        <v>0</v>
      </c>
      <c r="R341" s="177">
        <v>1824</v>
      </c>
      <c r="S341" s="177">
        <v>2225.2800000000002</v>
      </c>
      <c r="T341" s="177">
        <v>1557.6959999999999</v>
      </c>
    </row>
    <row r="342" spans="1:20">
      <c r="A342" s="213" t="s">
        <v>35</v>
      </c>
      <c r="B342" s="213" t="s">
        <v>28</v>
      </c>
      <c r="C342" s="213" t="s">
        <v>67</v>
      </c>
      <c r="D342" s="213" t="s">
        <v>98</v>
      </c>
      <c r="E342" s="177"/>
      <c r="F342" s="177" t="s">
        <v>38</v>
      </c>
      <c r="G342" s="177">
        <v>0.22</v>
      </c>
      <c r="H342" s="177">
        <v>0.7</v>
      </c>
      <c r="I342" s="177" t="s">
        <v>46</v>
      </c>
      <c r="J342" s="177" t="s">
        <v>82</v>
      </c>
      <c r="K342" s="177">
        <v>3</v>
      </c>
      <c r="L342" s="177">
        <v>406</v>
      </c>
      <c r="M342" s="177">
        <v>1218</v>
      </c>
      <c r="N342" s="177" t="s">
        <v>45</v>
      </c>
      <c r="O342" s="177">
        <v>3</v>
      </c>
      <c r="P342" s="177">
        <v>150</v>
      </c>
      <c r="Q342" s="177">
        <v>450</v>
      </c>
      <c r="R342" s="177">
        <v>1668</v>
      </c>
      <c r="S342" s="177">
        <v>2034.96</v>
      </c>
      <c r="T342" s="177">
        <v>1424.472</v>
      </c>
    </row>
    <row r="343" spans="1:20">
      <c r="A343" s="213" t="s">
        <v>35</v>
      </c>
      <c r="B343" s="213" t="s">
        <v>28</v>
      </c>
      <c r="C343" s="213" t="s">
        <v>67</v>
      </c>
      <c r="D343" s="213" t="s">
        <v>98</v>
      </c>
      <c r="E343" s="177"/>
      <c r="F343" s="177" t="s">
        <v>38</v>
      </c>
      <c r="G343" s="177">
        <v>0.22</v>
      </c>
      <c r="H343" s="177">
        <v>0.7</v>
      </c>
      <c r="I343" s="177" t="s">
        <v>155</v>
      </c>
      <c r="J343" s="177" t="s">
        <v>82</v>
      </c>
      <c r="K343" s="177">
        <v>3</v>
      </c>
      <c r="L343" s="177">
        <v>304</v>
      </c>
      <c r="M343" s="177">
        <v>912</v>
      </c>
      <c r="N343" s="177" t="s">
        <v>166</v>
      </c>
      <c r="O343" s="177">
        <v>1</v>
      </c>
      <c r="P343" s="177">
        <v>7000</v>
      </c>
      <c r="Q343" s="177">
        <v>7000</v>
      </c>
      <c r="R343" s="177">
        <v>7912</v>
      </c>
      <c r="S343" s="177">
        <v>9652.64</v>
      </c>
      <c r="T343" s="177">
        <v>6756.847999999999</v>
      </c>
    </row>
    <row r="344" spans="1:20">
      <c r="A344" s="213" t="s">
        <v>35</v>
      </c>
      <c r="B344" s="213" t="s">
        <v>28</v>
      </c>
      <c r="C344" s="213" t="s">
        <v>68</v>
      </c>
      <c r="D344" s="213" t="s">
        <v>100</v>
      </c>
      <c r="E344" s="177"/>
      <c r="F344" s="177" t="s">
        <v>38</v>
      </c>
      <c r="G344" s="177">
        <v>0.22</v>
      </c>
      <c r="H344" s="177">
        <v>0.7</v>
      </c>
      <c r="I344" s="177" t="s">
        <v>46</v>
      </c>
      <c r="J344" s="177" t="s">
        <v>82</v>
      </c>
      <c r="K344" s="177">
        <v>3</v>
      </c>
      <c r="L344" s="177">
        <v>406</v>
      </c>
      <c r="M344" s="177">
        <v>1218</v>
      </c>
      <c r="N344" s="177" t="s">
        <v>45</v>
      </c>
      <c r="O344" s="177">
        <v>2</v>
      </c>
      <c r="P344" s="177">
        <v>150</v>
      </c>
      <c r="Q344" s="177">
        <v>300</v>
      </c>
      <c r="R344" s="177">
        <v>1518</v>
      </c>
      <c r="S344" s="177">
        <v>1851.96</v>
      </c>
      <c r="T344" s="177">
        <v>1296.3719999999998</v>
      </c>
    </row>
    <row r="345" spans="1:20">
      <c r="A345" s="213" t="s">
        <v>35</v>
      </c>
      <c r="B345" s="213" t="s">
        <v>28</v>
      </c>
      <c r="C345" s="213" t="s">
        <v>68</v>
      </c>
      <c r="D345" s="213" t="s">
        <v>100</v>
      </c>
      <c r="E345" s="177"/>
      <c r="F345" s="177" t="s">
        <v>38</v>
      </c>
      <c r="G345" s="177">
        <v>0.22</v>
      </c>
      <c r="H345" s="177">
        <v>0.7</v>
      </c>
      <c r="I345" s="177" t="s">
        <v>155</v>
      </c>
      <c r="J345" s="177" t="s">
        <v>82</v>
      </c>
      <c r="K345" s="177">
        <v>6</v>
      </c>
      <c r="L345" s="177">
        <v>304</v>
      </c>
      <c r="M345" s="177">
        <v>1824</v>
      </c>
      <c r="N345" s="177" t="s">
        <v>45</v>
      </c>
      <c r="O345" s="177">
        <v>2</v>
      </c>
      <c r="P345" s="177">
        <v>150</v>
      </c>
      <c r="Q345" s="177">
        <v>300</v>
      </c>
      <c r="R345" s="177">
        <v>2124</v>
      </c>
      <c r="S345" s="177">
        <v>2591.2800000000002</v>
      </c>
      <c r="T345" s="177">
        <v>1813.896</v>
      </c>
    </row>
    <row r="346" spans="1:20">
      <c r="A346" s="213" t="s">
        <v>35</v>
      </c>
      <c r="B346" s="213" t="s">
        <v>28</v>
      </c>
      <c r="C346" s="213" t="s">
        <v>68</v>
      </c>
      <c r="D346" s="213" t="s">
        <v>101</v>
      </c>
      <c r="E346" s="177"/>
      <c r="F346" s="177" t="s">
        <v>38</v>
      </c>
      <c r="G346" s="177">
        <v>0.22</v>
      </c>
      <c r="H346" s="177">
        <v>0.7</v>
      </c>
      <c r="I346" s="177" t="s">
        <v>46</v>
      </c>
      <c r="J346" s="177" t="s">
        <v>82</v>
      </c>
      <c r="K346" s="177">
        <v>3</v>
      </c>
      <c r="L346" s="177">
        <v>406</v>
      </c>
      <c r="M346" s="177">
        <v>1218</v>
      </c>
      <c r="N346" s="177" t="s">
        <v>45</v>
      </c>
      <c r="O346" s="177">
        <v>3</v>
      </c>
      <c r="P346" s="177">
        <v>150</v>
      </c>
      <c r="Q346" s="177">
        <v>450</v>
      </c>
      <c r="R346" s="177">
        <v>1668</v>
      </c>
      <c r="S346" s="177">
        <v>2034.96</v>
      </c>
      <c r="T346" s="177">
        <v>1424.472</v>
      </c>
    </row>
    <row r="347" spans="1:20">
      <c r="A347" s="213" t="s">
        <v>35</v>
      </c>
      <c r="B347" s="213" t="s">
        <v>28</v>
      </c>
      <c r="C347" s="213" t="s">
        <v>68</v>
      </c>
      <c r="D347" s="213" t="s">
        <v>101</v>
      </c>
      <c r="E347" s="177"/>
      <c r="F347" s="177" t="s">
        <v>38</v>
      </c>
      <c r="G347" s="177">
        <v>0.22</v>
      </c>
      <c r="H347" s="177">
        <v>0.7</v>
      </c>
      <c r="I347" s="177" t="s">
        <v>155</v>
      </c>
      <c r="J347" s="177" t="s">
        <v>82</v>
      </c>
      <c r="K347" s="177">
        <v>3</v>
      </c>
      <c r="L347" s="177">
        <v>304</v>
      </c>
      <c r="M347" s="177">
        <v>912</v>
      </c>
      <c r="N347" s="177" t="s">
        <v>45</v>
      </c>
      <c r="O347" s="177">
        <v>3</v>
      </c>
      <c r="P347" s="177">
        <v>150</v>
      </c>
      <c r="Q347" s="177">
        <v>450</v>
      </c>
      <c r="R347" s="177">
        <v>1362</v>
      </c>
      <c r="S347" s="177">
        <v>1661.64</v>
      </c>
      <c r="T347" s="177">
        <v>1163.1479999999999</v>
      </c>
    </row>
    <row r="348" spans="1:20">
      <c r="A348" s="213" t="s">
        <v>35</v>
      </c>
      <c r="B348" s="213" t="s">
        <v>28</v>
      </c>
      <c r="C348" s="213" t="s">
        <v>68</v>
      </c>
      <c r="D348" s="213" t="s">
        <v>99</v>
      </c>
      <c r="E348" s="177"/>
      <c r="F348" s="177" t="s">
        <v>38</v>
      </c>
      <c r="G348" s="177">
        <v>0.22</v>
      </c>
      <c r="H348" s="177">
        <v>0.7</v>
      </c>
      <c r="I348" s="177" t="s">
        <v>46</v>
      </c>
      <c r="J348" s="177" t="s">
        <v>82</v>
      </c>
      <c r="K348" s="177">
        <v>2</v>
      </c>
      <c r="L348" s="177">
        <v>406</v>
      </c>
      <c r="M348" s="177">
        <v>812</v>
      </c>
      <c r="N348" s="177"/>
      <c r="O348" s="177"/>
      <c r="P348" s="177"/>
      <c r="Q348" s="177">
        <v>0</v>
      </c>
      <c r="R348" s="177">
        <v>812</v>
      </c>
      <c r="S348" s="177">
        <v>990.64</v>
      </c>
      <c r="T348" s="177">
        <v>693.44799999999998</v>
      </c>
    </row>
    <row r="349" spans="1:20">
      <c r="A349" s="213" t="s">
        <v>35</v>
      </c>
      <c r="B349" s="213" t="s">
        <v>28</v>
      </c>
      <c r="C349" s="213" t="s">
        <v>67</v>
      </c>
      <c r="D349" s="213" t="s">
        <v>96</v>
      </c>
      <c r="E349" s="177">
        <v>0</v>
      </c>
      <c r="F349" s="177" t="s">
        <v>15</v>
      </c>
      <c r="G349" s="177">
        <v>0.25</v>
      </c>
      <c r="H349" s="177">
        <v>0.5</v>
      </c>
      <c r="I349" s="177" t="s">
        <v>241</v>
      </c>
      <c r="J349" s="177" t="s">
        <v>81</v>
      </c>
      <c r="K349" s="177">
        <v>10</v>
      </c>
      <c r="L349" s="177">
        <v>376</v>
      </c>
      <c r="M349" s="177">
        <v>3760</v>
      </c>
      <c r="N349" s="177">
        <v>0</v>
      </c>
      <c r="O349" s="177">
        <v>0</v>
      </c>
      <c r="P349" s="177">
        <v>0</v>
      </c>
      <c r="Q349" s="177">
        <v>0</v>
      </c>
      <c r="R349" s="177">
        <v>3760</v>
      </c>
      <c r="S349" s="177">
        <v>940</v>
      </c>
      <c r="T349" s="177">
        <v>470</v>
      </c>
    </row>
    <row r="350" spans="1:20">
      <c r="A350" s="213" t="s">
        <v>35</v>
      </c>
      <c r="B350" s="213" t="s">
        <v>28</v>
      </c>
      <c r="C350" s="213" t="s">
        <v>67</v>
      </c>
      <c r="D350" s="213" t="s">
        <v>96</v>
      </c>
      <c r="E350" s="177">
        <v>0</v>
      </c>
      <c r="F350" s="177" t="s">
        <v>15</v>
      </c>
      <c r="G350" s="177">
        <v>0.25</v>
      </c>
      <c r="H350" s="177">
        <v>0.5</v>
      </c>
      <c r="I350" s="177" t="s">
        <v>243</v>
      </c>
      <c r="J350" s="177" t="s">
        <v>82</v>
      </c>
      <c r="K350" s="177">
        <v>20</v>
      </c>
      <c r="L350" s="177">
        <v>277</v>
      </c>
      <c r="M350" s="177">
        <v>5540</v>
      </c>
      <c r="N350" s="177">
        <v>0</v>
      </c>
      <c r="O350" s="177">
        <v>0</v>
      </c>
      <c r="P350" s="177">
        <v>0</v>
      </c>
      <c r="Q350" s="177">
        <v>0</v>
      </c>
      <c r="R350" s="177">
        <v>5540</v>
      </c>
      <c r="S350" s="177">
        <v>6925</v>
      </c>
      <c r="T350" s="177">
        <v>3462.5</v>
      </c>
    </row>
    <row r="351" spans="1:20">
      <c r="A351" s="213" t="s">
        <v>35</v>
      </c>
      <c r="B351" s="213" t="s">
        <v>28</v>
      </c>
      <c r="C351" s="213" t="s">
        <v>67</v>
      </c>
      <c r="D351" s="213" t="s">
        <v>97</v>
      </c>
      <c r="E351" s="177">
        <v>0</v>
      </c>
      <c r="F351" s="177" t="s">
        <v>15</v>
      </c>
      <c r="G351" s="177">
        <v>0.25</v>
      </c>
      <c r="H351" s="177">
        <v>0.5</v>
      </c>
      <c r="I351" s="177" t="s">
        <v>241</v>
      </c>
      <c r="J351" s="177" t="s">
        <v>81</v>
      </c>
      <c r="K351" s="177">
        <v>5</v>
      </c>
      <c r="L351" s="177">
        <v>376</v>
      </c>
      <c r="M351" s="177">
        <v>1880</v>
      </c>
      <c r="N351" s="177">
        <v>0</v>
      </c>
      <c r="O351" s="177">
        <v>0</v>
      </c>
      <c r="P351" s="177">
        <v>0</v>
      </c>
      <c r="Q351" s="177">
        <v>0</v>
      </c>
      <c r="R351" s="177">
        <v>1880</v>
      </c>
      <c r="S351" s="177">
        <v>470</v>
      </c>
      <c r="T351" s="177">
        <v>235</v>
      </c>
    </row>
    <row r="352" spans="1:20">
      <c r="A352" s="213" t="s">
        <v>35</v>
      </c>
      <c r="B352" s="213" t="s">
        <v>28</v>
      </c>
      <c r="C352" s="213" t="s">
        <v>67</v>
      </c>
      <c r="D352" s="213" t="s">
        <v>97</v>
      </c>
      <c r="E352" s="177">
        <v>0</v>
      </c>
      <c r="F352" s="177" t="s">
        <v>15</v>
      </c>
      <c r="G352" s="177">
        <v>0.25</v>
      </c>
      <c r="H352" s="177">
        <v>0.5</v>
      </c>
      <c r="I352" s="177" t="s">
        <v>243</v>
      </c>
      <c r="J352" s="177" t="s">
        <v>82</v>
      </c>
      <c r="K352" s="177">
        <v>10</v>
      </c>
      <c r="L352" s="177">
        <v>277</v>
      </c>
      <c r="M352" s="177">
        <v>2770</v>
      </c>
      <c r="N352" s="177">
        <v>0</v>
      </c>
      <c r="O352" s="177">
        <v>0</v>
      </c>
      <c r="P352" s="177">
        <v>0</v>
      </c>
      <c r="Q352" s="177">
        <v>0</v>
      </c>
      <c r="R352" s="177">
        <v>2770</v>
      </c>
      <c r="S352" s="177">
        <v>3462.5</v>
      </c>
      <c r="T352" s="177">
        <v>1731.25</v>
      </c>
    </row>
    <row r="353" spans="1:20">
      <c r="A353" s="213" t="s">
        <v>35</v>
      </c>
      <c r="B353" s="213" t="s">
        <v>28</v>
      </c>
      <c r="C353" s="213" t="s">
        <v>68</v>
      </c>
      <c r="D353" s="213" t="s">
        <v>100</v>
      </c>
      <c r="E353" s="177">
        <v>0</v>
      </c>
      <c r="F353" s="177" t="s">
        <v>15</v>
      </c>
      <c r="G353" s="177">
        <v>0.25</v>
      </c>
      <c r="H353" s="177">
        <v>0.5</v>
      </c>
      <c r="I353" s="177" t="s">
        <v>244</v>
      </c>
      <c r="J353" s="177" t="s">
        <v>81</v>
      </c>
      <c r="K353" s="177">
        <v>3</v>
      </c>
      <c r="L353" s="177">
        <v>792</v>
      </c>
      <c r="M353" s="177">
        <v>2376</v>
      </c>
      <c r="N353" s="177" t="s">
        <v>45</v>
      </c>
      <c r="O353" s="177">
        <v>3</v>
      </c>
      <c r="P353" s="177">
        <v>150</v>
      </c>
      <c r="Q353" s="177">
        <v>450</v>
      </c>
      <c r="R353" s="177">
        <v>2826</v>
      </c>
      <c r="S353" s="177">
        <v>1156.5</v>
      </c>
      <c r="T353" s="177">
        <v>578.25</v>
      </c>
    </row>
    <row r="354" spans="1:20">
      <c r="A354" s="213" t="s">
        <v>35</v>
      </c>
      <c r="B354" s="213" t="s">
        <v>28</v>
      </c>
      <c r="C354" s="213" t="s">
        <v>68</v>
      </c>
      <c r="D354" s="213" t="s">
        <v>100</v>
      </c>
      <c r="E354" s="177">
        <v>0</v>
      </c>
      <c r="F354" s="177" t="s">
        <v>15</v>
      </c>
      <c r="G354" s="177">
        <v>0.25</v>
      </c>
      <c r="H354" s="177">
        <v>0.5</v>
      </c>
      <c r="I354" s="177" t="s">
        <v>241</v>
      </c>
      <c r="J354" s="177" t="s">
        <v>81</v>
      </c>
      <c r="K354" s="177">
        <v>2</v>
      </c>
      <c r="L354" s="177">
        <v>376</v>
      </c>
      <c r="M354" s="177">
        <v>752</v>
      </c>
      <c r="N354" s="177" t="s">
        <v>45</v>
      </c>
      <c r="O354" s="177">
        <v>2</v>
      </c>
      <c r="P354" s="177">
        <v>150</v>
      </c>
      <c r="Q354" s="177">
        <v>300</v>
      </c>
      <c r="R354" s="177">
        <v>1052</v>
      </c>
      <c r="S354" s="177">
        <v>563</v>
      </c>
      <c r="T354" s="177">
        <v>281.5</v>
      </c>
    </row>
    <row r="355" spans="1:20">
      <c r="A355" s="213" t="s">
        <v>35</v>
      </c>
      <c r="B355" s="213" t="s">
        <v>28</v>
      </c>
      <c r="C355" s="213" t="s">
        <v>68</v>
      </c>
      <c r="D355" s="213" t="s">
        <v>100</v>
      </c>
      <c r="E355" s="177">
        <v>0</v>
      </c>
      <c r="F355" s="177" t="s">
        <v>15</v>
      </c>
      <c r="G355" s="177">
        <v>0.25</v>
      </c>
      <c r="H355" s="177">
        <v>0.5</v>
      </c>
      <c r="I355" s="177" t="s">
        <v>243</v>
      </c>
      <c r="J355" s="177" t="s">
        <v>82</v>
      </c>
      <c r="K355" s="177">
        <v>2</v>
      </c>
      <c r="L355" s="177">
        <v>277</v>
      </c>
      <c r="M355" s="177">
        <v>554</v>
      </c>
      <c r="N355" s="177" t="s">
        <v>45</v>
      </c>
      <c r="O355" s="177">
        <v>2</v>
      </c>
      <c r="P355" s="177">
        <v>150</v>
      </c>
      <c r="Q355" s="177">
        <v>300</v>
      </c>
      <c r="R355" s="177">
        <v>854</v>
      </c>
      <c r="S355" s="177">
        <v>1067.5</v>
      </c>
      <c r="T355" s="177">
        <v>533.75</v>
      </c>
    </row>
    <row r="356" spans="1:20">
      <c r="A356" s="213" t="s">
        <v>35</v>
      </c>
      <c r="B356" s="213" t="s">
        <v>28</v>
      </c>
      <c r="C356" s="213" t="s">
        <v>68</v>
      </c>
      <c r="D356" s="213" t="s">
        <v>101</v>
      </c>
      <c r="E356" s="177">
        <v>0</v>
      </c>
      <c r="F356" s="177" t="s">
        <v>15</v>
      </c>
      <c r="G356" s="177">
        <v>0.25</v>
      </c>
      <c r="H356" s="177">
        <v>0.5</v>
      </c>
      <c r="I356" s="177" t="s">
        <v>244</v>
      </c>
      <c r="J356" s="177" t="s">
        <v>81</v>
      </c>
      <c r="K356" s="177">
        <v>1</v>
      </c>
      <c r="L356" s="177">
        <v>792</v>
      </c>
      <c r="M356" s="177">
        <v>792</v>
      </c>
      <c r="N356" s="177" t="s">
        <v>45</v>
      </c>
      <c r="O356" s="177">
        <v>1</v>
      </c>
      <c r="P356" s="177">
        <v>150</v>
      </c>
      <c r="Q356" s="177">
        <v>150</v>
      </c>
      <c r="R356" s="177">
        <v>942</v>
      </c>
      <c r="S356" s="177">
        <v>385.5</v>
      </c>
      <c r="T356" s="177">
        <v>192.75</v>
      </c>
    </row>
    <row r="357" spans="1:20">
      <c r="A357" s="213" t="s">
        <v>35</v>
      </c>
      <c r="B357" s="213" t="s">
        <v>28</v>
      </c>
      <c r="C357" s="213" t="s">
        <v>68</v>
      </c>
      <c r="D357" s="213" t="s">
        <v>101</v>
      </c>
      <c r="E357" s="177">
        <v>0</v>
      </c>
      <c r="F357" s="177" t="s">
        <v>15</v>
      </c>
      <c r="G357" s="177">
        <v>0.25</v>
      </c>
      <c r="H357" s="177">
        <v>0.5</v>
      </c>
      <c r="I357" s="177" t="s">
        <v>241</v>
      </c>
      <c r="J357" s="177" t="s">
        <v>81</v>
      </c>
      <c r="K357" s="177">
        <v>5</v>
      </c>
      <c r="L357" s="177">
        <v>376</v>
      </c>
      <c r="M357" s="177">
        <v>1880</v>
      </c>
      <c r="N357" s="177" t="s">
        <v>45</v>
      </c>
      <c r="O357" s="177">
        <v>5</v>
      </c>
      <c r="P357" s="177">
        <v>150</v>
      </c>
      <c r="Q357" s="177">
        <v>750</v>
      </c>
      <c r="R357" s="177">
        <v>2630</v>
      </c>
      <c r="S357" s="177">
        <v>1407.5</v>
      </c>
      <c r="T357" s="177">
        <v>703.75</v>
      </c>
    </row>
    <row r="358" spans="1:20">
      <c r="A358" s="213" t="s">
        <v>35</v>
      </c>
      <c r="B358" s="213" t="s">
        <v>28</v>
      </c>
      <c r="C358" s="213" t="s">
        <v>68</v>
      </c>
      <c r="D358" s="213" t="s">
        <v>101</v>
      </c>
      <c r="E358" s="177">
        <v>0</v>
      </c>
      <c r="F358" s="177" t="s">
        <v>15</v>
      </c>
      <c r="G358" s="177">
        <v>0.25</v>
      </c>
      <c r="H358" s="177">
        <v>0.5</v>
      </c>
      <c r="I358" s="177" t="s">
        <v>243</v>
      </c>
      <c r="J358" s="177" t="s">
        <v>82</v>
      </c>
      <c r="K358" s="177">
        <v>5</v>
      </c>
      <c r="L358" s="177">
        <v>277</v>
      </c>
      <c r="M358" s="177">
        <v>1385</v>
      </c>
      <c r="N358" s="177" t="s">
        <v>45</v>
      </c>
      <c r="O358" s="177">
        <v>5</v>
      </c>
      <c r="P358" s="177">
        <v>150</v>
      </c>
      <c r="Q358" s="177">
        <v>750</v>
      </c>
      <c r="R358" s="177">
        <v>2135</v>
      </c>
      <c r="S358" s="177">
        <v>2668.75</v>
      </c>
      <c r="T358" s="177">
        <v>1334.375</v>
      </c>
    </row>
    <row r="359" spans="1:20">
      <c r="A359" s="213" t="s">
        <v>35</v>
      </c>
      <c r="B359" s="213" t="s">
        <v>28</v>
      </c>
      <c r="C359" s="213" t="s">
        <v>67</v>
      </c>
      <c r="D359" s="213" t="s">
        <v>96</v>
      </c>
      <c r="E359" s="177"/>
      <c r="F359" s="177" t="s">
        <v>79</v>
      </c>
      <c r="G359" s="177">
        <v>0.16</v>
      </c>
      <c r="H359" s="177">
        <v>0.5</v>
      </c>
      <c r="I359" s="177" t="s">
        <v>238</v>
      </c>
      <c r="J359" s="177" t="s">
        <v>81</v>
      </c>
      <c r="K359" s="177">
        <v>10</v>
      </c>
      <c r="L359" s="177">
        <v>446</v>
      </c>
      <c r="M359" s="177">
        <v>4460</v>
      </c>
      <c r="N359" s="177"/>
      <c r="O359" s="177"/>
      <c r="P359" s="177"/>
      <c r="Q359" s="177">
        <v>0</v>
      </c>
      <c r="R359" s="177">
        <v>4460</v>
      </c>
      <c r="S359" s="177">
        <v>713.6</v>
      </c>
      <c r="T359" s="177">
        <v>356.8</v>
      </c>
    </row>
    <row r="360" spans="1:20">
      <c r="A360" s="213" t="s">
        <v>35</v>
      </c>
      <c r="B360" s="213" t="s">
        <v>28</v>
      </c>
      <c r="C360" s="213" t="s">
        <v>67</v>
      </c>
      <c r="D360" s="213" t="s">
        <v>96</v>
      </c>
      <c r="E360" s="177"/>
      <c r="F360" s="177" t="s">
        <v>79</v>
      </c>
      <c r="G360" s="177">
        <v>0.16</v>
      </c>
      <c r="H360" s="177">
        <v>0.5</v>
      </c>
      <c r="I360" s="177" t="s">
        <v>243</v>
      </c>
      <c r="J360" s="177" t="s">
        <v>82</v>
      </c>
      <c r="K360" s="177">
        <v>5</v>
      </c>
      <c r="L360" s="177">
        <v>328</v>
      </c>
      <c r="M360" s="177">
        <v>1640</v>
      </c>
      <c r="N360" s="177"/>
      <c r="O360" s="177"/>
      <c r="P360" s="177"/>
      <c r="Q360" s="177">
        <v>0</v>
      </c>
      <c r="R360" s="177">
        <v>1640</v>
      </c>
      <c r="S360" s="177">
        <v>1902.4</v>
      </c>
      <c r="T360" s="177">
        <v>951.2</v>
      </c>
    </row>
    <row r="361" spans="1:20">
      <c r="A361" s="213" t="s">
        <v>35</v>
      </c>
      <c r="B361" s="213" t="s">
        <v>28</v>
      </c>
      <c r="C361" s="213" t="s">
        <v>67</v>
      </c>
      <c r="D361" s="213" t="s">
        <v>97</v>
      </c>
      <c r="E361" s="177"/>
      <c r="F361" s="177" t="s">
        <v>79</v>
      </c>
      <c r="G361" s="177">
        <v>0.16</v>
      </c>
      <c r="H361" s="177">
        <v>0.5</v>
      </c>
      <c r="I361" s="177" t="s">
        <v>238</v>
      </c>
      <c r="J361" s="177" t="s">
        <v>81</v>
      </c>
      <c r="K361" s="177">
        <v>2</v>
      </c>
      <c r="L361" s="177">
        <v>446</v>
      </c>
      <c r="M361" s="177">
        <v>892</v>
      </c>
      <c r="N361" s="177"/>
      <c r="O361" s="177"/>
      <c r="P361" s="177"/>
      <c r="Q361" s="177">
        <v>0</v>
      </c>
      <c r="R361" s="177">
        <v>892</v>
      </c>
      <c r="S361" s="177">
        <v>142.72</v>
      </c>
      <c r="T361" s="177">
        <v>71.36</v>
      </c>
    </row>
    <row r="362" spans="1:20">
      <c r="A362" s="213" t="s">
        <v>35</v>
      </c>
      <c r="B362" s="213" t="s">
        <v>28</v>
      </c>
      <c r="C362" s="213" t="s">
        <v>67</v>
      </c>
      <c r="D362" s="213" t="s">
        <v>97</v>
      </c>
      <c r="E362" s="177"/>
      <c r="F362" s="177" t="s">
        <v>79</v>
      </c>
      <c r="G362" s="177">
        <v>0.16</v>
      </c>
      <c r="H362" s="177">
        <v>0.5</v>
      </c>
      <c r="I362" s="177" t="s">
        <v>241</v>
      </c>
      <c r="J362" s="177" t="s">
        <v>81</v>
      </c>
      <c r="K362" s="177">
        <v>2</v>
      </c>
      <c r="L362" s="177">
        <v>275</v>
      </c>
      <c r="M362" s="177">
        <v>550</v>
      </c>
      <c r="N362" s="177"/>
      <c r="O362" s="177"/>
      <c r="P362" s="177"/>
      <c r="Q362" s="177">
        <v>0</v>
      </c>
      <c r="R362" s="177">
        <v>550</v>
      </c>
      <c r="S362" s="177">
        <v>88</v>
      </c>
      <c r="T362" s="177">
        <v>44</v>
      </c>
    </row>
    <row r="363" spans="1:20">
      <c r="A363" s="213" t="s">
        <v>35</v>
      </c>
      <c r="B363" s="213" t="s">
        <v>28</v>
      </c>
      <c r="C363" s="213" t="s">
        <v>67</v>
      </c>
      <c r="D363" s="213" t="s">
        <v>97</v>
      </c>
      <c r="E363" s="177"/>
      <c r="F363" s="177" t="s">
        <v>79</v>
      </c>
      <c r="G363" s="177">
        <v>0.16</v>
      </c>
      <c r="H363" s="177">
        <v>0.5</v>
      </c>
      <c r="I363" s="177" t="s">
        <v>243</v>
      </c>
      <c r="J363" s="177" t="s">
        <v>82</v>
      </c>
      <c r="K363" s="177"/>
      <c r="L363" s="177">
        <v>328</v>
      </c>
      <c r="M363" s="177">
        <v>0</v>
      </c>
      <c r="N363" s="177"/>
      <c r="O363" s="177"/>
      <c r="P363" s="177"/>
      <c r="Q363" s="177">
        <v>0</v>
      </c>
      <c r="R363" s="177">
        <v>0</v>
      </c>
      <c r="S363" s="177">
        <v>0</v>
      </c>
      <c r="T363" s="177">
        <v>0</v>
      </c>
    </row>
    <row r="364" spans="1:20">
      <c r="A364" s="213" t="s">
        <v>35</v>
      </c>
      <c r="B364" s="213" t="s">
        <v>28</v>
      </c>
      <c r="C364" s="213" t="s">
        <v>68</v>
      </c>
      <c r="D364" s="213" t="s">
        <v>100</v>
      </c>
      <c r="E364" s="177"/>
      <c r="F364" s="177" t="s">
        <v>79</v>
      </c>
      <c r="G364" s="177">
        <v>0.16</v>
      </c>
      <c r="H364" s="177">
        <v>0.5</v>
      </c>
      <c r="I364" s="177" t="s">
        <v>238</v>
      </c>
      <c r="J364" s="177" t="s">
        <v>81</v>
      </c>
      <c r="K364" s="177">
        <v>2</v>
      </c>
      <c r="L364" s="177">
        <v>446</v>
      </c>
      <c r="M364" s="177">
        <v>892</v>
      </c>
      <c r="N364" s="177" t="s">
        <v>45</v>
      </c>
      <c r="O364" s="177">
        <v>2</v>
      </c>
      <c r="P364" s="177">
        <v>150</v>
      </c>
      <c r="Q364" s="177">
        <v>300</v>
      </c>
      <c r="R364" s="177">
        <v>1192</v>
      </c>
      <c r="S364" s="177">
        <v>490.72</v>
      </c>
      <c r="T364" s="177">
        <v>245.36</v>
      </c>
    </row>
    <row r="365" spans="1:20">
      <c r="A365" s="213" t="s">
        <v>35</v>
      </c>
      <c r="B365" s="213" t="s">
        <v>28</v>
      </c>
      <c r="C365" s="213" t="s">
        <v>68</v>
      </c>
      <c r="D365" s="213" t="s">
        <v>100</v>
      </c>
      <c r="E365" s="177"/>
      <c r="F365" s="177" t="s">
        <v>79</v>
      </c>
      <c r="G365" s="177">
        <v>0.16</v>
      </c>
      <c r="H365" s="177">
        <v>0.5</v>
      </c>
      <c r="I365" s="177" t="s">
        <v>243</v>
      </c>
      <c r="J365" s="177" t="s">
        <v>82</v>
      </c>
      <c r="K365" s="177"/>
      <c r="L365" s="177">
        <v>328</v>
      </c>
      <c r="M365" s="177">
        <v>0</v>
      </c>
      <c r="N365" s="177" t="s">
        <v>45</v>
      </c>
      <c r="O365" s="177">
        <v>2</v>
      </c>
      <c r="P365" s="177">
        <v>150</v>
      </c>
      <c r="Q365" s="177">
        <v>300</v>
      </c>
      <c r="R365" s="177">
        <v>300</v>
      </c>
      <c r="S365" s="177">
        <v>348</v>
      </c>
      <c r="T365" s="177">
        <v>174</v>
      </c>
    </row>
    <row r="366" spans="1:20">
      <c r="A366" s="213" t="s">
        <v>35</v>
      </c>
      <c r="B366" s="213" t="s">
        <v>28</v>
      </c>
      <c r="C366" s="213" t="s">
        <v>68</v>
      </c>
      <c r="D366" s="213" t="s">
        <v>100</v>
      </c>
      <c r="E366" s="177"/>
      <c r="F366" s="177" t="s">
        <v>79</v>
      </c>
      <c r="G366" s="177">
        <v>0.16</v>
      </c>
      <c r="H366" s="177">
        <v>0.5</v>
      </c>
      <c r="I366" s="177" t="s">
        <v>241</v>
      </c>
      <c r="J366" s="177" t="s">
        <v>82</v>
      </c>
      <c r="K366" s="177">
        <v>2</v>
      </c>
      <c r="L366" s="177">
        <v>275</v>
      </c>
      <c r="M366" s="177">
        <v>550</v>
      </c>
      <c r="N366" s="177" t="s">
        <v>45</v>
      </c>
      <c r="O366" s="177">
        <v>2</v>
      </c>
      <c r="P366" s="177">
        <v>150</v>
      </c>
      <c r="Q366" s="177">
        <v>300</v>
      </c>
      <c r="R366" s="177">
        <v>850</v>
      </c>
      <c r="S366" s="177">
        <v>986</v>
      </c>
      <c r="T366" s="177">
        <v>493</v>
      </c>
    </row>
    <row r="367" spans="1:20">
      <c r="A367" s="213" t="s">
        <v>35</v>
      </c>
      <c r="B367" s="213" t="s">
        <v>28</v>
      </c>
      <c r="C367" s="213" t="s">
        <v>68</v>
      </c>
      <c r="D367" s="213" t="s">
        <v>100</v>
      </c>
      <c r="E367" s="177"/>
      <c r="F367" s="177" t="s">
        <v>135</v>
      </c>
      <c r="G367" s="177">
        <v>0.25</v>
      </c>
      <c r="H367" s="177">
        <v>0.7</v>
      </c>
      <c r="I367" s="177"/>
      <c r="J367" s="177" t="s">
        <v>82</v>
      </c>
      <c r="K367" s="177">
        <v>2</v>
      </c>
      <c r="L367" s="177">
        <v>422</v>
      </c>
      <c r="M367" s="177">
        <v>844</v>
      </c>
      <c r="N367" s="177" t="s">
        <v>45</v>
      </c>
      <c r="O367" s="177">
        <v>2</v>
      </c>
      <c r="P367" s="177">
        <v>150</v>
      </c>
      <c r="Q367" s="177">
        <v>300</v>
      </c>
      <c r="R367" s="177">
        <v>1144</v>
      </c>
      <c r="S367" s="177">
        <v>1430</v>
      </c>
      <c r="T367" s="177">
        <v>1001</v>
      </c>
    </row>
    <row r="368" spans="1:20">
      <c r="A368" s="213" t="s">
        <v>35</v>
      </c>
      <c r="B368" s="213" t="s">
        <v>28</v>
      </c>
      <c r="C368" s="213" t="s">
        <v>68</v>
      </c>
      <c r="D368" s="213" t="s">
        <v>101</v>
      </c>
      <c r="E368" s="177"/>
      <c r="F368" s="177" t="s">
        <v>135</v>
      </c>
      <c r="G368" s="177">
        <v>0.25</v>
      </c>
      <c r="H368" s="177">
        <v>0.7</v>
      </c>
      <c r="I368" s="177"/>
      <c r="J368" s="177" t="s">
        <v>82</v>
      </c>
      <c r="K368" s="177">
        <v>2</v>
      </c>
      <c r="L368" s="177">
        <v>422</v>
      </c>
      <c r="M368" s="177">
        <v>844</v>
      </c>
      <c r="N368" s="177" t="s">
        <v>45</v>
      </c>
      <c r="O368" s="177">
        <v>2</v>
      </c>
      <c r="P368" s="177">
        <v>150</v>
      </c>
      <c r="Q368" s="177">
        <v>300</v>
      </c>
      <c r="R368" s="177">
        <v>1144</v>
      </c>
      <c r="S368" s="177">
        <v>1430</v>
      </c>
      <c r="T368" s="177">
        <v>1001</v>
      </c>
    </row>
    <row r="369" spans="1:20">
      <c r="A369" s="213" t="s">
        <v>35</v>
      </c>
      <c r="B369" s="213" t="s">
        <v>28</v>
      </c>
      <c r="C369" s="213" t="s">
        <v>66</v>
      </c>
      <c r="D369" s="213" t="s">
        <v>95</v>
      </c>
      <c r="E369" s="177"/>
      <c r="F369" s="177" t="s">
        <v>16</v>
      </c>
      <c r="G369" s="177">
        <v>0.25</v>
      </c>
      <c r="H369" s="177">
        <v>0.7</v>
      </c>
      <c r="I369" s="177"/>
      <c r="J369" s="177" t="s">
        <v>82</v>
      </c>
      <c r="K369" s="177"/>
      <c r="L369" s="177"/>
      <c r="M369" s="177">
        <v>0</v>
      </c>
      <c r="N369" s="177" t="s">
        <v>159</v>
      </c>
      <c r="O369" s="177">
        <v>1</v>
      </c>
      <c r="P369" s="177">
        <v>520</v>
      </c>
      <c r="Q369" s="177">
        <v>520</v>
      </c>
      <c r="R369" s="177">
        <v>520</v>
      </c>
      <c r="S369" s="177">
        <v>650</v>
      </c>
      <c r="T369" s="177">
        <v>454.99999999999994</v>
      </c>
    </row>
    <row r="370" spans="1:20">
      <c r="A370" s="213" t="s">
        <v>35</v>
      </c>
      <c r="B370" s="213" t="s">
        <v>28</v>
      </c>
      <c r="C370" s="213" t="s">
        <v>66</v>
      </c>
      <c r="D370" s="213" t="s">
        <v>102</v>
      </c>
      <c r="E370" s="177"/>
      <c r="F370" s="177" t="s">
        <v>16</v>
      </c>
      <c r="G370" s="177">
        <v>0.25</v>
      </c>
      <c r="H370" s="177">
        <v>0.7</v>
      </c>
      <c r="I370" s="177"/>
      <c r="J370" s="177" t="s">
        <v>82</v>
      </c>
      <c r="K370" s="177"/>
      <c r="L370" s="177"/>
      <c r="M370" s="177">
        <v>0</v>
      </c>
      <c r="N370" s="177" t="s">
        <v>159</v>
      </c>
      <c r="O370" s="177">
        <v>2</v>
      </c>
      <c r="P370" s="177">
        <v>520</v>
      </c>
      <c r="Q370" s="177">
        <v>1040</v>
      </c>
      <c r="R370" s="177">
        <v>1040</v>
      </c>
      <c r="S370" s="177">
        <v>1300</v>
      </c>
      <c r="T370" s="177">
        <v>909.99999999999989</v>
      </c>
    </row>
    <row r="371" spans="1:20">
      <c r="A371" s="213" t="s">
        <v>35</v>
      </c>
      <c r="B371" s="213" t="s">
        <v>28</v>
      </c>
      <c r="C371" s="213" t="s">
        <v>67</v>
      </c>
      <c r="D371" s="213" t="s">
        <v>96</v>
      </c>
      <c r="E371" s="177" t="s">
        <v>158</v>
      </c>
      <c r="F371" s="177" t="s">
        <v>16</v>
      </c>
      <c r="G371" s="177">
        <v>0.25</v>
      </c>
      <c r="H371" s="177">
        <v>0.7</v>
      </c>
      <c r="I371" s="177"/>
      <c r="J371" s="177" t="s">
        <v>82</v>
      </c>
      <c r="K371" s="177"/>
      <c r="L371" s="177"/>
      <c r="M371" s="177">
        <v>0</v>
      </c>
      <c r="N371" s="177" t="s">
        <v>159</v>
      </c>
      <c r="O371" s="177">
        <v>1</v>
      </c>
      <c r="P371" s="177">
        <v>520</v>
      </c>
      <c r="Q371" s="177">
        <v>520</v>
      </c>
      <c r="R371" s="177">
        <v>520</v>
      </c>
      <c r="S371" s="177">
        <v>650</v>
      </c>
      <c r="T371" s="177">
        <v>454.99999999999994</v>
      </c>
    </row>
    <row r="372" spans="1:20">
      <c r="A372" s="213" t="s">
        <v>35</v>
      </c>
      <c r="B372" s="213" t="s">
        <v>28</v>
      </c>
      <c r="C372" s="213" t="s">
        <v>67</v>
      </c>
      <c r="D372" s="213" t="s">
        <v>97</v>
      </c>
      <c r="E372" s="177"/>
      <c r="F372" s="177" t="s">
        <v>16</v>
      </c>
      <c r="G372" s="177">
        <v>0.25</v>
      </c>
      <c r="H372" s="177">
        <v>0.7</v>
      </c>
      <c r="I372" s="177"/>
      <c r="J372" s="177" t="s">
        <v>82</v>
      </c>
      <c r="K372" s="177"/>
      <c r="L372" s="177"/>
      <c r="M372" s="177">
        <v>0</v>
      </c>
      <c r="N372" s="177" t="s">
        <v>159</v>
      </c>
      <c r="O372" s="177">
        <v>3</v>
      </c>
      <c r="P372" s="177">
        <v>520</v>
      </c>
      <c r="Q372" s="177">
        <v>1560</v>
      </c>
      <c r="R372" s="177">
        <v>1560</v>
      </c>
      <c r="S372" s="177">
        <v>1950</v>
      </c>
      <c r="T372" s="177">
        <v>1365</v>
      </c>
    </row>
    <row r="373" spans="1:20">
      <c r="A373" s="213" t="s">
        <v>35</v>
      </c>
      <c r="B373" s="213" t="s">
        <v>28</v>
      </c>
      <c r="C373" s="213" t="s">
        <v>67</v>
      </c>
      <c r="D373" s="213" t="s">
        <v>98</v>
      </c>
      <c r="E373" s="177"/>
      <c r="F373" s="177" t="s">
        <v>16</v>
      </c>
      <c r="G373" s="177">
        <v>0.25</v>
      </c>
      <c r="H373" s="177">
        <v>0.7</v>
      </c>
      <c r="I373" s="177"/>
      <c r="J373" s="177" t="s">
        <v>82</v>
      </c>
      <c r="K373" s="177"/>
      <c r="L373" s="177"/>
      <c r="M373" s="177">
        <v>0</v>
      </c>
      <c r="N373" s="177" t="s">
        <v>159</v>
      </c>
      <c r="O373" s="177">
        <v>1</v>
      </c>
      <c r="P373" s="177">
        <v>520</v>
      </c>
      <c r="Q373" s="177">
        <v>520</v>
      </c>
      <c r="R373" s="177">
        <v>520</v>
      </c>
      <c r="S373" s="177">
        <v>650</v>
      </c>
      <c r="T373" s="177">
        <v>454.99999999999994</v>
      </c>
    </row>
    <row r="374" spans="1:20">
      <c r="A374" s="213" t="s">
        <v>35</v>
      </c>
      <c r="B374" s="213" t="s">
        <v>28</v>
      </c>
      <c r="C374" s="213" t="s">
        <v>67</v>
      </c>
      <c r="D374" s="213" t="s">
        <v>98</v>
      </c>
      <c r="E374" s="177"/>
      <c r="F374" s="177" t="s">
        <v>16</v>
      </c>
      <c r="G374" s="177">
        <v>0.25</v>
      </c>
      <c r="H374" s="177">
        <v>0.7</v>
      </c>
      <c r="I374" s="177"/>
      <c r="J374" s="177" t="s">
        <v>82</v>
      </c>
      <c r="K374" s="177"/>
      <c r="L374" s="177"/>
      <c r="M374" s="177">
        <v>0</v>
      </c>
      <c r="N374" s="177" t="s">
        <v>45</v>
      </c>
      <c r="O374" s="177">
        <v>1</v>
      </c>
      <c r="P374" s="177">
        <v>150</v>
      </c>
      <c r="Q374" s="177">
        <v>150</v>
      </c>
      <c r="R374" s="177">
        <v>150</v>
      </c>
      <c r="S374" s="177">
        <v>187.5</v>
      </c>
      <c r="T374" s="177">
        <v>131.25</v>
      </c>
    </row>
    <row r="375" spans="1:20">
      <c r="A375" s="213" t="s">
        <v>35</v>
      </c>
      <c r="B375" s="213" t="s">
        <v>28</v>
      </c>
      <c r="C375" s="213" t="s">
        <v>68</v>
      </c>
      <c r="D375" s="213" t="s">
        <v>100</v>
      </c>
      <c r="E375" s="177"/>
      <c r="F375" s="177" t="s">
        <v>16</v>
      </c>
      <c r="G375" s="177">
        <v>0.25</v>
      </c>
      <c r="H375" s="177">
        <v>0.7</v>
      </c>
      <c r="I375" s="177"/>
      <c r="J375" s="177" t="s">
        <v>82</v>
      </c>
      <c r="K375" s="177"/>
      <c r="L375" s="177"/>
      <c r="M375" s="177">
        <v>0</v>
      </c>
      <c r="N375" s="177" t="s">
        <v>159</v>
      </c>
      <c r="O375" s="177">
        <v>3</v>
      </c>
      <c r="P375" s="177">
        <v>150</v>
      </c>
      <c r="Q375" s="177">
        <v>450</v>
      </c>
      <c r="R375" s="177">
        <v>450</v>
      </c>
      <c r="S375" s="177">
        <v>562.5</v>
      </c>
      <c r="T375" s="177">
        <v>393.75</v>
      </c>
    </row>
    <row r="376" spans="1:20">
      <c r="A376" s="213" t="s">
        <v>35</v>
      </c>
      <c r="B376" s="213" t="s">
        <v>28</v>
      </c>
      <c r="C376" s="213" t="s">
        <v>68</v>
      </c>
      <c r="D376" s="213" t="s">
        <v>100</v>
      </c>
      <c r="E376" s="177"/>
      <c r="F376" s="177" t="s">
        <v>16</v>
      </c>
      <c r="G376" s="177">
        <v>0.25</v>
      </c>
      <c r="H376" s="177">
        <v>0.7</v>
      </c>
      <c r="I376" s="177"/>
      <c r="J376" s="177" t="s">
        <v>82</v>
      </c>
      <c r="K376" s="177"/>
      <c r="L376" s="177"/>
      <c r="M376" s="177">
        <v>0</v>
      </c>
      <c r="N376" s="177" t="s">
        <v>45</v>
      </c>
      <c r="O376" s="177">
        <v>2</v>
      </c>
      <c r="P376" s="177">
        <v>150</v>
      </c>
      <c r="Q376" s="177">
        <v>300</v>
      </c>
      <c r="R376" s="177">
        <v>300</v>
      </c>
      <c r="S376" s="177">
        <v>375</v>
      </c>
      <c r="T376" s="177">
        <v>262.5</v>
      </c>
    </row>
    <row r="377" spans="1:20">
      <c r="A377" s="213" t="s">
        <v>35</v>
      </c>
      <c r="B377" s="213" t="s">
        <v>28</v>
      </c>
      <c r="C377" s="213" t="s">
        <v>68</v>
      </c>
      <c r="D377" s="213" t="s">
        <v>101</v>
      </c>
      <c r="E377" s="177"/>
      <c r="F377" s="177" t="s">
        <v>16</v>
      </c>
      <c r="G377" s="177">
        <v>0.25</v>
      </c>
      <c r="H377" s="177">
        <v>0.7</v>
      </c>
      <c r="I377" s="177"/>
      <c r="J377" s="177" t="s">
        <v>82</v>
      </c>
      <c r="K377" s="177"/>
      <c r="L377" s="177"/>
      <c r="M377" s="177">
        <v>0</v>
      </c>
      <c r="N377" s="177" t="s">
        <v>159</v>
      </c>
      <c r="O377" s="177">
        <v>3</v>
      </c>
      <c r="P377" s="177">
        <v>150</v>
      </c>
      <c r="Q377" s="177">
        <v>450</v>
      </c>
      <c r="R377" s="177">
        <v>450</v>
      </c>
      <c r="S377" s="177">
        <v>562.5</v>
      </c>
      <c r="T377" s="177">
        <v>393.75</v>
      </c>
    </row>
    <row r="378" spans="1:20">
      <c r="A378" s="213" t="s">
        <v>35</v>
      </c>
      <c r="B378" s="213" t="s">
        <v>28</v>
      </c>
      <c r="C378" s="213" t="s">
        <v>68</v>
      </c>
      <c r="D378" s="213" t="s">
        <v>101</v>
      </c>
      <c r="E378" s="177"/>
      <c r="F378" s="177" t="s">
        <v>16</v>
      </c>
      <c r="G378" s="177">
        <v>0.25</v>
      </c>
      <c r="H378" s="177">
        <v>0.7</v>
      </c>
      <c r="I378" s="177"/>
      <c r="J378" s="177" t="s">
        <v>82</v>
      </c>
      <c r="K378" s="177"/>
      <c r="L378" s="177"/>
      <c r="M378" s="177">
        <v>0</v>
      </c>
      <c r="N378" s="177" t="s">
        <v>45</v>
      </c>
      <c r="O378" s="177">
        <v>3</v>
      </c>
      <c r="P378" s="177">
        <v>150</v>
      </c>
      <c r="Q378" s="177">
        <v>450</v>
      </c>
      <c r="R378" s="177">
        <v>450</v>
      </c>
      <c r="S378" s="177">
        <v>562.5</v>
      </c>
      <c r="T378" s="177">
        <v>393.75</v>
      </c>
    </row>
    <row r="379" spans="1:20">
      <c r="A379" s="213" t="s">
        <v>35</v>
      </c>
      <c r="B379" s="213" t="s">
        <v>28</v>
      </c>
      <c r="C379" s="213" t="s">
        <v>68</v>
      </c>
      <c r="D379" s="213" t="s">
        <v>99</v>
      </c>
      <c r="E379" s="177"/>
      <c r="F379" s="177" t="s">
        <v>16</v>
      </c>
      <c r="G379" s="177">
        <v>0.25</v>
      </c>
      <c r="H379" s="177">
        <v>0.7</v>
      </c>
      <c r="I379" s="177"/>
      <c r="J379" s="177" t="s">
        <v>82</v>
      </c>
      <c r="K379" s="177"/>
      <c r="L379" s="177"/>
      <c r="M379" s="177">
        <v>0</v>
      </c>
      <c r="N379" s="177" t="s">
        <v>159</v>
      </c>
      <c r="O379" s="177">
        <v>2</v>
      </c>
      <c r="P379" s="177">
        <v>520</v>
      </c>
      <c r="Q379" s="177">
        <v>1040</v>
      </c>
      <c r="R379" s="177">
        <v>1040</v>
      </c>
      <c r="S379" s="177">
        <v>1300</v>
      </c>
      <c r="T379" s="177">
        <v>909.99999999999989</v>
      </c>
    </row>
    <row r="380" spans="1:20">
      <c r="A380" s="213" t="s">
        <v>35</v>
      </c>
      <c r="B380" s="213" t="s">
        <v>28</v>
      </c>
      <c r="C380" s="213" t="s">
        <v>67</v>
      </c>
      <c r="D380" s="213" t="s">
        <v>96</v>
      </c>
      <c r="E380" s="177">
        <v>0</v>
      </c>
      <c r="F380" s="177" t="s">
        <v>17</v>
      </c>
      <c r="G380" s="177">
        <v>0.18</v>
      </c>
      <c r="H380" s="177">
        <v>0.5</v>
      </c>
      <c r="I380" s="177" t="s">
        <v>222</v>
      </c>
      <c r="J380" s="177" t="s">
        <v>81</v>
      </c>
      <c r="K380" s="177">
        <v>10</v>
      </c>
      <c r="L380" s="177">
        <v>572</v>
      </c>
      <c r="M380" s="177">
        <v>5720</v>
      </c>
      <c r="N380" s="177">
        <v>0</v>
      </c>
      <c r="O380" s="177">
        <v>0</v>
      </c>
      <c r="P380" s="177">
        <v>0</v>
      </c>
      <c r="Q380" s="177">
        <v>0</v>
      </c>
      <c r="R380" s="177">
        <v>5720</v>
      </c>
      <c r="S380" s="177">
        <v>1029.5999999999999</v>
      </c>
      <c r="T380" s="177">
        <v>514.79999999999995</v>
      </c>
    </row>
    <row r="381" spans="1:20">
      <c r="A381" s="213" t="s">
        <v>35</v>
      </c>
      <c r="B381" s="213" t="s">
        <v>28</v>
      </c>
      <c r="C381" s="213" t="s">
        <v>67</v>
      </c>
      <c r="D381" s="213" t="s">
        <v>96</v>
      </c>
      <c r="E381" s="177">
        <v>0</v>
      </c>
      <c r="F381" s="177" t="s">
        <v>17</v>
      </c>
      <c r="G381" s="177">
        <v>0.18</v>
      </c>
      <c r="H381" s="177">
        <v>0.5</v>
      </c>
      <c r="I381" s="177" t="s">
        <v>220</v>
      </c>
      <c r="J381" s="177" t="s">
        <v>81</v>
      </c>
      <c r="K381" s="177">
        <v>10</v>
      </c>
      <c r="L381" s="177">
        <v>494</v>
      </c>
      <c r="M381" s="177">
        <v>4940</v>
      </c>
      <c r="N381" s="177">
        <v>0</v>
      </c>
      <c r="O381" s="177">
        <v>0</v>
      </c>
      <c r="P381" s="177">
        <v>0</v>
      </c>
      <c r="Q381" s="177">
        <v>0</v>
      </c>
      <c r="R381" s="177">
        <v>4940</v>
      </c>
      <c r="S381" s="177">
        <v>889.2</v>
      </c>
      <c r="T381" s="177">
        <v>444.6</v>
      </c>
    </row>
    <row r="382" spans="1:20">
      <c r="A382" s="213" t="s">
        <v>35</v>
      </c>
      <c r="B382" s="213" t="s">
        <v>28</v>
      </c>
      <c r="C382" s="213" t="s">
        <v>67</v>
      </c>
      <c r="D382" s="213" t="s">
        <v>96</v>
      </c>
      <c r="E382" s="177">
        <v>0</v>
      </c>
      <c r="F382" s="177" t="s">
        <v>17</v>
      </c>
      <c r="G382" s="177">
        <v>0.18</v>
      </c>
      <c r="H382" s="177">
        <v>0.5</v>
      </c>
      <c r="I382" s="177" t="s">
        <v>221</v>
      </c>
      <c r="J382" s="177" t="s">
        <v>81</v>
      </c>
      <c r="K382" s="177">
        <v>20</v>
      </c>
      <c r="L382" s="177">
        <v>119</v>
      </c>
      <c r="M382" s="177">
        <v>2380</v>
      </c>
      <c r="N382" s="177">
        <v>0</v>
      </c>
      <c r="O382" s="177">
        <v>0</v>
      </c>
      <c r="P382" s="177">
        <v>0</v>
      </c>
      <c r="Q382" s="177">
        <v>0</v>
      </c>
      <c r="R382" s="177">
        <v>2380</v>
      </c>
      <c r="S382" s="177">
        <v>428.4</v>
      </c>
      <c r="T382" s="177">
        <v>214.2</v>
      </c>
    </row>
    <row r="383" spans="1:20">
      <c r="A383" s="213" t="s">
        <v>35</v>
      </c>
      <c r="B383" s="213" t="s">
        <v>28</v>
      </c>
      <c r="C383" s="213" t="s">
        <v>67</v>
      </c>
      <c r="D383" s="213" t="s">
        <v>97</v>
      </c>
      <c r="E383" s="177">
        <v>0</v>
      </c>
      <c r="F383" s="177" t="s">
        <v>17</v>
      </c>
      <c r="G383" s="177">
        <v>0.18</v>
      </c>
      <c r="H383" s="177">
        <v>0.5</v>
      </c>
      <c r="I383" s="177" t="s">
        <v>222</v>
      </c>
      <c r="J383" s="177" t="s">
        <v>81</v>
      </c>
      <c r="K383" s="177">
        <v>5</v>
      </c>
      <c r="L383" s="177">
        <v>572</v>
      </c>
      <c r="M383" s="177">
        <v>2860</v>
      </c>
      <c r="N383" s="177">
        <v>0</v>
      </c>
      <c r="O383" s="177">
        <v>0</v>
      </c>
      <c r="P383" s="177">
        <v>0</v>
      </c>
      <c r="Q383" s="177">
        <v>0</v>
      </c>
      <c r="R383" s="177">
        <v>2860</v>
      </c>
      <c r="S383" s="177">
        <v>514.79999999999995</v>
      </c>
      <c r="T383" s="177">
        <v>257.39999999999998</v>
      </c>
    </row>
    <row r="384" spans="1:20">
      <c r="A384" s="213" t="s">
        <v>35</v>
      </c>
      <c r="B384" s="213" t="s">
        <v>28</v>
      </c>
      <c r="C384" s="213" t="s">
        <v>67</v>
      </c>
      <c r="D384" s="213" t="s">
        <v>97</v>
      </c>
      <c r="E384" s="177">
        <v>0</v>
      </c>
      <c r="F384" s="177" t="s">
        <v>17</v>
      </c>
      <c r="G384" s="177">
        <v>0.18</v>
      </c>
      <c r="H384" s="177">
        <v>0.5</v>
      </c>
      <c r="I384" s="177" t="s">
        <v>220</v>
      </c>
      <c r="J384" s="177" t="s">
        <v>81</v>
      </c>
      <c r="K384" s="177">
        <v>5</v>
      </c>
      <c r="L384" s="177">
        <v>494</v>
      </c>
      <c r="M384" s="177">
        <v>2470</v>
      </c>
      <c r="N384" s="177">
        <v>0</v>
      </c>
      <c r="O384" s="177">
        <v>0</v>
      </c>
      <c r="P384" s="177">
        <v>0</v>
      </c>
      <c r="Q384" s="177">
        <v>0</v>
      </c>
      <c r="R384" s="177">
        <v>2470</v>
      </c>
      <c r="S384" s="177">
        <v>444.6</v>
      </c>
      <c r="T384" s="177">
        <v>222.3</v>
      </c>
    </row>
    <row r="385" spans="1:20">
      <c r="A385" s="213" t="s">
        <v>35</v>
      </c>
      <c r="B385" s="213" t="s">
        <v>28</v>
      </c>
      <c r="C385" s="213" t="s">
        <v>67</v>
      </c>
      <c r="D385" s="213" t="s">
        <v>97</v>
      </c>
      <c r="E385" s="177">
        <v>0</v>
      </c>
      <c r="F385" s="177" t="s">
        <v>17</v>
      </c>
      <c r="G385" s="177">
        <v>0.18</v>
      </c>
      <c r="H385" s="177">
        <v>0.5</v>
      </c>
      <c r="I385" s="177" t="s">
        <v>221</v>
      </c>
      <c r="J385" s="177" t="s">
        <v>81</v>
      </c>
      <c r="K385" s="177">
        <v>10</v>
      </c>
      <c r="L385" s="177">
        <v>119</v>
      </c>
      <c r="M385" s="177">
        <v>1190</v>
      </c>
      <c r="N385" s="177">
        <v>0</v>
      </c>
      <c r="O385" s="177">
        <v>0</v>
      </c>
      <c r="P385" s="177">
        <v>0</v>
      </c>
      <c r="Q385" s="177">
        <v>0</v>
      </c>
      <c r="R385" s="177">
        <v>1190</v>
      </c>
      <c r="S385" s="177">
        <v>214.2</v>
      </c>
      <c r="T385" s="177">
        <v>107.1</v>
      </c>
    </row>
    <row r="386" spans="1:20">
      <c r="A386" s="213" t="s">
        <v>35</v>
      </c>
      <c r="B386" s="213" t="s">
        <v>28</v>
      </c>
      <c r="C386" s="213" t="s">
        <v>68</v>
      </c>
      <c r="D386" s="213" t="s">
        <v>100</v>
      </c>
      <c r="E386" s="177">
        <v>0</v>
      </c>
      <c r="F386" s="177" t="s">
        <v>17</v>
      </c>
      <c r="G386" s="177">
        <v>0.18</v>
      </c>
      <c r="H386" s="177">
        <v>0.5</v>
      </c>
      <c r="I386" s="177" t="s">
        <v>222</v>
      </c>
      <c r="J386" s="177" t="s">
        <v>81</v>
      </c>
      <c r="K386" s="177">
        <v>5</v>
      </c>
      <c r="L386" s="177">
        <v>572</v>
      </c>
      <c r="M386" s="177">
        <v>2860</v>
      </c>
      <c r="N386" s="177" t="s">
        <v>45</v>
      </c>
      <c r="O386" s="177">
        <v>5</v>
      </c>
      <c r="P386" s="177">
        <v>150</v>
      </c>
      <c r="Q386" s="177">
        <v>750</v>
      </c>
      <c r="R386" s="177">
        <v>3610</v>
      </c>
      <c r="S386" s="177">
        <v>1399.8</v>
      </c>
      <c r="T386" s="177">
        <v>699.9</v>
      </c>
    </row>
    <row r="387" spans="1:20">
      <c r="A387" s="213" t="s">
        <v>35</v>
      </c>
      <c r="B387" s="213" t="s">
        <v>28</v>
      </c>
      <c r="C387" s="213" t="s">
        <v>68</v>
      </c>
      <c r="D387" s="213" t="s">
        <v>100</v>
      </c>
      <c r="E387" s="177">
        <v>0</v>
      </c>
      <c r="F387" s="177" t="s">
        <v>17</v>
      </c>
      <c r="G387" s="177">
        <v>0.18</v>
      </c>
      <c r="H387" s="177">
        <v>0.5</v>
      </c>
      <c r="I387" s="177" t="s">
        <v>220</v>
      </c>
      <c r="J387" s="177" t="s">
        <v>81</v>
      </c>
      <c r="K387" s="177">
        <v>5</v>
      </c>
      <c r="L387" s="177">
        <v>494</v>
      </c>
      <c r="M387" s="177">
        <v>2470</v>
      </c>
      <c r="N387" s="177" t="s">
        <v>45</v>
      </c>
      <c r="O387" s="177">
        <v>5</v>
      </c>
      <c r="P387" s="177">
        <v>150</v>
      </c>
      <c r="Q387" s="177">
        <v>750</v>
      </c>
      <c r="R387" s="177">
        <v>3220</v>
      </c>
      <c r="S387" s="177">
        <v>1329.6</v>
      </c>
      <c r="T387" s="177">
        <v>664.8</v>
      </c>
    </row>
    <row r="388" spans="1:20">
      <c r="A388" s="213" t="s">
        <v>35</v>
      </c>
      <c r="B388" s="213" t="s">
        <v>28</v>
      </c>
      <c r="C388" s="213" t="s">
        <v>68</v>
      </c>
      <c r="D388" s="213" t="s">
        <v>100</v>
      </c>
      <c r="E388" s="177">
        <v>0</v>
      </c>
      <c r="F388" s="177" t="s">
        <v>17</v>
      </c>
      <c r="G388" s="177">
        <v>0.18</v>
      </c>
      <c r="H388" s="177">
        <v>0.5</v>
      </c>
      <c r="I388" s="177" t="s">
        <v>221</v>
      </c>
      <c r="J388" s="177" t="s">
        <v>81</v>
      </c>
      <c r="K388" s="177">
        <v>5</v>
      </c>
      <c r="L388" s="177">
        <v>119</v>
      </c>
      <c r="M388" s="177">
        <v>595</v>
      </c>
      <c r="N388" s="177" t="s">
        <v>45</v>
      </c>
      <c r="O388" s="177">
        <v>5</v>
      </c>
      <c r="P388" s="177">
        <v>150</v>
      </c>
      <c r="Q388" s="177">
        <v>750</v>
      </c>
      <c r="R388" s="177">
        <v>1345</v>
      </c>
      <c r="S388" s="177">
        <v>992.1</v>
      </c>
      <c r="T388" s="177">
        <v>496.05</v>
      </c>
    </row>
    <row r="389" spans="1:20">
      <c r="A389" s="213" t="s">
        <v>35</v>
      </c>
      <c r="B389" s="213" t="s">
        <v>28</v>
      </c>
      <c r="C389" s="213" t="s">
        <v>68</v>
      </c>
      <c r="D389" s="213" t="s">
        <v>101</v>
      </c>
      <c r="E389" s="177">
        <v>0</v>
      </c>
      <c r="F389" s="177" t="s">
        <v>17</v>
      </c>
      <c r="G389" s="177">
        <v>0.18</v>
      </c>
      <c r="H389" s="177">
        <v>0.5</v>
      </c>
      <c r="I389" s="177" t="s">
        <v>222</v>
      </c>
      <c r="J389" s="177" t="s">
        <v>81</v>
      </c>
      <c r="K389" s="177">
        <v>5</v>
      </c>
      <c r="L389" s="177">
        <v>572</v>
      </c>
      <c r="M389" s="177">
        <v>2860</v>
      </c>
      <c r="N389" s="177" t="s">
        <v>45</v>
      </c>
      <c r="O389" s="177">
        <v>5</v>
      </c>
      <c r="P389" s="177">
        <v>150</v>
      </c>
      <c r="Q389" s="177">
        <v>750</v>
      </c>
      <c r="R389" s="177">
        <v>3610</v>
      </c>
      <c r="S389" s="177">
        <v>1399.8</v>
      </c>
      <c r="T389" s="177">
        <v>699.9</v>
      </c>
    </row>
    <row r="390" spans="1:20">
      <c r="A390" s="213" t="s">
        <v>35</v>
      </c>
      <c r="B390" s="213" t="s">
        <v>28</v>
      </c>
      <c r="C390" s="213" t="s">
        <v>68</v>
      </c>
      <c r="D390" s="213" t="s">
        <v>101</v>
      </c>
      <c r="E390" s="177">
        <v>0</v>
      </c>
      <c r="F390" s="177" t="s">
        <v>17</v>
      </c>
      <c r="G390" s="177">
        <v>0.18</v>
      </c>
      <c r="H390" s="177">
        <v>0.5</v>
      </c>
      <c r="I390" s="177" t="s">
        <v>220</v>
      </c>
      <c r="J390" s="177" t="s">
        <v>81</v>
      </c>
      <c r="K390" s="177">
        <v>5</v>
      </c>
      <c r="L390" s="177">
        <v>494</v>
      </c>
      <c r="M390" s="177">
        <v>2470</v>
      </c>
      <c r="N390" s="177" t="s">
        <v>45</v>
      </c>
      <c r="O390" s="177">
        <v>5</v>
      </c>
      <c r="P390" s="177">
        <v>150</v>
      </c>
      <c r="Q390" s="177">
        <v>750</v>
      </c>
      <c r="R390" s="177">
        <v>3220</v>
      </c>
      <c r="S390" s="177">
        <v>1329.6</v>
      </c>
      <c r="T390" s="177">
        <v>664.8</v>
      </c>
    </row>
    <row r="391" spans="1:20">
      <c r="A391" s="213" t="s">
        <v>35</v>
      </c>
      <c r="B391" s="213" t="s">
        <v>28</v>
      </c>
      <c r="C391" s="213" t="s">
        <v>68</v>
      </c>
      <c r="D391" s="213" t="s">
        <v>101</v>
      </c>
      <c r="E391" s="177">
        <v>0</v>
      </c>
      <c r="F391" s="177" t="s">
        <v>17</v>
      </c>
      <c r="G391" s="177">
        <v>0.18</v>
      </c>
      <c r="H391" s="177">
        <v>0.5</v>
      </c>
      <c r="I391" s="177" t="s">
        <v>221</v>
      </c>
      <c r="J391" s="177" t="s">
        <v>81</v>
      </c>
      <c r="K391" s="177">
        <v>5</v>
      </c>
      <c r="L391" s="177">
        <v>119</v>
      </c>
      <c r="M391" s="177">
        <v>595</v>
      </c>
      <c r="N391" s="177" t="s">
        <v>45</v>
      </c>
      <c r="O391" s="177">
        <v>5</v>
      </c>
      <c r="P391" s="177">
        <v>150</v>
      </c>
      <c r="Q391" s="177">
        <v>750</v>
      </c>
      <c r="R391" s="177">
        <v>1345</v>
      </c>
      <c r="S391" s="177">
        <v>992.1</v>
      </c>
      <c r="T391" s="177">
        <v>496.05</v>
      </c>
    </row>
    <row r="392" spans="1:20">
      <c r="A392" s="213" t="s">
        <v>35</v>
      </c>
      <c r="B392" s="213" t="s">
        <v>28</v>
      </c>
      <c r="C392" s="213" t="s">
        <v>67</v>
      </c>
      <c r="D392" s="213" t="s">
        <v>96</v>
      </c>
      <c r="E392" s="177"/>
      <c r="F392" s="177" t="s">
        <v>22</v>
      </c>
      <c r="G392" s="177">
        <v>0.2</v>
      </c>
      <c r="H392" s="177">
        <v>0.5</v>
      </c>
      <c r="I392" s="177" t="s">
        <v>205</v>
      </c>
      <c r="J392" s="177" t="s">
        <v>82</v>
      </c>
      <c r="K392" s="177">
        <v>7</v>
      </c>
      <c r="L392" s="177">
        <v>380</v>
      </c>
      <c r="M392" s="177">
        <v>2660</v>
      </c>
      <c r="N392" s="177"/>
      <c r="O392" s="177"/>
      <c r="P392" s="177"/>
      <c r="Q392" s="177">
        <v>0</v>
      </c>
      <c r="R392" s="177">
        <v>2660</v>
      </c>
      <c r="S392" s="177">
        <v>3192</v>
      </c>
      <c r="T392" s="177">
        <v>1596</v>
      </c>
    </row>
    <row r="393" spans="1:20">
      <c r="A393" s="213" t="s">
        <v>35</v>
      </c>
      <c r="B393" s="213" t="s">
        <v>28</v>
      </c>
      <c r="C393" s="213" t="s">
        <v>68</v>
      </c>
      <c r="D393" s="213" t="s">
        <v>101</v>
      </c>
      <c r="E393" s="212"/>
      <c r="F393" s="212" t="s">
        <v>22</v>
      </c>
      <c r="G393" s="212">
        <v>0.2</v>
      </c>
      <c r="H393" s="212">
        <v>0.5</v>
      </c>
      <c r="I393" s="212" t="s">
        <v>205</v>
      </c>
      <c r="J393" s="212" t="s">
        <v>82</v>
      </c>
      <c r="K393" s="212">
        <v>2</v>
      </c>
      <c r="L393" s="212">
        <v>380</v>
      </c>
      <c r="M393" s="212">
        <v>760</v>
      </c>
      <c r="N393" s="212" t="s">
        <v>45</v>
      </c>
      <c r="O393" s="212">
        <v>3</v>
      </c>
      <c r="P393" s="212">
        <v>150</v>
      </c>
      <c r="Q393" s="212">
        <v>450</v>
      </c>
      <c r="R393" s="212">
        <v>1210</v>
      </c>
      <c r="S393" s="212">
        <v>1452</v>
      </c>
      <c r="T393" s="212">
        <v>726</v>
      </c>
    </row>
    <row r="394" spans="1:20">
      <c r="A394" s="213" t="s">
        <v>35</v>
      </c>
      <c r="B394" s="213" t="s">
        <v>28</v>
      </c>
      <c r="C394" s="213" t="s">
        <v>68</v>
      </c>
      <c r="D394" s="213" t="s">
        <v>100</v>
      </c>
      <c r="E394" s="212"/>
      <c r="F394" s="212" t="s">
        <v>22</v>
      </c>
      <c r="G394" s="212">
        <v>0.2</v>
      </c>
      <c r="H394" s="212">
        <v>0.5</v>
      </c>
      <c r="I394" s="212" t="s">
        <v>205</v>
      </c>
      <c r="J394" s="212" t="s">
        <v>82</v>
      </c>
      <c r="K394" s="212">
        <v>1</v>
      </c>
      <c r="L394" s="212">
        <v>380</v>
      </c>
      <c r="M394" s="212">
        <v>380</v>
      </c>
      <c r="N394" s="212" t="s">
        <v>45</v>
      </c>
      <c r="O394" s="212">
        <v>1</v>
      </c>
      <c r="P394" s="212">
        <v>150</v>
      </c>
      <c r="Q394" s="212">
        <v>150</v>
      </c>
      <c r="R394" s="212">
        <v>530</v>
      </c>
      <c r="S394" s="212">
        <v>636</v>
      </c>
      <c r="T394" s="212">
        <v>318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>
    <tabColor rgb="FFFF0000"/>
  </sheetPr>
  <dimension ref="A1:AL14"/>
  <sheetViews>
    <sheetView topLeftCell="A7" workbookViewId="0">
      <selection activeCell="F25" sqref="F25"/>
    </sheetView>
  </sheetViews>
  <sheetFormatPr baseColWidth="10" defaultRowHeight="15"/>
  <cols>
    <col min="1" max="1" width="11.42578125" style="66"/>
    <col min="2" max="2" width="57.42578125" style="66" customWidth="1"/>
    <col min="3" max="3" width="11.42578125" style="66"/>
    <col min="4" max="4" width="12.42578125" style="66" customWidth="1"/>
    <col min="5" max="6" width="12.42578125" style="100" customWidth="1"/>
    <col min="7" max="7" width="12.42578125" style="66" customWidth="1"/>
    <col min="8" max="9" width="11.42578125" style="66"/>
    <col min="10" max="14" width="15.7109375" style="79" customWidth="1"/>
    <col min="15" max="15" width="15.7109375" style="66" customWidth="1"/>
    <col min="16" max="16" width="14.85546875" style="66" customWidth="1"/>
    <col min="17" max="17" width="21.42578125" style="66" customWidth="1"/>
    <col min="18" max="38" width="20.7109375" style="66" customWidth="1"/>
    <col min="39" max="16384" width="11.42578125" style="66"/>
  </cols>
  <sheetData>
    <row r="1" spans="1:38" s="63" customFormat="1" ht="23.25">
      <c r="E1" s="64"/>
      <c r="F1" s="64"/>
      <c r="J1" s="65"/>
      <c r="K1" s="65"/>
      <c r="L1" s="65"/>
      <c r="M1" s="65"/>
      <c r="N1" s="65"/>
      <c r="R1" s="242" t="s">
        <v>69</v>
      </c>
      <c r="S1" s="242"/>
      <c r="T1" s="242"/>
      <c r="U1" s="241" t="s">
        <v>70</v>
      </c>
      <c r="V1" s="241"/>
      <c r="W1" s="241"/>
      <c r="X1" s="241"/>
      <c r="Y1" s="241"/>
      <c r="Z1" s="243" t="s">
        <v>71</v>
      </c>
      <c r="AA1" s="243"/>
      <c r="AB1" s="243"/>
      <c r="AC1" s="244" t="s">
        <v>72</v>
      </c>
      <c r="AD1" s="244"/>
      <c r="AE1" s="244"/>
      <c r="AF1" s="244"/>
      <c r="AG1" s="245" t="s">
        <v>73</v>
      </c>
      <c r="AH1" s="245"/>
      <c r="AI1" s="245"/>
      <c r="AJ1" s="241" t="s">
        <v>74</v>
      </c>
      <c r="AK1" s="241"/>
      <c r="AL1" s="241"/>
    </row>
    <row r="2" spans="1:38" ht="60">
      <c r="A2" s="66" t="s">
        <v>29</v>
      </c>
      <c r="B2" s="67" t="s">
        <v>0</v>
      </c>
      <c r="D2" s="68" t="s">
        <v>14</v>
      </c>
      <c r="E2" s="69" t="s">
        <v>78</v>
      </c>
      <c r="F2" s="69" t="s">
        <v>77</v>
      </c>
      <c r="G2" s="68"/>
      <c r="H2" s="66" t="s">
        <v>80</v>
      </c>
      <c r="J2" s="70" t="s">
        <v>30</v>
      </c>
      <c r="K2" s="70" t="s">
        <v>31</v>
      </c>
      <c r="L2" s="70" t="s">
        <v>32</v>
      </c>
      <c r="M2" s="70" t="s">
        <v>33</v>
      </c>
      <c r="N2" s="70" t="s">
        <v>34</v>
      </c>
      <c r="O2" s="71" t="s">
        <v>35</v>
      </c>
      <c r="Q2" s="66" t="s">
        <v>49</v>
      </c>
      <c r="R2" s="72" t="s">
        <v>50</v>
      </c>
      <c r="S2" s="72" t="s">
        <v>51</v>
      </c>
      <c r="T2" s="72" t="s">
        <v>52</v>
      </c>
      <c r="U2" s="73" t="s">
        <v>53</v>
      </c>
      <c r="V2" s="73" t="s">
        <v>54</v>
      </c>
      <c r="W2" s="73" t="s">
        <v>57</v>
      </c>
      <c r="X2" s="73" t="s">
        <v>55</v>
      </c>
      <c r="Y2" s="74" t="s">
        <v>56</v>
      </c>
      <c r="Z2" s="75" t="s">
        <v>60</v>
      </c>
      <c r="AA2" s="75" t="s">
        <v>61</v>
      </c>
      <c r="AB2" s="75" t="s">
        <v>62</v>
      </c>
      <c r="AC2" s="76" t="s">
        <v>151</v>
      </c>
      <c r="AD2" s="76" t="s">
        <v>147</v>
      </c>
      <c r="AE2" s="76" t="s">
        <v>152</v>
      </c>
      <c r="AF2" s="76" t="s">
        <v>153</v>
      </c>
      <c r="AG2" s="77" t="s">
        <v>63</v>
      </c>
      <c r="AH2" s="77" t="s">
        <v>64</v>
      </c>
      <c r="AI2" s="77" t="s">
        <v>65</v>
      </c>
      <c r="AJ2" s="74" t="s">
        <v>66</v>
      </c>
      <c r="AK2" s="74" t="s">
        <v>67</v>
      </c>
      <c r="AL2" s="74" t="s">
        <v>68</v>
      </c>
    </row>
    <row r="3" spans="1:38" ht="45">
      <c r="A3" s="66" t="s">
        <v>30</v>
      </c>
      <c r="B3" s="78" t="s">
        <v>24</v>
      </c>
      <c r="D3" s="79" t="s">
        <v>44</v>
      </c>
      <c r="E3" s="80"/>
      <c r="F3" s="80"/>
      <c r="G3" s="79"/>
      <c r="H3" s="66" t="s">
        <v>82</v>
      </c>
      <c r="J3" s="81" t="s">
        <v>49</v>
      </c>
      <c r="K3" s="81" t="s">
        <v>49</v>
      </c>
      <c r="L3" s="81" t="s">
        <v>49</v>
      </c>
      <c r="M3" s="81" t="s">
        <v>49</v>
      </c>
      <c r="N3" s="81" t="s">
        <v>49</v>
      </c>
      <c r="O3" s="81" t="s">
        <v>49</v>
      </c>
      <c r="Q3" s="66" t="s">
        <v>58</v>
      </c>
      <c r="R3" s="82" t="s">
        <v>44</v>
      </c>
      <c r="S3" s="82" t="s">
        <v>44</v>
      </c>
      <c r="T3" s="82" t="s">
        <v>44</v>
      </c>
      <c r="U3" s="83" t="s">
        <v>44</v>
      </c>
      <c r="V3" s="83" t="s">
        <v>44</v>
      </c>
      <c r="W3" s="83" t="s">
        <v>44</v>
      </c>
      <c r="X3" s="83" t="s">
        <v>44</v>
      </c>
      <c r="Y3" s="83" t="s">
        <v>44</v>
      </c>
      <c r="Z3" s="84" t="s">
        <v>44</v>
      </c>
      <c r="AA3" s="84" t="s">
        <v>44</v>
      </c>
      <c r="AB3" s="84" t="s">
        <v>44</v>
      </c>
      <c r="AC3" s="85" t="s">
        <v>44</v>
      </c>
      <c r="AD3" s="85" t="s">
        <v>44</v>
      </c>
      <c r="AE3" s="85" t="s">
        <v>44</v>
      </c>
      <c r="AF3" s="85" t="s">
        <v>44</v>
      </c>
      <c r="AG3" s="86" t="s">
        <v>44</v>
      </c>
      <c r="AH3" s="86" t="s">
        <v>44</v>
      </c>
      <c r="AI3" s="86" t="s">
        <v>44</v>
      </c>
      <c r="AJ3" s="83" t="s">
        <v>44</v>
      </c>
      <c r="AK3" s="83" t="s">
        <v>44</v>
      </c>
      <c r="AL3" s="83" t="s">
        <v>44</v>
      </c>
    </row>
    <row r="4" spans="1:38" ht="165">
      <c r="A4" s="66" t="s">
        <v>31</v>
      </c>
      <c r="B4" s="87" t="s">
        <v>23</v>
      </c>
      <c r="D4" s="68" t="s">
        <v>18</v>
      </c>
      <c r="E4" s="69">
        <v>0.25</v>
      </c>
      <c r="F4" s="69">
        <v>0.7</v>
      </c>
      <c r="G4" s="68"/>
      <c r="H4" s="66" t="s">
        <v>81</v>
      </c>
      <c r="J4" s="79" t="s">
        <v>50</v>
      </c>
      <c r="K4" s="79" t="s">
        <v>53</v>
      </c>
      <c r="L4" s="79" t="s">
        <v>60</v>
      </c>
      <c r="M4" s="79" t="s">
        <v>151</v>
      </c>
      <c r="N4" s="79" t="s">
        <v>63</v>
      </c>
      <c r="O4" s="79" t="s">
        <v>66</v>
      </c>
      <c r="R4" s="88" t="s">
        <v>106</v>
      </c>
      <c r="S4" s="88" t="s">
        <v>103</v>
      </c>
      <c r="T4" s="89" t="s">
        <v>87</v>
      </c>
      <c r="U4" s="62" t="s">
        <v>108</v>
      </c>
      <c r="V4" s="90" t="s">
        <v>111</v>
      </c>
      <c r="W4" s="90" t="s">
        <v>115</v>
      </c>
      <c r="X4" s="90" t="s">
        <v>117</v>
      </c>
      <c r="Y4" s="91" t="s">
        <v>119</v>
      </c>
      <c r="Z4" s="92" t="s">
        <v>123</v>
      </c>
      <c r="AA4" s="92" t="s">
        <v>139</v>
      </c>
      <c r="AB4" s="92" t="s">
        <v>143</v>
      </c>
      <c r="AC4" s="93" t="s">
        <v>122</v>
      </c>
      <c r="AD4" s="93" t="s">
        <v>148</v>
      </c>
      <c r="AE4" s="93" t="s">
        <v>150</v>
      </c>
      <c r="AF4" s="93" t="s">
        <v>137</v>
      </c>
      <c r="AG4" s="94" t="s">
        <v>126</v>
      </c>
      <c r="AH4" s="94" t="s">
        <v>131</v>
      </c>
      <c r="AI4" s="94" t="s">
        <v>133</v>
      </c>
      <c r="AJ4" s="91" t="s">
        <v>95</v>
      </c>
      <c r="AK4" s="91" t="s">
        <v>96</v>
      </c>
      <c r="AL4" s="91" t="s">
        <v>99</v>
      </c>
    </row>
    <row r="5" spans="1:38" ht="90">
      <c r="A5" s="66" t="s">
        <v>32</v>
      </c>
      <c r="B5" s="78" t="s">
        <v>25</v>
      </c>
      <c r="D5" s="68" t="s">
        <v>38</v>
      </c>
      <c r="E5" s="69">
        <v>0.22</v>
      </c>
      <c r="F5" s="69">
        <v>0.7</v>
      </c>
      <c r="G5" s="68"/>
      <c r="J5" s="79" t="s">
        <v>51</v>
      </c>
      <c r="K5" s="79" t="s">
        <v>54</v>
      </c>
      <c r="L5" s="79" t="s">
        <v>61</v>
      </c>
      <c r="M5" s="79" t="s">
        <v>147</v>
      </c>
      <c r="N5" s="79" t="s">
        <v>64</v>
      </c>
      <c r="O5" s="79" t="s">
        <v>67</v>
      </c>
      <c r="R5" s="88" t="s">
        <v>107</v>
      </c>
      <c r="S5" s="88" t="s">
        <v>104</v>
      </c>
      <c r="T5" s="89" t="s">
        <v>88</v>
      </c>
      <c r="U5" s="62" t="s">
        <v>109</v>
      </c>
      <c r="V5" s="90" t="s">
        <v>112</v>
      </c>
      <c r="W5" s="90" t="s">
        <v>116</v>
      </c>
      <c r="X5" s="90" t="s">
        <v>118</v>
      </c>
      <c r="Y5" s="91" t="s">
        <v>120</v>
      </c>
      <c r="Z5" s="92" t="s">
        <v>124</v>
      </c>
      <c r="AA5" s="92" t="s">
        <v>140</v>
      </c>
      <c r="AB5" s="92" t="s">
        <v>144</v>
      </c>
      <c r="AC5" s="93" t="s">
        <v>145</v>
      </c>
      <c r="AD5" s="93" t="s">
        <v>149</v>
      </c>
      <c r="AE5" s="93"/>
      <c r="AF5" s="93" t="s">
        <v>138</v>
      </c>
      <c r="AG5" s="94" t="s">
        <v>127</v>
      </c>
      <c r="AH5" s="94" t="s">
        <v>132</v>
      </c>
      <c r="AI5" s="94" t="s">
        <v>134</v>
      </c>
      <c r="AJ5" s="91" t="s">
        <v>102</v>
      </c>
      <c r="AK5" s="91" t="s">
        <v>97</v>
      </c>
      <c r="AL5" s="91" t="s">
        <v>100</v>
      </c>
    </row>
    <row r="6" spans="1:38" ht="75">
      <c r="A6" s="66" t="s">
        <v>33</v>
      </c>
      <c r="B6" s="87" t="s">
        <v>26</v>
      </c>
      <c r="D6" s="68" t="s">
        <v>15</v>
      </c>
      <c r="E6" s="69">
        <v>0.25</v>
      </c>
      <c r="F6" s="69">
        <v>0.5</v>
      </c>
      <c r="G6" s="68"/>
      <c r="J6" s="79" t="s">
        <v>52</v>
      </c>
      <c r="K6" s="79" t="s">
        <v>57</v>
      </c>
      <c r="L6" s="79" t="s">
        <v>62</v>
      </c>
      <c r="M6" s="79" t="s">
        <v>152</v>
      </c>
      <c r="N6" s="79" t="s">
        <v>65</v>
      </c>
      <c r="O6" s="79" t="s">
        <v>68</v>
      </c>
      <c r="S6" s="95" t="s">
        <v>105</v>
      </c>
      <c r="U6" s="62" t="s">
        <v>110</v>
      </c>
      <c r="V6" s="90" t="s">
        <v>113</v>
      </c>
      <c r="W6" s="90"/>
      <c r="X6" s="90"/>
      <c r="Y6" s="91" t="s">
        <v>121</v>
      </c>
      <c r="Z6" s="92" t="s">
        <v>125</v>
      </c>
      <c r="AA6" s="92" t="s">
        <v>141</v>
      </c>
      <c r="AB6" s="92"/>
      <c r="AC6" s="93" t="s">
        <v>146</v>
      </c>
      <c r="AD6" s="93"/>
      <c r="AE6" s="93"/>
      <c r="AF6" s="93"/>
      <c r="AG6" s="94" t="s">
        <v>128</v>
      </c>
      <c r="AH6" s="94"/>
      <c r="AI6" s="94"/>
      <c r="AJ6" s="91" t="s">
        <v>94</v>
      </c>
      <c r="AK6" s="91" t="s">
        <v>98</v>
      </c>
      <c r="AL6" s="91" t="s">
        <v>101</v>
      </c>
    </row>
    <row r="7" spans="1:38" ht="90">
      <c r="A7" s="66" t="s">
        <v>34</v>
      </c>
      <c r="B7" s="78" t="s">
        <v>27</v>
      </c>
      <c r="D7" s="68" t="s">
        <v>79</v>
      </c>
      <c r="E7" s="69">
        <v>0.16</v>
      </c>
      <c r="F7" s="69">
        <v>0.5</v>
      </c>
      <c r="G7" s="68"/>
      <c r="K7" s="79" t="s">
        <v>55</v>
      </c>
      <c r="M7" s="79" t="s">
        <v>153</v>
      </c>
      <c r="R7" s="79"/>
      <c r="V7" s="73" t="s">
        <v>114</v>
      </c>
      <c r="W7" s="96"/>
      <c r="X7" s="73"/>
      <c r="Y7" s="91"/>
      <c r="Z7" s="97"/>
      <c r="AA7" s="92" t="s">
        <v>142</v>
      </c>
      <c r="AB7" s="97"/>
      <c r="AC7" s="97"/>
      <c r="AD7" s="97"/>
      <c r="AE7" s="97"/>
      <c r="AF7" s="97"/>
      <c r="AG7" s="102" t="s">
        <v>129</v>
      </c>
      <c r="AH7" s="97"/>
      <c r="AI7" s="97"/>
      <c r="AJ7" s="97"/>
      <c r="AK7" s="97"/>
      <c r="AL7" s="97" t="s">
        <v>48</v>
      </c>
    </row>
    <row r="8" spans="1:38" ht="30">
      <c r="A8" s="66" t="s">
        <v>35</v>
      </c>
      <c r="B8" s="98" t="s">
        <v>28</v>
      </c>
      <c r="D8" s="68" t="s">
        <v>135</v>
      </c>
      <c r="E8" s="69">
        <v>0.25</v>
      </c>
      <c r="F8" s="69">
        <v>0.7</v>
      </c>
      <c r="G8" s="68"/>
      <c r="K8" s="79" t="s">
        <v>56</v>
      </c>
      <c r="AB8" s="101"/>
      <c r="AG8" s="103" t="s">
        <v>130</v>
      </c>
    </row>
    <row r="9" spans="1:38">
      <c r="D9" s="68" t="s">
        <v>16</v>
      </c>
      <c r="E9" s="69">
        <v>0.25</v>
      </c>
      <c r="F9" s="69">
        <v>0.7</v>
      </c>
      <c r="G9" s="68"/>
      <c r="T9" s="79"/>
      <c r="U9" s="79"/>
    </row>
    <row r="10" spans="1:38" s="79" customFormat="1">
      <c r="D10" s="68" t="s">
        <v>17</v>
      </c>
      <c r="E10" s="69">
        <v>0.18</v>
      </c>
      <c r="F10" s="69">
        <v>0.5</v>
      </c>
      <c r="G10" s="99"/>
      <c r="R10" s="66"/>
      <c r="T10" s="66"/>
      <c r="U10" s="66"/>
      <c r="AA10" s="66"/>
      <c r="AB10" s="66"/>
    </row>
    <row r="11" spans="1:38">
      <c r="D11" s="99" t="s">
        <v>19</v>
      </c>
      <c r="E11" s="69">
        <v>0.25</v>
      </c>
      <c r="F11" s="69">
        <v>0.5</v>
      </c>
      <c r="G11" s="68"/>
    </row>
    <row r="12" spans="1:38">
      <c r="D12" s="68" t="s">
        <v>22</v>
      </c>
      <c r="E12" s="69">
        <v>0.2</v>
      </c>
      <c r="F12" s="69">
        <v>0.5</v>
      </c>
      <c r="G12" s="68"/>
    </row>
    <row r="13" spans="1:38">
      <c r="D13" s="68" t="s">
        <v>20</v>
      </c>
      <c r="E13" s="69">
        <v>0.25</v>
      </c>
      <c r="F13" s="69">
        <v>0.5</v>
      </c>
      <c r="G13" s="68"/>
    </row>
    <row r="14" spans="1:38">
      <c r="D14" s="68" t="s">
        <v>21</v>
      </c>
      <c r="E14" s="69">
        <v>0.25</v>
      </c>
      <c r="F14" s="69">
        <v>0.7</v>
      </c>
    </row>
  </sheetData>
  <mergeCells count="6">
    <mergeCell ref="AJ1:AL1"/>
    <mergeCell ref="R1:T1"/>
    <mergeCell ref="U1:Y1"/>
    <mergeCell ref="Z1:AB1"/>
    <mergeCell ref="AC1:AF1"/>
    <mergeCell ref="AG1:AI1"/>
  </mergeCells>
  <phoneticPr fontId="3" type="noConversion"/>
  <pageMargins left="0.7" right="0.7" top="0.75" bottom="0.75" header="0.3" footer="0.3"/>
  <pageSetup paperSize="9" orientation="portrait" horizontalDpi="4294967293" verticalDpi="0" r:id="rId1"/>
  <tableParts count="3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D8EE90-7D05-490D-B572-6423453CB2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93</vt:i4>
      </vt:variant>
    </vt:vector>
  </HeadingPairs>
  <TitlesOfParts>
    <vt:vector size="104" baseType="lpstr">
      <vt:lpstr>Architecture Projet</vt:lpstr>
      <vt:lpstr>Lot 1</vt:lpstr>
      <vt:lpstr>Lot 2</vt:lpstr>
      <vt:lpstr>Lot 3</vt:lpstr>
      <vt:lpstr>Lot 4</vt:lpstr>
      <vt:lpstr>Lot 5</vt:lpstr>
      <vt:lpstr>Lot 6</vt:lpstr>
      <vt:lpstr>Synth Partenaire</vt:lpstr>
      <vt:lpstr>Synth Lot</vt:lpstr>
      <vt:lpstr>CONSOLIDATION</vt:lpstr>
      <vt:lpstr>Liste</vt:lpstr>
      <vt:lpstr>CHOISIR_DANS_LA_LISTE</vt:lpstr>
      <vt:lpstr>Lot</vt:lpstr>
      <vt:lpstr>'Lot 1'!Lot_1</vt:lpstr>
      <vt:lpstr>'Lot 3'!Lot_1</vt:lpstr>
      <vt:lpstr>'Lot 4'!Lot_1</vt:lpstr>
      <vt:lpstr>'Lot 5'!Lot_1</vt:lpstr>
      <vt:lpstr>'Lot 6'!Lot_1</vt:lpstr>
      <vt:lpstr>'Synth Partenaire'!Lot_1</vt:lpstr>
      <vt:lpstr>Lot_1</vt:lpstr>
      <vt:lpstr>'Lot 1'!Lot_2</vt:lpstr>
      <vt:lpstr>'Lot 3'!Lot_2</vt:lpstr>
      <vt:lpstr>'Lot 4'!Lot_2</vt:lpstr>
      <vt:lpstr>'Lot 5'!Lot_2</vt:lpstr>
      <vt:lpstr>'Lot 6'!Lot_2</vt:lpstr>
      <vt:lpstr>'Synth Partenaire'!Lot_2</vt:lpstr>
      <vt:lpstr>Lot_2</vt:lpstr>
      <vt:lpstr>'Lot 1'!Lot_3</vt:lpstr>
      <vt:lpstr>'Lot 3'!Lot_3</vt:lpstr>
      <vt:lpstr>'Lot 4'!Lot_3</vt:lpstr>
      <vt:lpstr>'Lot 5'!Lot_3</vt:lpstr>
      <vt:lpstr>'Lot 6'!Lot_3</vt:lpstr>
      <vt:lpstr>'Synth Partenaire'!Lot_3</vt:lpstr>
      <vt:lpstr>Lot_3</vt:lpstr>
      <vt:lpstr>'Lot 1'!Lot_4</vt:lpstr>
      <vt:lpstr>'Lot 3'!Lot_4</vt:lpstr>
      <vt:lpstr>'Lot 4'!Lot_4</vt:lpstr>
      <vt:lpstr>'Lot 5'!Lot_4</vt:lpstr>
      <vt:lpstr>'Lot 6'!Lot_4</vt:lpstr>
      <vt:lpstr>'Synth Partenaire'!Lot_4</vt:lpstr>
      <vt:lpstr>Lot_4</vt:lpstr>
      <vt:lpstr>'Lot 1'!Lot_5</vt:lpstr>
      <vt:lpstr>'Lot 3'!Lot_5</vt:lpstr>
      <vt:lpstr>'Lot 4'!Lot_5</vt:lpstr>
      <vt:lpstr>'Lot 5'!Lot_5</vt:lpstr>
      <vt:lpstr>'Lot 6'!Lot_5</vt:lpstr>
      <vt:lpstr>'Synth Partenaire'!Lot_5</vt:lpstr>
      <vt:lpstr>Lot_5</vt:lpstr>
      <vt:lpstr>'Lot 1'!Lot_6</vt:lpstr>
      <vt:lpstr>'Lot 3'!Lot_6</vt:lpstr>
      <vt:lpstr>'Lot 4'!Lot_6</vt:lpstr>
      <vt:lpstr>'Lot 5'!Lot_6</vt:lpstr>
      <vt:lpstr>'Lot 6'!Lot_6</vt:lpstr>
      <vt:lpstr>'Synth Partenaire'!Lot_6</vt:lpstr>
      <vt:lpstr>Lot_6</vt:lpstr>
      <vt:lpstr>NoLot</vt:lpstr>
      <vt:lpstr>'Lot 1'!Partenaires</vt:lpstr>
      <vt:lpstr>'Lot 3'!Partenaires</vt:lpstr>
      <vt:lpstr>'Lot 4'!Partenaires</vt:lpstr>
      <vt:lpstr>'Lot 5'!Partenaires</vt:lpstr>
      <vt:lpstr>'Lot 6'!Partenaires</vt:lpstr>
      <vt:lpstr>'Synth Partenaire'!Partenaires</vt:lpstr>
      <vt:lpstr>Partenaires</vt:lpstr>
      <vt:lpstr>'Architecture Projet'!T1_Bibliographie_et_synthèse</vt:lpstr>
      <vt:lpstr>T1_Bibliographie_et_synthèse</vt:lpstr>
      <vt:lpstr>T1_Caractérisation_matières_premières</vt:lpstr>
      <vt:lpstr>'Architecture Projet'!T1_Commission_prénormalisation</vt:lpstr>
      <vt:lpstr>T1_Commission_prénormalisation</vt:lpstr>
      <vt:lpstr>'Architecture Projet'!T1_Définition_des_gammes_de_variations_acceptables</vt:lpstr>
      <vt:lpstr>T1_Définition_des_gammes_de_variations_acceptables</vt:lpstr>
      <vt:lpstr>'Architecture Projet'!T1_Site_Internet</vt:lpstr>
      <vt:lpstr>T1_Site_Internet</vt:lpstr>
      <vt:lpstr>'Architecture Projet'!T1_Suivi_administratif_et_financier</vt:lpstr>
      <vt:lpstr>T1_Suivi_administratif_et_financier</vt:lpstr>
      <vt:lpstr>'Architecture Projet'!T1_Validation_des_caractéristiques_pertinentes</vt:lpstr>
      <vt:lpstr>T1_Validation_des_caractéristiques_pertinentes</vt:lpstr>
      <vt:lpstr>T2_Caractérisation_matières_premières_Etablissement_des_cartes_identité</vt:lpstr>
      <vt:lpstr>'Architecture Projet'!T2_Comité_de_pilotage_et_de_suivi</vt:lpstr>
      <vt:lpstr>T2_Comité_de_pilotage_et_de_suivi</vt:lpstr>
      <vt:lpstr>'Architecture Projet'!T2_Consultation_des_acteurs</vt:lpstr>
      <vt:lpstr>T2_Consultation_des_acteurs</vt:lpstr>
      <vt:lpstr>T2_Définition_des_gammes_de_variations_acceptables</vt:lpstr>
      <vt:lpstr>'Architecture Projet'!T2_Publications</vt:lpstr>
      <vt:lpstr>T2_Publications</vt:lpstr>
      <vt:lpstr>'Architecture Projet'!T2_Rédaction_des_protocoles_de_caractérisation</vt:lpstr>
      <vt:lpstr>T2_Rédaction_des_protocoles_de_caractérisation</vt:lpstr>
      <vt:lpstr>T2_Vocabulaire_définition_termes_utilisés</vt:lpstr>
      <vt:lpstr>'Architecture Projet'!T3_Comité_scientifique_et_technique</vt:lpstr>
      <vt:lpstr>T3_Comité_scientifique_et_technique</vt:lpstr>
      <vt:lpstr>'Architecture Projet'!T3_Conférences_Séminaires</vt:lpstr>
      <vt:lpstr>T3_Conférences_Séminaires</vt:lpstr>
      <vt:lpstr>'Architecture Projet'!T3_Consultation_des_organes_de_normalisation</vt:lpstr>
      <vt:lpstr>T3_Consultation_des_organes_de_normalisation</vt:lpstr>
      <vt:lpstr>'Architecture Projet'!T3_Evaluation_impacts_environnementaux</vt:lpstr>
      <vt:lpstr>T3_Evaluation_impacts_environnementaux</vt:lpstr>
      <vt:lpstr>'Architecture Projet'!T3_Identification_des_indicateurs_environnementaux</vt:lpstr>
      <vt:lpstr>T3_Identification_des_indicateurs_environnementaux</vt:lpstr>
      <vt:lpstr>T3_Rédaction_des_Cartes_Identité_des_granulats</vt:lpstr>
      <vt:lpstr>'Architecture Projet'!T3_Rédaction_proposition_prénorme</vt:lpstr>
      <vt:lpstr>T3_Rédaction_proposition_prénorme</vt:lpstr>
      <vt:lpstr>'Architecture Projet'!T4_Analyse_de_la_nomenclature_des_normes_positionnement_de_la_future_norme</vt:lpstr>
      <vt:lpstr>T4_Analyse_de_la_nomenclature_des_normes_positionnement_de_la_future_norme</vt:lpstr>
      <vt:lpstr>T4_Evaluation_impacts_environnementaux</vt:lpstr>
      <vt:lpstr>T5_Atelier_de_concertation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2020-04-01T16:13:28Z</dcterms:created>
  <dcterms:modified xsi:type="dcterms:W3CDTF">2020-05-01T14:42:47Z</dcterms:modified>
</cp:coreProperties>
</file>