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Ingénierie\Maxime Poirier\Projet\Sommaire de Production\"/>
    </mc:Choice>
  </mc:AlternateContent>
  <bookViews>
    <workbookView xWindow="-105" yWindow="-105" windowWidth="20715" windowHeight="13275" activeTab="4"/>
  </bookViews>
  <sheets>
    <sheet name="Formulaire" sheetId="1" r:id="rId1"/>
    <sheet name="Rapport" sheetId="5" r:id="rId2"/>
    <sheet name="BD Prod" sheetId="3" r:id="rId3"/>
    <sheet name="BD Expédition" sheetId="6" r:id="rId4"/>
    <sheet name="TRO" sheetId="7" r:id="rId5"/>
    <sheet name="Liste" sheetId="4" r:id="rId6"/>
    <sheet name="Révision" sheetId="8" r:id="rId7"/>
  </sheets>
  <definedNames>
    <definedName name="_21_C1">Tableau2[21 (C1) ]</definedName>
    <definedName name="_22_C8">Tableau2[22 (C8) ]</definedName>
    <definedName name="Bouchons">Tableau2[[Bouchon ]]</definedName>
    <definedName name="CadenceMin">Liste!$C$2:$C$19</definedName>
    <definedName name="Granulateur">Tableau2[[Granulateur ]]</definedName>
    <definedName name="Machine">Liste!$A$2:$A$20</definedName>
    <definedName name="Operateur">Liste!$K$2:$K$34</definedName>
    <definedName name="Purge_32_C7">Tableau2[Purge 32 (C7) ]</definedName>
    <definedName name="Quart">Liste!$F$2:$F$7</definedName>
    <definedName name="Sleeve_32_C7">Tableau2[Sleeve 32 (C7) ]</definedName>
    <definedName name="StandardProd">Liste!$B$2:$B$19</definedName>
    <definedName name="Superviseur">Liste!$E$2:$E$4</definedName>
    <definedName name="Tube_Imprimés">Tableau2[[Tube imprimé ]]</definedName>
    <definedName name="TypeArret">Liste!$D$2:$D$7</definedName>
    <definedName name="_xlnm.Print_Area" localSheetId="1">Rapport!$A$5:$T$29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2" i="3" l="1"/>
  <c r="AN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C2" i="5" l="1"/>
  <c r="J2" i="6" l="1"/>
  <c r="J3" i="6"/>
  <c r="K3" i="6"/>
  <c r="K2" i="6"/>
  <c r="AL64" i="3" l="1"/>
  <c r="AK64" i="3"/>
  <c r="M64" i="3"/>
  <c r="AM64" i="3" s="1"/>
  <c r="AL63" i="3"/>
  <c r="AK63" i="3"/>
  <c r="M63" i="3"/>
  <c r="AM63" i="3" s="1"/>
  <c r="AL62" i="3"/>
  <c r="AK62" i="3"/>
  <c r="M62" i="3"/>
  <c r="AM62" i="3" s="1"/>
  <c r="AL61" i="3"/>
  <c r="AK61" i="3"/>
  <c r="M61" i="3"/>
  <c r="AM61" i="3" s="1"/>
  <c r="AL60" i="3"/>
  <c r="AK60" i="3"/>
  <c r="M60" i="3"/>
  <c r="AM60" i="3" s="1"/>
  <c r="AL59" i="3"/>
  <c r="AK59" i="3"/>
  <c r="M59" i="3"/>
  <c r="AM59" i="3" s="1"/>
  <c r="AL58" i="3"/>
  <c r="AK58" i="3"/>
  <c r="M58" i="3"/>
  <c r="AM58" i="3" s="1"/>
  <c r="AL57" i="3"/>
  <c r="AK57" i="3"/>
  <c r="M57" i="3"/>
  <c r="AM57" i="3" s="1"/>
  <c r="AL56" i="3"/>
  <c r="AK56" i="3"/>
  <c r="M56" i="3"/>
  <c r="AM56" i="3" s="1"/>
  <c r="AL55" i="3"/>
  <c r="AK55" i="3"/>
  <c r="M55" i="3"/>
  <c r="AM55" i="3" s="1"/>
  <c r="AL54" i="3"/>
  <c r="AK54" i="3"/>
  <c r="M54" i="3"/>
  <c r="AM54" i="3" s="1"/>
  <c r="AL53" i="3"/>
  <c r="AK53" i="3"/>
  <c r="M53" i="3"/>
  <c r="AM53" i="3" s="1"/>
  <c r="AL52" i="3"/>
  <c r="AK52" i="3"/>
  <c r="M52" i="3"/>
  <c r="AM52" i="3" s="1"/>
  <c r="AL51" i="3"/>
  <c r="AK51" i="3"/>
  <c r="M51" i="3"/>
  <c r="AM51" i="3" s="1"/>
  <c r="AL50" i="3"/>
  <c r="AK50" i="3"/>
  <c r="M50" i="3"/>
  <c r="AM50" i="3" s="1"/>
  <c r="AL49" i="3"/>
  <c r="AK49" i="3"/>
  <c r="M49" i="3"/>
  <c r="AM49" i="3" s="1"/>
  <c r="AL48" i="3"/>
  <c r="AK48" i="3"/>
  <c r="M48" i="3"/>
  <c r="AM48" i="3" s="1"/>
  <c r="AL47" i="3"/>
  <c r="AK47" i="3"/>
  <c r="M47" i="3"/>
  <c r="AM47" i="3" s="1"/>
  <c r="AL46" i="3"/>
  <c r="AK46" i="3"/>
  <c r="M46" i="3"/>
  <c r="AM46" i="3" s="1"/>
  <c r="AL45" i="3"/>
  <c r="AK45" i="3"/>
  <c r="M45" i="3"/>
  <c r="AM45" i="3" s="1"/>
  <c r="AL44" i="3"/>
  <c r="AK44" i="3"/>
  <c r="M44" i="3"/>
  <c r="AM44" i="3" s="1"/>
  <c r="AL43" i="3"/>
  <c r="AK43" i="3"/>
  <c r="M43" i="3"/>
  <c r="AM43" i="3" s="1"/>
  <c r="AL42" i="3"/>
  <c r="AK42" i="3"/>
  <c r="M42" i="3"/>
  <c r="AM42" i="3" s="1"/>
  <c r="AL41" i="3"/>
  <c r="AK41" i="3"/>
  <c r="M41" i="3"/>
  <c r="AM41" i="3" s="1"/>
  <c r="AL40" i="3"/>
  <c r="AK40" i="3"/>
  <c r="M40" i="3"/>
  <c r="AM40" i="3" s="1"/>
  <c r="AL39" i="3"/>
  <c r="AK39" i="3"/>
  <c r="M39" i="3"/>
  <c r="AM39" i="3" s="1"/>
  <c r="AL38" i="3"/>
  <c r="AK38" i="3"/>
  <c r="M38" i="3"/>
  <c r="AM38" i="3" s="1"/>
  <c r="AL37" i="3"/>
  <c r="AK37" i="3"/>
  <c r="M37" i="3"/>
  <c r="AM37" i="3" s="1"/>
  <c r="AL36" i="3"/>
  <c r="AK36" i="3"/>
  <c r="M36" i="3"/>
  <c r="AM36" i="3" s="1"/>
  <c r="AL35" i="3"/>
  <c r="AK35" i="3"/>
  <c r="M35" i="3"/>
  <c r="AM35" i="3" s="1"/>
  <c r="AL34" i="3"/>
  <c r="AK34" i="3"/>
  <c r="M34" i="3"/>
  <c r="AM34" i="3" s="1"/>
  <c r="AL33" i="3"/>
  <c r="AK33" i="3"/>
  <c r="M33" i="3"/>
  <c r="AM33" i="3" s="1"/>
  <c r="AL32" i="3"/>
  <c r="AK32" i="3"/>
  <c r="M32" i="3"/>
  <c r="AM32" i="3" s="1"/>
  <c r="AL31" i="3"/>
  <c r="AK31" i="3"/>
  <c r="M31" i="3"/>
  <c r="AM31" i="3" s="1"/>
  <c r="AL30" i="3"/>
  <c r="AK30" i="3"/>
  <c r="M30" i="3"/>
  <c r="AM30" i="3" s="1"/>
  <c r="AL29" i="3"/>
  <c r="AK29" i="3"/>
  <c r="M29" i="3"/>
  <c r="AM29" i="3" s="1"/>
  <c r="AL28" i="3"/>
  <c r="AK28" i="3"/>
  <c r="M28" i="3"/>
  <c r="AM28" i="3" s="1"/>
  <c r="AL27" i="3"/>
  <c r="AK27" i="3"/>
  <c r="M27" i="3"/>
  <c r="AM27" i="3" s="1"/>
  <c r="AL26" i="3"/>
  <c r="AK26" i="3"/>
  <c r="M26" i="3"/>
  <c r="AM26" i="3" s="1"/>
  <c r="AL25" i="3"/>
  <c r="AK25" i="3"/>
  <c r="M25" i="3"/>
  <c r="AM25" i="3" s="1"/>
  <c r="AL24" i="3"/>
  <c r="AK24" i="3"/>
  <c r="M24" i="3"/>
  <c r="AM24" i="3" s="1"/>
  <c r="AL23" i="3"/>
  <c r="AK23" i="3"/>
  <c r="M23" i="3"/>
  <c r="AM23" i="3" s="1"/>
  <c r="AL22" i="3"/>
  <c r="AK22" i="3"/>
  <c r="M22" i="3"/>
  <c r="AM22" i="3" s="1"/>
  <c r="AL21" i="3"/>
  <c r="AK21" i="3"/>
  <c r="M21" i="3"/>
  <c r="AM21" i="3" s="1"/>
  <c r="AL20" i="3"/>
  <c r="AK20" i="3"/>
  <c r="M20" i="3"/>
  <c r="AM20" i="3" s="1"/>
  <c r="AL19" i="3"/>
  <c r="AK19" i="3"/>
  <c r="M19" i="3"/>
  <c r="AM19" i="3" s="1"/>
  <c r="AL18" i="3"/>
  <c r="AK18" i="3"/>
  <c r="M18" i="3"/>
  <c r="AM18" i="3" s="1"/>
  <c r="AL17" i="3"/>
  <c r="AK17" i="3"/>
  <c r="M17" i="3"/>
  <c r="AM17" i="3" s="1"/>
  <c r="AL16" i="3"/>
  <c r="AK16" i="3"/>
  <c r="M16" i="3"/>
  <c r="AM16" i="3" s="1"/>
  <c r="AL15" i="3"/>
  <c r="AK15" i="3"/>
  <c r="M15" i="3"/>
  <c r="AM15" i="3" s="1"/>
  <c r="AL14" i="3"/>
  <c r="AK14" i="3"/>
  <c r="M14" i="3"/>
  <c r="AM14" i="3" s="1"/>
  <c r="AL13" i="3"/>
  <c r="AK13" i="3"/>
  <c r="M13" i="3"/>
  <c r="AM13" i="3" s="1"/>
  <c r="AL12" i="3"/>
  <c r="AK12" i="3"/>
  <c r="M12" i="3"/>
  <c r="AM12" i="3" s="1"/>
  <c r="AL11" i="3"/>
  <c r="AK11" i="3"/>
  <c r="M11" i="3"/>
  <c r="AM11" i="3" s="1"/>
  <c r="AL10" i="3"/>
  <c r="AK10" i="3"/>
  <c r="M10" i="3"/>
  <c r="AM10" i="3" s="1"/>
  <c r="AL9" i="3"/>
  <c r="AK9" i="3"/>
  <c r="M9" i="3"/>
  <c r="AM9" i="3" s="1"/>
  <c r="AL8" i="3"/>
  <c r="AK8" i="3"/>
  <c r="M8" i="3"/>
  <c r="AM8" i="3" s="1"/>
  <c r="AL7" i="3"/>
  <c r="AK7" i="3"/>
  <c r="M7" i="3"/>
  <c r="AM7" i="3" s="1"/>
  <c r="AL6" i="3"/>
  <c r="AK6" i="3"/>
  <c r="M6" i="3"/>
  <c r="AM6" i="3" s="1"/>
  <c r="AL5" i="3"/>
  <c r="AK5" i="3"/>
  <c r="M5" i="3"/>
  <c r="AM5" i="3" s="1"/>
  <c r="AL4" i="3"/>
  <c r="AK4" i="3"/>
  <c r="M4" i="3"/>
  <c r="AM4" i="3" s="1"/>
  <c r="AL3" i="3"/>
  <c r="AK3" i="3"/>
  <c r="M3" i="3"/>
  <c r="AM3" i="3" s="1"/>
  <c r="AL2" i="3"/>
  <c r="AK2" i="3"/>
  <c r="M2" i="3"/>
  <c r="AM2" i="3" s="1"/>
  <c r="Q4" i="3" l="1"/>
  <c r="Q8" i="3"/>
  <c r="Q13" i="3"/>
  <c r="Q17" i="3"/>
  <c r="Q21" i="3"/>
  <c r="Q24" i="3"/>
  <c r="Q27" i="3"/>
  <c r="Q29" i="3"/>
  <c r="Q30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2" i="3"/>
  <c r="Q5" i="3"/>
  <c r="Q7" i="3"/>
  <c r="Q10" i="3"/>
  <c r="Q12" i="3"/>
  <c r="Q15" i="3"/>
  <c r="Q18" i="3"/>
  <c r="Q20" i="3"/>
  <c r="Q22" i="3"/>
  <c r="Q23" i="3"/>
  <c r="Q26" i="3"/>
  <c r="Q28" i="3"/>
  <c r="Q31" i="3"/>
  <c r="Q3" i="3"/>
  <c r="Q6" i="3"/>
  <c r="Q9" i="3"/>
  <c r="Q11" i="3"/>
  <c r="Q14" i="3"/>
  <c r="Q16" i="3"/>
  <c r="Q19" i="3"/>
  <c r="Q25" i="3"/>
  <c r="AM258" i="3"/>
  <c r="U5" i="5"/>
  <c r="Q258" i="3" l="1"/>
  <c r="J4" i="6" l="1"/>
  <c r="J5" i="6"/>
  <c r="J6" i="6"/>
  <c r="M65" i="3" l="1"/>
  <c r="AM65" i="3" s="1"/>
  <c r="AK65" i="3"/>
  <c r="AL65" i="3"/>
  <c r="M66" i="3"/>
  <c r="AM66" i="3" s="1"/>
  <c r="AK66" i="3"/>
  <c r="AL66" i="3"/>
  <c r="M67" i="3"/>
  <c r="AM67" i="3" s="1"/>
  <c r="AK67" i="3"/>
  <c r="AL67" i="3"/>
  <c r="M68" i="3"/>
  <c r="AM68" i="3" s="1"/>
  <c r="AK68" i="3"/>
  <c r="AL68" i="3"/>
  <c r="M69" i="3"/>
  <c r="AM69" i="3" s="1"/>
  <c r="AK69" i="3"/>
  <c r="AL69" i="3"/>
  <c r="M70" i="3"/>
  <c r="AM70" i="3" s="1"/>
  <c r="AK70" i="3"/>
  <c r="AL70" i="3"/>
  <c r="M71" i="3"/>
  <c r="AM71" i="3" s="1"/>
  <c r="AK71" i="3"/>
  <c r="AL71" i="3"/>
  <c r="M72" i="3"/>
  <c r="AM72" i="3" s="1"/>
  <c r="AK72" i="3"/>
  <c r="AL72" i="3"/>
  <c r="Q70" i="3" l="1"/>
  <c r="Q66" i="3"/>
  <c r="Q67" i="3"/>
  <c r="Q71" i="3"/>
  <c r="Q72" i="3"/>
  <c r="Q68" i="3"/>
  <c r="Q69" i="3"/>
  <c r="Q65" i="3"/>
  <c r="K4" i="6"/>
  <c r="M73" i="3" l="1"/>
  <c r="AM73" i="3" s="1"/>
  <c r="AK73" i="3"/>
  <c r="AL73" i="3"/>
  <c r="M74" i="3"/>
  <c r="AM74" i="3" s="1"/>
  <c r="AK74" i="3"/>
  <c r="AL74" i="3"/>
  <c r="M75" i="3"/>
  <c r="AM75" i="3" s="1"/>
  <c r="AK75" i="3"/>
  <c r="AL75" i="3"/>
  <c r="M76" i="3"/>
  <c r="AM76" i="3" s="1"/>
  <c r="AK76" i="3"/>
  <c r="AL76" i="3"/>
  <c r="M77" i="3"/>
  <c r="AM77" i="3" s="1"/>
  <c r="AK77" i="3"/>
  <c r="AL77" i="3"/>
  <c r="M78" i="3"/>
  <c r="AM78" i="3" s="1"/>
  <c r="AK78" i="3"/>
  <c r="AL78" i="3"/>
  <c r="M79" i="3"/>
  <c r="AM79" i="3" s="1"/>
  <c r="AK79" i="3"/>
  <c r="AL79" i="3"/>
  <c r="M80" i="3"/>
  <c r="AM80" i="3" s="1"/>
  <c r="AK80" i="3"/>
  <c r="AL80" i="3"/>
  <c r="M81" i="3"/>
  <c r="AM81" i="3" s="1"/>
  <c r="AK81" i="3"/>
  <c r="AL81" i="3"/>
  <c r="M82" i="3"/>
  <c r="AM82" i="3" s="1"/>
  <c r="AK82" i="3"/>
  <c r="AL82" i="3"/>
  <c r="M83" i="3"/>
  <c r="AM83" i="3" s="1"/>
  <c r="AK83" i="3"/>
  <c r="AL83" i="3"/>
  <c r="M84" i="3"/>
  <c r="AM84" i="3" s="1"/>
  <c r="AK84" i="3"/>
  <c r="AL84" i="3"/>
  <c r="M85" i="3"/>
  <c r="AM85" i="3" s="1"/>
  <c r="AK85" i="3"/>
  <c r="AL85" i="3"/>
  <c r="M86" i="3"/>
  <c r="AM86" i="3" s="1"/>
  <c r="AK86" i="3"/>
  <c r="AL86" i="3"/>
  <c r="M87" i="3"/>
  <c r="AM87" i="3" s="1"/>
  <c r="AK87" i="3"/>
  <c r="AL87" i="3"/>
  <c r="M88" i="3"/>
  <c r="AM88" i="3" s="1"/>
  <c r="AK88" i="3"/>
  <c r="AL88" i="3"/>
  <c r="Q86" i="3" l="1"/>
  <c r="Q82" i="3"/>
  <c r="Q78" i="3"/>
  <c r="Q74" i="3"/>
  <c r="Q79" i="3"/>
  <c r="Q75" i="3"/>
  <c r="Q88" i="3"/>
  <c r="Q80" i="3"/>
  <c r="Q76" i="3"/>
  <c r="Q87" i="3"/>
  <c r="Q83" i="3"/>
  <c r="Q84" i="3"/>
  <c r="Q85" i="3"/>
  <c r="Q81" i="3"/>
  <c r="Q77" i="3"/>
  <c r="Q73" i="3"/>
  <c r="M89" i="3"/>
  <c r="AM89" i="3" s="1"/>
  <c r="AK89" i="3"/>
  <c r="AL89" i="3"/>
  <c r="M90" i="3"/>
  <c r="AM90" i="3" s="1"/>
  <c r="AK90" i="3"/>
  <c r="AL90" i="3"/>
  <c r="M91" i="3"/>
  <c r="AM91" i="3" s="1"/>
  <c r="AK91" i="3"/>
  <c r="AL91" i="3"/>
  <c r="M92" i="3"/>
  <c r="AM92" i="3" s="1"/>
  <c r="AK92" i="3"/>
  <c r="AL92" i="3"/>
  <c r="M93" i="3"/>
  <c r="AM93" i="3" s="1"/>
  <c r="AK93" i="3"/>
  <c r="AL93" i="3"/>
  <c r="M94" i="3"/>
  <c r="AM94" i="3" s="1"/>
  <c r="AK94" i="3"/>
  <c r="AL94" i="3"/>
  <c r="M95" i="3"/>
  <c r="AM95" i="3" s="1"/>
  <c r="AK95" i="3"/>
  <c r="AL95" i="3"/>
  <c r="M96" i="3"/>
  <c r="AM96" i="3" s="1"/>
  <c r="AK96" i="3"/>
  <c r="AL96" i="3"/>
  <c r="M97" i="3"/>
  <c r="AM97" i="3" s="1"/>
  <c r="AK97" i="3"/>
  <c r="AL97" i="3"/>
  <c r="M98" i="3"/>
  <c r="AM98" i="3" s="1"/>
  <c r="AK98" i="3"/>
  <c r="AL98" i="3"/>
  <c r="M99" i="3"/>
  <c r="AM99" i="3" s="1"/>
  <c r="AK99" i="3"/>
  <c r="AL99" i="3"/>
  <c r="M100" i="3"/>
  <c r="AM100" i="3" s="1"/>
  <c r="AK100" i="3"/>
  <c r="AL100" i="3"/>
  <c r="Q94" i="3" l="1"/>
  <c r="Q90" i="3"/>
  <c r="Q99" i="3"/>
  <c r="Q95" i="3"/>
  <c r="Q91" i="3"/>
  <c r="Q98" i="3"/>
  <c r="Q100" i="3"/>
  <c r="Q96" i="3"/>
  <c r="Q92" i="3"/>
  <c r="Q97" i="3"/>
  <c r="Q93" i="3"/>
  <c r="Q89" i="3"/>
  <c r="M101" i="3"/>
  <c r="AM101" i="3" s="1"/>
  <c r="AK101" i="3"/>
  <c r="AL101" i="3"/>
  <c r="M102" i="3"/>
  <c r="AM102" i="3" s="1"/>
  <c r="AK102" i="3"/>
  <c r="AL102" i="3"/>
  <c r="M103" i="3"/>
  <c r="AM103" i="3" s="1"/>
  <c r="AK103" i="3"/>
  <c r="AL103" i="3"/>
  <c r="M104" i="3"/>
  <c r="AM104" i="3" s="1"/>
  <c r="AK104" i="3"/>
  <c r="AL104" i="3"/>
  <c r="M105" i="3"/>
  <c r="AM105" i="3" s="1"/>
  <c r="AK105" i="3"/>
  <c r="AL105" i="3"/>
  <c r="M106" i="3"/>
  <c r="AM106" i="3" s="1"/>
  <c r="AK106" i="3"/>
  <c r="AL106" i="3"/>
  <c r="M107" i="3"/>
  <c r="AM107" i="3" s="1"/>
  <c r="AK107" i="3"/>
  <c r="AL107" i="3"/>
  <c r="M108" i="3"/>
  <c r="AM108" i="3" s="1"/>
  <c r="AK108" i="3"/>
  <c r="AL108" i="3"/>
  <c r="M109" i="3"/>
  <c r="AM109" i="3" s="1"/>
  <c r="AK109" i="3"/>
  <c r="AL109" i="3"/>
  <c r="M110" i="3"/>
  <c r="AM110" i="3" s="1"/>
  <c r="AK110" i="3"/>
  <c r="AL110" i="3"/>
  <c r="M111" i="3"/>
  <c r="AM111" i="3" s="1"/>
  <c r="AK111" i="3"/>
  <c r="AL111" i="3"/>
  <c r="M112" i="3"/>
  <c r="AM112" i="3" s="1"/>
  <c r="AK112" i="3"/>
  <c r="AL112" i="3"/>
  <c r="Q106" i="3" l="1"/>
  <c r="Q102" i="3"/>
  <c r="Q110" i="3"/>
  <c r="Q111" i="3"/>
  <c r="Q107" i="3"/>
  <c r="Q103" i="3"/>
  <c r="Q104" i="3"/>
  <c r="Q112" i="3"/>
  <c r="Q108" i="3"/>
  <c r="Q109" i="3"/>
  <c r="Q105" i="3"/>
  <c r="Q101" i="3"/>
  <c r="K5" i="6"/>
  <c r="M113" i="3" l="1"/>
  <c r="AM113" i="3" s="1"/>
  <c r="AK113" i="3"/>
  <c r="AL113" i="3"/>
  <c r="M114" i="3"/>
  <c r="AM114" i="3" s="1"/>
  <c r="AK114" i="3"/>
  <c r="AL114" i="3"/>
  <c r="M115" i="3"/>
  <c r="AM115" i="3" s="1"/>
  <c r="AK115" i="3"/>
  <c r="AL115" i="3"/>
  <c r="M116" i="3"/>
  <c r="AM116" i="3" s="1"/>
  <c r="AK116" i="3"/>
  <c r="AL116" i="3"/>
  <c r="M117" i="3"/>
  <c r="AM117" i="3" s="1"/>
  <c r="AK117" i="3"/>
  <c r="AL117" i="3"/>
  <c r="M118" i="3"/>
  <c r="AM118" i="3" s="1"/>
  <c r="AK118" i="3"/>
  <c r="AL118" i="3"/>
  <c r="M119" i="3"/>
  <c r="AM119" i="3" s="1"/>
  <c r="AK119" i="3"/>
  <c r="AL119" i="3"/>
  <c r="M120" i="3"/>
  <c r="AM120" i="3" s="1"/>
  <c r="AK120" i="3"/>
  <c r="AL120" i="3"/>
  <c r="Q118" i="3" l="1"/>
  <c r="Q114" i="3"/>
  <c r="Q115" i="3"/>
  <c r="Q119" i="3"/>
  <c r="Q120" i="3"/>
  <c r="Q116" i="3"/>
  <c r="Q117" i="3"/>
  <c r="Q113" i="3"/>
  <c r="M121" i="3"/>
  <c r="AM121" i="3" s="1"/>
  <c r="AK121" i="3"/>
  <c r="AL121" i="3"/>
  <c r="M122" i="3"/>
  <c r="AM122" i="3" s="1"/>
  <c r="AK122" i="3"/>
  <c r="AL122" i="3"/>
  <c r="M123" i="3"/>
  <c r="AM123" i="3" s="1"/>
  <c r="AK123" i="3"/>
  <c r="AL123" i="3"/>
  <c r="M124" i="3"/>
  <c r="AM124" i="3" s="1"/>
  <c r="AK124" i="3"/>
  <c r="AL124" i="3"/>
  <c r="M125" i="3"/>
  <c r="AM125" i="3" s="1"/>
  <c r="AK125" i="3"/>
  <c r="AL125" i="3"/>
  <c r="M126" i="3"/>
  <c r="AM126" i="3" s="1"/>
  <c r="AK126" i="3"/>
  <c r="AL126" i="3"/>
  <c r="M127" i="3"/>
  <c r="AM127" i="3" s="1"/>
  <c r="AK127" i="3"/>
  <c r="AL127" i="3"/>
  <c r="M128" i="3"/>
  <c r="AM128" i="3" s="1"/>
  <c r="AK128" i="3"/>
  <c r="AL128" i="3"/>
  <c r="M129" i="3"/>
  <c r="AM129" i="3" s="1"/>
  <c r="AK129" i="3"/>
  <c r="AL129" i="3"/>
  <c r="M130" i="3"/>
  <c r="AM130" i="3" s="1"/>
  <c r="AK130" i="3"/>
  <c r="AL130" i="3"/>
  <c r="M131" i="3"/>
  <c r="AM131" i="3" s="1"/>
  <c r="AK131" i="3"/>
  <c r="AL131" i="3"/>
  <c r="M132" i="3"/>
  <c r="AM132" i="3" s="1"/>
  <c r="AK132" i="3"/>
  <c r="AL132" i="3"/>
  <c r="Q126" i="3" l="1"/>
  <c r="Q122" i="3"/>
  <c r="Q131" i="3"/>
  <c r="Q127" i="3"/>
  <c r="Q123" i="3"/>
  <c r="Q130" i="3"/>
  <c r="Q132" i="3"/>
  <c r="Q128" i="3"/>
  <c r="Q124" i="3"/>
  <c r="Q129" i="3"/>
  <c r="Q125" i="3"/>
  <c r="Q121" i="3"/>
  <c r="M133" i="3"/>
  <c r="AM133" i="3" s="1"/>
  <c r="AK133" i="3"/>
  <c r="AL133" i="3"/>
  <c r="M134" i="3"/>
  <c r="AM134" i="3" s="1"/>
  <c r="AK134" i="3"/>
  <c r="AL134" i="3"/>
  <c r="M135" i="3"/>
  <c r="AM135" i="3" s="1"/>
  <c r="AK135" i="3"/>
  <c r="AL135" i="3"/>
  <c r="M136" i="3"/>
  <c r="AM136" i="3" s="1"/>
  <c r="AK136" i="3"/>
  <c r="AL136" i="3"/>
  <c r="M137" i="3"/>
  <c r="AM137" i="3" s="1"/>
  <c r="AK137" i="3"/>
  <c r="AL137" i="3"/>
  <c r="M138" i="3"/>
  <c r="AM138" i="3" s="1"/>
  <c r="AK138" i="3"/>
  <c r="AL138" i="3"/>
  <c r="M139" i="3"/>
  <c r="AM139" i="3" s="1"/>
  <c r="AK139" i="3"/>
  <c r="AL139" i="3"/>
  <c r="M140" i="3"/>
  <c r="AM140" i="3" s="1"/>
  <c r="AK140" i="3"/>
  <c r="AL140" i="3"/>
  <c r="M141" i="3"/>
  <c r="AM141" i="3" s="1"/>
  <c r="AK141" i="3"/>
  <c r="AL141" i="3"/>
  <c r="M142" i="3"/>
  <c r="AM142" i="3" s="1"/>
  <c r="AK142" i="3"/>
  <c r="AL142" i="3"/>
  <c r="M143" i="3"/>
  <c r="AM143" i="3" s="1"/>
  <c r="AK143" i="3"/>
  <c r="AL143" i="3"/>
  <c r="Q142" i="3" l="1"/>
  <c r="Q134" i="3"/>
  <c r="Q143" i="3"/>
  <c r="Q139" i="3"/>
  <c r="Q135" i="3"/>
  <c r="Q136" i="3"/>
  <c r="Q138" i="3"/>
  <c r="Q140" i="3"/>
  <c r="Q141" i="3"/>
  <c r="Q137" i="3"/>
  <c r="Q133" i="3"/>
  <c r="K6" i="6"/>
  <c r="M144" i="3" l="1"/>
  <c r="AM144" i="3" s="1"/>
  <c r="AK144" i="3"/>
  <c r="AL144" i="3"/>
  <c r="M145" i="3"/>
  <c r="AM145" i="3" s="1"/>
  <c r="AK145" i="3"/>
  <c r="AL145" i="3"/>
  <c r="M146" i="3"/>
  <c r="AM146" i="3" s="1"/>
  <c r="AK146" i="3"/>
  <c r="AL146" i="3"/>
  <c r="M147" i="3"/>
  <c r="AM147" i="3" s="1"/>
  <c r="AK147" i="3"/>
  <c r="AL147" i="3"/>
  <c r="M148" i="3"/>
  <c r="AM148" i="3" s="1"/>
  <c r="AK148" i="3"/>
  <c r="AL148" i="3"/>
  <c r="M149" i="3"/>
  <c r="AM149" i="3" s="1"/>
  <c r="AK149" i="3"/>
  <c r="AL149" i="3"/>
  <c r="M150" i="3"/>
  <c r="AM150" i="3" s="1"/>
  <c r="AK150" i="3"/>
  <c r="AL150" i="3"/>
  <c r="M151" i="3"/>
  <c r="AM151" i="3" s="1"/>
  <c r="AK151" i="3"/>
  <c r="AL151" i="3"/>
  <c r="M152" i="3"/>
  <c r="AM152" i="3" s="1"/>
  <c r="AK152" i="3"/>
  <c r="AL152" i="3"/>
  <c r="M153" i="3"/>
  <c r="AM153" i="3" s="1"/>
  <c r="AK153" i="3"/>
  <c r="AL153" i="3"/>
  <c r="Q153" i="3" l="1"/>
  <c r="Q149" i="3"/>
  <c r="Q145" i="3"/>
  <c r="Q150" i="3"/>
  <c r="Q146" i="3"/>
  <c r="Q151" i="3"/>
  <c r="Q147" i="3"/>
  <c r="Q152" i="3"/>
  <c r="Q148" i="3"/>
  <c r="Q144" i="3"/>
  <c r="M154" i="3"/>
  <c r="AM154" i="3" s="1"/>
  <c r="AK154" i="3"/>
  <c r="AL154" i="3"/>
  <c r="M155" i="3"/>
  <c r="AM155" i="3" s="1"/>
  <c r="AK155" i="3"/>
  <c r="AL155" i="3"/>
  <c r="M156" i="3"/>
  <c r="AM156" i="3" s="1"/>
  <c r="AK156" i="3"/>
  <c r="AL156" i="3"/>
  <c r="M157" i="3"/>
  <c r="AM157" i="3" s="1"/>
  <c r="AK157" i="3"/>
  <c r="AL157" i="3"/>
  <c r="M158" i="3"/>
  <c r="AM158" i="3" s="1"/>
  <c r="AK158" i="3"/>
  <c r="AL158" i="3"/>
  <c r="M159" i="3"/>
  <c r="AM159" i="3" s="1"/>
  <c r="AK159" i="3"/>
  <c r="AL159" i="3"/>
  <c r="M160" i="3"/>
  <c r="AM160" i="3" s="1"/>
  <c r="AK160" i="3"/>
  <c r="AL160" i="3"/>
  <c r="M161" i="3"/>
  <c r="AM161" i="3" s="1"/>
  <c r="AK161" i="3"/>
  <c r="AL161" i="3"/>
  <c r="M162" i="3"/>
  <c r="AM162" i="3" s="1"/>
  <c r="AK162" i="3"/>
  <c r="AL162" i="3"/>
  <c r="M163" i="3"/>
  <c r="AM163" i="3" s="1"/>
  <c r="AK163" i="3"/>
  <c r="AL163" i="3"/>
  <c r="M164" i="3"/>
  <c r="AM164" i="3" s="1"/>
  <c r="AK164" i="3"/>
  <c r="AL164" i="3"/>
  <c r="M165" i="3"/>
  <c r="AM165" i="3" s="1"/>
  <c r="AK165" i="3"/>
  <c r="AL165" i="3"/>
  <c r="M166" i="3"/>
  <c r="AM166" i="3" s="1"/>
  <c r="AK166" i="3"/>
  <c r="AL166" i="3"/>
  <c r="Q163" i="3" l="1"/>
  <c r="Q164" i="3"/>
  <c r="Q160" i="3"/>
  <c r="Q156" i="3"/>
  <c r="Q155" i="3"/>
  <c r="Q159" i="3"/>
  <c r="Q165" i="3"/>
  <c r="Q161" i="3"/>
  <c r="Q157" i="3"/>
  <c r="Q166" i="3"/>
  <c r="Q162" i="3"/>
  <c r="Q158" i="3"/>
  <c r="Q154" i="3"/>
  <c r="J7" i="6"/>
  <c r="K7" i="6"/>
  <c r="J8" i="6"/>
  <c r="K8" i="6"/>
  <c r="J9" i="6"/>
  <c r="K9" i="6"/>
  <c r="J10" i="6" l="1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7" i="6"/>
  <c r="K17" i="6"/>
  <c r="J18" i="6"/>
  <c r="K18" i="6"/>
  <c r="J19" i="6"/>
  <c r="K19" i="6"/>
  <c r="M167" i="3" l="1"/>
  <c r="AM167" i="3" s="1"/>
  <c r="AK167" i="3"/>
  <c r="AL167" i="3"/>
  <c r="M168" i="3"/>
  <c r="AM168" i="3" s="1"/>
  <c r="AK168" i="3"/>
  <c r="AL168" i="3"/>
  <c r="M169" i="3"/>
  <c r="AM169" i="3" s="1"/>
  <c r="AK169" i="3"/>
  <c r="AL169" i="3"/>
  <c r="M170" i="3"/>
  <c r="AM170" i="3" s="1"/>
  <c r="AK170" i="3"/>
  <c r="AL170" i="3"/>
  <c r="M171" i="3"/>
  <c r="AM171" i="3" s="1"/>
  <c r="AK171" i="3"/>
  <c r="AL171" i="3"/>
  <c r="M172" i="3"/>
  <c r="AM172" i="3" s="1"/>
  <c r="AK172" i="3"/>
  <c r="AL172" i="3"/>
  <c r="M173" i="3"/>
  <c r="AM173" i="3" s="1"/>
  <c r="AK173" i="3"/>
  <c r="AL173" i="3"/>
  <c r="M174" i="3"/>
  <c r="AM174" i="3" s="1"/>
  <c r="AK174" i="3"/>
  <c r="AL174" i="3"/>
  <c r="M175" i="3"/>
  <c r="AM175" i="3" s="1"/>
  <c r="AK175" i="3"/>
  <c r="AL175" i="3"/>
  <c r="M176" i="3"/>
  <c r="AM176" i="3" s="1"/>
  <c r="AK176" i="3"/>
  <c r="AL176" i="3"/>
  <c r="M177" i="3"/>
  <c r="AM177" i="3" s="1"/>
  <c r="AK177" i="3"/>
  <c r="AL177" i="3"/>
  <c r="Q172" i="3" l="1"/>
  <c r="Q177" i="3"/>
  <c r="Q173" i="3"/>
  <c r="Q169" i="3"/>
  <c r="Q176" i="3"/>
  <c r="Q170" i="3"/>
  <c r="Q168" i="3"/>
  <c r="Q174" i="3"/>
  <c r="Q175" i="3"/>
  <c r="Q171" i="3"/>
  <c r="Q167" i="3"/>
  <c r="M178" i="3"/>
  <c r="AM178" i="3" s="1"/>
  <c r="AK178" i="3"/>
  <c r="AL178" i="3"/>
  <c r="M179" i="3"/>
  <c r="AM179" i="3" s="1"/>
  <c r="AK179" i="3"/>
  <c r="AL179" i="3"/>
  <c r="M180" i="3"/>
  <c r="AM180" i="3" s="1"/>
  <c r="AK180" i="3"/>
  <c r="AL180" i="3"/>
  <c r="M181" i="3"/>
  <c r="AM181" i="3" s="1"/>
  <c r="AK181" i="3"/>
  <c r="AL181" i="3"/>
  <c r="M182" i="3"/>
  <c r="AM182" i="3" s="1"/>
  <c r="AK182" i="3"/>
  <c r="AL182" i="3"/>
  <c r="M183" i="3"/>
  <c r="AM183" i="3" s="1"/>
  <c r="AK183" i="3"/>
  <c r="AL183" i="3"/>
  <c r="M184" i="3"/>
  <c r="AM184" i="3" s="1"/>
  <c r="AK184" i="3"/>
  <c r="AL184" i="3"/>
  <c r="M185" i="3"/>
  <c r="AM185" i="3" s="1"/>
  <c r="AK185" i="3"/>
  <c r="AL185" i="3"/>
  <c r="M186" i="3"/>
  <c r="AM186" i="3" s="1"/>
  <c r="AK186" i="3"/>
  <c r="AL186" i="3"/>
  <c r="M187" i="3"/>
  <c r="AM187" i="3" s="1"/>
  <c r="AK187" i="3"/>
  <c r="AL187" i="3"/>
  <c r="M188" i="3"/>
  <c r="AM188" i="3" s="1"/>
  <c r="AK188" i="3"/>
  <c r="AL188" i="3"/>
  <c r="H3" i="7" l="1"/>
  <c r="H5" i="7"/>
  <c r="H4" i="7"/>
  <c r="Q185" i="3"/>
  <c r="Q186" i="3"/>
  <c r="Q182" i="3"/>
  <c r="Q178" i="3"/>
  <c r="Q181" i="3"/>
  <c r="Q187" i="3"/>
  <c r="Q183" i="3"/>
  <c r="Q179" i="3"/>
  <c r="Q188" i="3"/>
  <c r="Q184" i="3"/>
  <c r="Q180" i="3"/>
  <c r="M189" i="3"/>
  <c r="AM189" i="3" s="1"/>
  <c r="AK189" i="3"/>
  <c r="AL189" i="3"/>
  <c r="M190" i="3"/>
  <c r="AM190" i="3" s="1"/>
  <c r="AK190" i="3"/>
  <c r="AL190" i="3"/>
  <c r="M191" i="3"/>
  <c r="AM191" i="3" s="1"/>
  <c r="AK191" i="3"/>
  <c r="AL191" i="3"/>
  <c r="M192" i="3"/>
  <c r="AM192" i="3" s="1"/>
  <c r="AK192" i="3"/>
  <c r="AL192" i="3"/>
  <c r="M193" i="3"/>
  <c r="AM193" i="3" s="1"/>
  <c r="AK193" i="3"/>
  <c r="AL193" i="3"/>
  <c r="M194" i="3"/>
  <c r="AM194" i="3" s="1"/>
  <c r="AK194" i="3"/>
  <c r="AL194" i="3"/>
  <c r="M195" i="3"/>
  <c r="AM195" i="3" s="1"/>
  <c r="AK195" i="3"/>
  <c r="AL195" i="3"/>
  <c r="M196" i="3"/>
  <c r="AM196" i="3" s="1"/>
  <c r="AK196" i="3"/>
  <c r="AL196" i="3"/>
  <c r="M197" i="3"/>
  <c r="AM197" i="3" s="1"/>
  <c r="AK197" i="3"/>
  <c r="AL197" i="3"/>
  <c r="M198" i="3"/>
  <c r="AM198" i="3" s="1"/>
  <c r="AK198" i="3"/>
  <c r="AL198" i="3"/>
  <c r="M199" i="3"/>
  <c r="AM199" i="3" s="1"/>
  <c r="AK199" i="3"/>
  <c r="AL199" i="3"/>
  <c r="M200" i="3"/>
  <c r="AM200" i="3" s="1"/>
  <c r="AK200" i="3"/>
  <c r="AL200" i="3"/>
  <c r="M201" i="3"/>
  <c r="AM201" i="3" s="1"/>
  <c r="AK201" i="3"/>
  <c r="AL201" i="3"/>
  <c r="Q192" i="3" l="1"/>
  <c r="Q201" i="3"/>
  <c r="Q197" i="3"/>
  <c r="Q193" i="3"/>
  <c r="Q189" i="3"/>
  <c r="Q196" i="3"/>
  <c r="Q198" i="3"/>
  <c r="Q190" i="3"/>
  <c r="Q200" i="3"/>
  <c r="Q194" i="3"/>
  <c r="Q199" i="3"/>
  <c r="Q195" i="3"/>
  <c r="Q191" i="3"/>
  <c r="M202" i="3"/>
  <c r="AM202" i="3" s="1"/>
  <c r="AK202" i="3"/>
  <c r="AL202" i="3"/>
  <c r="M203" i="3"/>
  <c r="AM203" i="3" s="1"/>
  <c r="AK203" i="3"/>
  <c r="AL203" i="3"/>
  <c r="M204" i="3"/>
  <c r="AM204" i="3" s="1"/>
  <c r="AK204" i="3"/>
  <c r="AL204" i="3"/>
  <c r="M205" i="3"/>
  <c r="AM205" i="3" s="1"/>
  <c r="AK205" i="3"/>
  <c r="AL205" i="3"/>
  <c r="M206" i="3"/>
  <c r="AM206" i="3" s="1"/>
  <c r="AK206" i="3"/>
  <c r="AL206" i="3"/>
  <c r="M207" i="3"/>
  <c r="AM207" i="3" s="1"/>
  <c r="AK207" i="3"/>
  <c r="AL207" i="3"/>
  <c r="M208" i="3"/>
  <c r="AM208" i="3" s="1"/>
  <c r="AK208" i="3"/>
  <c r="AL208" i="3"/>
  <c r="M209" i="3"/>
  <c r="AM209" i="3" s="1"/>
  <c r="AK209" i="3"/>
  <c r="AL209" i="3"/>
  <c r="M210" i="3"/>
  <c r="AM210" i="3" s="1"/>
  <c r="AK210" i="3"/>
  <c r="AL210" i="3"/>
  <c r="M211" i="3"/>
  <c r="AM211" i="3" s="1"/>
  <c r="AK211" i="3"/>
  <c r="AL211" i="3"/>
  <c r="Q210" i="3" l="1"/>
  <c r="Q206" i="3"/>
  <c r="Q202" i="3"/>
  <c r="Q209" i="3"/>
  <c r="Q205" i="3"/>
  <c r="Q211" i="3"/>
  <c r="Q207" i="3"/>
  <c r="Q203" i="3"/>
  <c r="Q208" i="3"/>
  <c r="Q204" i="3"/>
  <c r="M212" i="3"/>
  <c r="AM212" i="3" s="1"/>
  <c r="AK212" i="3"/>
  <c r="AL212" i="3"/>
  <c r="Q212" i="3" l="1"/>
  <c r="M213" i="3"/>
  <c r="AM213" i="3" s="1"/>
  <c r="AK213" i="3"/>
  <c r="AL213" i="3"/>
  <c r="M214" i="3"/>
  <c r="AM214" i="3" s="1"/>
  <c r="AK214" i="3"/>
  <c r="AL214" i="3"/>
  <c r="M215" i="3"/>
  <c r="AM215" i="3" s="1"/>
  <c r="AK215" i="3"/>
  <c r="AL215" i="3"/>
  <c r="M216" i="3"/>
  <c r="AM216" i="3" s="1"/>
  <c r="AK216" i="3"/>
  <c r="AL216" i="3"/>
  <c r="M217" i="3"/>
  <c r="AM217" i="3" s="1"/>
  <c r="AK217" i="3"/>
  <c r="AL217" i="3"/>
  <c r="M218" i="3"/>
  <c r="AM218" i="3" s="1"/>
  <c r="AK218" i="3"/>
  <c r="AL218" i="3"/>
  <c r="M219" i="3"/>
  <c r="AM219" i="3" s="1"/>
  <c r="AK219" i="3"/>
  <c r="AL219" i="3"/>
  <c r="Q217" i="3" l="1"/>
  <c r="Q216" i="3"/>
  <c r="Q213" i="3"/>
  <c r="Q218" i="3"/>
  <c r="Q214" i="3"/>
  <c r="Q219" i="3"/>
  <c r="Q215" i="3"/>
  <c r="M226" i="3"/>
  <c r="AM226" i="3" s="1"/>
  <c r="AK226" i="3"/>
  <c r="AL226" i="3"/>
  <c r="M220" i="3"/>
  <c r="AM220" i="3" s="1"/>
  <c r="AK220" i="3"/>
  <c r="AL220" i="3"/>
  <c r="M228" i="3"/>
  <c r="AM228" i="3" s="1"/>
  <c r="AK228" i="3"/>
  <c r="AL228" i="3"/>
  <c r="M239" i="3"/>
  <c r="AM239" i="3" s="1"/>
  <c r="AK239" i="3"/>
  <c r="AL239" i="3"/>
  <c r="M227" i="3"/>
  <c r="AM227" i="3" s="1"/>
  <c r="AK227" i="3"/>
  <c r="AL227" i="3"/>
  <c r="M224" i="3"/>
  <c r="AM224" i="3" s="1"/>
  <c r="AK224" i="3"/>
  <c r="AL224" i="3"/>
  <c r="M225" i="3"/>
  <c r="AM225" i="3" s="1"/>
  <c r="AK225" i="3"/>
  <c r="AL225" i="3"/>
  <c r="M223" i="3"/>
  <c r="AM223" i="3" s="1"/>
  <c r="AK223" i="3"/>
  <c r="AL223" i="3"/>
  <c r="M221" i="3"/>
  <c r="AM221" i="3" s="1"/>
  <c r="AK221" i="3"/>
  <c r="AL221" i="3"/>
  <c r="M222" i="3"/>
  <c r="AM222" i="3" s="1"/>
  <c r="AK222" i="3"/>
  <c r="AL222" i="3"/>
  <c r="Q223" i="3" l="1"/>
  <c r="Q239" i="3"/>
  <c r="Q227" i="3"/>
  <c r="Q226" i="3"/>
  <c r="Q222" i="3"/>
  <c r="Q220" i="3"/>
  <c r="Q221" i="3"/>
  <c r="Q224" i="3"/>
  <c r="Q225" i="3"/>
  <c r="Q228" i="3"/>
  <c r="M261" i="3"/>
  <c r="AM261" i="3" s="1"/>
  <c r="M251" i="3"/>
  <c r="AM251" i="3" s="1"/>
  <c r="M249" i="3"/>
  <c r="AM249" i="3" s="1"/>
  <c r="Q249" i="3" l="1"/>
  <c r="Q251" i="3"/>
  <c r="Q261" i="3"/>
  <c r="M229" i="3"/>
  <c r="AM229" i="3" s="1"/>
  <c r="AK229" i="3"/>
  <c r="AL229" i="3"/>
  <c r="M230" i="3"/>
  <c r="AM230" i="3" s="1"/>
  <c r="AK230" i="3"/>
  <c r="AL230" i="3"/>
  <c r="M231" i="3"/>
  <c r="AM231" i="3" s="1"/>
  <c r="AK231" i="3"/>
  <c r="AL231" i="3"/>
  <c r="M232" i="3"/>
  <c r="AM232" i="3" s="1"/>
  <c r="AK232" i="3"/>
  <c r="AL232" i="3"/>
  <c r="M233" i="3"/>
  <c r="AM233" i="3" s="1"/>
  <c r="AK233" i="3"/>
  <c r="AL233" i="3"/>
  <c r="M234" i="3"/>
  <c r="AM234" i="3" s="1"/>
  <c r="AK234" i="3"/>
  <c r="AL234" i="3"/>
  <c r="M235" i="3"/>
  <c r="AM235" i="3" s="1"/>
  <c r="AK235" i="3"/>
  <c r="AL235" i="3"/>
  <c r="M236" i="3"/>
  <c r="AM236" i="3" s="1"/>
  <c r="AK236" i="3"/>
  <c r="AL236" i="3"/>
  <c r="M237" i="3"/>
  <c r="AM237" i="3" s="1"/>
  <c r="AK237" i="3"/>
  <c r="AL237" i="3"/>
  <c r="M238" i="3"/>
  <c r="AM238" i="3" s="1"/>
  <c r="AK238" i="3"/>
  <c r="AL238" i="3"/>
  <c r="Q232" i="3" l="1"/>
  <c r="Q237" i="3"/>
  <c r="Q229" i="3"/>
  <c r="Q233" i="3"/>
  <c r="Q230" i="3"/>
  <c r="Q236" i="3"/>
  <c r="Q238" i="3"/>
  <c r="Q234" i="3"/>
  <c r="Q235" i="3"/>
  <c r="Q231" i="3"/>
  <c r="M265" i="3"/>
  <c r="AM265" i="3" s="1"/>
  <c r="AK265" i="3"/>
  <c r="AL265" i="3"/>
  <c r="M246" i="3"/>
  <c r="AM246" i="3" s="1"/>
  <c r="AK246" i="3"/>
  <c r="AL246" i="3"/>
  <c r="M241" i="3"/>
  <c r="AM241" i="3" s="1"/>
  <c r="AK241" i="3"/>
  <c r="AL241" i="3"/>
  <c r="M244" i="3"/>
  <c r="AM244" i="3" s="1"/>
  <c r="AK244" i="3"/>
  <c r="AL244" i="3"/>
  <c r="M247" i="3"/>
  <c r="AM247" i="3" s="1"/>
  <c r="AK247" i="3"/>
  <c r="AL247" i="3"/>
  <c r="M266" i="3"/>
  <c r="AM266" i="3" s="1"/>
  <c r="AK266" i="3"/>
  <c r="AL266" i="3"/>
  <c r="M263" i="3"/>
  <c r="AM263" i="3" s="1"/>
  <c r="AK263" i="3"/>
  <c r="AL263" i="3"/>
  <c r="AK251" i="3"/>
  <c r="AL251" i="3"/>
  <c r="Q266" i="3" l="1"/>
  <c r="Q246" i="3"/>
  <c r="Q241" i="3"/>
  <c r="Q263" i="3"/>
  <c r="Q244" i="3"/>
  <c r="Q247" i="3"/>
  <c r="Q265" i="3"/>
  <c r="M257" i="3"/>
  <c r="AM257" i="3" s="1"/>
  <c r="AK257" i="3"/>
  <c r="AL257" i="3"/>
  <c r="AK261" i="3"/>
  <c r="AL261" i="3"/>
  <c r="AK258" i="3"/>
  <c r="AL258" i="3"/>
  <c r="M262" i="3"/>
  <c r="AM262" i="3" s="1"/>
  <c r="AK262" i="3"/>
  <c r="AL262" i="3"/>
  <c r="M259" i="3"/>
  <c r="AM259" i="3" s="1"/>
  <c r="AK259" i="3"/>
  <c r="AL259" i="3"/>
  <c r="M255" i="3"/>
  <c r="AM255" i="3" s="1"/>
  <c r="AK255" i="3"/>
  <c r="AL255" i="3"/>
  <c r="M256" i="3"/>
  <c r="AM256" i="3" s="1"/>
  <c r="AK256" i="3"/>
  <c r="AL256" i="3"/>
  <c r="M260" i="3"/>
  <c r="AM260" i="3" s="1"/>
  <c r="AK260" i="3"/>
  <c r="AL260" i="3"/>
  <c r="M254" i="3"/>
  <c r="AM254" i="3" s="1"/>
  <c r="AK254" i="3"/>
  <c r="AL254" i="3"/>
  <c r="M252" i="3"/>
  <c r="AM252" i="3" s="1"/>
  <c r="AK252" i="3"/>
  <c r="AL252" i="3"/>
  <c r="M253" i="3"/>
  <c r="AM253" i="3" s="1"/>
  <c r="AK253" i="3"/>
  <c r="AL253" i="3"/>
  <c r="Q252" i="3" l="1"/>
  <c r="Q255" i="3"/>
  <c r="Q256" i="3"/>
  <c r="Q257" i="3"/>
  <c r="Q253" i="3"/>
  <c r="Q260" i="3"/>
  <c r="Q262" i="3"/>
  <c r="Q254" i="3"/>
  <c r="Q259" i="3"/>
  <c r="M270" i="3"/>
  <c r="AM270" i="3" s="1"/>
  <c r="AK270" i="3"/>
  <c r="AL270" i="3"/>
  <c r="M264" i="3"/>
  <c r="AM264" i="3" s="1"/>
  <c r="AK264" i="3"/>
  <c r="AL264" i="3"/>
  <c r="M271" i="3"/>
  <c r="AM271" i="3" s="1"/>
  <c r="AK271" i="3"/>
  <c r="AL271" i="3"/>
  <c r="M272" i="3"/>
  <c r="AM272" i="3" s="1"/>
  <c r="AK272" i="3"/>
  <c r="AL272" i="3"/>
  <c r="Q272" i="3" l="1"/>
  <c r="Q270" i="3"/>
  <c r="Q264" i="3"/>
  <c r="Q271" i="3"/>
  <c r="M273" i="3"/>
  <c r="AM273" i="3" s="1"/>
  <c r="AK273" i="3"/>
  <c r="AL273" i="3"/>
  <c r="M274" i="3"/>
  <c r="AM274" i="3" s="1"/>
  <c r="AK274" i="3"/>
  <c r="AL274" i="3"/>
  <c r="M275" i="3"/>
  <c r="AM275" i="3" s="1"/>
  <c r="AK275" i="3"/>
  <c r="AL275" i="3"/>
  <c r="M276" i="3"/>
  <c r="AM276" i="3" s="1"/>
  <c r="AK276" i="3"/>
  <c r="AL276" i="3"/>
  <c r="M281" i="3"/>
  <c r="AM281" i="3" s="1"/>
  <c r="AK281" i="3"/>
  <c r="AL281" i="3"/>
  <c r="Q274" i="3" l="1"/>
  <c r="Q275" i="3"/>
  <c r="Q276" i="3"/>
  <c r="Q281" i="3"/>
  <c r="Q273" i="3"/>
  <c r="M248" i="3"/>
  <c r="AM248" i="3" s="1"/>
  <c r="AK248" i="3"/>
  <c r="AL248" i="3"/>
  <c r="M267" i="3"/>
  <c r="AM267" i="3" s="1"/>
  <c r="AK267" i="3"/>
  <c r="AL267" i="3"/>
  <c r="M268" i="3"/>
  <c r="AM268" i="3" s="1"/>
  <c r="AK268" i="3"/>
  <c r="AL268" i="3"/>
  <c r="M269" i="3"/>
  <c r="AM269" i="3" s="1"/>
  <c r="AK269" i="3"/>
  <c r="AL269" i="3"/>
  <c r="AK249" i="3"/>
  <c r="AL249" i="3"/>
  <c r="M240" i="3"/>
  <c r="AM240" i="3" s="1"/>
  <c r="AK240" i="3"/>
  <c r="AL240" i="3"/>
  <c r="M242" i="3"/>
  <c r="AM242" i="3" s="1"/>
  <c r="AK242" i="3"/>
  <c r="AL242" i="3"/>
  <c r="M243" i="3"/>
  <c r="AM243" i="3" s="1"/>
  <c r="AK243" i="3"/>
  <c r="AL243" i="3"/>
  <c r="M250" i="3"/>
  <c r="AM250" i="3" s="1"/>
  <c r="AK250" i="3"/>
  <c r="AL250" i="3"/>
  <c r="M245" i="3"/>
  <c r="AM245" i="3" s="1"/>
  <c r="AK245" i="3"/>
  <c r="AL245" i="3"/>
  <c r="Q269" i="3" l="1"/>
  <c r="Q243" i="3"/>
  <c r="Q248" i="3"/>
  <c r="Q250" i="3"/>
  <c r="Q242" i="3"/>
  <c r="Q267" i="3"/>
  <c r="Q245" i="3"/>
  <c r="Q240" i="3"/>
  <c r="Q268" i="3"/>
  <c r="M277" i="3"/>
  <c r="AM277" i="3" s="1"/>
  <c r="AK277" i="3"/>
  <c r="AL277" i="3"/>
  <c r="M278" i="3"/>
  <c r="AM278" i="3" s="1"/>
  <c r="AK278" i="3"/>
  <c r="AL278" i="3"/>
  <c r="M279" i="3"/>
  <c r="AM279" i="3" s="1"/>
  <c r="AK279" i="3"/>
  <c r="AL279" i="3"/>
  <c r="M280" i="3"/>
  <c r="AM280" i="3" s="1"/>
  <c r="AK280" i="3"/>
  <c r="AL280" i="3"/>
  <c r="M282" i="3"/>
  <c r="AM282" i="3" s="1"/>
  <c r="AK282" i="3"/>
  <c r="AL282" i="3"/>
  <c r="M283" i="3"/>
  <c r="AM283" i="3" s="1"/>
  <c r="AK283" i="3"/>
  <c r="AL283" i="3"/>
  <c r="M284" i="3"/>
  <c r="AM284" i="3" s="1"/>
  <c r="AK284" i="3"/>
  <c r="AL284" i="3"/>
  <c r="M285" i="3"/>
  <c r="AM285" i="3" s="1"/>
  <c r="AK285" i="3"/>
  <c r="AL285" i="3"/>
  <c r="M286" i="3"/>
  <c r="AM286" i="3" s="1"/>
  <c r="AK286" i="3"/>
  <c r="AL286" i="3"/>
  <c r="Q286" i="3" l="1"/>
  <c r="Q278" i="3"/>
  <c r="Q285" i="3"/>
  <c r="Q280" i="3"/>
  <c r="Q277" i="3"/>
  <c r="Q282" i="3"/>
  <c r="Q283" i="3"/>
  <c r="Q284" i="3"/>
  <c r="Q279" i="3"/>
  <c r="M287" i="3"/>
  <c r="AM287" i="3" s="1"/>
  <c r="AK287" i="3"/>
  <c r="AL287" i="3"/>
  <c r="M288" i="3"/>
  <c r="AM288" i="3" s="1"/>
  <c r="AK288" i="3"/>
  <c r="AL288" i="3"/>
  <c r="M289" i="3"/>
  <c r="AM289" i="3" s="1"/>
  <c r="AK289" i="3"/>
  <c r="AL289" i="3"/>
  <c r="M290" i="3"/>
  <c r="AM290" i="3" s="1"/>
  <c r="AK290" i="3"/>
  <c r="AL290" i="3"/>
  <c r="M291" i="3"/>
  <c r="AM291" i="3" s="1"/>
  <c r="AK291" i="3"/>
  <c r="AL291" i="3"/>
  <c r="M292" i="3"/>
  <c r="AM292" i="3" s="1"/>
  <c r="AK292" i="3"/>
  <c r="AL292" i="3"/>
  <c r="M293" i="3"/>
  <c r="AM293" i="3" s="1"/>
  <c r="AK293" i="3"/>
  <c r="AL293" i="3"/>
  <c r="M294" i="3"/>
  <c r="AM294" i="3" s="1"/>
  <c r="AK294" i="3"/>
  <c r="AL294" i="3"/>
  <c r="M295" i="3"/>
  <c r="AM295" i="3" s="1"/>
  <c r="AK295" i="3"/>
  <c r="AL295" i="3"/>
  <c r="Q294" i="3" l="1"/>
  <c r="Q290" i="3"/>
  <c r="Q295" i="3"/>
  <c r="Q291" i="3"/>
  <c r="Q287" i="3"/>
  <c r="Q288" i="3"/>
  <c r="Q292" i="3"/>
  <c r="Q293" i="3"/>
  <c r="Q289" i="3"/>
  <c r="H6" i="7" l="1"/>
  <c r="B8" i="5"/>
  <c r="B9" i="5"/>
  <c r="B10" i="5"/>
  <c r="B11" i="5"/>
  <c r="B12" i="5"/>
  <c r="B13" i="5"/>
  <c r="B14" i="5"/>
  <c r="B17" i="5"/>
  <c r="B18" i="5"/>
  <c r="B19" i="5"/>
  <c r="B20" i="5"/>
  <c r="B21" i="5"/>
  <c r="B22" i="5"/>
  <c r="B23" i="5"/>
  <c r="B24" i="5"/>
  <c r="B25" i="5"/>
  <c r="B16" i="5"/>
  <c r="B7" i="5"/>
  <c r="C5" i="5"/>
  <c r="AB20" i="5" s="1"/>
  <c r="V18" i="5" l="1"/>
  <c r="V25" i="5"/>
  <c r="AB11" i="5"/>
  <c r="V19" i="5"/>
  <c r="Z13" i="5"/>
  <c r="U11" i="5"/>
  <c r="Z25" i="5"/>
  <c r="U13" i="5"/>
  <c r="U21" i="5"/>
  <c r="Z22" i="5"/>
  <c r="U12" i="5"/>
  <c r="Z14" i="5"/>
  <c r="AB19" i="5"/>
  <c r="Z17" i="5"/>
  <c r="V17" i="5"/>
  <c r="V9" i="5"/>
  <c r="Z21" i="5"/>
  <c r="AB9" i="5"/>
  <c r="AB23" i="5"/>
  <c r="Z8" i="5"/>
  <c r="V20" i="5"/>
  <c r="AB14" i="5"/>
  <c r="Z10" i="5"/>
  <c r="V13" i="5"/>
  <c r="Z11" i="5"/>
  <c r="AB25" i="5"/>
  <c r="U10" i="5"/>
  <c r="V8" i="5"/>
  <c r="AB10" i="5"/>
  <c r="U7" i="5"/>
  <c r="V12" i="5"/>
  <c r="AB24" i="5"/>
  <c r="Z23" i="5"/>
  <c r="Z24" i="5"/>
  <c r="V22" i="5"/>
  <c r="AA22" i="5" s="1"/>
  <c r="Z20" i="5"/>
  <c r="U20" i="5"/>
  <c r="AC20" i="5" s="1"/>
  <c r="V24" i="5"/>
  <c r="Z18" i="5"/>
  <c r="AA18" i="5" s="1"/>
  <c r="V16" i="5"/>
  <c r="V11" i="5"/>
  <c r="AA11" i="5" s="1"/>
  <c r="U17" i="5"/>
  <c r="U19" i="5"/>
  <c r="AC19" i="5" s="1"/>
  <c r="AB18" i="5"/>
  <c r="Z16" i="5"/>
  <c r="AB17" i="5"/>
  <c r="AC17" i="5" s="1"/>
  <c r="U16" i="5"/>
  <c r="AB16" i="5"/>
  <c r="V21" i="5"/>
  <c r="L7" i="5"/>
  <c r="U28" i="5"/>
  <c r="U29" i="5"/>
  <c r="U24" i="5"/>
  <c r="AB12" i="5"/>
  <c r="U9" i="5"/>
  <c r="AC9" i="5" s="1"/>
  <c r="V7" i="5"/>
  <c r="AB22" i="5"/>
  <c r="U25" i="5"/>
  <c r="X25" i="5" s="1"/>
  <c r="V14" i="5"/>
  <c r="U14" i="5"/>
  <c r="Z7" i="5"/>
  <c r="Z19" i="5"/>
  <c r="V23" i="5"/>
  <c r="AB7" i="5"/>
  <c r="AC7" i="5" s="1"/>
  <c r="Z9" i="5"/>
  <c r="U8" i="5"/>
  <c r="AB13" i="5"/>
  <c r="Z12" i="5"/>
  <c r="AB8" i="5"/>
  <c r="V10" i="5"/>
  <c r="U22" i="5"/>
  <c r="X22" i="5" s="1"/>
  <c r="AB21" i="5"/>
  <c r="AC21" i="5" s="1"/>
  <c r="U18" i="5"/>
  <c r="U23" i="5"/>
  <c r="AA25" i="5"/>
  <c r="C28" i="5"/>
  <c r="L28" i="5"/>
  <c r="C29" i="5"/>
  <c r="L29" i="5"/>
  <c r="M18" i="5"/>
  <c r="M22" i="5"/>
  <c r="M16" i="5"/>
  <c r="M11" i="5"/>
  <c r="M7" i="5"/>
  <c r="D20" i="5"/>
  <c r="D24" i="5"/>
  <c r="D9" i="5"/>
  <c r="D13" i="5"/>
  <c r="M24" i="5"/>
  <c r="M13" i="5"/>
  <c r="D22" i="5"/>
  <c r="D11" i="5"/>
  <c r="M17" i="5"/>
  <c r="M25" i="5"/>
  <c r="M14" i="5"/>
  <c r="D23" i="5"/>
  <c r="D12" i="5"/>
  <c r="M19" i="5"/>
  <c r="M23" i="5"/>
  <c r="M8" i="5"/>
  <c r="M12" i="5"/>
  <c r="D17" i="5"/>
  <c r="D21" i="5"/>
  <c r="D25" i="5"/>
  <c r="D10" i="5"/>
  <c r="D14" i="5"/>
  <c r="M20" i="5"/>
  <c r="M9" i="5"/>
  <c r="D18" i="5"/>
  <c r="D16" i="5"/>
  <c r="D8" i="5"/>
  <c r="M21" i="5"/>
  <c r="M10" i="5"/>
  <c r="D19" i="5"/>
  <c r="D7" i="5"/>
  <c r="S20" i="5"/>
  <c r="S18" i="5"/>
  <c r="S10" i="5"/>
  <c r="S21" i="5"/>
  <c r="S12" i="5"/>
  <c r="S22" i="5"/>
  <c r="S16" i="5"/>
  <c r="S7" i="5"/>
  <c r="S11" i="5"/>
  <c r="S17" i="5"/>
  <c r="S9" i="5"/>
  <c r="S23" i="5"/>
  <c r="S25" i="5"/>
  <c r="J18" i="5"/>
  <c r="J22" i="5"/>
  <c r="J16" i="5"/>
  <c r="J11" i="5"/>
  <c r="J7" i="5"/>
  <c r="J23" i="5"/>
  <c r="J20" i="5"/>
  <c r="J9" i="5"/>
  <c r="J19" i="5"/>
  <c r="J14" i="5"/>
  <c r="J13" i="5"/>
  <c r="J17" i="5"/>
  <c r="J21" i="5"/>
  <c r="J25" i="5"/>
  <c r="J12" i="5"/>
  <c r="J8" i="5"/>
  <c r="J10" i="5"/>
  <c r="J24" i="5"/>
  <c r="C7" i="5"/>
  <c r="S14" i="5"/>
  <c r="S13" i="5"/>
  <c r="S8" i="5"/>
  <c r="S24" i="5"/>
  <c r="S19" i="5"/>
  <c r="Q19" i="5"/>
  <c r="Q23" i="5"/>
  <c r="Q8" i="5"/>
  <c r="Q12" i="5"/>
  <c r="Q20" i="5"/>
  <c r="Q24" i="5"/>
  <c r="Q9" i="5"/>
  <c r="Q13" i="5"/>
  <c r="Q17" i="5"/>
  <c r="Q21" i="5"/>
  <c r="Q25" i="5"/>
  <c r="Q10" i="5"/>
  <c r="Q14" i="5"/>
  <c r="Q18" i="5"/>
  <c r="Q22" i="5"/>
  <c r="Q16" i="5"/>
  <c r="Q11" i="5"/>
  <c r="Q7" i="5"/>
  <c r="L17" i="5"/>
  <c r="L21" i="5"/>
  <c r="N21" i="5" s="1"/>
  <c r="L25" i="5"/>
  <c r="L10" i="5"/>
  <c r="L14" i="5"/>
  <c r="N14" i="5" s="1"/>
  <c r="L23" i="5"/>
  <c r="L12" i="5"/>
  <c r="N12" i="5" s="1"/>
  <c r="L20" i="5"/>
  <c r="L9" i="5"/>
  <c r="L18" i="5"/>
  <c r="N18" i="5" s="1"/>
  <c r="L22" i="5"/>
  <c r="N22" i="5" s="1"/>
  <c r="L16" i="5"/>
  <c r="L11" i="5"/>
  <c r="N11" i="5" s="1"/>
  <c r="O7" i="5"/>
  <c r="L19" i="5"/>
  <c r="L8" i="5"/>
  <c r="L24" i="5"/>
  <c r="L13" i="5"/>
  <c r="H22" i="5"/>
  <c r="H18" i="5"/>
  <c r="H8" i="5"/>
  <c r="H12" i="5"/>
  <c r="H7" i="5"/>
  <c r="H25" i="5"/>
  <c r="H21" i="5"/>
  <c r="H17" i="5"/>
  <c r="H9" i="5"/>
  <c r="H13" i="5"/>
  <c r="H23" i="5"/>
  <c r="H24" i="5"/>
  <c r="H20" i="5"/>
  <c r="H16" i="5"/>
  <c r="H10" i="5"/>
  <c r="H14" i="5"/>
  <c r="H19" i="5"/>
  <c r="H11" i="5"/>
  <c r="C14" i="5"/>
  <c r="C25" i="5"/>
  <c r="E25" i="5" s="1"/>
  <c r="C21" i="5"/>
  <c r="C17" i="5"/>
  <c r="E17" i="5" s="1"/>
  <c r="C13" i="5"/>
  <c r="C9" i="5"/>
  <c r="C24" i="5"/>
  <c r="C20" i="5"/>
  <c r="C11" i="5"/>
  <c r="C16" i="5"/>
  <c r="C22" i="5"/>
  <c r="C18" i="5"/>
  <c r="C10" i="5"/>
  <c r="C12" i="5"/>
  <c r="C8" i="5"/>
  <c r="C23" i="5"/>
  <c r="C19" i="5"/>
  <c r="N16" i="5" l="1"/>
  <c r="E19" i="5"/>
  <c r="E7" i="5"/>
  <c r="F7" i="5"/>
  <c r="X17" i="5"/>
  <c r="X12" i="5"/>
  <c r="E18" i="5"/>
  <c r="E20" i="5"/>
  <c r="N10" i="5"/>
  <c r="AA12" i="5"/>
  <c r="X10" i="5"/>
  <c r="AC12" i="5"/>
  <c r="E12" i="5"/>
  <c r="E10" i="5"/>
  <c r="N24" i="5"/>
  <c r="N17" i="5"/>
  <c r="AC10" i="5"/>
  <c r="X16" i="5"/>
  <c r="X9" i="5"/>
  <c r="X19" i="5"/>
  <c r="E14" i="5"/>
  <c r="X13" i="5"/>
  <c r="E11" i="5"/>
  <c r="E13" i="5"/>
  <c r="N9" i="5"/>
  <c r="E23" i="5"/>
  <c r="N8" i="5"/>
  <c r="AC13" i="5"/>
  <c r="AA14" i="5"/>
  <c r="X8" i="5"/>
  <c r="AA19" i="5"/>
  <c r="AC18" i="5"/>
  <c r="AA9" i="5"/>
  <c r="AC24" i="5"/>
  <c r="X14" i="5"/>
  <c r="X11" i="5"/>
  <c r="V26" i="5"/>
  <c r="X26" i="5" s="1"/>
  <c r="X7" i="5"/>
  <c r="X24" i="5"/>
  <c r="AC25" i="5"/>
  <c r="AC8" i="5"/>
  <c r="AA7" i="5"/>
  <c r="AA16" i="5"/>
  <c r="AA23" i="5"/>
  <c r="AC16" i="5"/>
  <c r="AA20" i="5"/>
  <c r="AA21" i="5"/>
  <c r="V15" i="5"/>
  <c r="X15" i="5" s="1"/>
  <c r="E24" i="5"/>
  <c r="AB26" i="5"/>
  <c r="X23" i="5"/>
  <c r="U15" i="5"/>
  <c r="AA10" i="5"/>
  <c r="Z26" i="5"/>
  <c r="X18" i="5"/>
  <c r="W14" i="5"/>
  <c r="Y14" i="5"/>
  <c r="Y13" i="5"/>
  <c r="N20" i="5"/>
  <c r="E22" i="5"/>
  <c r="E21" i="5"/>
  <c r="N19" i="5"/>
  <c r="N25" i="5"/>
  <c r="X20" i="5"/>
  <c r="AC14" i="5"/>
  <c r="X21" i="5"/>
  <c r="Z15" i="5"/>
  <c r="W22" i="5"/>
  <c r="Y22" i="5"/>
  <c r="W9" i="5"/>
  <c r="Y9" i="5"/>
  <c r="W16" i="5"/>
  <c r="W19" i="5"/>
  <c r="Y19" i="5"/>
  <c r="Y10" i="5"/>
  <c r="Y12" i="5"/>
  <c r="AC11" i="5"/>
  <c r="E8" i="5"/>
  <c r="E16" i="5"/>
  <c r="E9" i="5"/>
  <c r="N13" i="5"/>
  <c r="N23" i="5"/>
  <c r="W23" i="5"/>
  <c r="Y23" i="5"/>
  <c r="W8" i="5"/>
  <c r="Y8" i="5"/>
  <c r="W25" i="5"/>
  <c r="Y25" i="5"/>
  <c r="W17" i="5"/>
  <c r="Y17" i="5"/>
  <c r="Y7" i="5"/>
  <c r="Y11" i="5"/>
  <c r="W18" i="5"/>
  <c r="Y18" i="5"/>
  <c r="W24" i="5"/>
  <c r="Y24" i="5"/>
  <c r="W20" i="5"/>
  <c r="Y20" i="5"/>
  <c r="Y21" i="5"/>
  <c r="AA8" i="5"/>
  <c r="W13" i="5"/>
  <c r="AB15" i="5"/>
  <c r="U26" i="5"/>
  <c r="W10" i="5"/>
  <c r="AC23" i="5"/>
  <c r="W12" i="5"/>
  <c r="N7" i="5"/>
  <c r="AA24" i="5"/>
  <c r="W7" i="5"/>
  <c r="AA17" i="5"/>
  <c r="W11" i="5"/>
  <c r="AC22" i="5"/>
  <c r="W21" i="5"/>
  <c r="AA13" i="5"/>
  <c r="F20" i="5"/>
  <c r="O16" i="5"/>
  <c r="O18" i="5"/>
  <c r="O22" i="5"/>
  <c r="O24" i="5"/>
  <c r="O17" i="5"/>
  <c r="O23" i="5"/>
  <c r="O20" i="5"/>
  <c r="O21" i="5"/>
  <c r="O19" i="5"/>
  <c r="O25" i="5"/>
  <c r="I8" i="5"/>
  <c r="P14" i="5"/>
  <c r="P25" i="5"/>
  <c r="P21" i="5"/>
  <c r="P17" i="5"/>
  <c r="P10" i="5"/>
  <c r="P20" i="5"/>
  <c r="P24" i="5"/>
  <c r="G8" i="5"/>
  <c r="P23" i="5"/>
  <c r="P11" i="5"/>
  <c r="P9" i="5"/>
  <c r="P13" i="5"/>
  <c r="P7" i="5"/>
  <c r="P18" i="5"/>
  <c r="P8" i="5"/>
  <c r="P19" i="5"/>
  <c r="P22" i="5"/>
  <c r="P12" i="5"/>
  <c r="I10" i="5"/>
  <c r="M26" i="5"/>
  <c r="O26" i="5" s="1"/>
  <c r="L26" i="5"/>
  <c r="I7" i="5"/>
  <c r="M15" i="5"/>
  <c r="T17" i="5"/>
  <c r="R22" i="5"/>
  <c r="T24" i="5"/>
  <c r="T25" i="5"/>
  <c r="R21" i="5"/>
  <c r="T23" i="5"/>
  <c r="T21" i="5"/>
  <c r="R20" i="5"/>
  <c r="T22" i="5"/>
  <c r="R7" i="5"/>
  <c r="Q15" i="5"/>
  <c r="R18" i="5"/>
  <c r="T20" i="5"/>
  <c r="R14" i="5"/>
  <c r="R17" i="5"/>
  <c r="T19" i="5"/>
  <c r="R13" i="5"/>
  <c r="S15" i="5"/>
  <c r="T7" i="5"/>
  <c r="T18" i="5"/>
  <c r="L15" i="5"/>
  <c r="R23" i="5"/>
  <c r="R11" i="5"/>
  <c r="T13" i="5"/>
  <c r="R12" i="5"/>
  <c r="R10" i="5"/>
  <c r="T12" i="5"/>
  <c r="R8" i="5"/>
  <c r="R9" i="5"/>
  <c r="T11" i="5"/>
  <c r="T10" i="5"/>
  <c r="Q26" i="5"/>
  <c r="R16" i="5"/>
  <c r="T9" i="5"/>
  <c r="R19" i="5"/>
  <c r="R25" i="5"/>
  <c r="T8" i="5"/>
  <c r="T14" i="5"/>
  <c r="R24" i="5"/>
  <c r="S26" i="5"/>
  <c r="T16" i="5"/>
  <c r="O12" i="5"/>
  <c r="O11" i="5"/>
  <c r="O8" i="5"/>
  <c r="O14" i="5"/>
  <c r="O10" i="5"/>
  <c r="O13" i="5"/>
  <c r="O9" i="5"/>
  <c r="I9" i="5"/>
  <c r="I12" i="5"/>
  <c r="I20" i="5"/>
  <c r="I23" i="5"/>
  <c r="I17" i="5"/>
  <c r="H15" i="5"/>
  <c r="I11" i="5"/>
  <c r="I13" i="5"/>
  <c r="I25" i="5"/>
  <c r="D15" i="5"/>
  <c r="F15" i="5" s="1"/>
  <c r="D26" i="5"/>
  <c r="I22" i="5"/>
  <c r="I16" i="5"/>
  <c r="H26" i="5"/>
  <c r="J15" i="5"/>
  <c r="I19" i="5"/>
  <c r="I14" i="5"/>
  <c r="I24" i="5"/>
  <c r="I21" i="5"/>
  <c r="I18" i="5"/>
  <c r="J26" i="5"/>
  <c r="F8" i="5"/>
  <c r="K8" i="5"/>
  <c r="F18" i="5"/>
  <c r="G18" i="5"/>
  <c r="K18" i="5"/>
  <c r="F17" i="5"/>
  <c r="G17" i="5"/>
  <c r="K17" i="5"/>
  <c r="G12" i="5"/>
  <c r="F12" i="5"/>
  <c r="K12" i="5"/>
  <c r="F22" i="5"/>
  <c r="G22" i="5"/>
  <c r="K22" i="5"/>
  <c r="G24" i="5"/>
  <c r="K24" i="5"/>
  <c r="F24" i="5"/>
  <c r="F21" i="5"/>
  <c r="G21" i="5"/>
  <c r="K21" i="5"/>
  <c r="F23" i="5"/>
  <c r="K23" i="5"/>
  <c r="G23" i="5"/>
  <c r="G20" i="5"/>
  <c r="K20" i="5"/>
  <c r="G19" i="5"/>
  <c r="K19" i="5"/>
  <c r="F19" i="5"/>
  <c r="F10" i="5"/>
  <c r="K10" i="5"/>
  <c r="G10" i="5"/>
  <c r="C26" i="5"/>
  <c r="K16" i="5"/>
  <c r="F16" i="5"/>
  <c r="F9" i="5"/>
  <c r="K9" i="5"/>
  <c r="G9" i="5"/>
  <c r="F25" i="5"/>
  <c r="G25" i="5"/>
  <c r="K25" i="5"/>
  <c r="C15" i="5"/>
  <c r="G7" i="5"/>
  <c r="K7" i="5"/>
  <c r="K11" i="5"/>
  <c r="F11" i="5"/>
  <c r="G11" i="5"/>
  <c r="F13" i="5"/>
  <c r="K13" i="5"/>
  <c r="G13" i="5"/>
  <c r="G14" i="5"/>
  <c r="K14" i="5"/>
  <c r="F14" i="5"/>
  <c r="AA26" i="5" l="1"/>
  <c r="AC15" i="5"/>
  <c r="U27" i="5"/>
  <c r="Z27" i="5"/>
  <c r="X27" i="5"/>
  <c r="N26" i="5"/>
  <c r="AA15" i="5"/>
  <c r="E26" i="5"/>
  <c r="V27" i="5"/>
  <c r="W15" i="5"/>
  <c r="E15" i="5"/>
  <c r="W26" i="5"/>
  <c r="AC26" i="5"/>
  <c r="AB27" i="5"/>
  <c r="Y15" i="5"/>
  <c r="Y26" i="5"/>
  <c r="N15" i="5"/>
  <c r="M27" i="5"/>
  <c r="R15" i="5"/>
  <c r="O15" i="5"/>
  <c r="O27" i="5" s="1"/>
  <c r="S27" i="5"/>
  <c r="T26" i="5"/>
  <c r="Q27" i="5"/>
  <c r="R26" i="5"/>
  <c r="P26" i="5"/>
  <c r="P15" i="5"/>
  <c r="L27" i="5"/>
  <c r="T15" i="5"/>
  <c r="D27" i="5"/>
  <c r="K15" i="5"/>
  <c r="H27" i="5"/>
  <c r="I26" i="5"/>
  <c r="I15" i="5"/>
  <c r="J27" i="5"/>
  <c r="F26" i="5"/>
  <c r="F27" i="5" s="1"/>
  <c r="G15" i="5"/>
  <c r="G26" i="5"/>
  <c r="C27" i="5"/>
  <c r="K26" i="5"/>
  <c r="N27" i="5" l="1"/>
  <c r="AC27" i="5"/>
  <c r="AA27" i="5"/>
  <c r="E27" i="5"/>
  <c r="W27" i="5"/>
  <c r="Y27" i="5"/>
  <c r="R27" i="5"/>
  <c r="P27" i="5"/>
  <c r="T27" i="5"/>
  <c r="K27" i="5"/>
  <c r="G27" i="5"/>
  <c r="I27" i="5"/>
  <c r="L5" i="5" l="1"/>
  <c r="C1" i="5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" i="4"/>
</calcChain>
</file>

<file path=xl/sharedStrings.xml><?xml version="1.0" encoding="utf-8"?>
<sst xmlns="http://schemas.openxmlformats.org/spreadsheetml/2006/main" count="1662" uniqueCount="255">
  <si>
    <t>CADENCE STAND
TUBE / MIN</t>
  </si>
  <si>
    <t>Opérateur 1</t>
  </si>
  <si>
    <t>Opérateur 2</t>
  </si>
  <si>
    <t>QTY à produire</t>
  </si>
  <si>
    <t>TRO</t>
  </si>
  <si>
    <t>QTY Produite</t>
  </si>
  <si>
    <t>Machines</t>
  </si>
  <si>
    <t>Arrêts-Formage</t>
  </si>
  <si>
    <t>Superviseurs</t>
  </si>
  <si>
    <t>Quart</t>
  </si>
  <si>
    <t>11 (C2)</t>
  </si>
  <si>
    <t>61 (P4)</t>
  </si>
  <si>
    <t>Opérateur</t>
  </si>
  <si>
    <t>Jour</t>
  </si>
  <si>
    <t>12 (C5)</t>
  </si>
  <si>
    <t>62 (P5)</t>
  </si>
  <si>
    <t>Soir</t>
  </si>
  <si>
    <t>13 (C6)</t>
  </si>
  <si>
    <t>63 (P6)</t>
  </si>
  <si>
    <t>Nuit</t>
  </si>
  <si>
    <t>21 (C1)</t>
  </si>
  <si>
    <t>91 (Digitale)</t>
  </si>
  <si>
    <t>22 (C8)</t>
  </si>
  <si>
    <t>71 (D2)</t>
  </si>
  <si>
    <t>31 (C4)</t>
  </si>
  <si>
    <t>72 (D3)</t>
  </si>
  <si>
    <t>32 (C7)</t>
  </si>
  <si>
    <t>73 (D4)</t>
  </si>
  <si>
    <t>41 (L1)</t>
  </si>
  <si>
    <t>81 (CER1)</t>
  </si>
  <si>
    <t>82 (CER2)</t>
  </si>
  <si>
    <t>51 (B3)</t>
  </si>
  <si>
    <t>B Manuel</t>
  </si>
  <si>
    <t>Date</t>
  </si>
  <si>
    <t>Jour FS</t>
  </si>
  <si>
    <t>Soir FS</t>
  </si>
  <si>
    <t>Nuit FS</t>
  </si>
  <si>
    <t>Réunion</t>
  </si>
  <si>
    <t>HRS STAND/
1000 TUBES</t>
  </si>
  <si>
    <t># BT</t>
  </si>
  <si>
    <t>QTY ACJ</t>
  </si>
  <si>
    <t>Temps Opé 1</t>
  </si>
  <si>
    <t>Temps Opé 2</t>
  </si>
  <si>
    <t>SUPERVISEUR</t>
  </si>
  <si>
    <t>Arrêt 1</t>
  </si>
  <si>
    <t>Arrêt 2</t>
  </si>
  <si>
    <t>Temps arrêt 1</t>
  </si>
  <si>
    <t>Temps arrêt 2</t>
  </si>
  <si>
    <t>Arrêt 3</t>
  </si>
  <si>
    <t>Temps arrêt 3</t>
  </si>
  <si>
    <t>Arrêt 4</t>
  </si>
  <si>
    <t>Temps arrêt 4</t>
  </si>
  <si>
    <t>Arrêt 5</t>
  </si>
  <si>
    <t>Temps arrêt 5</t>
  </si>
  <si>
    <t>Arrêt 6</t>
  </si>
  <si>
    <t>Temps arrêt 6</t>
  </si>
  <si>
    <t>Commentaire Arrêt 1</t>
  </si>
  <si>
    <t>Commentaire Arrêt 2</t>
  </si>
  <si>
    <t>Commentaire Arrêt 3</t>
  </si>
  <si>
    <t>Commentaire Arrêt 4</t>
  </si>
  <si>
    <t>Commentaire Arrêt 5</t>
  </si>
  <si>
    <t>Commentaire Arrêt 6</t>
  </si>
  <si>
    <t>Martin Nadeau</t>
  </si>
  <si>
    <t>Marco Beauregard</t>
  </si>
  <si>
    <t>Commentaire</t>
  </si>
  <si>
    <t>Anné</t>
  </si>
  <si>
    <t>Mois</t>
  </si>
  <si>
    <t>RAPPORT JOURNALIER</t>
  </si>
  <si>
    <t xml:space="preserve">DÉPARTEMENT </t>
  </si>
  <si>
    <t>Machine</t>
  </si>
  <si>
    <t>QTE RÉELLE</t>
  </si>
  <si>
    <t>HRES MACHINES</t>
  </si>
  <si>
    <t>% EFFICACITÉ</t>
  </si>
  <si>
    <t xml:space="preserve">TRO 
MOYENNE </t>
  </si>
  <si>
    <t xml:space="preserve">TEMPS RH </t>
  </si>
  <si>
    <t>(0/0 RH)
TEMPS RH/HRES MACHINES</t>
  </si>
  <si>
    <t xml:space="preserve">PERTE MATÉRIEL
(EN TUBES) </t>
  </si>
  <si>
    <t>% REJET MACHINE</t>
  </si>
  <si>
    <t>FORMAGE</t>
  </si>
  <si>
    <t xml:space="preserve">TOTAL </t>
  </si>
  <si>
    <t xml:space="preserve">FINITION </t>
  </si>
  <si>
    <t>FINITION</t>
  </si>
  <si>
    <t xml:space="preserve">GRAND TOTAL </t>
  </si>
  <si>
    <t>TOTAL PURGE / JOUR</t>
  </si>
  <si>
    <t>TOTAL REJET BOUCHONS / JOUR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</si>
  <si>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</si>
  <si>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</si>
  <si>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</si>
  <si>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</si>
  <si>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</si>
  <si>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</si>
  <si>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</si>
  <si>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</si>
  <si>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</si>
  <si>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</si>
  <si>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</si>
  <si>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</si>
  <si>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No. Mois</t>
  </si>
  <si>
    <t>Cadence</t>
  </si>
  <si>
    <t xml:space="preserve">TRO 
MOYENNE
(Réel) </t>
  </si>
  <si>
    <t>No Mois</t>
  </si>
  <si>
    <t>Année</t>
  </si>
  <si>
    <t>Michel Lavoie</t>
  </si>
  <si>
    <t>TRORéel</t>
  </si>
  <si>
    <t>Heures Macines</t>
  </si>
  <si>
    <t>Rejets2</t>
  </si>
  <si>
    <t>Rejets1</t>
  </si>
  <si>
    <t>645 - Archambault, Nathalie</t>
  </si>
  <si>
    <t>481 - Auger, Rachel</t>
  </si>
  <si>
    <t>1326 - Bellavance, Christian</t>
  </si>
  <si>
    <t>443 - Bisaillon, Alain</t>
  </si>
  <si>
    <t>499 - Bisaillon, Bruno</t>
  </si>
  <si>
    <t>1167 - Bradaric, Abdulah</t>
  </si>
  <si>
    <t>573 - Carter, Steve</t>
  </si>
  <si>
    <t>1039 - Carter, Genevieve</t>
  </si>
  <si>
    <t>621 - Danis, Yvan</t>
  </si>
  <si>
    <t>694 - Danis, Johanne</t>
  </si>
  <si>
    <t>547 - Dubois, Michel</t>
  </si>
  <si>
    <t>1153 - Fontaine, Gaetan</t>
  </si>
  <si>
    <t>666 - Fontaine, Steve</t>
  </si>
  <si>
    <t>583 - Forand, Luce</t>
  </si>
  <si>
    <t>728 - Fortin, Martine</t>
  </si>
  <si>
    <t>876 - Gagne, Sylvie</t>
  </si>
  <si>
    <t>758 - Godard, Frederic</t>
  </si>
  <si>
    <t>1295 - Goulet, Hugo</t>
  </si>
  <si>
    <t>1234 - Grise, Eric</t>
  </si>
  <si>
    <t>548 - Inkel, Jean</t>
  </si>
  <si>
    <t>1317 - Lachance, Killyane</t>
  </si>
  <si>
    <t>678 - Malo, Serge</t>
  </si>
  <si>
    <t>1169 - Mccutcheon, Steve</t>
  </si>
  <si>
    <t>968 - Paquette, Johanne</t>
  </si>
  <si>
    <t>1314 - Pomerleau, Julie</t>
  </si>
  <si>
    <t>555 - Potvin, Patrick</t>
  </si>
  <si>
    <t>1327 - Racicot, Kim</t>
  </si>
  <si>
    <t>567 - Reid, Michel</t>
  </si>
  <si>
    <t>671 - Rivard, Guylaine</t>
  </si>
  <si>
    <t>1239 - Robert, Jonathan</t>
  </si>
  <si>
    <t>336 - Senecal, Manon</t>
  </si>
  <si>
    <t>688 - St-hilaire, Lynda</t>
  </si>
  <si>
    <t>1266 - St-jules, Daniel</t>
  </si>
  <si>
    <t>1040 - St-martin, Marie-eve</t>
  </si>
  <si>
    <t>706 - Tetreault, Martine</t>
  </si>
  <si>
    <t>989 - Valcourt, Sylvie</t>
  </si>
  <si>
    <t>1297 - Winters, Audrey</t>
  </si>
  <si>
    <t>PAT - Échantillon</t>
  </si>
  <si>
    <t>EM - Entret. maint.</t>
  </si>
  <si>
    <t>SD - Montage+Diam.</t>
  </si>
  <si>
    <t>060996-1-1</t>
  </si>
  <si>
    <t>060815-5-1</t>
  </si>
  <si>
    <t>060866-1-1</t>
  </si>
  <si>
    <t>060939-2-1</t>
  </si>
  <si>
    <t>060817-3-1</t>
  </si>
  <si>
    <t>060817-2-1</t>
  </si>
  <si>
    <t>060836-1-1</t>
  </si>
  <si>
    <t>060887-1-1</t>
  </si>
  <si>
    <t>AJUSTEMENT//NET BAGUE</t>
  </si>
  <si>
    <t>NET. VIDE DE LIGNE</t>
  </si>
  <si>
    <t>SETUP</t>
  </si>
  <si>
    <t>060887-2-1</t>
  </si>
  <si>
    <t>060836-2-1</t>
  </si>
  <si>
    <t>060836-3-1</t>
  </si>
  <si>
    <t>060825-1-1</t>
  </si>
  <si>
    <t>060939-3-1</t>
  </si>
  <si>
    <t>060865-1-1</t>
  </si>
  <si>
    <t>60866-1-1</t>
  </si>
  <si>
    <t>Formule</t>
  </si>
  <si>
    <t>060906-1-1</t>
  </si>
  <si>
    <t>060891-10-1</t>
  </si>
  <si>
    <t>060880-1-1</t>
  </si>
  <si>
    <t>060973-1-1</t>
  </si>
  <si>
    <t>060959-1-1</t>
  </si>
  <si>
    <t>060816-5-1</t>
  </si>
  <si>
    <t>Échantillon</t>
  </si>
  <si>
    <t>060948-4-1</t>
  </si>
  <si>
    <t>060869-2-1</t>
  </si>
  <si>
    <t>SPL-39-6360</t>
  </si>
  <si>
    <t>060815-7-1</t>
  </si>
  <si>
    <t>TRO/EMPLYÉ</t>
  </si>
  <si>
    <t>Date début</t>
  </si>
  <si>
    <t>Date fin</t>
  </si>
  <si>
    <t>Opé1</t>
  </si>
  <si>
    <t>Opé2</t>
  </si>
  <si>
    <t>Opé3</t>
  </si>
  <si>
    <t>All Opé</t>
  </si>
  <si>
    <t>060959-2-1</t>
  </si>
  <si>
    <t>060898-2-1</t>
  </si>
  <si>
    <t>060898-1-1</t>
  </si>
  <si>
    <t>060900-1-1</t>
  </si>
  <si>
    <t>060815-2-1</t>
  </si>
  <si>
    <t>060959-3-1</t>
  </si>
  <si>
    <t>060893-1-1</t>
  </si>
  <si>
    <t>maintenance</t>
  </si>
  <si>
    <t>échantillon</t>
  </si>
  <si>
    <t>SPL - Formation</t>
  </si>
  <si>
    <t>Approbation Travaux d'art</t>
  </si>
  <si>
    <t>Attente colorant</t>
  </si>
  <si>
    <t>Planification</t>
  </si>
  <si>
    <t>M.P. Non Dispo</t>
  </si>
  <si>
    <t xml:space="preserve">22 (C8) </t>
  </si>
  <si>
    <t xml:space="preserve">21 (C1) </t>
  </si>
  <si>
    <t xml:space="preserve">Purge 32 (C7) </t>
  </si>
  <si>
    <t xml:space="preserve">Sleeve 32 (C7) </t>
  </si>
  <si>
    <t xml:space="preserve">Tube imprimé </t>
  </si>
  <si>
    <t xml:space="preserve">Bouchon </t>
  </si>
  <si>
    <t xml:space="preserve">Granulateur </t>
  </si>
  <si>
    <t>Total de l'ancien rapport Sommaire</t>
  </si>
  <si>
    <t>SPL-39-6352</t>
  </si>
  <si>
    <t>060839-1-1</t>
  </si>
  <si>
    <t>060918-2-1</t>
  </si>
  <si>
    <t>SPL-39-6356</t>
  </si>
  <si>
    <t>060973-2-1</t>
  </si>
  <si>
    <t>BREAK/LUNCH CER-2</t>
  </si>
  <si>
    <t>060883-2-1</t>
  </si>
  <si>
    <t>60900-1</t>
  </si>
  <si>
    <t>060951-1-1</t>
  </si>
  <si>
    <t>060971-1-1</t>
  </si>
  <si>
    <t>060949-1-1</t>
  </si>
  <si>
    <t>060956-1-1</t>
  </si>
  <si>
    <t>060819-1-1</t>
  </si>
  <si>
    <t>060784-3-1</t>
  </si>
  <si>
    <t>060906-2-1</t>
  </si>
  <si>
    <t>Révision</t>
  </si>
  <si>
    <t>Raison</t>
  </si>
  <si>
    <t>Changement Standard 91 (Digital)</t>
  </si>
  <si>
    <t>Était</t>
  </si>
  <si>
    <t>Efficacité</t>
  </si>
  <si>
    <t>Note &amp; commentaire</t>
  </si>
  <si>
    <t>La fonction à été ajusté pour réfléter le changement au 24 Avril 2020</t>
  </si>
  <si>
    <t>Changement Standard 73 (D4)</t>
  </si>
  <si>
    <t>Changement Standard 81 (CER)</t>
  </si>
  <si>
    <t>La fonction n'a pas été ajusté, l'année entière est donc affecté</t>
  </si>
  <si>
    <t>Ajout des Hrs Machine Méritées</t>
  </si>
  <si>
    <t>Ajout demandé par Gilles Decelles</t>
  </si>
  <si>
    <t>Hrs Machine Méritées / 
Hrs Machine Réel</t>
  </si>
  <si>
    <t>060960-1-1</t>
  </si>
  <si>
    <t>060972-1-1</t>
  </si>
  <si>
    <t>060921-1-1</t>
  </si>
  <si>
    <t>Problème de Statique sur loader gorge Combitool</t>
  </si>
  <si>
    <t>060837-1-1</t>
  </si>
  <si>
    <t>Web en attente d'appobation</t>
  </si>
  <si>
    <t>Formation Gaetan</t>
  </si>
  <si>
    <t>060944-1-1</t>
  </si>
  <si>
    <t>Formation</t>
  </si>
  <si>
    <t>SPL - Échantillon</t>
  </si>
  <si>
    <t>Quart / Opé</t>
  </si>
  <si>
    <t>Département / Opé</t>
  </si>
  <si>
    <t>Mono</t>
  </si>
  <si>
    <t>Multi</t>
  </si>
  <si>
    <t>Déco</t>
  </si>
  <si>
    <t>Imp</t>
  </si>
  <si>
    <t>Département</t>
  </si>
  <si>
    <t/>
  </si>
  <si>
    <t>Département/Opé</t>
  </si>
  <si>
    <t>2020-04-30</t>
  </si>
  <si>
    <t>2019-05-01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</si>
</sst>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&quot;$&quot;* #,##0.00_);_(&quot;$&quot;* \(#,##0.00\);_(&quot;$&quot;* &quot;-&quot;??_);_(@_)"/>
    <numFmt numFmtId="165" formatCode="0.000"/>
    <numFmt numFmtId="166" formatCode="[$-C0C]d\ mmmm\,\ yyyy;@"/>
    <numFmt numFmtId="167" formatCode="_ * #,##0.00_)\ _$_ ;_ * \(#,##0.00\)\ _$_ ;_ * &quot;-&quot;??_)\ _$_ ;_ @_ "/>
    <numFmt numFmtId="168" formatCode="[$-F800]dddd\,\ mmmm\ dd\,\ yyyy"/>
    <numFmt numFmtId="169" formatCode="0.0"/>
    <numFmt numFmtId="170" formatCode="0.00_);[Red]\(0.00\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name val="Arial"/>
      <family val="2"/>
    </font>
    <font>
      <b/>
      <sz val="10"/>
      <name val="Arial"/>
      <family val="2"/>
    </font>
    <font>
      <sz val="11"/>
      <color theme="2"/>
      <name val="Calibri"/>
      <family val="2"/>
      <scheme val="minor"/>
    </font>
    <font>
      <sz val="10"/>
      <color theme="2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5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5FFE2"/>
        <bgColor indexed="64"/>
      </patternFill>
    </fill>
    <fill>
      <patternFill patternType="solid">
        <fgColor rgb="FF93B7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lightUp"/>
    </fill>
    <fill>
      <patternFill patternType="solid">
        <fgColor rgb="FFFF9999"/>
        <bgColor indexed="64"/>
      </patternFill>
    </fill>
    <fill>
      <patternFill patternType="solid">
        <fgColor rgb="FFFDB57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3" fillId="0" borderId="0"/>
    <xf numFmtId="167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178">
    <xf numFmtId="0" fontId="0" fillId="0" borderId="0" xfId="0"/>
    <xf numFmtId="0" fontId="0" fillId="0" borderId="0" xfId="0"/>
    <xf numFmtId="2" fontId="0" fillId="0" borderId="0" xfId="0" applyNumberFormat="1"/>
    <xf numFmtId="0" fontId="2" fillId="0" borderId="0" xfId="1" applyFont="1" applyAlignment="1">
      <alignment horizontal="left" indent="1"/>
    </xf>
    <xf numFmtId="0" fontId="2" fillId="0" borderId="0" xfId="1" applyFont="1"/>
    <xf numFmtId="0" fontId="3" fillId="0" borderId="1" xfId="1" applyBorder="1"/>
    <xf numFmtId="0" fontId="0" fillId="0" borderId="0" xfId="0"/>
    <xf numFmtId="166" fontId="0" fillId="0" borderId="0" xfId="0" applyNumberFormat="1"/>
    <xf numFmtId="49" fontId="0" fillId="0" borderId="0" xfId="0" applyNumberFormat="1"/>
    <xf numFmtId="1" fontId="0" fillId="0" borderId="0" xfId="0" applyNumberFormat="1"/>
    <xf numFmtId="0" fontId="0" fillId="0" borderId="0" xfId="0" applyNumberFormat="1"/>
    <xf numFmtId="9" fontId="0" fillId="0" borderId="0" xfId="0" applyNumberFormat="1"/>
    <xf numFmtId="3" fontId="0" fillId="0" borderId="0" xfId="0" applyNumberFormat="1"/>
    <xf numFmtId="1" fontId="0" fillId="0" borderId="0" xfId="0" applyNumberFormat="1" applyAlignment="1">
      <alignment horizontal="left"/>
    </xf>
    <xf numFmtId="1" fontId="0" fillId="0" borderId="1" xfId="0" applyNumberFormat="1" applyBorder="1" applyAlignment="1">
      <alignment horizontal="left"/>
    </xf>
    <xf numFmtId="166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" fontId="0" fillId="0" borderId="1" xfId="0" applyNumberFormat="1" applyBorder="1" applyAlignment="1">
      <alignment horizontal="left" vertical="top"/>
    </xf>
    <xf numFmtId="2" fontId="0" fillId="0" borderId="1" xfId="0" applyNumberFormat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/>
    </xf>
    <xf numFmtId="3" fontId="0" fillId="0" borderId="1" xfId="0" applyNumberFormat="1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165" fontId="0" fillId="0" borderId="0" xfId="0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 indent="1"/>
    </xf>
    <xf numFmtId="165" fontId="2" fillId="2" borderId="1" xfId="1" applyNumberFormat="1" applyFont="1" applyFill="1" applyBorder="1" applyAlignment="1">
      <alignment horizontal="left" wrapText="1"/>
    </xf>
    <xf numFmtId="1" fontId="2" fillId="2" borderId="1" xfId="1" applyNumberFormat="1" applyFont="1" applyFill="1" applyBorder="1" applyAlignment="1">
      <alignment horizontal="left" wrapText="1"/>
    </xf>
    <xf numFmtId="0" fontId="2" fillId="0" borderId="1" xfId="1" applyFont="1" applyBorder="1"/>
    <xf numFmtId="0" fontId="2" fillId="0" borderId="1" xfId="1" applyFont="1" applyBorder="1" applyAlignment="1">
      <alignment horizontal="left" indent="1"/>
    </xf>
    <xf numFmtId="165" fontId="2" fillId="0" borderId="1" xfId="1" applyNumberFormat="1" applyFont="1" applyBorder="1" applyAlignment="1">
      <alignment horizontal="left"/>
    </xf>
    <xf numFmtId="1" fontId="2" fillId="0" borderId="1" xfId="1" applyNumberFormat="1" applyFont="1" applyBorder="1" applyAlignment="1">
      <alignment horizontal="left"/>
    </xf>
    <xf numFmtId="0" fontId="2" fillId="0" borderId="1" xfId="1" applyFont="1" applyFill="1" applyBorder="1" applyAlignment="1">
      <alignment horizontal="left" indent="1"/>
    </xf>
    <xf numFmtId="165" fontId="2" fillId="0" borderId="1" xfId="1" applyNumberFormat="1" applyFont="1" applyFill="1" applyBorder="1" applyAlignment="1">
      <alignment horizontal="left" vertical="center"/>
    </xf>
    <xf numFmtId="1" fontId="2" fillId="0" borderId="1" xfId="1" applyNumberFormat="1" applyFont="1" applyFill="1" applyBorder="1" applyAlignment="1">
      <alignment horizontal="left" vertical="center"/>
    </xf>
    <xf numFmtId="0" fontId="3" fillId="0" borderId="1" xfId="1" applyFill="1" applyBorder="1" applyAlignment="1">
      <alignment horizontal="left" indent="1"/>
    </xf>
    <xf numFmtId="0" fontId="0" fillId="0" borderId="1" xfId="0" applyBorder="1"/>
    <xf numFmtId="165" fontId="0" fillId="0" borderId="1" xfId="0" applyNumberFormat="1" applyBorder="1" applyAlignment="1">
      <alignment horizontal="left"/>
    </xf>
    <xf numFmtId="0" fontId="2" fillId="2" borderId="3" xfId="1" applyFont="1" applyFill="1" applyBorder="1"/>
    <xf numFmtId="0" fontId="2" fillId="0" borderId="3" xfId="1" applyFont="1" applyBorder="1"/>
    <xf numFmtId="0" fontId="3" fillId="0" borderId="3" xfId="1" applyBorder="1"/>
    <xf numFmtId="0" fontId="2" fillId="2" borderId="2" xfId="1" applyFont="1" applyFill="1" applyBorder="1"/>
    <xf numFmtId="0" fontId="4" fillId="0" borderId="0" xfId="0" applyFont="1" applyAlignment="1">
      <alignment horizontal="right" indent="1"/>
    </xf>
    <xf numFmtId="0" fontId="8" fillId="0" borderId="0" xfId="0" applyFont="1" applyAlignment="1">
      <alignment vertical="center"/>
    </xf>
    <xf numFmtId="166" fontId="8" fillId="0" borderId="0" xfId="0" applyNumberFormat="1" applyFont="1" applyAlignment="1">
      <alignment vertical="center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9" fontId="0" fillId="8" borderId="1" xfId="0" applyNumberFormat="1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9" fontId="0" fillId="8" borderId="8" xfId="0" applyNumberForma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/>
    </xf>
    <xf numFmtId="0" fontId="10" fillId="9" borderId="12" xfId="0" applyFont="1" applyFill="1" applyBorder="1" applyAlignment="1">
      <alignment horizontal="center" vertical="center"/>
    </xf>
    <xf numFmtId="3" fontId="0" fillId="9" borderId="11" xfId="0" applyNumberFormat="1" applyFill="1" applyBorder="1" applyAlignment="1">
      <alignment horizontal="center" vertical="center" wrapText="1"/>
    </xf>
    <xf numFmtId="9" fontId="0" fillId="9" borderId="13" xfId="0" applyNumberFormat="1" applyFill="1" applyBorder="1" applyAlignment="1">
      <alignment horizontal="center" vertical="center" wrapText="1"/>
    </xf>
    <xf numFmtId="4" fontId="0" fillId="9" borderId="14" xfId="0" applyNumberFormat="1" applyFill="1" applyBorder="1" applyAlignment="1">
      <alignment horizontal="center" vertical="center" wrapText="1"/>
    </xf>
    <xf numFmtId="2" fontId="0" fillId="9" borderId="13" xfId="0" applyNumberFormat="1" applyFill="1" applyBorder="1" applyAlignment="1">
      <alignment horizontal="center" vertical="center" wrapText="1"/>
    </xf>
    <xf numFmtId="3" fontId="0" fillId="9" borderId="13" xfId="0" applyNumberFormat="1" applyFill="1" applyBorder="1" applyAlignment="1">
      <alignment horizontal="center" vertical="center" wrapText="1"/>
    </xf>
    <xf numFmtId="9" fontId="2" fillId="9" borderId="15" xfId="0" applyNumberFormat="1" applyFont="1" applyFill="1" applyBorder="1" applyAlignment="1">
      <alignment horizontal="center" vertical="center"/>
    </xf>
    <xf numFmtId="9" fontId="0" fillId="10" borderId="17" xfId="0" applyNumberFormat="1" applyFill="1" applyBorder="1" applyAlignment="1">
      <alignment horizontal="center" vertical="center" wrapText="1"/>
    </xf>
    <xf numFmtId="3" fontId="0" fillId="11" borderId="11" xfId="0" applyNumberFormat="1" applyFill="1" applyBorder="1" applyAlignment="1">
      <alignment horizontal="center" vertical="center" wrapText="1"/>
    </xf>
    <xf numFmtId="4" fontId="0" fillId="11" borderId="13" xfId="0" applyNumberFormat="1" applyFill="1" applyBorder="1" applyAlignment="1">
      <alignment horizontal="center" vertical="center" wrapText="1"/>
    </xf>
    <xf numFmtId="9" fontId="0" fillId="11" borderId="13" xfId="0" applyNumberFormat="1" applyFill="1" applyBorder="1" applyAlignment="1">
      <alignment horizontal="center" vertical="center" wrapText="1"/>
    </xf>
    <xf numFmtId="2" fontId="0" fillId="11" borderId="13" xfId="0" applyNumberFormat="1" applyFill="1" applyBorder="1" applyAlignment="1">
      <alignment horizontal="center" vertical="center" wrapText="1"/>
    </xf>
    <xf numFmtId="3" fontId="0" fillId="11" borderId="14" xfId="0" applyNumberFormat="1" applyFill="1" applyBorder="1" applyAlignment="1">
      <alignment horizontal="center" vertical="center" wrapText="1"/>
    </xf>
    <xf numFmtId="9" fontId="0" fillId="11" borderId="15" xfId="0" applyNumberFormat="1" applyFill="1" applyBorder="1" applyAlignment="1">
      <alignment horizontal="center" vertical="center" wrapText="1"/>
    </xf>
    <xf numFmtId="0" fontId="2" fillId="2" borderId="22" xfId="1" applyNumberFormat="1" applyFont="1" applyFill="1" applyBorder="1"/>
    <xf numFmtId="0" fontId="0" fillId="0" borderId="1" xfId="0" applyNumberFormat="1" applyBorder="1"/>
    <xf numFmtId="1" fontId="0" fillId="0" borderId="0" xfId="0" applyNumberFormat="1" applyAlignment="1">
      <alignment horizontal="left" vertical="top"/>
    </xf>
    <xf numFmtId="0" fontId="8" fillId="4" borderId="21" xfId="0" applyFont="1" applyFill="1" applyBorder="1" applyAlignment="1" applyProtection="1">
      <alignment horizontal="center" vertical="center" wrapText="1"/>
      <protection locked="0"/>
    </xf>
    <xf numFmtId="1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Border="1"/>
    <xf numFmtId="0" fontId="8" fillId="3" borderId="21" xfId="0" applyFont="1" applyFill="1" applyBorder="1" applyAlignment="1" applyProtection="1">
      <alignment horizontal="center" vertical="center" wrapText="1"/>
      <protection locked="0"/>
    </xf>
    <xf numFmtId="9" fontId="0" fillId="0" borderId="1" xfId="0" applyNumberFormat="1" applyBorder="1" applyAlignment="1">
      <alignment horizontal="left" vertical="top" wrapText="1"/>
    </xf>
    <xf numFmtId="0" fontId="0" fillId="0" borderId="0" xfId="0" applyAlignment="1">
      <alignment wrapText="1"/>
    </xf>
    <xf numFmtId="0" fontId="0" fillId="0" borderId="0" xfId="0" applyNumberFormat="1" applyBorder="1" applyAlignment="1">
      <alignment horizontal="left" vertical="top"/>
    </xf>
    <xf numFmtId="9" fontId="0" fillId="0" borderId="0" xfId="0" applyNumberFormat="1" applyAlignment="1">
      <alignment horizontal="left" vertical="top"/>
    </xf>
    <xf numFmtId="166" fontId="0" fillId="0" borderId="0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1" fontId="0" fillId="0" borderId="0" xfId="0" applyNumberFormat="1" applyBorder="1" applyAlignment="1">
      <alignment horizontal="left" vertical="top"/>
    </xf>
    <xf numFmtId="2" fontId="0" fillId="0" borderId="0" xfId="0" applyNumberFormat="1" applyBorder="1" applyAlignment="1">
      <alignment horizontal="left" vertical="top" wrapText="1"/>
    </xf>
    <xf numFmtId="3" fontId="0" fillId="0" borderId="0" xfId="0" applyNumberFormat="1" applyBorder="1" applyAlignment="1">
      <alignment horizontal="left" vertical="top" wrapText="1"/>
    </xf>
    <xf numFmtId="1" fontId="0" fillId="0" borderId="0" xfId="0" applyNumberFormat="1" applyBorder="1" applyAlignment="1">
      <alignment horizontal="left" vertical="top" wrapText="1"/>
    </xf>
    <xf numFmtId="9" fontId="0" fillId="0" borderId="0" xfId="0" applyNumberFormat="1" applyBorder="1" applyAlignment="1">
      <alignment horizontal="left" vertical="top" wrapText="1"/>
    </xf>
    <xf numFmtId="9" fontId="0" fillId="0" borderId="0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 wrapText="1"/>
    </xf>
    <xf numFmtId="4" fontId="0" fillId="0" borderId="1" xfId="0" applyNumberFormat="1" applyBorder="1" applyAlignment="1">
      <alignment horizontal="left" vertical="top" wrapText="1"/>
    </xf>
    <xf numFmtId="166" fontId="0" fillId="0" borderId="0" xfId="0" applyNumberFormat="1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/>
    </xf>
    <xf numFmtId="49" fontId="0" fillId="0" borderId="1" xfId="0" applyNumberFormat="1" applyFill="1" applyBorder="1" applyAlignment="1">
      <alignment horizontal="left" vertical="top"/>
    </xf>
    <xf numFmtId="1" fontId="0" fillId="0" borderId="0" xfId="0" applyNumberFormat="1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left" vertical="top" wrapText="1"/>
    </xf>
    <xf numFmtId="0" fontId="0" fillId="0" borderId="0" xfId="0" applyNumberFormat="1" applyFill="1" applyBorder="1" applyAlignment="1">
      <alignment horizontal="left" vertical="top"/>
    </xf>
    <xf numFmtId="3" fontId="0" fillId="0" borderId="0" xfId="0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left" vertical="top" wrapText="1"/>
    </xf>
    <xf numFmtId="3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Fill="1" applyBorder="1" applyAlignment="1">
      <alignment horizontal="left" vertical="top" wrapText="1"/>
    </xf>
    <xf numFmtId="9" fontId="0" fillId="0" borderId="0" xfId="0" applyNumberFormat="1" applyFill="1" applyBorder="1" applyAlignment="1">
      <alignment horizontal="left" vertical="top"/>
    </xf>
    <xf numFmtId="49" fontId="0" fillId="0" borderId="0" xfId="0" applyNumberFormat="1" applyFill="1" applyBorder="1" applyAlignment="1">
      <alignment horizontal="left" vertical="top" wrapText="1"/>
    </xf>
    <xf numFmtId="1" fontId="0" fillId="0" borderId="0" xfId="0" applyNumberFormat="1" applyFill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Protection="1"/>
    <xf numFmtId="0" fontId="11" fillId="0" borderId="0" xfId="0" applyFont="1" applyBorder="1" applyProtection="1"/>
    <xf numFmtId="0" fontId="0" fillId="0" borderId="0" xfId="0" applyBorder="1" applyProtection="1"/>
    <xf numFmtId="10" fontId="11" fillId="0" borderId="0" xfId="0" applyNumberFormat="1" applyFont="1" applyBorder="1" applyProtection="1"/>
    <xf numFmtId="0" fontId="12" fillId="0" borderId="0" xfId="1" applyFont="1" applyBorder="1" applyProtection="1"/>
    <xf numFmtId="166" fontId="11" fillId="0" borderId="0" xfId="0" applyNumberFormat="1" applyFont="1" applyBorder="1" applyProtection="1"/>
    <xf numFmtId="166" fontId="0" fillId="0" borderId="0" xfId="0" applyNumberFormat="1" applyBorder="1" applyProtection="1"/>
    <xf numFmtId="0" fontId="2" fillId="0" borderId="24" xfId="1" applyFont="1" applyFill="1" applyBorder="1" applyAlignment="1">
      <alignment horizontal="left" indent="1"/>
    </xf>
    <xf numFmtId="0" fontId="13" fillId="0" borderId="0" xfId="0" applyFont="1" applyProtection="1"/>
    <xf numFmtId="0" fontId="13" fillId="0" borderId="0" xfId="0" applyFont="1" applyBorder="1" applyProtection="1"/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Font="1" applyProtection="1"/>
    <xf numFmtId="9" fontId="0" fillId="0" borderId="0" xfId="0" applyNumberFormat="1" applyFill="1" applyAlignment="1">
      <alignment horizontal="left" vertical="top"/>
    </xf>
    <xf numFmtId="2" fontId="0" fillId="0" borderId="1" xfId="0" applyNumberFormat="1" applyBorder="1" applyAlignment="1">
      <alignment horizontal="center" vertical="center" wrapText="1"/>
    </xf>
    <xf numFmtId="3" fontId="0" fillId="0" borderId="25" xfId="0" applyNumberFormat="1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left"/>
    </xf>
    <xf numFmtId="0" fontId="6" fillId="2" borderId="23" xfId="0" applyFont="1" applyFill="1" applyBorder="1" applyAlignment="1">
      <alignment horizontal="left"/>
    </xf>
    <xf numFmtId="0" fontId="0" fillId="0" borderId="1" xfId="0" applyFill="1" applyBorder="1"/>
    <xf numFmtId="0" fontId="6" fillId="3" borderId="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0" fontId="0" fillId="8" borderId="1" xfId="0" applyNumberFormat="1" applyFill="1" applyBorder="1" applyAlignment="1">
      <alignment horizontal="center" vertical="center" wrapText="1"/>
    </xf>
    <xf numFmtId="170" fontId="0" fillId="9" borderId="13" xfId="0" applyNumberFormat="1" applyFill="1" applyBorder="1" applyAlignment="1">
      <alignment horizontal="center" vertical="center" wrapText="1"/>
    </xf>
    <xf numFmtId="170" fontId="0" fillId="11" borderId="13" xfId="0" applyNumberFormat="1" applyFill="1" applyBorder="1" applyAlignment="1">
      <alignment horizontal="center" vertical="center" wrapText="1"/>
    </xf>
    <xf numFmtId="170" fontId="0" fillId="8" borderId="2" xfId="0" applyNumberFormat="1" applyFill="1" applyBorder="1" applyAlignment="1">
      <alignment horizontal="center" vertical="center" wrapText="1"/>
    </xf>
    <xf numFmtId="0" fontId="2" fillId="0" borderId="27" xfId="1" applyFont="1" applyBorder="1" applyAlignment="1">
      <alignment horizontal="left" indent="1"/>
    </xf>
    <xf numFmtId="0" fontId="14" fillId="0" borderId="0" xfId="0" applyFont="1"/>
    <xf numFmtId="168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4" fontId="7" fillId="14" borderId="0" xfId="0" applyNumberFormat="1" applyFont="1" applyFill="1"/>
    <xf numFmtId="0" fontId="7" fillId="14" borderId="0" xfId="0" applyNumberFormat="1" applyFont="1" applyFill="1"/>
    <xf numFmtId="0" fontId="2" fillId="0" borderId="1" xfId="1" applyFont="1" applyFill="1" applyBorder="1" applyAlignment="1">
      <alignment vertical="center"/>
    </xf>
    <xf numFmtId="0" fontId="2" fillId="2" borderId="24" xfId="1" applyFont="1" applyFill="1" applyBorder="1"/>
    <xf numFmtId="0" fontId="2" fillId="2" borderId="24" xfId="1" applyFont="1" applyFill="1" applyBorder="1" applyAlignment="1">
      <alignment horizontal="center"/>
    </xf>
    <xf numFmtId="0" fontId="2" fillId="2" borderId="24" xfId="1" applyFont="1" applyFill="1" applyBorder="1" applyAlignment="1">
      <alignment horizontal="center" wrapText="1"/>
    </xf>
    <xf numFmtId="0" fontId="0" fillId="0" borderId="3" xfId="0" applyBorder="1"/>
    <xf numFmtId="0" fontId="0" fillId="0" borderId="0" xfId="0" applyFont="1" applyBorder="1" applyProtection="1"/>
    <xf numFmtId="9" fontId="0" fillId="0" borderId="0" xfId="0" applyNumberFormat="1" applyFont="1" applyProtection="1"/>
    <xf numFmtId="0" fontId="8" fillId="5" borderId="4" xfId="0" applyNumberFormat="1" applyFont="1" applyFill="1" applyBorder="1" applyAlignment="1">
      <alignment horizontal="center" vertical="center"/>
    </xf>
    <xf numFmtId="169" fontId="8" fillId="12" borderId="20" xfId="0" applyNumberFormat="1" applyFont="1" applyFill="1" applyBorder="1" applyAlignment="1">
      <alignment horizontal="center" vertical="center"/>
    </xf>
    <xf numFmtId="169" fontId="8" fillId="12" borderId="12" xfId="0" applyNumberFormat="1" applyFont="1" applyFill="1" applyBorder="1" applyAlignment="1">
      <alignment horizontal="center" vertical="center"/>
    </xf>
    <xf numFmtId="169" fontId="8" fillId="12" borderId="21" xfId="0" applyNumberFormat="1" applyFont="1" applyFill="1" applyBorder="1" applyAlignment="1">
      <alignment horizontal="center" vertical="center"/>
    </xf>
    <xf numFmtId="169" fontId="8" fillId="13" borderId="20" xfId="0" applyNumberFormat="1" applyFont="1" applyFill="1" applyBorder="1" applyAlignment="1">
      <alignment horizontal="center" vertical="center"/>
    </xf>
    <xf numFmtId="169" fontId="8" fillId="13" borderId="12" xfId="0" applyNumberFormat="1" applyFont="1" applyFill="1" applyBorder="1" applyAlignment="1">
      <alignment horizontal="center" vertical="center"/>
    </xf>
    <xf numFmtId="169" fontId="8" fillId="13" borderId="21" xfId="0" applyNumberFormat="1" applyFont="1" applyFill="1" applyBorder="1" applyAlignment="1">
      <alignment horizontal="center" vertical="center"/>
    </xf>
    <xf numFmtId="49" fontId="6" fillId="12" borderId="20" xfId="0" applyNumberFormat="1" applyFont="1" applyFill="1" applyBorder="1" applyAlignment="1">
      <alignment horizontal="center" vertical="center"/>
    </xf>
    <xf numFmtId="49" fontId="6" fillId="12" borderId="21" xfId="0" applyNumberFormat="1" applyFont="1" applyFill="1" applyBorder="1" applyAlignment="1">
      <alignment horizontal="center" vertical="center"/>
    </xf>
    <xf numFmtId="49" fontId="6" fillId="13" borderId="20" xfId="0" applyNumberFormat="1" applyFont="1" applyFill="1" applyBorder="1" applyAlignment="1">
      <alignment horizontal="center" vertical="center"/>
    </xf>
    <xf numFmtId="49" fontId="6" fillId="13" borderId="21" xfId="0" applyNumberFormat="1" applyFont="1" applyFill="1" applyBorder="1" applyAlignment="1">
      <alignment horizontal="center" vertical="center"/>
    </xf>
    <xf numFmtId="0" fontId="6" fillId="11" borderId="18" xfId="0" applyFont="1" applyFill="1" applyBorder="1" applyAlignment="1">
      <alignment horizontal="center"/>
    </xf>
    <xf numFmtId="0" fontId="6" fillId="11" borderId="19" xfId="0" applyFont="1" applyFill="1" applyBorder="1" applyAlignment="1">
      <alignment horizontal="center"/>
    </xf>
    <xf numFmtId="168" fontId="8" fillId="5" borderId="4" xfId="0" applyNumberFormat="1" applyFont="1" applyFill="1" applyBorder="1" applyAlignment="1">
      <alignment horizontal="center" vertical="center"/>
    </xf>
    <xf numFmtId="166" fontId="8" fillId="5" borderId="4" xfId="0" applyNumberFormat="1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textRotation="90"/>
    </xf>
    <xf numFmtId="0" fontId="6" fillId="6" borderId="10" xfId="0" applyFont="1" applyFill="1" applyBorder="1" applyAlignment="1">
      <alignment horizontal="center" vertical="center" textRotation="90"/>
    </xf>
    <xf numFmtId="0" fontId="6" fillId="6" borderId="16" xfId="0" applyFont="1" applyFill="1" applyBorder="1" applyAlignment="1">
      <alignment horizontal="center" vertical="center" textRotation="90"/>
    </xf>
  </cellXfs>
  <cellStyles count="5">
    <cellStyle name="Milliers 2" xfId="2"/>
    <cellStyle name="Monétaire 2" xfId="3"/>
    <cellStyle name="Normal" xfId="0" builtinId="0"/>
    <cellStyle name="Normal 2" xfId="1"/>
    <cellStyle name="Normal 3" xfId="4"/>
  </cellStyles>
  <dxfs count="44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6" formatCode="[$-C0C]d\ mmmm\,\ yyyy;@"/>
    </dxf>
    <dxf>
      <numFmt numFmtId="0" formatCode="General"/>
    </dxf>
    <dxf>
      <numFmt numFmtId="13" formatCode="0%"/>
    </dxf>
    <dxf>
      <numFmt numFmtId="0" formatCode="General"/>
      <alignment horizontal="left" vertical="top" textRotation="0" wrapText="0" indent="0" justifyLastLine="0" shrinkToFit="0" readingOrder="0"/>
    </dxf>
    <dxf>
      <numFmt numFmtId="1" formatCode="0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2" formatCode="0.0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</dxf>
    <dxf>
      <numFmt numFmtId="13" formatCode="0%"/>
    </dxf>
    <dxf>
      <numFmt numFmtId="13" formatCode="0%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</dxf>
    <dxf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</dxf>
    <dxf>
      <numFmt numFmtId="3" formatCode="#,##0"/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" formatCode="#,##0"/>
    </dxf>
    <dxf>
      <numFmt numFmtId="3" formatCode="#,##0"/>
    </dxf>
    <dxf>
      <numFmt numFmtId="3" formatCode="#,##0"/>
    </dxf>
    <dxf>
      <numFmt numFmtId="0" formatCode="General"/>
    </dxf>
    <dxf>
      <numFmt numFmtId="2" formatCode="0.00"/>
    </dxf>
    <dxf>
      <numFmt numFmtId="30" formatCode="@"/>
    </dxf>
    <dxf>
      <numFmt numFmtId="2" formatCode="0.00"/>
    </dxf>
    <dxf>
      <numFmt numFmtId="30" formatCode="@"/>
    </dxf>
    <dxf>
      <numFmt numFmtId="1" formatCode="0"/>
    </dxf>
    <dxf>
      <numFmt numFmtId="30" formatCode="@"/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</dxf>
    <dxf>
      <numFmt numFmtId="166" formatCode="[$-C0C]d\ mmmm\,\ yyyy;@"/>
      <alignment horizontal="left" textRotation="0" wrapText="0" indent="0" justifyLastLine="0" shrinkToFit="0" readingOrder="0"/>
    </dxf>
    <dxf>
      <alignment horizontal="left" vertical="top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95250</xdr:rowOff>
        </xdr:from>
        <xdr:to>
          <xdr:col>5</xdr:col>
          <xdr:colOff>723900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7</xdr:row>
          <xdr:rowOff>123825</xdr:rowOff>
        </xdr:from>
        <xdr:to>
          <xdr:col>5</xdr:col>
          <xdr:colOff>733425</xdr:colOff>
          <xdr:row>10</xdr:row>
          <xdr:rowOff>171450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2</xdr:row>
          <xdr:rowOff>0</xdr:rowOff>
        </xdr:from>
        <xdr:to>
          <xdr:col>5</xdr:col>
          <xdr:colOff>9525</xdr:colOff>
          <xdr:row>4</xdr:row>
          <xdr:rowOff>180975</xdr:rowOff>
        </xdr:to>
        <xdr:sp macro="" textlink="">
          <xdr:nvSpPr>
            <xdr:cNvPr id="2050" name="TRO_EMPLOY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1:AN295" totalsRowShown="0" headerRowDxfId="43">
  <autoFilter ref="A1:AN295"/>
  <sortState ref="A2:AL23">
    <sortCondition ref="E1:E532"/>
  </sortState>
  <tableColumns count="40">
    <tableColumn id="1" name="Date" dataDxfId="42"/>
    <tableColumn id="2" name="Quart" dataDxfId="41"/>
    <tableColumn id="15" name="SUPERVISEUR" dataDxfId="40"/>
    <tableColumn id="3" name="Machine" dataDxfId="39"/>
    <tableColumn id="4" name="Opérateur 1" dataDxfId="38"/>
    <tableColumn id="5" name="Temps Opé 1" dataDxfId="37"/>
    <tableColumn id="6" name="Opérateur 2" dataDxfId="36"/>
    <tableColumn id="7" name="Temps Opé 2" dataDxfId="35"/>
    <tableColumn id="8" name="# BT" dataDxfId="34"/>
    <tableColumn id="9" name="QTY à produire" dataDxfId="33"/>
    <tableColumn id="10" name="QTY Produite" dataDxfId="32"/>
    <tableColumn id="11" name="QTY ACJ" dataDxfId="31"/>
    <tableColumn id="21" name="Heures Macines" dataDxfId="30">
      <calculatedColumnFormula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calculatedColumnFormula>
    </tableColumn>
    <tableColumn id="12" name="Rejets1" dataDxfId="29"/>
    <tableColumn id="22" name="Rejets2" dataDxfId="28"/>
    <tableColumn id="18" name="Cadence" dataDxfId="27"/>
    <tableColumn id="17" name="TRORéel" dataDxfId="26">
      <calculatedColumnFormula>(Tableau3[[#This Row],[QTY Produite]]/1000)*((1000/Tableau3[[#This Row],[Cadence]])/60)/Tableau3[[#This Row],[Heures Macines]]</calculatedColumnFormula>
    </tableColumn>
    <tableColumn id="19" name="TRO" dataDxfId="25"/>
    <tableColumn id="20" name="Arrêt 1" dataDxfId="24"/>
    <tableColumn id="16" name="Temps arrêt 1" dataDxfId="23"/>
    <tableColumn id="31" name="Commentaire Arrêt 1" dataDxfId="22"/>
    <tableColumn id="46" name="Arrêt 2" dataDxfId="21"/>
    <tableColumn id="47" name="Temps arrêt 2" dataDxfId="20"/>
    <tableColumn id="48" name="Commentaire Arrêt 2" dataDxfId="19"/>
    <tableColumn id="49" name="Arrêt 3" dataDxfId="18"/>
    <tableColumn id="50" name="Temps arrêt 3" dataDxfId="17"/>
    <tableColumn id="51" name="Commentaire Arrêt 3" dataDxfId="16"/>
    <tableColumn id="52" name="Arrêt 4" dataDxfId="15"/>
    <tableColumn id="53" name="Temps arrêt 4" dataDxfId="14"/>
    <tableColumn id="54" name="Commentaire Arrêt 4" dataDxfId="13"/>
    <tableColumn id="55" name="Arrêt 5" dataDxfId="12"/>
    <tableColumn id="56" name="Temps arrêt 5" dataDxfId="11"/>
    <tableColumn id="57" name="Commentaire Arrêt 5" dataDxfId="10"/>
    <tableColumn id="58" name="Arrêt 6" dataDxfId="9"/>
    <tableColumn id="59" name="Temps arrêt 6" dataDxfId="8"/>
    <tableColumn id="60" name="Commentaire Arrêt 6" dataDxfId="7"/>
    <tableColumn id="13" name="No Mois" dataDxfId="6">
      <calculatedColumnFormula>MONTH(A2)</calculatedColumnFormula>
    </tableColumn>
    <tableColumn id="14" name="Année" dataDxfId="5">
      <calculatedColumnFormula>YEAR(Tableau3[[#This Row],[Date]])</calculatedColumnFormula>
    </tableColumn>
    <tableColumn id="23" name="Efficacité" dataDxfId="4">
      <calculatedColumnFormula>IFERROR(((Tableau3[[#This Row],[QTY Produite]]/1000)*VLOOKUP(Tableau3[[#This Row],[Machine]],Liste!$A:$B,2))/Tableau3[[#This Row],[Heures Macines]],"0")</calculatedColumnFormula>
    </tableColumn>
    <tableColumn id="24" name="Département/Opé" dataDxfId="3">
      <calculatedColumnFormula>VLOOKUP(Tableau3[[#This Row],[Opérateur 1]],Liste!$K$2:$M$68,3,FALSE)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K19" insertRowShift="1" totalsRowShown="0">
  <autoFilter ref="A1:K19"/>
  <tableColumns count="11">
    <tableColumn id="1" name="Date" dataDxfId="2"/>
    <tableColumn id="3" name="22 (C8) "/>
    <tableColumn id="4" name="21 (C1) "/>
    <tableColumn id="5" name="Purge 32 (C7) "/>
    <tableColumn id="6" name="Sleeve 32 (C7) " dataDxfId="1"/>
    <tableColumn id="7" name="Tube imprimé "/>
    <tableColumn id="8" name="Bouchon " dataDxfId="0"/>
    <tableColumn id="9" name="Granulateur "/>
    <tableColumn id="10" name="Commentaire"/>
    <tableColumn id="11" name="No Mois">
      <calculatedColumnFormula>MONTH(Tableau2[[#This Row],[Date]])</calculatedColumnFormula>
    </tableColumn>
    <tableColumn id="12" name="Année">
      <calculatedColumnFormula>YEAR(Tableau2[[#This Row],[Date]])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1"/>
  <sheetViews>
    <sheetView showGridLines="0" showRowColHeaders="0" workbookViewId="0">
      <selection activeCell="H10" sqref="H10"/>
    </sheetView>
  </sheetViews>
  <sheetFormatPr baseColWidth="10" defaultColWidth="11.42578125" defaultRowHeight="15.75" x14ac:dyDescent="0.25"/>
  <cols>
    <col min="1" max="1" width="11.42578125" style="6"/>
    <col min="2" max="2" width="11.42578125" style="44"/>
    <col min="3" max="4" width="11.42578125" style="6"/>
    <col min="5" max="5" width="11.42578125" style="44"/>
    <col min="6" max="7" width="11.42578125" style="6"/>
    <col min="8" max="8" width="11.42578125" style="44"/>
    <col min="9" max="16384" width="11.42578125" style="6"/>
  </cols>
  <sheetData/>
  <sheetProtection algorithmName="SHA-512" hashValue="5d+IA3auI6v6xG65yQMu65jaChgzqhYljso2Pa+Gx2kTo5fZc6EFq04DCH1Cfi9LH2no+Yfnkp4kg/riCNseiA==" saltValue="TvFswkC3oACXnFus8rxHww==" spinCount="100000" sheet="1"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autoPict="0" r:id="rId5">
            <anchor moveWithCells="1">
              <from>
                <xdr:col>1</xdr:col>
                <xdr:colOff>0</xdr:colOff>
                <xdr:row>2</xdr:row>
                <xdr:rowOff>95250</xdr:rowOff>
              </from>
              <to>
                <xdr:col>5</xdr:col>
                <xdr:colOff>723900</xdr:colOff>
                <xdr:row>5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locked="0" defaultSize="0" autoLine="0" autoPict="0" r:id="rId7">
            <anchor moveWithCells="1">
              <from>
                <xdr:col>0</xdr:col>
                <xdr:colOff>742950</xdr:colOff>
                <xdr:row>7</xdr:row>
                <xdr:rowOff>123825</xdr:rowOff>
              </from>
              <to>
                <xdr:col>5</xdr:col>
                <xdr:colOff>733425</xdr:colOff>
                <xdr:row>10</xdr:row>
                <xdr:rowOff>171450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C32"/>
  <sheetViews>
    <sheetView showGridLines="0" zoomScaleNormal="84" workbookViewId="0">
      <pane xSplit="2" topLeftCell="C1" activePane="topRight" state="frozen"/>
      <selection pane="topRight" activeCell="B3" sqref="B3"/>
    </sheetView>
  </sheetViews>
  <sheetFormatPr baseColWidth="10" defaultRowHeight="15" x14ac:dyDescent="0.25"/>
  <cols>
    <col min="1" max="4" width="14.28515625" customWidth="1"/>
    <col min="5" max="5" width="14.28515625" style="6" customWidth="1"/>
    <col min="6" max="13" width="14.28515625" customWidth="1"/>
    <col min="14" max="14" width="14.28515625" style="6" customWidth="1"/>
    <col min="15" max="29" width="14.28515625" customWidth="1"/>
  </cols>
  <sheetData>
    <row r="1" spans="1:29" ht="20.25" thickBot="1" x14ac:dyDescent="0.35">
      <c r="A1" s="87" t="s">
        <v>65</v>
      </c>
      <c r="B1" s="88">
        <v>2020</v>
      </c>
      <c r="C1" s="151">
        <f>DATE(B1,1,1)</f>
        <v>43831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6"/>
      <c r="P1" s="6"/>
      <c r="Q1" s="6"/>
      <c r="R1" s="6"/>
      <c r="S1" s="6"/>
      <c r="T1" s="6"/>
    </row>
    <row r="2" spans="1:29" ht="20.25" thickBot="1" x14ac:dyDescent="0.35">
      <c r="A2" s="87" t="s">
        <v>66</v>
      </c>
      <c r="B2" s="85" t="s">
        <v>88</v>
      </c>
      <c r="C2" s="152">
        <f>VLOOKUP(B2,Liste!H1:I20,2,FALSE)</f>
        <v>4</v>
      </c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6"/>
      <c r="P2" s="6"/>
      <c r="Q2" s="6"/>
      <c r="R2" s="6"/>
      <c r="S2" s="6"/>
      <c r="T2" s="6"/>
    </row>
    <row r="3" spans="1:29" ht="20.25" thickBot="1" x14ac:dyDescent="0.35">
      <c r="A3" s="87" t="s">
        <v>13</v>
      </c>
      <c r="B3" s="86">
        <v>28</v>
      </c>
      <c r="C3" s="149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45"/>
      <c r="P3" s="45"/>
      <c r="Q3" s="45"/>
      <c r="R3" s="45"/>
      <c r="S3" s="45"/>
      <c r="T3" s="45"/>
    </row>
    <row r="4" spans="1:29" ht="20.25" thickBot="1" x14ac:dyDescent="0.3">
      <c r="A4" s="6"/>
      <c r="B4" s="46"/>
      <c r="C4" s="149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45"/>
      <c r="P4" s="45"/>
      <c r="Q4" s="45"/>
      <c r="R4" s="45"/>
      <c r="S4" s="45"/>
      <c r="T4" s="45"/>
    </row>
    <row r="5" spans="1:29" ht="20.25" thickBot="1" x14ac:dyDescent="0.3">
      <c r="A5" s="173" t="s">
        <v>67</v>
      </c>
      <c r="B5" s="173"/>
      <c r="C5" s="174">
        <f>DATE(B1,C2,B3)</f>
        <v>43949</v>
      </c>
      <c r="D5" s="174"/>
      <c r="E5" s="174"/>
      <c r="F5" s="174"/>
      <c r="G5" s="174"/>
      <c r="H5" s="174"/>
      <c r="I5" s="174"/>
      <c r="J5" s="174"/>
      <c r="K5" s="174"/>
      <c r="L5" s="174" t="str">
        <f>B2</f>
        <v>Avril</v>
      </c>
      <c r="M5" s="174"/>
      <c r="N5" s="174"/>
      <c r="O5" s="174"/>
      <c r="P5" s="174"/>
      <c r="Q5" s="174"/>
      <c r="R5" s="174"/>
      <c r="S5" s="174"/>
      <c r="T5" s="174"/>
      <c r="U5" s="160">
        <f>B1</f>
        <v>2020</v>
      </c>
      <c r="V5" s="160"/>
      <c r="W5" s="160"/>
      <c r="X5" s="160"/>
      <c r="Y5" s="160"/>
      <c r="Z5" s="160"/>
      <c r="AA5" s="160"/>
      <c r="AB5" s="160"/>
      <c r="AC5" s="160"/>
    </row>
    <row r="6" spans="1:29" ht="60" x14ac:dyDescent="0.25">
      <c r="A6" s="47" t="s">
        <v>68</v>
      </c>
      <c r="B6" s="48" t="s">
        <v>69</v>
      </c>
      <c r="C6" s="49" t="s">
        <v>70</v>
      </c>
      <c r="D6" s="50" t="s">
        <v>71</v>
      </c>
      <c r="E6" s="50" t="s">
        <v>233</v>
      </c>
      <c r="F6" s="51" t="s">
        <v>72</v>
      </c>
      <c r="G6" s="52" t="s">
        <v>99</v>
      </c>
      <c r="H6" s="50" t="s">
        <v>74</v>
      </c>
      <c r="I6" s="52" t="s">
        <v>75</v>
      </c>
      <c r="J6" s="50" t="s">
        <v>76</v>
      </c>
      <c r="K6" s="53" t="s">
        <v>77</v>
      </c>
      <c r="L6" s="54" t="s">
        <v>70</v>
      </c>
      <c r="M6" s="55" t="s">
        <v>71</v>
      </c>
      <c r="N6" s="55" t="s">
        <v>233</v>
      </c>
      <c r="O6" s="56" t="s">
        <v>72</v>
      </c>
      <c r="P6" s="57" t="s">
        <v>73</v>
      </c>
      <c r="Q6" s="55" t="s">
        <v>74</v>
      </c>
      <c r="R6" s="57" t="s">
        <v>75</v>
      </c>
      <c r="S6" s="55" t="s">
        <v>76</v>
      </c>
      <c r="T6" s="58" t="s">
        <v>77</v>
      </c>
      <c r="U6" s="138" t="s">
        <v>70</v>
      </c>
      <c r="V6" s="139" t="s">
        <v>71</v>
      </c>
      <c r="W6" s="139" t="s">
        <v>233</v>
      </c>
      <c r="X6" s="140" t="s">
        <v>72</v>
      </c>
      <c r="Y6" s="141" t="s">
        <v>73</v>
      </c>
      <c r="Z6" s="139" t="s">
        <v>74</v>
      </c>
      <c r="AA6" s="141" t="s">
        <v>75</v>
      </c>
      <c r="AB6" s="139" t="s">
        <v>76</v>
      </c>
      <c r="AC6" s="142" t="s">
        <v>77</v>
      </c>
    </row>
    <row r="7" spans="1:29" ht="16.5" x14ac:dyDescent="0.25">
      <c r="A7" s="175" t="s">
        <v>78</v>
      </c>
      <c r="B7" s="59" t="str">
        <f>Liste!$A2</f>
        <v>11 (C2)</v>
      </c>
      <c r="C7" s="60">
        <f>SUMIFS(Tableau3[QTY Produite],Tableau3[Date],Rapport!$C$5,Tableau3[Machine],Rapport!$B7)</f>
        <v>0</v>
      </c>
      <c r="D7" s="132">
        <f>SUMIFS(Tableau3[Heures Macines],Tableau3[Date],Rapport!$C$5,Tableau3[Machine],Rapport!$B7)</f>
        <v>0</v>
      </c>
      <c r="E7" s="143">
        <f>IFERROR(((C7/1000)*Liste!$B2)-D7,"0")</f>
        <v>0</v>
      </c>
      <c r="F7" s="62" t="str">
        <f>IFERROR(((C7/1000)*Liste!$B2)/D7,"0")</f>
        <v>0</v>
      </c>
      <c r="G7" s="63" t="str">
        <f>IFERROR(($C7/1000)*((1000/(AVERAGEIFS(Tableau3[Cadence],Tableau3[Date],Rapport!$C$5,Tableau3[Machine],Rapport!$B7)))/60)/$D7,"0")</f>
        <v>0</v>
      </c>
      <c r="H7" s="61">
        <f>(SUMIFS(Tableau3[Temps Opé 1],Tableau3[Date],Rapport!$C$5,Tableau3[Machine],Rapport!$B7))+(SUMIFS(Tableau3[Temps Opé 2],Tableau3[Date],Rapport!$C$5,Tableau3[Machine],Rapport!$B7))</f>
        <v>0</v>
      </c>
      <c r="I7" s="64" t="str">
        <f>IFERROR(H7/D7,"0")</f>
        <v>0</v>
      </c>
      <c r="J7" s="65">
        <f>(SUMIFS(Tableau3[Rejets1],Tableau3[Date],Rapport!$C$5,Tableau3[Machine],Rapport!$B7))+(SUMIFS(Tableau3[Rejets2],Tableau3[Date],Rapport!$C$5,Tableau3[Machine],Rapport!$B7))</f>
        <v>0</v>
      </c>
      <c r="K7" s="66" t="str">
        <f>IFERROR(J7/C7,"0")</f>
        <v>0</v>
      </c>
      <c r="L7" s="60">
        <f>SUMIFS(Tableau3[QTY Produite],Tableau3[No Mois],MONTH($C$5),Tableau3[Année],YEAR($C$5),Tableau3[Machine],Rapport!$B7)</f>
        <v>66720</v>
      </c>
      <c r="M7" s="132">
        <f>SUMIFS(Tableau3[Heures Macines],Tableau3[No Mois],MONTH($C$5),Tableau3[Année],YEAR($C$5),Tableau3[Machine],Rapport!$B7)</f>
        <v>32</v>
      </c>
      <c r="N7" s="146">
        <f>IFERROR(((L7/1000)*Liste!$B2)-M7,"0")</f>
        <v>-1.9759999999999991</v>
      </c>
      <c r="O7" s="62">
        <f>IFERROR(((L7/1000)*Liste!$B2)/M7,"0")</f>
        <v>0.93825000000000003</v>
      </c>
      <c r="P7" s="63">
        <f>IFERROR(($L7/1000)*((1000/(AVERAGEIFS(Tableau3[Cadence],Tableau3[No Mois],MONTH($C$5),Tableau3[Année],YEAR($C$5),Tableau3[Machine],Rapport!$B7)))/60)/$M7,"0")</f>
        <v>0.80501930501930496</v>
      </c>
      <c r="Q7" s="61">
        <f>(SUMIFS(Tableau3[Temps Opé 1],Tableau3[No Mois],MONTH($C$5),Tableau3[Année],YEAR($C$5),Tableau3[Machine],Rapport!$B7))+(SUMIFS(Tableau3[Temps Opé 2],Tableau3[No Mois],MONTH($C$5),Tableau3[Année],YEAR($C$5),Tableau3[Machine],Rapport!$B7))</f>
        <v>32</v>
      </c>
      <c r="R7" s="64">
        <f>IFERROR(Q7/M7,"0")</f>
        <v>1</v>
      </c>
      <c r="S7" s="65">
        <f>(SUMIFS(Tableau3[Rejets1],Tableau3[No Mois],MONTH($C$5),Tableau3[Année],YEAR($C$5),Tableau3[Machine],Rapport!$B7))+(SUMIFS(Tableau3[Rejets2],Tableau3[No Mois],MONTH($C$5),Tableau3[Année],YEAR($C$5),Tableau3[Machine],Rapport!$B7))</f>
        <v>3967</v>
      </c>
      <c r="T7" s="66">
        <f>IFERROR(S7/L7,"0")</f>
        <v>5.9457434052757795E-2</v>
      </c>
      <c r="U7" s="60">
        <f>SUMIFS(Tableau3[QTY Produite],Tableau3[Année],YEAR($C$5),Tableau3[Machine],Rapport!$B7)</f>
        <v>66720</v>
      </c>
      <c r="V7" s="132">
        <f>SUMIFS(Tableau3[Heures Macines],Tableau3[Année],YEAR($C$5),Tableau3[Machine],Rapport!$B7)</f>
        <v>32</v>
      </c>
      <c r="W7" s="146">
        <f>IFERROR(((U7/1000)*Liste!$B2)-V7,"0")</f>
        <v>-1.9759999999999991</v>
      </c>
      <c r="X7" s="62">
        <f>IFERROR(((U7/1000)*Liste!$B2)/V7,"0")</f>
        <v>0.93825000000000003</v>
      </c>
      <c r="Y7" s="63">
        <f>IFERROR(($U7/1000)*((1000/(AVERAGEIFS(Tableau3[Cadence],Tableau3[Année],YEAR($C$5),Tableau3[Machine],Rapport!$B7)))/60)/$V7,"0")</f>
        <v>0.80501930501930496</v>
      </c>
      <c r="Z7" s="61">
        <f>(SUMIFS(Tableau3[Temps Opé 1],Tableau3[Année],YEAR($C$5),Tableau3[Machine],Rapport!$B7))+(SUMIFS(Tableau3[Temps Opé 2],Tableau3[Année],YEAR($C$5),Tableau3[Machine],Rapport!$B7))</f>
        <v>32</v>
      </c>
      <c r="AA7" s="64">
        <f>IFERROR(Z7/V7,"0")</f>
        <v>1</v>
      </c>
      <c r="AB7" s="65">
        <f>(SUMIFS(Tableau3[Rejets1],Tableau3[Année],YEAR($C$5),Tableau3[Machine],Rapport!$B7))+(SUMIFS(Tableau3[Rejets2],Tableau3[Année],YEAR($C$5),Tableau3[Machine],Rapport!$B7))</f>
        <v>3967</v>
      </c>
      <c r="AC7" s="66">
        <f>IFERROR(AB7/U7,"0")</f>
        <v>5.9457434052757795E-2</v>
      </c>
    </row>
    <row r="8" spans="1:29" ht="16.5" x14ac:dyDescent="0.25">
      <c r="A8" s="175"/>
      <c r="B8" s="59" t="str">
        <f>Liste!$A3</f>
        <v>12 (C5)</v>
      </c>
      <c r="C8" s="60">
        <f>SUMIFS(Tableau3[QTY Produite],Tableau3[Date],Rapport!$C$5,Tableau3[Machine],Rapport!$B8)</f>
        <v>2159</v>
      </c>
      <c r="D8" s="132">
        <f>SUMIFS(Tableau3[Heures Macines],Tableau3[Date],Rapport!$C$5,Tableau3[Machine],Rapport!$B8)</f>
        <v>1.5</v>
      </c>
      <c r="E8" s="143">
        <f>IFERROR(((C8/1000)*Liste!$B3)-D8,"0")</f>
        <v>-0.52845000000000009</v>
      </c>
      <c r="F8" s="62">
        <f>IFERROR((($C8/1000)*Liste!$B3)/$D8,"0")</f>
        <v>0.64769999999999994</v>
      </c>
      <c r="G8" s="63">
        <f>IFERROR(($C8/1000)*((1000/(AVERAGEIFS(Tableau3[Cadence],Tableau3[Date],Rapport!$C$5,Tableau3[Machine],Rapport!$B8)))/60)/$D8,"0")</f>
        <v>0.74965277777777783</v>
      </c>
      <c r="H8" s="61">
        <f>(SUMIFS(Tableau3[Temps Opé 1],Tableau3[Date],Rapport!$C$5,Tableau3[Machine],Rapport!$B8))+(SUMIFS(Tableau3[Temps Opé 2],Tableau3[Date],Rapport!$C$5,Tableau3[Machine],Rapport!$B8))</f>
        <v>1.5</v>
      </c>
      <c r="I8" s="64">
        <f>IFERROR(H8/D8,"0")</f>
        <v>1</v>
      </c>
      <c r="J8" s="65">
        <f>(SUMIFS(Tableau3[Rejets1],Tableau3[Date],Rapport!$C$5,Tableau3[Machine],Rapport!$B8))+(SUMIFS(Tableau3[Rejets2],Tableau3[Date],Rapport!$C$5,Tableau3[Machine],Rapport!$B8))</f>
        <v>1</v>
      </c>
      <c r="K8" s="66">
        <f t="shared" ref="K8:K14" si="0">IFERROR(J8/C8,"0")</f>
        <v>4.6317739694302917E-4</v>
      </c>
      <c r="L8" s="60">
        <f>SUMIFS(Tableau3[QTY Produite],Tableau3[No Mois],MONTH($C$5),Tableau3[Année],YEAR($C$5),Tableau3[Machine],Rapport!$B8)</f>
        <v>211249</v>
      </c>
      <c r="M8" s="132">
        <f>SUMIFS(Tableau3[Heures Macines],Tableau3[No Mois],MONTH($C$5),Tableau3[Année],YEAR($C$5),Tableau3[Machine],Rapport!$B8)</f>
        <v>144.65</v>
      </c>
      <c r="N8" s="146">
        <f>IFERROR(((L8/1000)*Liste!$B3)-M8,"0")</f>
        <v>-49.587950000000006</v>
      </c>
      <c r="O8" s="62">
        <f>IFERROR(((L8/1000)*Liste!$B3)/M8,"0")</f>
        <v>0.65718665744901483</v>
      </c>
      <c r="P8" s="63">
        <f>IFERROR(($L8/1000)*((1000/(AVERAGEIFS(Tableau3[Cadence],Tableau3[No Mois],MONTH($C$5),Tableau3[Année],YEAR($C$5),Tableau3[Machine],Rapport!$B8)))/60)/$M8,"0")</f>
        <v>0.67913634409000367</v>
      </c>
      <c r="Q8" s="61">
        <f>(SUMIFS(Tableau3[Temps Opé 1],Tableau3[No Mois],MONTH($C$5),Tableau3[Année],YEAR($C$5),Tableau3[Machine],Rapport!$B8))+(SUMIFS(Tableau3[Temps Opé 2],Tableau3[No Mois],MONTH($C$5),Tableau3[Année],YEAR($C$5),Tableau3[Machine],Rapport!$B8))</f>
        <v>146.4</v>
      </c>
      <c r="R8" s="64">
        <f t="shared" ref="R8:R26" si="1">IFERROR(Q8/M8,"0")</f>
        <v>1.012098167991704</v>
      </c>
      <c r="S8" s="65">
        <f>(SUMIFS(Tableau3[Rejets1],Tableau3[No Mois],MONTH($C$5),Tableau3[Année],YEAR($C$5),Tableau3[Machine],Rapport!$B8))+(SUMIFS(Tableau3[Rejets2],Tableau3[No Mois],MONTH($C$5),Tableau3[Année],YEAR($C$5),Tableau3[Machine],Rapport!$B8))</f>
        <v>11755</v>
      </c>
      <c r="T8" s="66">
        <f t="shared" ref="T8:T14" si="2">IFERROR(S8/L8,"0")</f>
        <v>5.5645233823592065E-2</v>
      </c>
      <c r="U8" s="60">
        <f>SUMIFS(Tableau3[QTY Produite],Tableau3[Année],YEAR($C$5),Tableau3[Machine],Rapport!$B8)</f>
        <v>211249</v>
      </c>
      <c r="V8" s="132">
        <f>SUMIFS(Tableau3[Heures Macines],Tableau3[Année],YEAR($C$5),Tableau3[Machine],Rapport!$B8)</f>
        <v>144.65</v>
      </c>
      <c r="W8" s="146">
        <f>IFERROR(((U8/1000)*Liste!$B3)-V8,"0")</f>
        <v>-49.587950000000006</v>
      </c>
      <c r="X8" s="62">
        <f>IFERROR(((U8/1000)*Liste!$B3)/V8,"0")</f>
        <v>0.65718665744901483</v>
      </c>
      <c r="Y8" s="63">
        <f>IFERROR(($U8/1000)*((1000/(AVERAGEIFS(Tableau3[Cadence],Tableau3[Année],YEAR($C$5),Tableau3[Machine],Rapport!$B8)))/60)/$V8,"0")</f>
        <v>0.67913634409000367</v>
      </c>
      <c r="Z8" s="61">
        <f>(SUMIFS(Tableau3[Temps Opé 1],Tableau3[Année],YEAR($C$5),Tableau3[Machine],Rapport!$B8))+(SUMIFS(Tableau3[Temps Opé 2],Tableau3[Année],YEAR($C$5),Tableau3[Machine],Rapport!$B8))</f>
        <v>146.4</v>
      </c>
      <c r="AA8" s="64">
        <f t="shared" ref="AA8:AA26" si="3">IFERROR(Z8/V8,"0")</f>
        <v>1.012098167991704</v>
      </c>
      <c r="AB8" s="65">
        <f>(SUMIFS(Tableau3[Rejets1],Tableau3[Année],YEAR($C$5),Tableau3[Machine],Rapport!$B8))+(SUMIFS(Tableau3[Rejets2],Tableau3[Année],YEAR($C$5),Tableau3[Machine],Rapport!$B8))</f>
        <v>11755</v>
      </c>
      <c r="AC8" s="66">
        <f t="shared" ref="AC8:AC14" si="4">IFERROR(AB8/U8,"0")</f>
        <v>5.5645233823592065E-2</v>
      </c>
    </row>
    <row r="9" spans="1:29" ht="16.5" x14ac:dyDescent="0.25">
      <c r="A9" s="175"/>
      <c r="B9" s="59" t="str">
        <f>Liste!$A4</f>
        <v>13 (C6)</v>
      </c>
      <c r="C9" s="60">
        <f>SUMIFS(Tableau3[QTY Produite],Tableau3[Date],Rapport!$C$5,Tableau3[Machine],Rapport!$B9)</f>
        <v>6272</v>
      </c>
      <c r="D9" s="132">
        <f>SUMIFS(Tableau3[Heures Macines],Tableau3[Date],Rapport!$C$5,Tableau3[Machine],Rapport!$B9)</f>
        <v>5.25</v>
      </c>
      <c r="E9" s="143">
        <f>IFERROR(((C9/1000)*Liste!$B4)-D9,"0")</f>
        <v>-2.4276</v>
      </c>
      <c r="F9" s="62">
        <f>IFERROR((($C9/1000)*Liste!$B4)/$D9,"0")</f>
        <v>0.53759999999999997</v>
      </c>
      <c r="G9" s="63">
        <f>IFERROR(($C9/1000)*((1000/(AVERAGEIFS(Tableau3[Cadence],Tableau3[Date],Rapport!$C$5,Tableau3[Machine],Rapport!$B9)))/60)/$D9,"0")</f>
        <v>0.62222222222222234</v>
      </c>
      <c r="H9" s="61">
        <f>(SUMIFS(Tableau3[Temps Opé 1],Tableau3[Date],Rapport!$C$5,Tableau3[Machine],Rapport!$B9))+(SUMIFS(Tableau3[Temps Opé 2],Tableau3[Date],Rapport!$C$5,Tableau3[Machine],Rapport!$B9))</f>
        <v>8</v>
      </c>
      <c r="I9" s="64">
        <f t="shared" ref="I9:I14" si="5">IFERROR(H9/D9,"0")</f>
        <v>1.5238095238095237</v>
      </c>
      <c r="J9" s="65">
        <f>(SUMIFS(Tableau3[Rejets1],Tableau3[Date],Rapport!$C$5,Tableau3[Machine],Rapport!$B9))+(SUMIFS(Tableau3[Rejets2],Tableau3[Date],Rapport!$C$5,Tableau3[Machine],Rapport!$B9))</f>
        <v>721</v>
      </c>
      <c r="K9" s="66">
        <f t="shared" si="0"/>
        <v>0.11495535714285714</v>
      </c>
      <c r="L9" s="60">
        <f>SUMIFS(Tableau3[QTY Produite],Tableau3[No Mois],MONTH($C$5),Tableau3[Année],YEAR($C$5),Tableau3[Machine],Rapport!$B9)</f>
        <v>69776</v>
      </c>
      <c r="M9" s="132">
        <f>SUMIFS(Tableau3[Heures Macines],Tableau3[No Mois],MONTH($C$5),Tableau3[Année],YEAR($C$5),Tableau3[Machine],Rapport!$B9)</f>
        <v>41.5</v>
      </c>
      <c r="N9" s="146">
        <f>IFERROR(((L9/1000)*Liste!$B4)-M9,"0")</f>
        <v>-10.1008</v>
      </c>
      <c r="O9" s="62">
        <f>IFERROR(((L9/1000)*Liste!$B4)/M9,"0")</f>
        <v>0.75660722891566268</v>
      </c>
      <c r="P9" s="63">
        <f>IFERROR(($L9/1000)*((1000/(AVERAGEIFS(Tableau3[Cadence],Tableau3[No Mois],MONTH($C$5),Tableau3[Année],YEAR($C$5),Tableau3[Machine],Rapport!$B9)))/60)/$M9,"0")</f>
        <v>0.80723222106533121</v>
      </c>
      <c r="Q9" s="61">
        <f>(SUMIFS(Tableau3[Temps Opé 1],Tableau3[No Mois],MONTH($C$5),Tableau3[Année],YEAR($C$5),Tableau3[Machine],Rapport!$B9))+(SUMIFS(Tableau3[Temps Opé 2],Tableau3[No Mois],MONTH($C$5),Tableau3[Année],YEAR($C$5),Tableau3[Machine],Rapport!$B9))</f>
        <v>44.25</v>
      </c>
      <c r="R9" s="64">
        <f t="shared" si="1"/>
        <v>1.0662650602409638</v>
      </c>
      <c r="S9" s="65">
        <f>(SUMIFS(Tableau3[Rejets1],Tableau3[No Mois],MONTH($C$5),Tableau3[Année],YEAR($C$5),Tableau3[Machine],Rapport!$B9))+(SUMIFS(Tableau3[Rejets2],Tableau3[No Mois],MONTH($C$5),Tableau3[Année],YEAR($C$5),Tableau3[Machine],Rapport!$B9))</f>
        <v>3440</v>
      </c>
      <c r="T9" s="66">
        <f t="shared" si="2"/>
        <v>4.9300619124054118E-2</v>
      </c>
      <c r="U9" s="60">
        <f>SUMIFS(Tableau3[QTY Produite],Tableau3[Année],YEAR($C$5),Tableau3[Machine],Rapport!$B9)</f>
        <v>69776</v>
      </c>
      <c r="V9" s="132">
        <f>SUMIFS(Tableau3[Heures Macines],Tableau3[Année],YEAR($C$5),Tableau3[Machine],Rapport!$B9)</f>
        <v>41.5</v>
      </c>
      <c r="W9" s="146">
        <f>IFERROR(((U9/1000)*Liste!$B4)-V9,"0")</f>
        <v>-10.1008</v>
      </c>
      <c r="X9" s="62">
        <f>IFERROR(((U9/1000)*Liste!$B4)/V9,"0")</f>
        <v>0.75660722891566268</v>
      </c>
      <c r="Y9" s="63">
        <f>IFERROR(($U9/1000)*((1000/(AVERAGEIFS(Tableau3[Cadence],Tableau3[Année],YEAR($C$5),Tableau3[Machine],Rapport!$B9)))/60)/$V9,"0")</f>
        <v>0.80723222106533121</v>
      </c>
      <c r="Z9" s="61">
        <f>(SUMIFS(Tableau3[Temps Opé 1],Tableau3[Année],YEAR($C$5),Tableau3[Machine],Rapport!$B9))+(SUMIFS(Tableau3[Temps Opé 2],Tableau3[Année],YEAR($C$5),Tableau3[Machine],Rapport!$B9))</f>
        <v>44.25</v>
      </c>
      <c r="AA9" s="64">
        <f t="shared" si="3"/>
        <v>1.0662650602409638</v>
      </c>
      <c r="AB9" s="65">
        <f>(SUMIFS(Tableau3[Rejets1],Tableau3[Année],YEAR($C$5),Tableau3[Machine],Rapport!$B9))+(SUMIFS(Tableau3[Rejets2],Tableau3[Année],YEAR($C$5),Tableau3[Machine],Rapport!$B9))</f>
        <v>3440</v>
      </c>
      <c r="AC9" s="66">
        <f t="shared" si="4"/>
        <v>4.9300619124054118E-2</v>
      </c>
    </row>
    <row r="10" spans="1:29" ht="16.5" x14ac:dyDescent="0.25">
      <c r="A10" s="175"/>
      <c r="B10" s="59" t="str">
        <f>Liste!$A5</f>
        <v>21 (C1)</v>
      </c>
      <c r="C10" s="60">
        <f>SUMIFS(Tableau3[QTY Produite],Tableau3[Date],Rapport!$C$5,Tableau3[Machine],Rapport!$B10)</f>
        <v>13320</v>
      </c>
      <c r="D10" s="132">
        <f>SUMIFS(Tableau3[Heures Macines],Tableau3[Date],Rapport!$C$5,Tableau3[Machine],Rapport!$B10)</f>
        <v>8</v>
      </c>
      <c r="E10" s="143">
        <f>IFERROR(((C10/1000)*Liste!$B5)-D10,"0")</f>
        <v>-3.2047999999999996</v>
      </c>
      <c r="F10" s="62">
        <f>IFERROR((($C10/1000)*Liste!$B5)/$D10,"0")</f>
        <v>0.59940000000000004</v>
      </c>
      <c r="G10" s="63">
        <f>IFERROR(($C10/1000)*((1000/(AVERAGEIFS(Tableau3[Cadence],Tableau3[Date],Rapport!$C$5,Tableau3[Machine],Rapport!$B10)))/60)/$D10,"0")</f>
        <v>0.50454545454545452</v>
      </c>
      <c r="H10" s="61">
        <f>(SUMIFS(Tableau3[Temps Opé 1],Tableau3[Date],Rapport!$C$5,Tableau3[Machine],Rapport!$B10))+(SUMIFS(Tableau3[Temps Opé 2],Tableau3[Date],Rapport!$C$5,Tableau3[Machine],Rapport!$B10))</f>
        <v>8</v>
      </c>
      <c r="I10" s="64">
        <f t="shared" si="5"/>
        <v>1</v>
      </c>
      <c r="J10" s="65">
        <f>(SUMIFS(Tableau3[Rejets1],Tableau3[Date],Rapport!$C$5,Tableau3[Machine],Rapport!$B10))+(SUMIFS(Tableau3[Rejets2],Tableau3[Date],Rapport!$C$5,Tableau3[Machine],Rapport!$B10))</f>
        <v>2951</v>
      </c>
      <c r="K10" s="66">
        <f t="shared" si="0"/>
        <v>0.22154654654654654</v>
      </c>
      <c r="L10" s="60">
        <f>SUMIFS(Tableau3[QTY Produite],Tableau3[No Mois],MONTH($C$5),Tableau3[Année],YEAR($C$5),Tableau3[Machine],Rapport!$B10)</f>
        <v>387110</v>
      </c>
      <c r="M10" s="132">
        <f>SUMIFS(Tableau3[Heures Macines],Tableau3[No Mois],MONTH($C$5),Tableau3[Année],YEAR($C$5),Tableau3[Machine],Rapport!$B10)</f>
        <v>193.9</v>
      </c>
      <c r="N10" s="146">
        <f>IFERROR(((L10/1000)*Liste!$B5)-M10,"0")</f>
        <v>-54.540400000000005</v>
      </c>
      <c r="O10" s="62">
        <f>IFERROR(((L10/1000)*Liste!$B5)/M10,"0")</f>
        <v>0.71871892728210418</v>
      </c>
      <c r="P10" s="63">
        <f>IFERROR(($L10/1000)*((1000/(AVERAGEIFS(Tableau3[Cadence],Tableau3[No Mois],MONTH($C$5),Tableau3[Année],YEAR($C$5),Tableau3[Machine],Rapport!$B10)))/60)/$M10,"0")</f>
        <v>0.64663567706401914</v>
      </c>
      <c r="Q10" s="61">
        <f>(SUMIFS(Tableau3[Temps Opé 1],Tableau3[No Mois],MONTH($C$5),Tableau3[Année],YEAR($C$5),Tableau3[Machine],Rapport!$B10))+(SUMIFS(Tableau3[Temps Opé 2],Tableau3[No Mois],MONTH($C$5),Tableau3[Année],YEAR($C$5),Tableau3[Machine],Rapport!$B10))</f>
        <v>207.5</v>
      </c>
      <c r="R10" s="64">
        <f t="shared" si="1"/>
        <v>1.0701392470345539</v>
      </c>
      <c r="S10" s="65">
        <f>(SUMIFS(Tableau3[Rejets1],Tableau3[No Mois],MONTH($C$5),Tableau3[Année],YEAR($C$5),Tableau3[Machine],Rapport!$B10))+(SUMIFS(Tableau3[Rejets2],Tableau3[No Mois],MONTH($C$5),Tableau3[Année],YEAR($C$5),Tableau3[Machine],Rapport!$B10))</f>
        <v>37208</v>
      </c>
      <c r="T10" s="66">
        <f t="shared" si="2"/>
        <v>9.6117382656092584E-2</v>
      </c>
      <c r="U10" s="60">
        <f>SUMIFS(Tableau3[QTY Produite],Tableau3[Année],YEAR($C$5),Tableau3[Machine],Rapport!$B10)</f>
        <v>387110</v>
      </c>
      <c r="V10" s="132">
        <f>SUMIFS(Tableau3[Heures Macines],Tableau3[Année],YEAR($C$5),Tableau3[Machine],Rapport!$B10)</f>
        <v>193.9</v>
      </c>
      <c r="W10" s="146">
        <f>IFERROR(((U10/1000)*Liste!$B5)-V10,"0")</f>
        <v>-54.540400000000005</v>
      </c>
      <c r="X10" s="62">
        <f>IFERROR(((U10/1000)*Liste!$B5)/V10,"0")</f>
        <v>0.71871892728210418</v>
      </c>
      <c r="Y10" s="63">
        <f>IFERROR(($U10/1000)*((1000/(AVERAGEIFS(Tableau3[Cadence],Tableau3[Année],YEAR($C$5),Tableau3[Machine],Rapport!$B10)))/60)/$V10,"0")</f>
        <v>0.64663567706401914</v>
      </c>
      <c r="Z10" s="61">
        <f>(SUMIFS(Tableau3[Temps Opé 1],Tableau3[Année],YEAR($C$5),Tableau3[Machine],Rapport!$B10))+(SUMIFS(Tableau3[Temps Opé 2],Tableau3[Année],YEAR($C$5),Tableau3[Machine],Rapport!$B10))</f>
        <v>207.5</v>
      </c>
      <c r="AA10" s="64">
        <f t="shared" si="3"/>
        <v>1.0701392470345539</v>
      </c>
      <c r="AB10" s="65">
        <f>(SUMIFS(Tableau3[Rejets1],Tableau3[Année],YEAR($C$5),Tableau3[Machine],Rapport!$B10))+(SUMIFS(Tableau3[Rejets2],Tableau3[Année],YEAR($C$5),Tableau3[Machine],Rapport!$B10))</f>
        <v>37208</v>
      </c>
      <c r="AC10" s="66">
        <f t="shared" si="4"/>
        <v>9.6117382656092584E-2</v>
      </c>
    </row>
    <row r="11" spans="1:29" ht="16.5" x14ac:dyDescent="0.25">
      <c r="A11" s="175"/>
      <c r="B11" s="59" t="str">
        <f>Liste!$A6</f>
        <v>22 (C8)</v>
      </c>
      <c r="C11" s="60">
        <f>SUMIFS(Tableau3[QTY Produite],Tableau3[Date],Rapport!$C$5,Tableau3[Machine],Rapport!$B11)</f>
        <v>35280</v>
      </c>
      <c r="D11" s="132">
        <f>SUMIFS(Tableau3[Heures Macines],Tableau3[Date],Rapport!$C$5,Tableau3[Machine],Rapport!$B11)</f>
        <v>8</v>
      </c>
      <c r="E11" s="143">
        <f>IFERROR(((C11/1000)*Liste!$B6)-D11,"0")</f>
        <v>2.5839999999999996</v>
      </c>
      <c r="F11" s="62">
        <f>IFERROR((($C11/1000)*Liste!$B6)/$D11,"0")</f>
        <v>1.323</v>
      </c>
      <c r="G11" s="63">
        <f>IFERROR(($C11/1000)*((1000/(AVERAGEIFS(Tableau3[Cadence],Tableau3[Date],Rapport!$C$5,Tableau3[Machine],Rapport!$B11)))/60)/$D11,"0")</f>
        <v>0.91875000000000007</v>
      </c>
      <c r="H11" s="61">
        <f>(SUMIFS(Tableau3[Temps Opé 1],Tableau3[Date],Rapport!$C$5,Tableau3[Machine],Rapport!$B11))+(SUMIFS(Tableau3[Temps Opé 2],Tableau3[Date],Rapport!$C$5,Tableau3[Machine],Rapport!$B11))</f>
        <v>8</v>
      </c>
      <c r="I11" s="64">
        <f t="shared" si="5"/>
        <v>1</v>
      </c>
      <c r="J11" s="65">
        <f>(SUMIFS(Tableau3[Rejets1],Tableau3[Date],Rapport!$C$5,Tableau3[Machine],Rapport!$B11))+(SUMIFS(Tableau3[Rejets2],Tableau3[Date],Rapport!$C$5,Tableau3[Machine],Rapport!$B11))</f>
        <v>720</v>
      </c>
      <c r="K11" s="66">
        <f t="shared" si="0"/>
        <v>2.0408163265306121E-2</v>
      </c>
      <c r="L11" s="60">
        <f>SUMIFS(Tableau3[QTY Produite],Tableau3[No Mois],MONTH($C$5),Tableau3[Année],YEAR($C$5),Tableau3[Machine],Rapport!$B11)</f>
        <v>838800</v>
      </c>
      <c r="M11" s="132">
        <f>SUMIFS(Tableau3[Heures Macines],Tableau3[No Mois],MONTH($C$5),Tableau3[Année],YEAR($C$5),Tableau3[Machine],Rapport!$B11)</f>
        <v>219.5</v>
      </c>
      <c r="N11" s="146">
        <f>IFERROR(((L11/1000)*Liste!$B6)-M11,"0")</f>
        <v>32.139999999999986</v>
      </c>
      <c r="O11" s="62">
        <f>IFERROR(((L11/1000)*Liste!$B6)/M11,"0")</f>
        <v>1.1464236902050113</v>
      </c>
      <c r="P11" s="63">
        <f>IFERROR(($L11/1000)*((1000/(AVERAGEIFS(Tableau3[Cadence],Tableau3[No Mois],MONTH($C$5),Tableau3[Année],YEAR($C$5),Tableau3[Machine],Rapport!$B11)))/60)/$M11,"0")</f>
        <v>0.79979328185085197</v>
      </c>
      <c r="Q11" s="61">
        <f>(SUMIFS(Tableau3[Temps Opé 1],Tableau3[No Mois],MONTH($C$5),Tableau3[Année],YEAR($C$5),Tableau3[Machine],Rapport!$B11))+(SUMIFS(Tableau3[Temps Opé 2],Tableau3[No Mois],MONTH($C$5),Tableau3[Année],YEAR($C$5),Tableau3[Machine],Rapport!$B11))</f>
        <v>219.5</v>
      </c>
      <c r="R11" s="64">
        <f t="shared" si="1"/>
        <v>1</v>
      </c>
      <c r="S11" s="65">
        <f>(SUMIFS(Tableau3[Rejets1],Tableau3[No Mois],MONTH($C$5),Tableau3[Année],YEAR($C$5),Tableau3[Machine],Rapport!$B11))+(SUMIFS(Tableau3[Rejets2],Tableau3[No Mois],MONTH($C$5),Tableau3[Année],YEAR($C$5),Tableau3[Machine],Rapport!$B11))</f>
        <v>27608</v>
      </c>
      <c r="T11" s="66">
        <f t="shared" si="2"/>
        <v>3.2913686218407248E-2</v>
      </c>
      <c r="U11" s="60">
        <f>SUMIFS(Tableau3[QTY Produite],Tableau3[Année],YEAR($C$5),Tableau3[Machine],Rapport!$B11)</f>
        <v>838800</v>
      </c>
      <c r="V11" s="132">
        <f>SUMIFS(Tableau3[Heures Macines],Tableau3[Année],YEAR($C$5),Tableau3[Machine],Rapport!$B11)</f>
        <v>219.5</v>
      </c>
      <c r="W11" s="146">
        <f>IFERROR(((U11/1000)*Liste!$B6)-V11,"0")</f>
        <v>32.139999999999986</v>
      </c>
      <c r="X11" s="62">
        <f>IFERROR(((U11/1000)*Liste!$B6)/V11,"0")</f>
        <v>1.1464236902050113</v>
      </c>
      <c r="Y11" s="63">
        <f>IFERROR(($U11/1000)*((1000/(AVERAGEIFS(Tableau3[Cadence],Tableau3[Année],YEAR($C$5),Tableau3[Machine],Rapport!$B11)))/60)/$V11,"0")</f>
        <v>0.79979328185085197</v>
      </c>
      <c r="Z11" s="61">
        <f>(SUMIFS(Tableau3[Temps Opé 1],Tableau3[Année],YEAR($C$5),Tableau3[Machine],Rapport!$B11))+(SUMIFS(Tableau3[Temps Opé 2],Tableau3[Année],YEAR($C$5),Tableau3[Machine],Rapport!$B11))</f>
        <v>219.5</v>
      </c>
      <c r="AA11" s="64">
        <f t="shared" si="3"/>
        <v>1</v>
      </c>
      <c r="AB11" s="65">
        <f>(SUMIFS(Tableau3[Rejets1],Tableau3[Année],YEAR($C$5),Tableau3[Machine],Rapport!$B11))+(SUMIFS(Tableau3[Rejets2],Tableau3[Année],YEAR($C$5),Tableau3[Machine],Rapport!$B11))</f>
        <v>27608</v>
      </c>
      <c r="AC11" s="66">
        <f t="shared" si="4"/>
        <v>3.2913686218407248E-2</v>
      </c>
    </row>
    <row r="12" spans="1:29" ht="16.5" x14ac:dyDescent="0.25">
      <c r="A12" s="175"/>
      <c r="B12" s="59" t="str">
        <f>Liste!$A7</f>
        <v>31 (C4)</v>
      </c>
      <c r="C12" s="60">
        <f>SUMIFS(Tableau3[QTY Produite],Tableau3[Date],Rapport!$C$5,Tableau3[Machine],Rapport!$B12)</f>
        <v>0</v>
      </c>
      <c r="D12" s="132">
        <f>SUMIFS(Tableau3[Heures Macines],Tableau3[Date],Rapport!$C$5,Tableau3[Machine],Rapport!$B12)</f>
        <v>0</v>
      </c>
      <c r="E12" s="143">
        <f>IFERROR(((C12/1000)*Liste!$B7)-D12,"0")</f>
        <v>0</v>
      </c>
      <c r="F12" s="62" t="str">
        <f>IFERROR((($C12/1000)*Liste!$B7)/$D12,"0")</f>
        <v>0</v>
      </c>
      <c r="G12" s="63" t="str">
        <f>IFERROR(($C12/1000)*((1000/(AVERAGEIFS(Tableau3[Cadence],Tableau3[Date],Rapport!$C$5,Tableau3[Machine],Rapport!$B12)))/60)/$D12,"0")</f>
        <v>0</v>
      </c>
      <c r="H12" s="61">
        <f>(SUMIFS(Tableau3[Temps Opé 1],Tableau3[Date],Rapport!$C$5,Tableau3[Machine],Rapport!$B12))+(SUMIFS(Tableau3[Temps Opé 2],Tableau3[Date],Rapport!$C$5,Tableau3[Machine],Rapport!$B12))</f>
        <v>0</v>
      </c>
      <c r="I12" s="64" t="str">
        <f t="shared" si="5"/>
        <v>0</v>
      </c>
      <c r="J12" s="65">
        <f>(SUMIFS(Tableau3[Rejets1],Tableau3[Date],Rapport!$C$5,Tableau3[Machine],Rapport!$B12))+(SUMIFS(Tableau3[Rejets2],Tableau3[Date],Rapport!$C$5,Tableau3[Machine],Rapport!$B12))</f>
        <v>0</v>
      </c>
      <c r="K12" s="66" t="str">
        <f t="shared" si="0"/>
        <v>0</v>
      </c>
      <c r="L12" s="60">
        <f>SUMIFS(Tableau3[QTY Produite],Tableau3[No Mois],MONTH($C$5),Tableau3[Année],YEAR($C$5),Tableau3[Machine],Rapport!$B12)</f>
        <v>81174</v>
      </c>
      <c r="M12" s="132">
        <f>SUMIFS(Tableau3[Heures Macines],Tableau3[No Mois],MONTH($C$5),Tableau3[Année],YEAR($C$5),Tableau3[Machine],Rapport!$B12)</f>
        <v>48</v>
      </c>
      <c r="N12" s="146">
        <f>IFERROR(((L12/1000)*Liste!$B7)-M12,"0")</f>
        <v>-7.4129999999999967</v>
      </c>
      <c r="O12" s="62">
        <f>IFERROR(((L12/1000)*Liste!$B7)/M12,"0")</f>
        <v>0.84556250000000011</v>
      </c>
      <c r="P12" s="63">
        <f>IFERROR(($L12/1000)*((1000/(AVERAGEIFS(Tableau3[Cadence],Tableau3[No Mois],MONTH($C$5),Tableau3[Année],YEAR($C$5),Tableau3[Machine],Rapport!$B12)))/60)/$M12,"0")</f>
        <v>0.70463541666666674</v>
      </c>
      <c r="Q12" s="61">
        <f>(SUMIFS(Tableau3[Temps Opé 1],Tableau3[No Mois],MONTH($C$5),Tableau3[Année],YEAR($C$5),Tableau3[Machine],Rapport!$B12))+(SUMIFS(Tableau3[Temps Opé 2],Tableau3[No Mois],MONTH($C$5),Tableau3[Année],YEAR($C$5),Tableau3[Machine],Rapport!$B12))</f>
        <v>48</v>
      </c>
      <c r="R12" s="64">
        <f t="shared" si="1"/>
        <v>1</v>
      </c>
      <c r="S12" s="65">
        <f>(SUMIFS(Tableau3[Rejets1],Tableau3[No Mois],MONTH($C$5),Tableau3[Année],YEAR($C$5),Tableau3[Machine],Rapport!$B12))+(SUMIFS(Tableau3[Rejets2],Tableau3[No Mois],MONTH($C$5),Tableau3[Année],YEAR($C$5),Tableau3[Machine],Rapport!$B12))</f>
        <v>3569</v>
      </c>
      <c r="T12" s="66">
        <f t="shared" si="2"/>
        <v>4.396728016359918E-2</v>
      </c>
      <c r="U12" s="60">
        <f>SUMIFS(Tableau3[QTY Produite],Tableau3[Année],YEAR($C$5),Tableau3[Machine],Rapport!$B12)</f>
        <v>81174</v>
      </c>
      <c r="V12" s="132">
        <f>SUMIFS(Tableau3[Heures Macines],Tableau3[Année],YEAR($C$5),Tableau3[Machine],Rapport!$B12)</f>
        <v>48</v>
      </c>
      <c r="W12" s="146">
        <f>IFERROR(((U12/1000)*Liste!$B7)-V12,"0")</f>
        <v>-7.4129999999999967</v>
      </c>
      <c r="X12" s="62">
        <f>IFERROR(((U12/1000)*Liste!$B7)/V12,"0")</f>
        <v>0.84556250000000011</v>
      </c>
      <c r="Y12" s="63">
        <f>IFERROR(($U12/1000)*((1000/(AVERAGEIFS(Tableau3[Cadence],Tableau3[Année],YEAR($C$5),Tableau3[Machine],Rapport!$B12)))/60)/$V12,"0")</f>
        <v>0.70463541666666674</v>
      </c>
      <c r="Z12" s="61">
        <f>(SUMIFS(Tableau3[Temps Opé 1],Tableau3[Année],YEAR($C$5),Tableau3[Machine],Rapport!$B12))+(SUMIFS(Tableau3[Temps Opé 2],Tableau3[Année],YEAR($C$5),Tableau3[Machine],Rapport!$B12))</f>
        <v>48</v>
      </c>
      <c r="AA12" s="64">
        <f t="shared" si="3"/>
        <v>1</v>
      </c>
      <c r="AB12" s="65">
        <f>(SUMIFS(Tableau3[Rejets1],Tableau3[Année],YEAR($C$5),Tableau3[Machine],Rapport!$B12))+(SUMIFS(Tableau3[Rejets2],Tableau3[Année],YEAR($C$5),Tableau3[Machine],Rapport!$B12))</f>
        <v>3569</v>
      </c>
      <c r="AC12" s="66">
        <f t="shared" si="4"/>
        <v>4.396728016359918E-2</v>
      </c>
    </row>
    <row r="13" spans="1:29" ht="16.5" x14ac:dyDescent="0.25">
      <c r="A13" s="175"/>
      <c r="B13" s="59" t="str">
        <f>Liste!$A8</f>
        <v>32 (C7)</v>
      </c>
      <c r="C13" s="60">
        <f>SUMIFS(Tableau3[QTY Produite],Tableau3[Date],Rapport!$C$5,Tableau3[Machine],Rapport!$B13)</f>
        <v>0</v>
      </c>
      <c r="D13" s="132">
        <f>SUMIFS(Tableau3[Heures Macines],Tableau3[Date],Rapport!$C$5,Tableau3[Machine],Rapport!$B13)</f>
        <v>0</v>
      </c>
      <c r="E13" s="143">
        <f>IFERROR(((C13/1000)*Liste!$B8)-D13,"0")</f>
        <v>0</v>
      </c>
      <c r="F13" s="62" t="str">
        <f>IFERROR((($C13/1000)*Liste!$B8)/$D13,"0")</f>
        <v>0</v>
      </c>
      <c r="G13" s="63" t="str">
        <f>IFERROR(($C13/1000)*((1000/(AVERAGEIFS(Tableau3[Cadence],Tableau3[Date],Rapport!$C$5,Tableau3[Machine],Rapport!$B13)))/60)/$D13,"0")</f>
        <v>0</v>
      </c>
      <c r="H13" s="61">
        <f>(SUMIFS(Tableau3[Temps Opé 1],Tableau3[Date],Rapport!$C$5,Tableau3[Machine],Rapport!$B13))+(SUMIFS(Tableau3[Temps Opé 2],Tableau3[Date],Rapport!$C$5,Tableau3[Machine],Rapport!$B13))</f>
        <v>0</v>
      </c>
      <c r="I13" s="64" t="str">
        <f t="shared" si="5"/>
        <v>0</v>
      </c>
      <c r="J13" s="65">
        <f>(SUMIFS(Tableau3[Rejets1],Tableau3[Date],Rapport!$C$5,Tableau3[Machine],Rapport!$B13))+(SUMIFS(Tableau3[Rejets2],Tableau3[Date],Rapport!$C$5,Tableau3[Machine],Rapport!$B13))</f>
        <v>0</v>
      </c>
      <c r="K13" s="66" t="str">
        <f t="shared" si="0"/>
        <v>0</v>
      </c>
      <c r="L13" s="60">
        <f>SUMIFS(Tableau3[QTY Produite],Tableau3[No Mois],MONTH($C$5),Tableau3[Année],YEAR($C$5),Tableau3[Machine],Rapport!$B13)</f>
        <v>76454</v>
      </c>
      <c r="M13" s="132">
        <f>SUMIFS(Tableau3[Heures Macines],Tableau3[No Mois],MONTH($C$5),Tableau3[Année],YEAR($C$5),Tableau3[Machine],Rapport!$B13)</f>
        <v>88</v>
      </c>
      <c r="N13" s="146">
        <f>IFERROR(((L13/1000)*Liste!$B8)-M13,"0")</f>
        <v>-49.773000000000003</v>
      </c>
      <c r="O13" s="62">
        <f>IFERROR(((L13/1000)*Liste!$B8)/M13,"0")</f>
        <v>0.43439772727272724</v>
      </c>
      <c r="P13" s="63">
        <f>IFERROR(($L13/1000)*((1000/(AVERAGEIFS(Tableau3[Cadence],Tableau3[No Mois],MONTH($C$5),Tableau3[Année],YEAR($C$5),Tableau3[Machine],Rapport!$B13)))/60)/$M13,"0")</f>
        <v>0.35395370370370371</v>
      </c>
      <c r="Q13" s="61">
        <f>(SUMIFS(Tableau3[Temps Opé 1],Tableau3[No Mois],MONTH($C$5),Tableau3[Année],YEAR($C$5),Tableau3[Machine],Rapport!$B13))+(SUMIFS(Tableau3[Temps Opé 2],Tableau3[No Mois],MONTH($C$5),Tableau3[Année],YEAR($C$5),Tableau3[Machine],Rapport!$B13))</f>
        <v>88</v>
      </c>
      <c r="R13" s="64">
        <f t="shared" si="1"/>
        <v>1</v>
      </c>
      <c r="S13" s="65">
        <f>(SUMIFS(Tableau3[Rejets1],Tableau3[No Mois],MONTH($C$5),Tableau3[Année],YEAR($C$5),Tableau3[Machine],Rapport!$B13))+(SUMIFS(Tableau3[Rejets2],Tableau3[No Mois],MONTH($C$5),Tableau3[Année],YEAR($C$5),Tableau3[Machine],Rapport!$B13))</f>
        <v>13034</v>
      </c>
      <c r="T13" s="66">
        <f t="shared" si="2"/>
        <v>0.17048159677714705</v>
      </c>
      <c r="U13" s="60">
        <f>SUMIFS(Tableau3[QTY Produite],Tableau3[Année],YEAR($C$5),Tableau3[Machine],Rapport!$B13)</f>
        <v>76454</v>
      </c>
      <c r="V13" s="132">
        <f>SUMIFS(Tableau3[Heures Macines],Tableau3[Année],YEAR($C$5),Tableau3[Machine],Rapport!$B13)</f>
        <v>88</v>
      </c>
      <c r="W13" s="146">
        <f>IFERROR(((U13/1000)*Liste!$B8)-V13,"0")</f>
        <v>-49.773000000000003</v>
      </c>
      <c r="X13" s="62">
        <f>IFERROR(((U13/1000)*Liste!$B8)/V13,"0")</f>
        <v>0.43439772727272724</v>
      </c>
      <c r="Y13" s="63">
        <f>IFERROR(($U13/1000)*((1000/(AVERAGEIFS(Tableau3[Cadence],Tableau3[Année],YEAR($C$5),Tableau3[Machine],Rapport!$B13)))/60)/$V13,"0")</f>
        <v>0.35395370370370371</v>
      </c>
      <c r="Z13" s="61">
        <f>(SUMIFS(Tableau3[Temps Opé 1],Tableau3[Année],YEAR($C$5),Tableau3[Machine],Rapport!$B13))+(SUMIFS(Tableau3[Temps Opé 2],Tableau3[Année],YEAR($C$5),Tableau3[Machine],Rapport!$B13))</f>
        <v>88</v>
      </c>
      <c r="AA13" s="64">
        <f t="shared" si="3"/>
        <v>1</v>
      </c>
      <c r="AB13" s="65">
        <f>(SUMIFS(Tableau3[Rejets1],Tableau3[Année],YEAR($C$5),Tableau3[Machine],Rapport!$B13))+(SUMIFS(Tableau3[Rejets2],Tableau3[Année],YEAR($C$5),Tableau3[Machine],Rapport!$B13))</f>
        <v>13034</v>
      </c>
      <c r="AC13" s="66">
        <f t="shared" si="4"/>
        <v>0.17048159677714705</v>
      </c>
    </row>
    <row r="14" spans="1:29" ht="17.25" thickBot="1" x14ac:dyDescent="0.3">
      <c r="A14" s="176"/>
      <c r="B14" s="59" t="str">
        <f>Liste!$A9</f>
        <v>41 (L1)</v>
      </c>
      <c r="C14" s="133">
        <f>SUMIFS(Tableau3[QTY Produite],Tableau3[Date],Rapport!$C$5,Tableau3[Machine],Rapport!$B14)</f>
        <v>0</v>
      </c>
      <c r="D14" s="134">
        <f>SUMIFS(Tableau3[Heures Macines],Tableau3[Date],Rapport!$C$5,Tableau3[Machine],Rapport!$B14)</f>
        <v>0</v>
      </c>
      <c r="E14" s="143">
        <f>IFERROR(((C14/1000)*Liste!$B9)-D14,"0")</f>
        <v>0</v>
      </c>
      <c r="F14" s="62" t="str">
        <f>IFERROR((($C14/1000)*Liste!$B9)/$D14,"0")</f>
        <v>0</v>
      </c>
      <c r="G14" s="63" t="str">
        <f>IFERROR(($C14/1000)*((1000/(AVERAGEIFS(Tableau3[Cadence],Tableau3[Date],Rapport!$C$5,Tableau3[Machine],Rapport!$B14)))/60)/$D14,"0")</f>
        <v>0</v>
      </c>
      <c r="H14" s="61">
        <f>(SUMIFS(Tableau3[Temps Opé 1],Tableau3[Date],Rapport!$C$5,Tableau3[Machine],Rapport!$B14))+(SUMIFS(Tableau3[Temps Opé 2],Tableau3[Date],Rapport!$C$5,Tableau3[Machine],Rapport!$B14))</f>
        <v>0</v>
      </c>
      <c r="I14" s="64" t="str">
        <f t="shared" si="5"/>
        <v>0</v>
      </c>
      <c r="J14" s="65">
        <f>(SUMIFS(Tableau3[Rejets1],Tableau3[Date],Rapport!$C$5,Tableau3[Machine],Rapport!$B14))+(SUMIFS(Tableau3[Rejets2],Tableau3[Date],Rapport!$C$5,Tableau3[Machine],Rapport!$B14))</f>
        <v>0</v>
      </c>
      <c r="K14" s="66" t="str">
        <f t="shared" si="0"/>
        <v>0</v>
      </c>
      <c r="L14" s="60">
        <f>SUMIFS(Tableau3[QTY Produite],Tableau3[No Mois],MONTH($C$5),Tableau3[Année],YEAR($C$5),Tableau3[Machine],Rapport!$B14)</f>
        <v>52994</v>
      </c>
      <c r="M14" s="132">
        <f>SUMIFS(Tableau3[Heures Macines],Tableau3[No Mois],MONTH($C$5),Tableau3[Année],YEAR($C$5),Tableau3[Machine],Rapport!$B14)</f>
        <v>32</v>
      </c>
      <c r="N14" s="146">
        <f>IFERROR(((L14/1000)*Liste!$B9)-M14,"0")</f>
        <v>-13.452100000000002</v>
      </c>
      <c r="O14" s="62">
        <f>IFERROR(((L14/1000)*Liste!$B9)/M14,"0")</f>
        <v>0.57962187499999995</v>
      </c>
      <c r="P14" s="63">
        <f>IFERROR(($L14/1000)*((1000/(AVERAGEIFS(Tableau3[Cadence],Tableau3[No Mois],MONTH($C$5),Tableau3[Année],YEAR($C$5),Tableau3[Machine],Rapport!$B14)))/60)/$M14,"0")</f>
        <v>0.59448397435897427</v>
      </c>
      <c r="Q14" s="61">
        <f>(SUMIFS(Tableau3[Temps Opé 1],Tableau3[No Mois],MONTH($C$5),Tableau3[Année],YEAR($C$5),Tableau3[Machine],Rapport!$B14))+(SUMIFS(Tableau3[Temps Opé 2],Tableau3[No Mois],MONTH($C$5),Tableau3[Année],YEAR($C$5),Tableau3[Machine],Rapport!$B14))</f>
        <v>48</v>
      </c>
      <c r="R14" s="64">
        <f t="shared" si="1"/>
        <v>1.5</v>
      </c>
      <c r="S14" s="65">
        <f>(SUMIFS(Tableau3[Rejets1],Tableau3[No Mois],MONTH($C$5),Tableau3[Année],YEAR($C$5),Tableau3[Machine],Rapport!$B14))+(SUMIFS(Tableau3[Rejets2],Tableau3[No Mois],MONTH($C$5),Tableau3[Année],YEAR($C$5),Tableau3[Machine],Rapport!$B14))</f>
        <v>2561</v>
      </c>
      <c r="T14" s="66">
        <f t="shared" si="2"/>
        <v>4.8326225610446465E-2</v>
      </c>
      <c r="U14" s="60">
        <f>SUMIFS(Tableau3[QTY Produite],Tableau3[Année],YEAR($C$5),Tableau3[Machine],Rapport!$B14)</f>
        <v>52994</v>
      </c>
      <c r="V14" s="132">
        <f>SUMIFS(Tableau3[Heures Macines],Tableau3[Année],YEAR($C$5),Tableau3[Machine],Rapport!$B14)</f>
        <v>32</v>
      </c>
      <c r="W14" s="146">
        <f>IFERROR(((U14/1000)*Liste!$B9)-V14,"0")</f>
        <v>-13.452100000000002</v>
      </c>
      <c r="X14" s="62">
        <f>IFERROR(((U14/1000)*Liste!$B9)/V14,"0")</f>
        <v>0.57962187499999995</v>
      </c>
      <c r="Y14" s="63">
        <f>IFERROR(($U14/1000)*((1000/(AVERAGEIFS(Tableau3[Cadence],Tableau3[Année],YEAR($C$5),Tableau3[Machine],Rapport!$B14)))/60)/$V14,"0")</f>
        <v>0.59448397435897427</v>
      </c>
      <c r="Z14" s="61">
        <f>(SUMIFS(Tableau3[Temps Opé 1],Tableau3[Année],YEAR($C$5),Tableau3[Machine],Rapport!$B14))+(SUMIFS(Tableau3[Temps Opé 2],Tableau3[Année],YEAR($C$5),Tableau3[Machine],Rapport!$B14))</f>
        <v>48</v>
      </c>
      <c r="AA14" s="64">
        <f t="shared" si="3"/>
        <v>1.5</v>
      </c>
      <c r="AB14" s="65">
        <f>(SUMIFS(Tableau3[Rejets1],Tableau3[Année],YEAR($C$5),Tableau3[Machine],Rapport!$B14))+(SUMIFS(Tableau3[Rejets2],Tableau3[Année],YEAR($C$5),Tableau3[Machine],Rapport!$B14))</f>
        <v>2561</v>
      </c>
      <c r="AC14" s="66">
        <f t="shared" si="4"/>
        <v>4.8326225610446465E-2</v>
      </c>
    </row>
    <row r="15" spans="1:29" ht="15.75" thickBot="1" x14ac:dyDescent="0.3">
      <c r="A15" s="67" t="s">
        <v>79</v>
      </c>
      <c r="B15" s="68" t="s">
        <v>78</v>
      </c>
      <c r="C15" s="69">
        <f>SUM(C7:C14)</f>
        <v>57031</v>
      </c>
      <c r="D15" s="72">
        <f>SUM(D7:D14)</f>
        <v>22.75</v>
      </c>
      <c r="E15" s="144">
        <f>SUM(E7:E14)</f>
        <v>-3.5768500000000003</v>
      </c>
      <c r="F15" s="70">
        <f>IFERROR(((IFERROR((C7/1000)*Liste!$B$2,""))+(IFERROR((C8/1000)*Liste!$B$3,""))+(IFERROR((C9/1000)*Liste!$B$4,""))+(IFERROR((C10/1000)*Liste!$B$5,""))+(IFERROR((C11/1000)*Liste!$B$6,""))+(IFERROR((C12/1000)*Liste!$B$7,""))+(IFERROR((C13/1000)*Liste!$B$8,""))+(IFERROR((C14/1000)*Liste!$B$9,"")))/D15,"0")</f>
        <v>0.8427758241758242</v>
      </c>
      <c r="G15" s="70">
        <f>IFERROR(AVERAGE(G7:G14),"0")</f>
        <v>0.69879261363636369</v>
      </c>
      <c r="H15" s="71">
        <f>SUM(H7:H14)</f>
        <v>25.5</v>
      </c>
      <c r="I15" s="72">
        <f>IFERROR(H15/D15,"0")</f>
        <v>1.1208791208791209</v>
      </c>
      <c r="J15" s="73">
        <f>SUM(J7:J14)</f>
        <v>4393</v>
      </c>
      <c r="K15" s="74">
        <f>IFERROR(J15/C15,"0")</f>
        <v>7.7028282863705708E-2</v>
      </c>
      <c r="L15" s="69">
        <f>SUM(L7:L14)</f>
        <v>1784277</v>
      </c>
      <c r="M15" s="72">
        <f>SUM(M7:M14)</f>
        <v>799.55</v>
      </c>
      <c r="N15" s="144">
        <f>SUM(N7:N14)</f>
        <v>-154.70325000000003</v>
      </c>
      <c r="O15" s="70">
        <f>IFERROR(((IFERROR((L7/1000)*Liste!$B$2,""))+(IFERROR((L8/1000)*Liste!$B$3,""))+(IFERROR((L9/1000)*Liste!$B$4,""))+(IFERROR((L10/1000)*Liste!$B$5,""))+(IFERROR((L11/1000)*Liste!$B$6,""))+(IFERROR((L12/1000)*Liste!$B$7,""))+(IFERROR((L13/1000)*Liste!$B$8,""))+(IFERROR((L14/1000)*Liste!$B$9,"")))/M15,"0")</f>
        <v>0.80651210055656319</v>
      </c>
      <c r="P15" s="70">
        <f>IFERROR(AVERAGE(P7:P14),"0")</f>
        <v>0.67386124047735707</v>
      </c>
      <c r="Q15" s="71">
        <f>SUM(Q7:Q14)</f>
        <v>833.65</v>
      </c>
      <c r="R15" s="72">
        <f t="shared" si="1"/>
        <v>1.0426489900569071</v>
      </c>
      <c r="S15" s="73">
        <f>SUM(S7:S14)</f>
        <v>103142</v>
      </c>
      <c r="T15" s="74">
        <f>IFERROR(S15/L15,"0")</f>
        <v>5.7806046931053866E-2</v>
      </c>
      <c r="U15" s="69">
        <f>SUM(U7:U14)</f>
        <v>1784277</v>
      </c>
      <c r="V15" s="72">
        <f>SUM(V7:V14)</f>
        <v>799.55</v>
      </c>
      <c r="W15" s="144">
        <f>SUM(W7:W14)</f>
        <v>-154.70325000000003</v>
      </c>
      <c r="X15" s="70">
        <f>IFERROR(((IFERROR((U7/1000)*Liste!$B$2,""))+(IFERROR((U8/1000)*Liste!$B$3,""))+(IFERROR((U9/1000)*Liste!$B$4,""))+(IFERROR((U10/1000)*Liste!$B$5,""))+(IFERROR((U11/1000)*Liste!$B$6,""))+(IFERROR((U12/1000)*Liste!$B$7,""))+(IFERROR((U13/1000)*Liste!$B$8,""))+(IFERROR((U14/1000)*Liste!$B$9,"")))/V15,"0")</f>
        <v>0.80651210055656319</v>
      </c>
      <c r="Y15" s="70">
        <f>IFERROR(AVERAGE(Y7:Y14),"0")</f>
        <v>0.67386124047735707</v>
      </c>
      <c r="Z15" s="71">
        <f>SUM(Z7:Z14)</f>
        <v>833.65</v>
      </c>
      <c r="AA15" s="72">
        <f t="shared" si="3"/>
        <v>1.0426489900569071</v>
      </c>
      <c r="AB15" s="73">
        <f>SUM(AB7:AB14)</f>
        <v>103142</v>
      </c>
      <c r="AC15" s="74">
        <f>IFERROR(AB15/U15,"0")</f>
        <v>5.7806046931053866E-2</v>
      </c>
    </row>
    <row r="16" spans="1:29" ht="16.5" x14ac:dyDescent="0.25">
      <c r="A16" s="177" t="s">
        <v>80</v>
      </c>
      <c r="B16" s="59" t="str">
        <f>Liste!$A10</f>
        <v>51 (B3)</v>
      </c>
      <c r="C16" s="60">
        <f>SUMIFS(Tableau3[QTY Produite],Tableau3[Date],Rapport!$C$5,Tableau3[Machine],Rapport!$B16)</f>
        <v>0</v>
      </c>
      <c r="D16" s="132">
        <f>SUMIFS(Tableau3[Heures Macines],Tableau3[Date],Rapport!$C$5,Tableau3[Machine],Rapport!$B16)</f>
        <v>0</v>
      </c>
      <c r="E16" s="143">
        <f>IFERROR((($C16/1000)*Liste!$B10)-D16,"0")</f>
        <v>0</v>
      </c>
      <c r="F16" s="62" t="str">
        <f>IFERROR((($C16/1000)*Liste!$B10)/$D16,"0")</f>
        <v>0</v>
      </c>
      <c r="G16" s="75"/>
      <c r="H16" s="61">
        <f>(SUMIFS(Tableau3[Temps Opé 1],Tableau3[Date],Rapport!$C$5,Tableau3[Machine],Rapport!$B16))+(SUMIFS(Tableau3[Temps Opé 2],Tableau3[Date],Rapport!$C$5,Tableau3[Machine],Rapport!$B16))</f>
        <v>0</v>
      </c>
      <c r="I16" s="64" t="str">
        <f>IFERROR($H16/$D16,"0")</f>
        <v>0</v>
      </c>
      <c r="J16" s="65">
        <f>(SUMIFS(Tableau3[Rejets1],Tableau3[Date],Rapport!$C$5,Tableau3[Machine],Rapport!$B16))+(SUMIFS(Tableau3[Rejets2],Tableau3[Date],Rapport!$C$5,Tableau3[Machine],Rapport!$B16))</f>
        <v>0</v>
      </c>
      <c r="K16" s="66" t="str">
        <f>IFERROR(J16/C16,"0")</f>
        <v>0</v>
      </c>
      <c r="L16" s="60">
        <f>SUMIFS(Tableau3[QTY Produite],Tableau3[No Mois],MONTH($C$5),Tableau3[Année],YEAR($C$5),Tableau3[Machine],Rapport!$B16)</f>
        <v>63492</v>
      </c>
      <c r="M16" s="132">
        <f>SUMIFS(Tableau3[Heures Macines],Tableau3[No Mois],MONTH($C$5),Tableau3[Année],YEAR($C$5),Tableau3[Machine],Rapport!$B16)</f>
        <v>34.25</v>
      </c>
      <c r="N16" s="146">
        <f>IFERROR(((L16/1000)*Liste!$B10)-M16,"0")</f>
        <v>-8.8532000000000011</v>
      </c>
      <c r="O16" s="62">
        <f>IFERROR(((L16/1000)*Liste!$B10)/M16,"0")</f>
        <v>0.74151240875912405</v>
      </c>
      <c r="P16" s="75"/>
      <c r="Q16" s="61">
        <f>(SUMIFS(Tableau3[Temps Opé 1],Tableau3[No Mois],MONTH($C$5),Tableau3[Année],YEAR($C$5),Tableau3[Machine],Rapport!$B16))+(SUMIFS(Tableau3[Temps Opé 2],Tableau3[No Mois],MONTH($C$5),Tableau3[Année],YEAR($C$5),Tableau3[Machine],Rapport!$B16))</f>
        <v>34.25</v>
      </c>
      <c r="R16" s="64">
        <f t="shared" si="1"/>
        <v>1</v>
      </c>
      <c r="S16" s="65">
        <f>(SUMIFS(Tableau3[Rejets1],Tableau3[No Mois],MONTH($C$5),Tableau3[Année],YEAR($C$5),Tableau3[Machine],Rapport!$B16))+(SUMIFS(Tableau3[Rejets2],Tableau3[No Mois],MONTH($C$5),Tableau3[Année],YEAR($C$5),Tableau3[Machine],Rapport!$B16))</f>
        <v>340</v>
      </c>
      <c r="T16" s="66">
        <f>IFERROR(S16/L16,"0")</f>
        <v>5.3550053550053553E-3</v>
      </c>
      <c r="U16" s="60">
        <f>SUMIFS(Tableau3[QTY Produite],Tableau3[Année],YEAR($C$5),Tableau3[Machine],Rapport!$B16)</f>
        <v>63492</v>
      </c>
      <c r="V16" s="132">
        <f>SUMIFS(Tableau3[Heures Macines],Tableau3[Année],YEAR($C$5),Tableau3[Machine],Rapport!$B16)</f>
        <v>34.25</v>
      </c>
      <c r="W16" s="146">
        <f>IFERROR(((U16/1000)*Liste!$B10)-V16,"0")</f>
        <v>-8.8532000000000011</v>
      </c>
      <c r="X16" s="62">
        <f>IFERROR(((U16/1000)*Liste!$B10)/V16,"0")</f>
        <v>0.74151240875912405</v>
      </c>
      <c r="Y16" s="75"/>
      <c r="Z16" s="61">
        <f>(SUMIFS(Tableau3[Temps Opé 1],Tableau3[Année],YEAR($C$5),Tableau3[Machine],Rapport!$B16))+(SUMIFS(Tableau3[Temps Opé 2],Tableau3[Année],YEAR($C$5),Tableau3[Machine],Rapport!$B16))</f>
        <v>34.25</v>
      </c>
      <c r="AA16" s="64">
        <f t="shared" si="3"/>
        <v>1</v>
      </c>
      <c r="AB16" s="65">
        <f>(SUMIFS(Tableau3[Rejets1],Tableau3[Année],YEAR($C$5),Tableau3[Machine],Rapport!$B16))+(SUMIFS(Tableau3[Rejets2],Tableau3[Année],YEAR($C$5),Tableau3[Machine],Rapport!$B16))</f>
        <v>340</v>
      </c>
      <c r="AC16" s="66">
        <f>IFERROR(AB16/U16,"0")</f>
        <v>5.3550053550053553E-3</v>
      </c>
    </row>
    <row r="17" spans="1:29" ht="16.5" x14ac:dyDescent="0.25">
      <c r="A17" s="175"/>
      <c r="B17" s="59" t="str">
        <f>Liste!$A11</f>
        <v>61 (P4)</v>
      </c>
      <c r="C17" s="60">
        <f>SUMIFS(Tableau3[QTY Produite],Tableau3[Date],Rapport!$C$5,Tableau3[Machine],Rapport!$B17)</f>
        <v>0</v>
      </c>
      <c r="D17" s="132">
        <f>SUMIFS(Tableau3[Heures Macines],Tableau3[Date],Rapport!$C$5,Tableau3[Machine],Rapport!$B17)</f>
        <v>0</v>
      </c>
      <c r="E17" s="143">
        <f>IFERROR((($C17/1000)*Liste!$B11)-D17,"0")</f>
        <v>0</v>
      </c>
      <c r="F17" s="62" t="str">
        <f>IFERROR((($C17/1000)*Liste!$B11)/$D17,"0")</f>
        <v>0</v>
      </c>
      <c r="G17" s="63" t="str">
        <f>IFERROR(($C17/1000)*((1000/(AVERAGEIFS(Tableau3[Cadence],Tableau3[Date],Rapport!$C$5,Tableau3[Machine],Rapport!$B17)))/60)/$D17,"0")</f>
        <v>0</v>
      </c>
      <c r="H17" s="61">
        <f>(SUMIFS(Tableau3[Temps Opé 1],Tableau3[Date],Rapport!$C$5,Tableau3[Machine],Rapport!$B17))+(SUMIFS(Tableau3[Temps Opé 2],Tableau3[Date],Rapport!$C$5,Tableau3[Machine],Rapport!$B17))</f>
        <v>0</v>
      </c>
      <c r="I17" s="64" t="str">
        <f t="shared" ref="I17:I25" si="6">IFERROR($H17/$D17,"0")</f>
        <v>0</v>
      </c>
      <c r="J17" s="65">
        <f>(SUMIFS(Tableau3[Rejets1],Tableau3[Date],Rapport!$C$5,Tableau3[Machine],Rapport!$B17))+(SUMIFS(Tableau3[Rejets2],Tableau3[Date],Rapport!$C$5,Tableau3[Machine],Rapport!$B17))</f>
        <v>0</v>
      </c>
      <c r="K17" s="66" t="str">
        <f t="shared" ref="K17:K25" si="7">IFERROR(J17/C17,"0")</f>
        <v>0</v>
      </c>
      <c r="L17" s="60">
        <f>SUMIFS(Tableau3[QTY Produite],Tableau3[No Mois],MONTH($C$5),Tableau3[Année],YEAR($C$5),Tableau3[Machine],Rapport!$B17)</f>
        <v>323760</v>
      </c>
      <c r="M17" s="132">
        <f>SUMIFS(Tableau3[Heures Macines],Tableau3[No Mois],MONTH($C$5),Tableau3[Année],YEAR($C$5),Tableau3[Machine],Rapport!$B17)</f>
        <v>104.5</v>
      </c>
      <c r="N17" s="146">
        <f>IFERROR(((L17/1000)*Liste!$B11)-M17,"0")</f>
        <v>25.003999999999991</v>
      </c>
      <c r="O17" s="62">
        <f>IFERROR(((L17/1000)*Liste!$B11)/M17,"0")</f>
        <v>1.2392727272727271</v>
      </c>
      <c r="P17" s="63">
        <f>IFERROR(($L17/1000)*((1000/(AVERAGEIFS(Tableau3[Cadence],Tableau3[No Mois],MONTH($C$5),Tableau3[Année],YEAR($C$5),Tableau3[Machine],Rapport!$B17)))/60)/$M17,"0")</f>
        <v>0.61716769286490392</v>
      </c>
      <c r="Q17" s="61">
        <f>(SUMIFS(Tableau3[Temps Opé 1],Tableau3[No Mois],MONTH($C$5),Tableau3[Année],YEAR($C$5),Tableau3[Machine],Rapport!$B17))+(SUMIFS(Tableau3[Temps Opé 2],Tableau3[No Mois],MONTH($C$5),Tableau3[Année],YEAR($C$5),Tableau3[Machine],Rapport!$B17))</f>
        <v>104.5</v>
      </c>
      <c r="R17" s="64">
        <f t="shared" si="1"/>
        <v>1</v>
      </c>
      <c r="S17" s="65">
        <f>(SUMIFS(Tableau3[Rejets1],Tableau3[No Mois],MONTH($C$5),Tableau3[Année],YEAR($C$5),Tableau3[Machine],Rapport!$B17))+(SUMIFS(Tableau3[Rejets2],Tableau3[No Mois],MONTH($C$5),Tableau3[Année],YEAR($C$5),Tableau3[Machine],Rapport!$B17))</f>
        <v>13033</v>
      </c>
      <c r="T17" s="66">
        <f t="shared" ref="T17:T25" si="8">IFERROR(S17/L17,"0")</f>
        <v>4.0255127254756613E-2</v>
      </c>
      <c r="U17" s="60">
        <f>SUMIFS(Tableau3[QTY Produite],Tableau3[Année],YEAR($C$5),Tableau3[Machine],Rapport!$B17)</f>
        <v>323760</v>
      </c>
      <c r="V17" s="132">
        <f>SUMIFS(Tableau3[Heures Macines],Tableau3[Année],YEAR($C$5),Tableau3[Machine],Rapport!$B17)</f>
        <v>104.5</v>
      </c>
      <c r="W17" s="146">
        <f>IFERROR(((U17/1000)*Liste!$B11)-V17,"0")</f>
        <v>25.003999999999991</v>
      </c>
      <c r="X17" s="62">
        <f>IFERROR(((U17/1000)*Liste!$B11)/V17,"0")</f>
        <v>1.2392727272727271</v>
      </c>
      <c r="Y17" s="63">
        <f>IFERROR(($U17/1000)*((1000/(AVERAGEIFS(Tableau3[Cadence],Tableau3[Année],YEAR($C$5),Tableau3[Machine],Rapport!$B17)))/60)/$V17,"0")</f>
        <v>0.61716769286490392</v>
      </c>
      <c r="Z17" s="61">
        <f>(SUMIFS(Tableau3[Temps Opé 1],Tableau3[Année],YEAR($C$5),Tableau3[Machine],Rapport!$B17))+(SUMIFS(Tableau3[Temps Opé 2],Tableau3[Année],YEAR($C$5),Tableau3[Machine],Rapport!$B17))</f>
        <v>104.5</v>
      </c>
      <c r="AA17" s="64">
        <f t="shared" si="3"/>
        <v>1</v>
      </c>
      <c r="AB17" s="65">
        <f>(SUMIFS(Tableau3[Rejets1],Tableau3[Année],YEAR($C$5),Tableau3[Machine],Rapport!$B17))+(SUMIFS(Tableau3[Rejets2],Tableau3[Année],YEAR($C$5),Tableau3[Machine],Rapport!$B17))</f>
        <v>13033</v>
      </c>
      <c r="AC17" s="66">
        <f t="shared" ref="AC17:AC25" si="9">IFERROR(AB17/U17,"0")</f>
        <v>4.0255127254756613E-2</v>
      </c>
    </row>
    <row r="18" spans="1:29" ht="16.5" x14ac:dyDescent="0.25">
      <c r="A18" s="175"/>
      <c r="B18" s="59" t="str">
        <f>Liste!$A12</f>
        <v>62 (P5)</v>
      </c>
      <c r="C18" s="60">
        <f>SUMIFS(Tableau3[QTY Produite],Tableau3[Date],Rapport!$C$5,Tableau3[Machine],Rapport!$B18)</f>
        <v>6993</v>
      </c>
      <c r="D18" s="132">
        <f>SUMIFS(Tableau3[Heures Macines],Tableau3[Date],Rapport!$C$5,Tableau3[Machine],Rapport!$B18)</f>
        <v>8</v>
      </c>
      <c r="E18" s="143">
        <f>IFERROR((($C18/1000)*Liste!$B12)-D18,"0")</f>
        <v>-5.2027999999999999</v>
      </c>
      <c r="F18" s="62">
        <f>IFERROR((($C18/1000)*Liste!$B12)/$D18,"0")</f>
        <v>0.34965000000000002</v>
      </c>
      <c r="G18" s="63">
        <f>IFERROR(($C18/1000)*((1000/(AVERAGEIFS(Tableau3[Cadence],Tableau3[Date],Rapport!$C$5,Tableau3[Machine],Rapport!$B18)))/60)/$D18,"0")</f>
        <v>0.19425000000000003</v>
      </c>
      <c r="H18" s="61">
        <f>(SUMIFS(Tableau3[Temps Opé 1],Tableau3[Date],Rapport!$C$5,Tableau3[Machine],Rapport!$B18))+(SUMIFS(Tableau3[Temps Opé 2],Tableau3[Date],Rapport!$C$5,Tableau3[Machine],Rapport!$B18))</f>
        <v>8</v>
      </c>
      <c r="I18" s="64">
        <f t="shared" si="6"/>
        <v>1</v>
      </c>
      <c r="J18" s="65">
        <f>(SUMIFS(Tableau3[Rejets1],Tableau3[Date],Rapport!$C$5,Tableau3[Machine],Rapport!$B18))+(SUMIFS(Tableau3[Rejets2],Tableau3[Date],Rapport!$C$5,Tableau3[Machine],Rapport!$B18))</f>
        <v>495</v>
      </c>
      <c r="K18" s="66">
        <f t="shared" si="7"/>
        <v>7.0785070785070792E-2</v>
      </c>
      <c r="L18" s="60">
        <f>SUMIFS(Tableau3[QTY Produite],Tableau3[No Mois],MONTH($C$5),Tableau3[Année],YEAR($C$5),Tableau3[Machine],Rapport!$B18)</f>
        <v>180059</v>
      </c>
      <c r="M18" s="132">
        <f>SUMIFS(Tableau3[Heures Macines],Tableau3[No Mois],MONTH($C$5),Tableau3[Année],YEAR($C$5),Tableau3[Machine],Rapport!$B18)</f>
        <v>117.25</v>
      </c>
      <c r="N18" s="146">
        <f>IFERROR(((L18/1000)*Liste!$B12)-M18,"0")</f>
        <v>-45.226399999999998</v>
      </c>
      <c r="O18" s="62">
        <f>IFERROR(((L18/1000)*Liste!$B12)/M18,"0")</f>
        <v>0.61427377398720684</v>
      </c>
      <c r="P18" s="63">
        <f>IFERROR(($L18/1000)*((1000/(AVERAGEIFS(Tableau3[Cadence],Tableau3[No Mois],MONTH($C$5),Tableau3[Année],YEAR($C$5),Tableau3[Machine],Rapport!$B18)))/60)/$M18,"0")</f>
        <v>0.46154450231279198</v>
      </c>
      <c r="Q18" s="61">
        <f>(SUMIFS(Tableau3[Temps Opé 1],Tableau3[No Mois],MONTH($C$5),Tableau3[Année],YEAR($C$5),Tableau3[Machine],Rapport!$B18))+(SUMIFS(Tableau3[Temps Opé 2],Tableau3[No Mois],MONTH($C$5),Tableau3[Année],YEAR($C$5),Tableau3[Machine],Rapport!$B18))</f>
        <v>125.5</v>
      </c>
      <c r="R18" s="64">
        <f t="shared" si="1"/>
        <v>1.0703624733475481</v>
      </c>
      <c r="S18" s="65">
        <f>(SUMIFS(Tableau3[Rejets1],Tableau3[No Mois],MONTH($C$5),Tableau3[Année],YEAR($C$5),Tableau3[Machine],Rapport!$B18))+(SUMIFS(Tableau3[Rejets2],Tableau3[No Mois],MONTH($C$5),Tableau3[Année],YEAR($C$5),Tableau3[Machine],Rapport!$B18))</f>
        <v>20753</v>
      </c>
      <c r="T18" s="66">
        <f t="shared" si="8"/>
        <v>0.1152566658706313</v>
      </c>
      <c r="U18" s="60">
        <f>SUMIFS(Tableau3[QTY Produite],Tableau3[Année],YEAR($C$5),Tableau3[Machine],Rapport!$B18)</f>
        <v>180059</v>
      </c>
      <c r="V18" s="132">
        <f>SUMIFS(Tableau3[Heures Macines],Tableau3[Année],YEAR($C$5),Tableau3[Machine],Rapport!$B18)</f>
        <v>117.25</v>
      </c>
      <c r="W18" s="146">
        <f>IFERROR(((U18/1000)*Liste!$B12)-V18,"0")</f>
        <v>-45.226399999999998</v>
      </c>
      <c r="X18" s="62">
        <f>IFERROR(((U18/1000)*Liste!$B12)/V18,"0")</f>
        <v>0.61427377398720684</v>
      </c>
      <c r="Y18" s="63">
        <f>IFERROR(($U18/1000)*((1000/(AVERAGEIFS(Tableau3[Cadence],Tableau3[Année],YEAR($C$5),Tableau3[Machine],Rapport!$B18)))/60)/$V18,"0")</f>
        <v>0.46154450231279198</v>
      </c>
      <c r="Z18" s="61">
        <f>(SUMIFS(Tableau3[Temps Opé 1],Tableau3[Année],YEAR($C$5),Tableau3[Machine],Rapport!$B18))+(SUMIFS(Tableau3[Temps Opé 2],Tableau3[Année],YEAR($C$5),Tableau3[Machine],Rapport!$B18))</f>
        <v>125.5</v>
      </c>
      <c r="AA18" s="64">
        <f t="shared" si="3"/>
        <v>1.0703624733475481</v>
      </c>
      <c r="AB18" s="65">
        <f>(SUMIFS(Tableau3[Rejets1],Tableau3[Année],YEAR($C$5),Tableau3[Machine],Rapport!$B18))+(SUMIFS(Tableau3[Rejets2],Tableau3[Année],YEAR($C$5),Tableau3[Machine],Rapport!$B18))</f>
        <v>20753</v>
      </c>
      <c r="AC18" s="66">
        <f t="shared" si="9"/>
        <v>0.1152566658706313</v>
      </c>
    </row>
    <row r="19" spans="1:29" ht="16.5" x14ac:dyDescent="0.25">
      <c r="A19" s="175"/>
      <c r="B19" s="59" t="str">
        <f>Liste!$A13</f>
        <v>63 (P6)</v>
      </c>
      <c r="C19" s="60">
        <f>SUMIFS(Tableau3[QTY Produite],Tableau3[Date],Rapport!$C$5,Tableau3[Machine],Rapport!$B19)</f>
        <v>27120</v>
      </c>
      <c r="D19" s="132">
        <f>SUMIFS(Tableau3[Heures Macines],Tableau3[Date],Rapport!$C$5,Tableau3[Machine],Rapport!$B19)</f>
        <v>8</v>
      </c>
      <c r="E19" s="143">
        <f>IFERROR((($C19/1000)*Liste!$B13)-D19,"0")</f>
        <v>2.8480000000000008</v>
      </c>
      <c r="F19" s="62">
        <f>IFERROR((($C19/1000)*Liste!$B13)/$D19,"0")</f>
        <v>1.3560000000000001</v>
      </c>
      <c r="G19" s="63">
        <f>IFERROR(($C19/1000)*((1000/(AVERAGEIFS(Tableau3[Cadence],Tableau3[Date],Rapport!$C$5,Tableau3[Machine],Rapport!$B19)))/60)/$D19,"0")</f>
        <v>0.62777777777777777</v>
      </c>
      <c r="H19" s="61">
        <f>(SUMIFS(Tableau3[Temps Opé 1],Tableau3[Date],Rapport!$C$5,Tableau3[Machine],Rapport!$B19))+(SUMIFS(Tableau3[Temps Opé 2],Tableau3[Date],Rapport!$C$5,Tableau3[Machine],Rapport!$B19))</f>
        <v>8</v>
      </c>
      <c r="I19" s="64">
        <f t="shared" si="6"/>
        <v>1</v>
      </c>
      <c r="J19" s="65">
        <f>(SUMIFS(Tableau3[Rejets1],Tableau3[Date],Rapport!$C$5,Tableau3[Machine],Rapport!$B19))+(SUMIFS(Tableau3[Rejets2],Tableau3[Date],Rapport!$C$5,Tableau3[Machine],Rapport!$B19))</f>
        <v>464</v>
      </c>
      <c r="K19" s="66">
        <f t="shared" si="7"/>
        <v>1.7109144542772861E-2</v>
      </c>
      <c r="L19" s="60">
        <f>SUMIFS(Tableau3[QTY Produite],Tableau3[No Mois],MONTH($C$5),Tableau3[Année],YEAR($C$5),Tableau3[Machine],Rapport!$B19)</f>
        <v>487134</v>
      </c>
      <c r="M19" s="132">
        <f>SUMIFS(Tableau3[Heures Macines],Tableau3[No Mois],MONTH($C$5),Tableau3[Année],YEAR($C$5),Tableau3[Machine],Rapport!$B19)</f>
        <v>153</v>
      </c>
      <c r="N19" s="146">
        <f>IFERROR(((L19/1000)*Liste!$B13)-M19,"0")</f>
        <v>41.853600000000029</v>
      </c>
      <c r="O19" s="62">
        <f>IFERROR(((L19/1000)*Liste!$B13)/M19,"0")</f>
        <v>1.2735529411764708</v>
      </c>
      <c r="P19" s="63">
        <f>IFERROR(($L19/1000)*((1000/(AVERAGEIFS(Tableau3[Cadence],Tableau3[No Mois],MONTH($C$5),Tableau3[Année],YEAR($C$5),Tableau3[Machine],Rapport!$B19)))/60)/$M19,"0")</f>
        <v>0.59714758537686174</v>
      </c>
      <c r="Q19" s="61">
        <f>(SUMIFS(Tableau3[Temps Opé 1],Tableau3[No Mois],MONTH($C$5),Tableau3[Année],YEAR($C$5),Tableau3[Machine],Rapport!$B19))+(SUMIFS(Tableau3[Temps Opé 2],Tableau3[No Mois],MONTH($C$5),Tableau3[Année],YEAR($C$5),Tableau3[Machine],Rapport!$B19))</f>
        <v>164.25</v>
      </c>
      <c r="R19" s="64">
        <f t="shared" si="1"/>
        <v>1.0735294117647058</v>
      </c>
      <c r="S19" s="65">
        <f>(SUMIFS(Tableau3[Rejets1],Tableau3[No Mois],MONTH($C$5),Tableau3[Année],YEAR($C$5),Tableau3[Machine],Rapport!$B19))+(SUMIFS(Tableau3[Rejets2],Tableau3[No Mois],MONTH($C$5),Tableau3[Année],YEAR($C$5),Tableau3[Machine],Rapport!$B19))</f>
        <v>14582</v>
      </c>
      <c r="T19" s="66">
        <f t="shared" si="8"/>
        <v>2.9934268599605036E-2</v>
      </c>
      <c r="U19" s="60">
        <f>SUMIFS(Tableau3[QTY Produite],Tableau3[Année],YEAR($C$5),Tableau3[Machine],Rapport!$B19)</f>
        <v>487134</v>
      </c>
      <c r="V19" s="132">
        <f>SUMIFS(Tableau3[Heures Macines],Tableau3[Année],YEAR($C$5),Tableau3[Machine],Rapport!$B19)</f>
        <v>153</v>
      </c>
      <c r="W19" s="146">
        <f>IFERROR(((U19/1000)*Liste!$B13)-V19,"0")</f>
        <v>41.853600000000029</v>
      </c>
      <c r="X19" s="62">
        <f>IFERROR(((U19/1000)*Liste!$B13)/V19,"0")</f>
        <v>1.2735529411764708</v>
      </c>
      <c r="Y19" s="63">
        <f>IFERROR(($U19/1000)*((1000/(AVERAGEIFS(Tableau3[Cadence],Tableau3[Année],YEAR($C$5),Tableau3[Machine],Rapport!$B19)))/60)/$V19,"0")</f>
        <v>0.59714758537686174</v>
      </c>
      <c r="Z19" s="61">
        <f>(SUMIFS(Tableau3[Temps Opé 1],Tableau3[Année],YEAR($C$5),Tableau3[Machine],Rapport!$B19))+(SUMIFS(Tableau3[Temps Opé 2],Tableau3[Année],YEAR($C$5),Tableau3[Machine],Rapport!$B19))</f>
        <v>164.25</v>
      </c>
      <c r="AA19" s="64">
        <f t="shared" si="3"/>
        <v>1.0735294117647058</v>
      </c>
      <c r="AB19" s="65">
        <f>(SUMIFS(Tableau3[Rejets1],Tableau3[Année],YEAR($C$5),Tableau3[Machine],Rapport!$B19))+(SUMIFS(Tableau3[Rejets2],Tableau3[Année],YEAR($C$5),Tableau3[Machine],Rapport!$B19))</f>
        <v>14582</v>
      </c>
      <c r="AC19" s="66">
        <f t="shared" si="9"/>
        <v>2.9934268599605036E-2</v>
      </c>
    </row>
    <row r="20" spans="1:29" ht="16.5" x14ac:dyDescent="0.25">
      <c r="A20" s="175"/>
      <c r="B20" s="59" t="str">
        <f>Liste!$A14</f>
        <v>91 (Digitale)</v>
      </c>
      <c r="C20" s="60">
        <f>SUMIFS(Tableau3[QTY Produite],Tableau3[Date],Rapport!$C$5,Tableau3[Machine],Rapport!$B20)</f>
        <v>0</v>
      </c>
      <c r="D20" s="132">
        <f>SUMIFS(Tableau3[Heures Macines],Tableau3[Date],Rapport!$C$5,Tableau3[Machine],Rapport!$B20)</f>
        <v>0</v>
      </c>
      <c r="E20" s="143">
        <f>IFERROR((($C20/1000)*Liste!$B14)-D20,"0")</f>
        <v>0</v>
      </c>
      <c r="F20" s="62" t="str">
        <f>IFERROR(IF(C5&gt;"2020-04-20",(($C20/1000)*Révision!$C$2)/$D20,(($C20/1000)*Liste!$B$14)/$D20),"0")</f>
        <v>0</v>
      </c>
      <c r="G20" s="63" t="str">
        <f>IFERROR(($C20/1000)*((1000/(AVERAGEIFS(Tableau3[Cadence],Tableau3[Date],Rapport!$C$5,Tableau3[Machine],Rapport!$B20)))/60)/$D20,"0")</f>
        <v>0</v>
      </c>
      <c r="H20" s="61">
        <f>(SUMIFS(Tableau3[Temps Opé 1],Tableau3[Date],Rapport!$C$5,Tableau3[Machine],Rapport!$B20))+(SUMIFS(Tableau3[Temps Opé 2],Tableau3[Date],Rapport!$C$5,Tableau3[Machine],Rapport!$B20))</f>
        <v>0</v>
      </c>
      <c r="I20" s="64" t="str">
        <f t="shared" si="6"/>
        <v>0</v>
      </c>
      <c r="J20" s="65">
        <f>(SUMIFS(Tableau3[Rejets1],Tableau3[Date],Rapport!$C$5,Tableau3[Machine],Rapport!$B20))+(SUMIFS(Tableau3[Rejets2],Tableau3[Date],Rapport!$C$5,Tableau3[Machine],Rapport!$B20))</f>
        <v>0</v>
      </c>
      <c r="K20" s="66" t="str">
        <f t="shared" si="7"/>
        <v>0</v>
      </c>
      <c r="L20" s="60">
        <f>SUMIFS(Tableau3[QTY Produite],Tableau3[No Mois],MONTH($C$5),Tableau3[Année],YEAR($C$5),Tableau3[Machine],Rapport!$B20)</f>
        <v>89318</v>
      </c>
      <c r="M20" s="132">
        <f>SUMIFS(Tableau3[Heures Macines],Tableau3[No Mois],MONTH($C$5),Tableau3[Année],YEAR($C$5),Tableau3[Machine],Rapport!$B20)</f>
        <v>39.5</v>
      </c>
      <c r="N20" s="146">
        <f>IFERROR(((L20/1000)*Liste!$B14)-M20,"0")</f>
        <v>-12.704600000000003</v>
      </c>
      <c r="O20" s="62">
        <f>IFERROR(((L20/1000)*Liste!$B14)/M20,"0")</f>
        <v>0.67836455696202524</v>
      </c>
      <c r="P20" s="63">
        <f>IFERROR(($L20/1000)*((1000/(AVERAGEIFS(Tableau3[Cadence],Tableau3[No Mois],MONTH($C$5),Tableau3[Année],YEAR($C$5),Tableau3[Machine],Rapport!$B20)))/60)/$M20,"0")</f>
        <v>0.51625917577018665</v>
      </c>
      <c r="Q20" s="61">
        <f>(SUMIFS(Tableau3[Temps Opé 1],Tableau3[No Mois],MONTH($C$5),Tableau3[Année],YEAR($C$5),Tableau3[Machine],Rapport!$B20))+(SUMIFS(Tableau3[Temps Opé 2],Tableau3[No Mois],MONTH($C$5),Tableau3[Année],YEAR($C$5),Tableau3[Machine],Rapport!$B20))</f>
        <v>86.5</v>
      </c>
      <c r="R20" s="64">
        <f t="shared" si="1"/>
        <v>2.1898734177215191</v>
      </c>
      <c r="S20" s="65">
        <f>(SUMIFS(Tableau3[Rejets1],Tableau3[No Mois],MONTH($C$5),Tableau3[Année],YEAR($C$5),Tableau3[Machine],Rapport!$B20))+(SUMIFS(Tableau3[Rejets2],Tableau3[No Mois],MONTH($C$5),Tableau3[Année],YEAR($C$5),Tableau3[Machine],Rapport!$B20))</f>
        <v>5963</v>
      </c>
      <c r="T20" s="66">
        <f t="shared" si="8"/>
        <v>6.6761459056405209E-2</v>
      </c>
      <c r="U20" s="60">
        <f>SUMIFS(Tableau3[QTY Produite],Tableau3[Année],YEAR($C$5),Tableau3[Machine],Rapport!$B20)</f>
        <v>89318</v>
      </c>
      <c r="V20" s="132">
        <f>SUMIFS(Tableau3[Heures Macines],Tableau3[Année],YEAR($C$5),Tableau3[Machine],Rapport!$B20)</f>
        <v>39.5</v>
      </c>
      <c r="W20" s="146">
        <f>IFERROR(((U20/1000)*Liste!$B14)-V20,"0")</f>
        <v>-12.704600000000003</v>
      </c>
      <c r="X20" s="62">
        <f>IFERROR(((U20/1000)*Liste!$B14)/V20,"0")</f>
        <v>0.67836455696202524</v>
      </c>
      <c r="Y20" s="63">
        <f>IFERROR(($U20/1000)*((1000/(AVERAGEIFS(Tableau3[Cadence],Tableau3[Année],YEAR($C$5),Tableau3[Machine],Rapport!$B20)))/60)/$V20,"0")</f>
        <v>0.51625917577018665</v>
      </c>
      <c r="Z20" s="61">
        <f>(SUMIFS(Tableau3[Temps Opé 1],Tableau3[Année],YEAR($C$5),Tableau3[Machine],Rapport!$B20))+(SUMIFS(Tableau3[Temps Opé 2],Tableau3[Année],YEAR($C$5),Tableau3[Machine],Rapport!$B20))</f>
        <v>86.5</v>
      </c>
      <c r="AA20" s="64">
        <f t="shared" si="3"/>
        <v>2.1898734177215191</v>
      </c>
      <c r="AB20" s="65">
        <f>(SUMIFS(Tableau3[Rejets1],Tableau3[Année],YEAR($C$5),Tableau3[Machine],Rapport!$B20))+(SUMIFS(Tableau3[Rejets2],Tableau3[Année],YEAR($C$5),Tableau3[Machine],Rapport!$B20))</f>
        <v>5963</v>
      </c>
      <c r="AC20" s="66">
        <f t="shared" si="9"/>
        <v>6.6761459056405209E-2</v>
      </c>
    </row>
    <row r="21" spans="1:29" ht="16.5" x14ac:dyDescent="0.25">
      <c r="A21" s="175"/>
      <c r="B21" s="59" t="str">
        <f>Liste!$A15</f>
        <v>71 (D2)</v>
      </c>
      <c r="C21" s="60">
        <f>SUMIFS(Tableau3[QTY Produite],Tableau3[Date],Rapport!$C$5,Tableau3[Machine],Rapport!$B21)</f>
        <v>0</v>
      </c>
      <c r="D21" s="132">
        <f>SUMIFS(Tableau3[Heures Macines],Tableau3[Date],Rapport!$C$5,Tableau3[Machine],Rapport!$B21)</f>
        <v>0</v>
      </c>
      <c r="E21" s="143">
        <f>IFERROR((($C21/1000)*Liste!$B15)-D21,"0")</f>
        <v>0</v>
      </c>
      <c r="F21" s="62" t="str">
        <f>IFERROR((($C21/1000)*Liste!$B15)/$D21,"0")</f>
        <v>0</v>
      </c>
      <c r="G21" s="63" t="str">
        <f>IFERROR(($C21/1000)*((1000/(AVERAGEIFS(Tableau3[Cadence],Tableau3[Date],Rapport!$C$5,Tableau3[Machine],Rapport!$B21)))/60)/$D21,"0")</f>
        <v>0</v>
      </c>
      <c r="H21" s="61">
        <f>(SUMIFS(Tableau3[Temps Opé 1],Tableau3[Date],Rapport!$C$5,Tableau3[Machine],Rapport!$B21))+(SUMIFS(Tableau3[Temps Opé 2],Tableau3[Date],Rapport!$C$5,Tableau3[Machine],Rapport!$B21))</f>
        <v>0</v>
      </c>
      <c r="I21" s="64" t="str">
        <f t="shared" si="6"/>
        <v>0</v>
      </c>
      <c r="J21" s="65">
        <f>(SUMIFS(Tableau3[Rejets1],Tableau3[Date],Rapport!$C$5,Tableau3[Machine],Rapport!$B21))+(SUMIFS(Tableau3[Rejets2],Tableau3[Date],Rapport!$C$5,Tableau3[Machine],Rapport!$B21))</f>
        <v>0</v>
      </c>
      <c r="K21" s="66" t="str">
        <f t="shared" si="7"/>
        <v>0</v>
      </c>
      <c r="L21" s="60">
        <f>SUMIFS(Tableau3[QTY Produite],Tableau3[No Mois],MONTH($C$5),Tableau3[Année],YEAR($C$5),Tableau3[Machine],Rapport!$B21)</f>
        <v>175516</v>
      </c>
      <c r="M21" s="132">
        <f>SUMIFS(Tableau3[Heures Macines],Tableau3[No Mois],MONTH($C$5),Tableau3[Année],YEAR($C$5),Tableau3[Machine],Rapport!$B21)</f>
        <v>127.5</v>
      </c>
      <c r="N21" s="146">
        <f>IFERROR(((L21/1000)*Liste!$B15)-M21,"0")</f>
        <v>-22.190400000000011</v>
      </c>
      <c r="O21" s="62">
        <f>IFERROR(((L21/1000)*Liste!$B15)/M21,"0")</f>
        <v>0.82595764705882346</v>
      </c>
      <c r="P21" s="63">
        <f>IFERROR(($L21/1000)*((1000/(AVERAGEIFS(Tableau3[Cadence],Tableau3[No Mois],MONTH($C$5),Tableau3[Année],YEAR($C$5),Tableau3[Machine],Rapport!$B21)))/60)/$M21,"0")</f>
        <v>0.7146263795135539</v>
      </c>
      <c r="Q21" s="61">
        <f>(SUMIFS(Tableau3[Temps Opé 1],Tableau3[No Mois],MONTH($C$5),Tableau3[Année],YEAR($C$5),Tableau3[Machine],Rapport!$B21))+(SUMIFS(Tableau3[Temps Opé 2],Tableau3[No Mois],MONTH($C$5),Tableau3[Année],YEAR($C$5),Tableau3[Machine],Rapport!$B21))</f>
        <v>128.5</v>
      </c>
      <c r="R21" s="64">
        <f t="shared" si="1"/>
        <v>1.0078431372549019</v>
      </c>
      <c r="S21" s="65">
        <f>(SUMIFS(Tableau3[Rejets1],Tableau3[No Mois],MONTH($C$5),Tableau3[Année],YEAR($C$5),Tableau3[Machine],Rapport!$B21))+(SUMIFS(Tableau3[Rejets2],Tableau3[No Mois],MONTH($C$5),Tableau3[Année],YEAR($C$5),Tableau3[Machine],Rapport!$B21))</f>
        <v>8128</v>
      </c>
      <c r="T21" s="66">
        <f t="shared" si="8"/>
        <v>4.630916839490417E-2</v>
      </c>
      <c r="U21" s="60">
        <f>SUMIFS(Tableau3[QTY Produite],Tableau3[Année],YEAR($C$5),Tableau3[Machine],Rapport!$B21)</f>
        <v>175516</v>
      </c>
      <c r="V21" s="132">
        <f>SUMIFS(Tableau3[Heures Macines],Tableau3[Année],YEAR($C$5),Tableau3[Machine],Rapport!$B21)</f>
        <v>127.5</v>
      </c>
      <c r="W21" s="146">
        <f>IFERROR(((U21/1000)*Liste!$B15)-V21,"0")</f>
        <v>-22.190400000000011</v>
      </c>
      <c r="X21" s="62">
        <f>IFERROR(((U21/1000)*Liste!$B15)/V21,"0")</f>
        <v>0.82595764705882346</v>
      </c>
      <c r="Y21" s="63">
        <f>IFERROR(($U21/1000)*((1000/(AVERAGEIFS(Tableau3[Cadence],Tableau3[Année],YEAR($C$5),Tableau3[Machine],Rapport!$B21)))/60)/$V21,"0")</f>
        <v>0.7146263795135539</v>
      </c>
      <c r="Z21" s="61">
        <f>(SUMIFS(Tableau3[Temps Opé 1],Tableau3[Année],YEAR($C$5),Tableau3[Machine],Rapport!$B21))+(SUMIFS(Tableau3[Temps Opé 2],Tableau3[Année],YEAR($C$5),Tableau3[Machine],Rapport!$B21))</f>
        <v>128.5</v>
      </c>
      <c r="AA21" s="64">
        <f t="shared" si="3"/>
        <v>1.0078431372549019</v>
      </c>
      <c r="AB21" s="65">
        <f>(SUMIFS(Tableau3[Rejets1],Tableau3[Année],YEAR($C$5),Tableau3[Machine],Rapport!$B21))+(SUMIFS(Tableau3[Rejets2],Tableau3[Année],YEAR($C$5),Tableau3[Machine],Rapport!$B21))</f>
        <v>8128</v>
      </c>
      <c r="AC21" s="66">
        <f t="shared" si="9"/>
        <v>4.630916839490417E-2</v>
      </c>
    </row>
    <row r="22" spans="1:29" ht="16.5" x14ac:dyDescent="0.25">
      <c r="A22" s="175"/>
      <c r="B22" s="59" t="str">
        <f>Liste!$A16</f>
        <v>72 (D3)</v>
      </c>
      <c r="C22" s="60">
        <f>SUMIFS(Tableau3[QTY Produite],Tableau3[Date],Rapport!$C$5,Tableau3[Machine],Rapport!$B22)</f>
        <v>15680</v>
      </c>
      <c r="D22" s="132">
        <f>SUMIFS(Tableau3[Heures Macines],Tableau3[Date],Rapport!$C$5,Tableau3[Machine],Rapport!$B22)</f>
        <v>8</v>
      </c>
      <c r="E22" s="143">
        <f>IFERROR((($C22/1000)*Liste!$B16)-D22,"0")</f>
        <v>-0.16000000000000014</v>
      </c>
      <c r="F22" s="62">
        <f>IFERROR((($C22/1000)*Liste!$B16)/$D22,"0")</f>
        <v>0.98</v>
      </c>
      <c r="G22" s="63">
        <f>IFERROR(($C22/1000)*((1000/(AVERAGEIFS(Tableau3[Cadence],Tableau3[Date],Rapport!$C$5,Tableau3[Machine],Rapport!$B22)))/60)/$D22,"0")</f>
        <v>0.69503546099290781</v>
      </c>
      <c r="H22" s="61">
        <f>(SUMIFS(Tableau3[Temps Opé 1],Tableau3[Date],Rapport!$C$5,Tableau3[Machine],Rapport!$B22))+(SUMIFS(Tableau3[Temps Opé 2],Tableau3[Date],Rapport!$C$5,Tableau3[Machine],Rapport!$B22))</f>
        <v>8</v>
      </c>
      <c r="I22" s="64">
        <f t="shared" si="6"/>
        <v>1</v>
      </c>
      <c r="J22" s="65">
        <f>(SUMIFS(Tableau3[Rejets1],Tableau3[Date],Rapport!$C$5,Tableau3[Machine],Rapport!$B22))+(SUMIFS(Tableau3[Rejets2],Tableau3[Date],Rapport!$C$5,Tableau3[Machine],Rapport!$B22))</f>
        <v>93</v>
      </c>
      <c r="K22" s="66">
        <f t="shared" si="7"/>
        <v>5.9311224489795918E-3</v>
      </c>
      <c r="L22" s="60">
        <f>SUMIFS(Tableau3[QTY Produite],Tableau3[No Mois],MONTH($C$5),Tableau3[Année],YEAR($C$5),Tableau3[Machine],Rapport!$B22)</f>
        <v>81623</v>
      </c>
      <c r="M22" s="132">
        <f>SUMIFS(Tableau3[Heures Macines],Tableau3[No Mois],MONTH($C$5),Tableau3[Année],YEAR($C$5),Tableau3[Machine],Rapport!$B22)</f>
        <v>61.5</v>
      </c>
      <c r="N22" s="146">
        <f>IFERROR(((L22/1000)*Liste!$B16)-M22,"0")</f>
        <v>-20.688499999999998</v>
      </c>
      <c r="O22" s="62">
        <f>IFERROR(((L22/1000)*Liste!$B16)/M22,"0")</f>
        <v>0.66360162601626016</v>
      </c>
      <c r="P22" s="63">
        <f>IFERROR(($L22/1000)*((1000/(AVERAGEIFS(Tableau3[Cadence],Tableau3[No Mois],MONTH($C$5),Tableau3[Année],YEAR($C$5),Tableau3[Machine],Rapport!$B22)))/60)/$M22,"0")</f>
        <v>0.54877997062413375</v>
      </c>
      <c r="Q22" s="61">
        <f>(SUMIFS(Tableau3[Temps Opé 1],Tableau3[No Mois],MONTH($C$5),Tableau3[Année],YEAR($C$5),Tableau3[Machine],Rapport!$B22))+(SUMIFS(Tableau3[Temps Opé 2],Tableau3[No Mois],MONTH($C$5),Tableau3[Année],YEAR($C$5),Tableau3[Machine],Rapport!$B22))</f>
        <v>69.5</v>
      </c>
      <c r="R22" s="64">
        <f t="shared" si="1"/>
        <v>1.1300813008130082</v>
      </c>
      <c r="S22" s="65">
        <f>(SUMIFS(Tableau3[Rejets1],Tableau3[No Mois],MONTH($C$5),Tableau3[Année],YEAR($C$5),Tableau3[Machine],Rapport!$B22))+(SUMIFS(Tableau3[Rejets2],Tableau3[No Mois],MONTH($C$5),Tableau3[Année],YEAR($C$5),Tableau3[Machine],Rapport!$B22))</f>
        <v>3682</v>
      </c>
      <c r="T22" s="66">
        <f t="shared" si="8"/>
        <v>4.5109834237898633E-2</v>
      </c>
      <c r="U22" s="60">
        <f>SUMIFS(Tableau3[QTY Produite],Tableau3[Année],YEAR($C$5),Tableau3[Machine],Rapport!$B22)</f>
        <v>81623</v>
      </c>
      <c r="V22" s="132">
        <f>SUMIFS(Tableau3[Heures Macines],Tableau3[Année],YEAR($C$5),Tableau3[Machine],Rapport!$B22)</f>
        <v>61.5</v>
      </c>
      <c r="W22" s="146">
        <f>IFERROR(((U22/1000)*Liste!$B16)-V22,"0")</f>
        <v>-20.688499999999998</v>
      </c>
      <c r="X22" s="62">
        <f>IFERROR(((U22/1000)*Liste!$B16)/V22,"0")</f>
        <v>0.66360162601626016</v>
      </c>
      <c r="Y22" s="63">
        <f>IFERROR(($U22/1000)*((1000/(AVERAGEIFS(Tableau3[Cadence],Tableau3[Année],YEAR($C$5),Tableau3[Machine],Rapport!$B22)))/60)/$V22,"0")</f>
        <v>0.54877997062413375</v>
      </c>
      <c r="Z22" s="61">
        <f>(SUMIFS(Tableau3[Temps Opé 1],Tableau3[Année],YEAR($C$5),Tableau3[Machine],Rapport!$B22))+(SUMIFS(Tableau3[Temps Opé 2],Tableau3[Année],YEAR($C$5),Tableau3[Machine],Rapport!$B22))</f>
        <v>69.5</v>
      </c>
      <c r="AA22" s="64">
        <f t="shared" si="3"/>
        <v>1.1300813008130082</v>
      </c>
      <c r="AB22" s="65">
        <f>(SUMIFS(Tableau3[Rejets1],Tableau3[Année],YEAR($C$5),Tableau3[Machine],Rapport!$B22))+(SUMIFS(Tableau3[Rejets2],Tableau3[Année],YEAR($C$5),Tableau3[Machine],Rapport!$B22))</f>
        <v>3682</v>
      </c>
      <c r="AC22" s="66">
        <f t="shared" si="9"/>
        <v>4.5109834237898633E-2</v>
      </c>
    </row>
    <row r="23" spans="1:29" ht="16.5" x14ac:dyDescent="0.25">
      <c r="A23" s="175"/>
      <c r="B23" s="59" t="str">
        <f>Liste!$A17</f>
        <v>73 (D4)</v>
      </c>
      <c r="C23" s="60">
        <f>SUMIFS(Tableau3[QTY Produite],Tableau3[Date],Rapport!$C$5,Tableau3[Machine],Rapport!$B23)</f>
        <v>0</v>
      </c>
      <c r="D23" s="132">
        <f>SUMIFS(Tableau3[Heures Macines],Tableau3[Date],Rapport!$C$5,Tableau3[Machine],Rapport!$B23)</f>
        <v>0</v>
      </c>
      <c r="E23" s="143">
        <f>IFERROR((($C23/1000)*Liste!$B17)-D23,"0")</f>
        <v>0</v>
      </c>
      <c r="F23" s="62" t="str">
        <f>IFERROR((($C23/1000)*Liste!$B17)/$D23,"0")</f>
        <v>0</v>
      </c>
      <c r="G23" s="63" t="str">
        <f>IFERROR(($C23/1000)*((1000/(AVERAGEIFS(Tableau3[Cadence],Tableau3[Date],Rapport!$C$5,Tableau3[Machine],Rapport!$B23)))/60)/$D23,"0")</f>
        <v>0</v>
      </c>
      <c r="H23" s="61">
        <f>(SUMIFS(Tableau3[Temps Opé 1],Tableau3[Date],Rapport!$C$5,Tableau3[Machine],Rapport!$B23))+(SUMIFS(Tableau3[Temps Opé 2],Tableau3[Date],Rapport!$C$5,Tableau3[Machine],Rapport!$B23))</f>
        <v>0</v>
      </c>
      <c r="I23" s="64" t="str">
        <f t="shared" si="6"/>
        <v>0</v>
      </c>
      <c r="J23" s="65">
        <f>(SUMIFS(Tableau3[Rejets1],Tableau3[Date],Rapport!$C$5,Tableau3[Machine],Rapport!$B23))+(SUMIFS(Tableau3[Rejets2],Tableau3[Date],Rapport!$C$5,Tableau3[Machine],Rapport!$B23))</f>
        <v>0</v>
      </c>
      <c r="K23" s="66" t="str">
        <f t="shared" si="7"/>
        <v>0</v>
      </c>
      <c r="L23" s="60">
        <f>SUMIFS(Tableau3[QTY Produite],Tableau3[No Mois],MONTH($C$5),Tableau3[Année],YEAR($C$5),Tableau3[Machine],Rapport!$B23)</f>
        <v>72517</v>
      </c>
      <c r="M23" s="132">
        <f>SUMIFS(Tableau3[Heures Macines],Tableau3[No Mois],MONTH($C$5),Tableau3[Année],YEAR($C$5),Tableau3[Machine],Rapport!$B23)</f>
        <v>47</v>
      </c>
      <c r="N23" s="146">
        <f>IFERROR(((L23/1000)*Liste!$B17)-M23,"0")</f>
        <v>-10.741500000000002</v>
      </c>
      <c r="O23" s="62">
        <f>IFERROR(((L23/1000)*Liste!$B17)/M23,"0")</f>
        <v>0.77145744680851058</v>
      </c>
      <c r="P23" s="63">
        <f>IFERROR(($L23/1000)*((1000/(AVERAGEIFS(Tableau3[Cadence],Tableau3[No Mois],MONTH($C$5),Tableau3[Année],YEAR($C$5),Tableau3[Machine],Rapport!$B23)))/60)/$M23,"0")</f>
        <v>0.64059337220161017</v>
      </c>
      <c r="Q23" s="61">
        <f>(SUMIFS(Tableau3[Temps Opé 1],Tableau3[No Mois],MONTH($C$5),Tableau3[Année],YEAR($C$5),Tableau3[Machine],Rapport!$B23))+(SUMIFS(Tableau3[Temps Opé 2],Tableau3[No Mois],MONTH($C$5),Tableau3[Année],YEAR($C$5),Tableau3[Machine],Rapport!$B23))</f>
        <v>47</v>
      </c>
      <c r="R23" s="64">
        <f t="shared" si="1"/>
        <v>1</v>
      </c>
      <c r="S23" s="65">
        <f>(SUMIFS(Tableau3[Rejets1],Tableau3[No Mois],MONTH($C$5),Tableau3[Année],YEAR($C$5),Tableau3[Machine],Rapport!$B23))+(SUMIFS(Tableau3[Rejets2],Tableau3[No Mois],MONTH($C$5),Tableau3[Année],YEAR($C$5),Tableau3[Machine],Rapport!$B23))</f>
        <v>2364</v>
      </c>
      <c r="T23" s="66">
        <f t="shared" si="8"/>
        <v>3.2599252589048083E-2</v>
      </c>
      <c r="U23" s="60">
        <f>SUMIFS(Tableau3[QTY Produite],Tableau3[Année],YEAR($C$5),Tableau3[Machine],Rapport!$B23)</f>
        <v>72517</v>
      </c>
      <c r="V23" s="132">
        <f>SUMIFS(Tableau3[Heures Macines],Tableau3[Année],YEAR($C$5),Tableau3[Machine],Rapport!$B23)</f>
        <v>47</v>
      </c>
      <c r="W23" s="146">
        <f>IFERROR(((U23/1000)*Liste!$B17)-V23,"0")</f>
        <v>-10.741500000000002</v>
      </c>
      <c r="X23" s="62">
        <f>IFERROR(((U23/1000)*Liste!$B17)/V23,"0")</f>
        <v>0.77145744680851058</v>
      </c>
      <c r="Y23" s="63">
        <f>IFERROR(($U23/1000)*((1000/(AVERAGEIFS(Tableau3[Cadence],Tableau3[Année],YEAR($C$5),Tableau3[Machine],Rapport!$B23)))/60)/$V23,"0")</f>
        <v>0.64059337220161017</v>
      </c>
      <c r="Z23" s="61">
        <f>(SUMIFS(Tableau3[Temps Opé 1],Tableau3[Année],YEAR($C$5),Tableau3[Machine],Rapport!$B23))+(SUMIFS(Tableau3[Temps Opé 2],Tableau3[Année],YEAR($C$5),Tableau3[Machine],Rapport!$B23))</f>
        <v>47</v>
      </c>
      <c r="AA23" s="64">
        <f t="shared" si="3"/>
        <v>1</v>
      </c>
      <c r="AB23" s="65">
        <f>(SUMIFS(Tableau3[Rejets1],Tableau3[Année],YEAR($C$5),Tableau3[Machine],Rapport!$B23))+(SUMIFS(Tableau3[Rejets2],Tableau3[Année],YEAR($C$5),Tableau3[Machine],Rapport!$B23))</f>
        <v>2364</v>
      </c>
      <c r="AC23" s="66">
        <f t="shared" si="9"/>
        <v>3.2599252589048083E-2</v>
      </c>
    </row>
    <row r="24" spans="1:29" ht="16.5" x14ac:dyDescent="0.25">
      <c r="A24" s="175"/>
      <c r="B24" s="59" t="str">
        <f>Liste!$A18</f>
        <v>81 (CER1)</v>
      </c>
      <c r="C24" s="60">
        <f>SUMIFS(Tableau3[QTY Produite],Tableau3[Date],Rapport!$C$5,Tableau3[Machine],Rapport!$B24)</f>
        <v>8255</v>
      </c>
      <c r="D24" s="132">
        <f>SUMIFS(Tableau3[Heures Macines],Tableau3[Date],Rapport!$C$5,Tableau3[Machine],Rapport!$B24)</f>
        <v>8</v>
      </c>
      <c r="E24" s="143">
        <f>IFERROR((($C24/1000)*Liste!$B18)-D24,"0")</f>
        <v>-0.57049999999999912</v>
      </c>
      <c r="F24" s="62">
        <f>IFERROR((($C24/1000)*Liste!$B18)/$D24,"0")</f>
        <v>0.92868750000000011</v>
      </c>
      <c r="G24" s="63">
        <f>IFERROR(($C24/1000)*((1000/(AVERAGEIFS(Tableau3[Cadence],Tableau3[Date],Rapport!$C$5,Tableau3[Machine],Rapport!$B24)))/60)/$D24,"0")</f>
        <v>0.57326388888888902</v>
      </c>
      <c r="H24" s="61">
        <f>(SUMIFS(Tableau3[Temps Opé 1],Tableau3[Date],Rapport!$C$5,Tableau3[Machine],Rapport!$B24))+(SUMIFS(Tableau3[Temps Opé 2],Tableau3[Date],Rapport!$C$5,Tableau3[Machine],Rapport!$B24))</f>
        <v>8</v>
      </c>
      <c r="I24" s="64">
        <f t="shared" si="6"/>
        <v>1</v>
      </c>
      <c r="J24" s="65">
        <f>(SUMIFS(Tableau3[Rejets1],Tableau3[Date],Rapport!$C$5,Tableau3[Machine],Rapport!$B24))+(SUMIFS(Tableau3[Rejets2],Tableau3[Date],Rapport!$C$5,Tableau3[Machine],Rapport!$B24))</f>
        <v>169</v>
      </c>
      <c r="K24" s="66">
        <f t="shared" si="7"/>
        <v>2.0472440944881889E-2</v>
      </c>
      <c r="L24" s="60">
        <f>SUMIFS(Tableau3[QTY Produite],Tableau3[No Mois],MONTH($C$5),Tableau3[Année],YEAR($C$5),Tableau3[Machine],Rapport!$B24)</f>
        <v>49534</v>
      </c>
      <c r="M24" s="132">
        <f>SUMIFS(Tableau3[Heures Macines],Tableau3[No Mois],MONTH($C$5),Tableau3[Année],YEAR($C$5),Tableau3[Machine],Rapport!$B24)</f>
        <v>52.5</v>
      </c>
      <c r="N24" s="146">
        <f>IFERROR(((L24/1000)*Liste!$B18)-M24,"0")</f>
        <v>-7.9194000000000031</v>
      </c>
      <c r="O24" s="62">
        <f>IFERROR(((L24/1000)*Liste!$B18)/M24,"0")</f>
        <v>0.84915428571428564</v>
      </c>
      <c r="P24" s="63">
        <f>IFERROR(($L24/1000)*((1000/(AVERAGEIFS(Tableau3[Cadence],Tableau3[No Mois],MONTH($C$5),Tableau3[Année],YEAR($C$5),Tableau3[Machine],Rapport!$B24)))/60)/$M24,"0")</f>
        <v>0.50522343341620457</v>
      </c>
      <c r="Q24" s="61">
        <f>(SUMIFS(Tableau3[Temps Opé 1],Tableau3[No Mois],MONTH($C$5),Tableau3[Année],YEAR($C$5),Tableau3[Machine],Rapport!$B24))+(SUMIFS(Tableau3[Temps Opé 2],Tableau3[No Mois],MONTH($C$5),Tableau3[Année],YEAR($C$5),Tableau3[Machine],Rapport!$B24))</f>
        <v>52.5</v>
      </c>
      <c r="R24" s="64">
        <f t="shared" si="1"/>
        <v>1</v>
      </c>
      <c r="S24" s="65">
        <f>(SUMIFS(Tableau3[Rejets1],Tableau3[No Mois],MONTH($C$5),Tableau3[Année],YEAR($C$5),Tableau3[Machine],Rapport!$B24))+(SUMIFS(Tableau3[Rejets2],Tableau3[No Mois],MONTH($C$5),Tableau3[Année],YEAR($C$5),Tableau3[Machine],Rapport!$B24))</f>
        <v>2347</v>
      </c>
      <c r="T24" s="66">
        <f t="shared" si="8"/>
        <v>4.7381596479186015E-2</v>
      </c>
      <c r="U24" s="60">
        <f>SUMIFS(Tableau3[QTY Produite],Tableau3[Année],YEAR($C$5),Tableau3[Machine],Rapport!$B24)</f>
        <v>49534</v>
      </c>
      <c r="V24" s="132">
        <f>SUMIFS(Tableau3[Heures Macines],Tableau3[Année],YEAR($C$5),Tableau3[Machine],Rapport!$B24)</f>
        <v>52.5</v>
      </c>
      <c r="W24" s="146">
        <f>IFERROR(((U24/1000)*Liste!$B18)-V24,"0")</f>
        <v>-7.9194000000000031</v>
      </c>
      <c r="X24" s="62">
        <f>IFERROR(((U24/1000)*Liste!$B18)/V24,"0")</f>
        <v>0.84915428571428564</v>
      </c>
      <c r="Y24" s="63">
        <f>IFERROR(($U24/1000)*((1000/(AVERAGEIFS(Tableau3[Cadence],Tableau3[Année],YEAR($C$5),Tableau3[Machine],Rapport!$B24)))/60)/$V24,"0")</f>
        <v>0.50522343341620457</v>
      </c>
      <c r="Z24" s="61">
        <f>(SUMIFS(Tableau3[Temps Opé 1],Tableau3[Année],YEAR($C$5),Tableau3[Machine],Rapport!$B24))+(SUMIFS(Tableau3[Temps Opé 2],Tableau3[Année],YEAR($C$5),Tableau3[Machine],Rapport!$B24))</f>
        <v>52.5</v>
      </c>
      <c r="AA24" s="64">
        <f t="shared" si="3"/>
        <v>1</v>
      </c>
      <c r="AB24" s="65">
        <f>(SUMIFS(Tableau3[Rejets1],Tableau3[Année],YEAR($C$5),Tableau3[Machine],Rapport!$B24))+(SUMIFS(Tableau3[Rejets2],Tableau3[Année],YEAR($C$5),Tableau3[Machine],Rapport!$B24))</f>
        <v>2347</v>
      </c>
      <c r="AC24" s="66">
        <f t="shared" si="9"/>
        <v>4.7381596479186015E-2</v>
      </c>
    </row>
    <row r="25" spans="1:29" ht="17.25" thickBot="1" x14ac:dyDescent="0.3">
      <c r="A25" s="176"/>
      <c r="B25" s="59" t="str">
        <f>Liste!$A19</f>
        <v>82 (CER2)</v>
      </c>
      <c r="C25" s="133">
        <f>SUMIFS(Tableau3[QTY Produite],Tableau3[Date],Rapport!$C$5,Tableau3[Machine],Rapport!$B25)</f>
        <v>0</v>
      </c>
      <c r="D25" s="134">
        <f>SUMIFS(Tableau3[Heures Macines],Tableau3[Date],Rapport!$C$5,Tableau3[Machine],Rapport!$B25)</f>
        <v>0</v>
      </c>
      <c r="E25" s="143">
        <f>IFERROR((($C25/1000)*Liste!$B19)-D25,"0")</f>
        <v>0</v>
      </c>
      <c r="F25" s="62" t="str">
        <f>IFERROR((($C25/1000)*Liste!$B19)/$D25,"0")</f>
        <v>0</v>
      </c>
      <c r="G25" s="63" t="str">
        <f>IFERROR(($C25/1000)*((1000/(AVERAGEIFS(Tableau3[Cadence],Tableau3[Date],Rapport!$C$5,Tableau3[Machine],Rapport!$B25)))/60)/$D25,"0")</f>
        <v>0</v>
      </c>
      <c r="H25" s="61">
        <f>(SUMIFS(Tableau3[Temps Opé 1],Tableau3[Date],Rapport!$C$5,Tableau3[Machine],Rapport!$B25))+(SUMIFS(Tableau3[Temps Opé 2],Tableau3[Date],Rapport!$C$5,Tableau3[Machine],Rapport!$B25))</f>
        <v>0</v>
      </c>
      <c r="I25" s="64" t="str">
        <f t="shared" si="6"/>
        <v>0</v>
      </c>
      <c r="J25" s="65">
        <f>(SUMIFS(Tableau3[Rejets1],Tableau3[Date],Rapport!$C$5,Tableau3[Machine],Rapport!$B25))+(SUMIFS(Tableau3[Rejets2],Tableau3[Date],Rapport!$C$5,Tableau3[Machine],Rapport!$B25))</f>
        <v>0</v>
      </c>
      <c r="K25" s="66" t="str">
        <f t="shared" si="7"/>
        <v>0</v>
      </c>
      <c r="L25" s="60">
        <f>SUMIFS(Tableau3[QTY Produite],Tableau3[No Mois],MONTH($C$5),Tableau3[Année],YEAR($C$5),Tableau3[Machine],Rapport!$B25)</f>
        <v>453577</v>
      </c>
      <c r="M25" s="132">
        <f>SUMIFS(Tableau3[Heures Macines],Tableau3[No Mois],MONTH($C$5),Tableau3[Année],YEAR($C$5),Tableau3[Machine],Rapport!$B25)</f>
        <v>176</v>
      </c>
      <c r="N25" s="146">
        <f>IFERROR(((L25/1000)*Liste!$B19)-M25,"0")</f>
        <v>96.146199999999965</v>
      </c>
      <c r="O25" s="62">
        <f>IFERROR(((L25/1000)*Liste!$B19)/M25,"0")</f>
        <v>1.546285227272727</v>
      </c>
      <c r="P25" s="63">
        <f>IFERROR(($L25/1000)*((1000/(AVERAGEIFS(Tableau3[Cadence],Tableau3[No Mois],MONTH($C$5),Tableau3[Année],YEAR($C$5),Tableau3[Machine],Rapport!$B25)))/60)/$M25,"0")</f>
        <v>0.49574357572260097</v>
      </c>
      <c r="Q25" s="61">
        <f>(SUMIFS(Tableau3[Temps Opé 1],Tableau3[No Mois],MONTH($C$5),Tableau3[Année],YEAR($C$5),Tableau3[Machine],Rapport!$B25))+(SUMIFS(Tableau3[Temps Opé 2],Tableau3[No Mois],MONTH($C$5),Tableau3[Année],YEAR($C$5),Tableau3[Machine],Rapport!$B25))</f>
        <v>176</v>
      </c>
      <c r="R25" s="64">
        <f t="shared" si="1"/>
        <v>1</v>
      </c>
      <c r="S25" s="65">
        <f>(SUMIFS(Tableau3[Rejets1],Tableau3[No Mois],MONTH($C$5),Tableau3[Année],YEAR($C$5),Tableau3[Machine],Rapport!$B25))+(SUMIFS(Tableau3[Rejets2],Tableau3[No Mois],MONTH($C$5),Tableau3[Année],YEAR($C$5),Tableau3[Machine],Rapport!$B25))</f>
        <v>7691</v>
      </c>
      <c r="T25" s="66">
        <f t="shared" si="8"/>
        <v>1.6956327150627126E-2</v>
      </c>
      <c r="U25" s="133">
        <f>SUMIFS(Tableau3[QTY Produite],Tableau3[Année],YEAR($C$5),Tableau3[Machine],Rapport!$B25)</f>
        <v>453577</v>
      </c>
      <c r="V25" s="134">
        <f>SUMIFS(Tableau3[Heures Macines],Tableau3[Année],YEAR($C$5),Tableau3[Machine],Rapport!$B25)</f>
        <v>176</v>
      </c>
      <c r="W25" s="146">
        <f>IFERROR(((U25/1000)*Liste!$B19)-V25,"0")</f>
        <v>96.146199999999965</v>
      </c>
      <c r="X25" s="62">
        <f>IFERROR(((U25/1000)*Liste!$B19)/V25,"0")</f>
        <v>1.546285227272727</v>
      </c>
      <c r="Y25" s="63">
        <f>IFERROR(($U25/1000)*((1000/(AVERAGEIFS(Tableau3[Cadence],Tableau3[Année],YEAR($C$5),Tableau3[Machine],Rapport!$B25)))/60)/$V25,"0")</f>
        <v>0.49574357572260097</v>
      </c>
      <c r="Z25" s="61">
        <f>(SUMIFS(Tableau3[Temps Opé 1],Tableau3[Année],YEAR($C$5),Tableau3[Machine],Rapport!$B25))+(SUMIFS(Tableau3[Temps Opé 2],Tableau3[Année],YEAR($C$5),Tableau3[Machine],Rapport!$B25))</f>
        <v>176</v>
      </c>
      <c r="AA25" s="64">
        <f t="shared" si="3"/>
        <v>1</v>
      </c>
      <c r="AB25" s="65">
        <f>(SUMIFS(Tableau3[Rejets1],Tableau3[Année],YEAR($C$5),Tableau3[Machine],Rapport!$B25))+(SUMIFS(Tableau3[Rejets2],Tableau3[Année],YEAR($C$5),Tableau3[Machine],Rapport!$B25))</f>
        <v>7691</v>
      </c>
      <c r="AC25" s="66">
        <f t="shared" si="9"/>
        <v>1.6956327150627126E-2</v>
      </c>
    </row>
    <row r="26" spans="1:29" ht="15.75" thickBot="1" x14ac:dyDescent="0.3">
      <c r="A26" s="67" t="s">
        <v>79</v>
      </c>
      <c r="B26" s="68" t="s">
        <v>81</v>
      </c>
      <c r="C26" s="69">
        <f>SUM(C16:C25)</f>
        <v>58048</v>
      </c>
      <c r="D26" s="72">
        <f>SUM(D16:D25)</f>
        <v>32</v>
      </c>
      <c r="E26" s="144">
        <f>SUM(E16:E25)</f>
        <v>-3.0852999999999984</v>
      </c>
      <c r="F26" s="70">
        <f>IFERROR(((IFERROR((C16/1000)*Liste!$B$10,""))+(IFERROR((C17/1000)*Liste!$B$11,""))+(IFERROR((C18/1000)*Liste!$B$12,""))+(IFERROR((C19/1000)*Liste!$B$13,""))+(IFERROR((C20/1000)*Liste!$B$14,""))+(IFERROR((C21/1000)*Liste!$B$15,""))+(IFERROR((C22/1000)*Liste!$B$16,""))+(IFERROR((C23/1000)*Liste!$B$17,""))+(IFERROR((C24/1000)*Liste!$B$18,""))+(IFERROR((C25/1000)*Liste!$B$19,"")))/D26,"0")</f>
        <v>0.903584375</v>
      </c>
      <c r="G26" s="70">
        <f>IFERROR(AVERAGE(G17:G25),"0")</f>
        <v>0.52258178191489368</v>
      </c>
      <c r="H26" s="71">
        <f>SUM(H16:H25)</f>
        <v>32</v>
      </c>
      <c r="I26" s="72">
        <f>IFERROR(H26/D26,"0")</f>
        <v>1</v>
      </c>
      <c r="J26" s="73">
        <f>SUM(J16:J25)</f>
        <v>1221</v>
      </c>
      <c r="K26" s="74">
        <f>IFERROR(J26/C26,"0")</f>
        <v>2.1034316427783903E-2</v>
      </c>
      <c r="L26" s="69">
        <f>SUM(L16:L25)</f>
        <v>1976530</v>
      </c>
      <c r="M26" s="72">
        <f>SUM(M16:M25)</f>
        <v>913</v>
      </c>
      <c r="N26" s="144">
        <f>SUM(N16:N25)</f>
        <v>34.679799999999965</v>
      </c>
      <c r="O26" s="70">
        <f>IFERROR(((IFERROR((L16/1000)*Liste!$B$10,""))+(IFERROR((L17/1000)*Liste!$B$11,""))+(IFERROR((L18/1000)*Liste!$B$12,""))+(IFERROR((L19/1000)*Liste!$B$13,""))+(IFERROR((L20/1000)*Liste!$B$14,""))+(IFERROR((L21/1000)*Liste!$B$15,""))+(IFERROR((L22/1000)*Liste!$B$16,""))+(IFERROR((L23/1000)*Liste!$B$17,""))+(IFERROR((L24/1000)*Liste!$B$18,""))+(IFERROR((L25/1000)*Liste!$B$19,"")))/M26,"0")</f>
        <v>1.037984446878423</v>
      </c>
      <c r="P26" s="70">
        <f>IFERROR(AVERAGE(P17:P25),"0")</f>
        <v>0.56634285420031638</v>
      </c>
      <c r="Q26" s="71">
        <f>SUM(Q16:Q25)</f>
        <v>988.5</v>
      </c>
      <c r="R26" s="72">
        <f t="shared" si="1"/>
        <v>1.0826944140197152</v>
      </c>
      <c r="S26" s="73">
        <f>SUM(S16:S25)</f>
        <v>78883</v>
      </c>
      <c r="T26" s="74">
        <f>IFERROR(S26/L26,"0")</f>
        <v>3.9909841995820962E-2</v>
      </c>
      <c r="U26" s="69">
        <f>SUM(U16:U25)</f>
        <v>1976530</v>
      </c>
      <c r="V26" s="72">
        <f>SUM(V16:V25)</f>
        <v>913</v>
      </c>
      <c r="W26" s="144">
        <f>SUM(W16:W25)</f>
        <v>34.679799999999965</v>
      </c>
      <c r="X26" s="70">
        <f>IFERROR(((IFERROR((U16/1000)*Liste!$B$10,""))+(IFERROR((U17/1000)*Liste!$B$11,""))+(IFERROR((U18/1000)*Liste!$B$12,""))+(IFERROR((U19/1000)*Liste!$B$13,""))+(IFERROR((U20/1000)*Liste!$B$14,""))+(IFERROR((U21/1000)*Liste!$B$15,""))+(IFERROR((U22/1000)*Liste!$B$16,""))+(IFERROR((U23/1000)*Liste!$B$17,""))+(IFERROR((U24/1000)*Liste!$B$18,""))+(IFERROR((U25/1000)*Liste!$B$19,"")))/V26,"0")</f>
        <v>1.037984446878423</v>
      </c>
      <c r="Y26" s="70">
        <f>IFERROR(AVERAGE(Y17:Y25),"0")</f>
        <v>0.56634285420031638</v>
      </c>
      <c r="Z26" s="71">
        <f>SUM(Z16:Z25)</f>
        <v>988.5</v>
      </c>
      <c r="AA26" s="72">
        <f t="shared" si="3"/>
        <v>1.0826944140197152</v>
      </c>
      <c r="AB26" s="73">
        <f>SUM(AB16:AB25)</f>
        <v>78883</v>
      </c>
      <c r="AC26" s="74">
        <f>IFERROR(AB26/U26,"0")</f>
        <v>3.9909841995820962E-2</v>
      </c>
    </row>
    <row r="27" spans="1:29" ht="15.75" thickBot="1" x14ac:dyDescent="0.3">
      <c r="A27" s="171" t="s">
        <v>82</v>
      </c>
      <c r="B27" s="172"/>
      <c r="C27" s="76">
        <f>SUM(C26,C15)</f>
        <v>115079</v>
      </c>
      <c r="D27" s="79">
        <f>SUM(D26,D15)</f>
        <v>54.75</v>
      </c>
      <c r="E27" s="145">
        <f>SUM(E26,E15)</f>
        <v>-6.6621499999999987</v>
      </c>
      <c r="F27" s="78">
        <f>IFERROR(AVERAGE(F26,F15),"0")</f>
        <v>0.8731800995879121</v>
      </c>
      <c r="G27" s="78">
        <f>IFERROR(AVERAGE(G26,G15),"0")</f>
        <v>0.61068719777562874</v>
      </c>
      <c r="H27" s="77">
        <f>SUM(H26,H15)</f>
        <v>57.5</v>
      </c>
      <c r="I27" s="77">
        <f>IFERROR(H27/D27,"0")</f>
        <v>1.0502283105022832</v>
      </c>
      <c r="J27" s="80">
        <f>SUM(J26,J15)</f>
        <v>5614</v>
      </c>
      <c r="K27" s="81">
        <f>IFERROR(AVERAGE(K26,K15),"0")</f>
        <v>4.9031299645744805E-2</v>
      </c>
      <c r="L27" s="76">
        <f>SUM(L26,L15)</f>
        <v>3760807</v>
      </c>
      <c r="M27" s="79">
        <f>SUM(M26,M15)</f>
        <v>1712.55</v>
      </c>
      <c r="N27" s="145">
        <f>SUM(N26,N15)</f>
        <v>-120.02345000000005</v>
      </c>
      <c r="O27" s="78">
        <f>IFERROR(AVERAGE(O26,O15),"0")</f>
        <v>0.92224827371749307</v>
      </c>
      <c r="P27" s="78">
        <f>IFERROR(AVERAGE(P26,P15),"0")</f>
        <v>0.62010204733883678</v>
      </c>
      <c r="Q27" s="77">
        <f>SUM(Q26,Q15)</f>
        <v>1822.15</v>
      </c>
      <c r="R27" s="77">
        <f>IFERROR(Q27/M27,"0")</f>
        <v>1.0639981314414177</v>
      </c>
      <c r="S27" s="80">
        <f>SUM(S26,S15)</f>
        <v>182025</v>
      </c>
      <c r="T27" s="81">
        <f>IFERROR(AVERAGE(T26,T15),"0")</f>
        <v>4.8857944463437414E-2</v>
      </c>
      <c r="U27" s="76">
        <f>SUM(U26,U15)</f>
        <v>3760807</v>
      </c>
      <c r="V27" s="79">
        <f>SUM(V26,V15)</f>
        <v>1712.55</v>
      </c>
      <c r="W27" s="145">
        <f>SUM(W26,W15)</f>
        <v>-120.02345000000005</v>
      </c>
      <c r="X27" s="78">
        <f>IFERROR(AVERAGE(X26,X15),"0")</f>
        <v>0.92224827371749307</v>
      </c>
      <c r="Y27" s="78">
        <f>IFERROR(AVERAGE(Y26,Y15),"0")</f>
        <v>0.62010204733883678</v>
      </c>
      <c r="Z27" s="77">
        <f>SUM(Z26,Z15)</f>
        <v>1822.15</v>
      </c>
      <c r="AA27" s="77">
        <f>IFERROR(Z27/V27,"0")</f>
        <v>1.0639981314414177</v>
      </c>
      <c r="AB27" s="80">
        <f>SUM(AB26,AB15)</f>
        <v>182025</v>
      </c>
      <c r="AC27" s="81">
        <f>IFERROR(AVERAGE(AC26,AC15),"0")</f>
        <v>4.8857944463437414E-2</v>
      </c>
    </row>
    <row r="28" spans="1:29" ht="20.25" thickBot="1" x14ac:dyDescent="0.3">
      <c r="A28" s="167" t="s">
        <v>83</v>
      </c>
      <c r="B28" s="168"/>
      <c r="C28" s="161">
        <f>(SUMIFS(_22_C8,Tableau2[Date],Rapport!$C$5))+(SUMIFS(_21_C1,Tableau2[Date],Rapport!$C$5))+(SUMIFS(Purge_32_C7,Tableau2[Date],Rapport!$C$5))+(SUMIFS(Sleeve_32_C7,Tableau2[Date],Rapport!$C$5))+(SUMIFS(Tube_Imprimés,Tableau2[Date],Rapport!$C$5))+(SUMIFS(Granulateur,Tableau2[Date],Rapport!$C$5))</f>
        <v>0</v>
      </c>
      <c r="D28" s="162"/>
      <c r="E28" s="162"/>
      <c r="F28" s="162"/>
      <c r="G28" s="162"/>
      <c r="H28" s="162"/>
      <c r="I28" s="162"/>
      <c r="J28" s="162"/>
      <c r="K28" s="163"/>
      <c r="L28" s="161">
        <f>(SUMIFS(_22_C8,Tableau2[No Mois],MONTH($C$5),Tableau2[Année],YEAR($C$5)))+(SUMIFS(_21_C1,Tableau2[No Mois],MONTH($C$5),Tableau2[Année],YEAR($C$5)))+(SUMIFS(Purge_32_C7,Tableau2[No Mois],MONTH($C$5),Tableau2[Année],YEAR($C$5)))+(SUMIFS(Sleeve_32_C7,Tableau2[No Mois],MONTH($C$5),Tableau2[Année],YEAR($C$5)))+(SUMIFS(Tube_Imprimés,Tableau2[No Mois],MONTH($C$5),Tableau2[Année],YEAR($C$5)))+(SUMIFS(Granulateur,Tableau2[No Mois],MONTH($C$5),Tableau2[Année],YEAR($C$5)))</f>
        <v>6390.5</v>
      </c>
      <c r="M28" s="162"/>
      <c r="N28" s="162"/>
      <c r="O28" s="162"/>
      <c r="P28" s="162"/>
      <c r="Q28" s="162"/>
      <c r="R28" s="162"/>
      <c r="S28" s="162"/>
      <c r="T28" s="163"/>
      <c r="U28" s="161">
        <f>(SUMIFS(_22_C8,Tableau2[Année],YEAR($C$5)))+(SUMIFS(_21_C1,Tableau2[Année],YEAR($C$5)))+(SUMIFS(Purge_32_C7,Tableau2[Année],YEAR($C$5)))+(SUMIFS(Sleeve_32_C7,Tableau2[Année],YEAR($C$5)))+(SUMIFS(Tube_Imprimés,Tableau2[Année],YEAR($C$5)))+(SUMIFS(Granulateur,Tableau2[Année],YEAR($C$5)))</f>
        <v>6390.5</v>
      </c>
      <c r="V28" s="162"/>
      <c r="W28" s="162"/>
      <c r="X28" s="162"/>
      <c r="Y28" s="162"/>
      <c r="Z28" s="162"/>
      <c r="AA28" s="162"/>
      <c r="AB28" s="162"/>
      <c r="AC28" s="163"/>
    </row>
    <row r="29" spans="1:29" ht="20.25" thickBot="1" x14ac:dyDescent="0.3">
      <c r="A29" s="169" t="s">
        <v>84</v>
      </c>
      <c r="B29" s="170"/>
      <c r="C29" s="164">
        <f>SUMIFS(Bouchons,Tableau2[Date],Rapport!$C$5)</f>
        <v>0</v>
      </c>
      <c r="D29" s="165"/>
      <c r="E29" s="165"/>
      <c r="F29" s="165"/>
      <c r="G29" s="165"/>
      <c r="H29" s="165"/>
      <c r="I29" s="165"/>
      <c r="J29" s="165"/>
      <c r="K29" s="166"/>
      <c r="L29" s="164">
        <f>SUMIFS(Bouchons,Tableau2[No Mois],MONTH($C$5),Tableau2[Année],YEAR($C$5))</f>
        <v>435.5</v>
      </c>
      <c r="M29" s="165"/>
      <c r="N29" s="165"/>
      <c r="O29" s="165"/>
      <c r="P29" s="165"/>
      <c r="Q29" s="165"/>
      <c r="R29" s="165"/>
      <c r="S29" s="165"/>
      <c r="T29" s="166"/>
      <c r="U29" s="164">
        <f>SUMIFS(Bouchons,Tableau2[Année],YEAR($C$5))</f>
        <v>435.5</v>
      </c>
      <c r="V29" s="165"/>
      <c r="W29" s="165"/>
      <c r="X29" s="165"/>
      <c r="Y29" s="165"/>
      <c r="Z29" s="165"/>
      <c r="AA29" s="165"/>
      <c r="AB29" s="165"/>
      <c r="AC29" s="166"/>
    </row>
    <row r="32" spans="1:29" x14ac:dyDescent="0.25">
      <c r="G32" s="6"/>
    </row>
  </sheetData>
  <sheetProtection algorithmName="SHA-512" hashValue="yJXqYQsluVqQ5ZaKWqh06q/hIe8T609rxgeOHGs3HWnDmpj0Pc1O24Djx8C4Ic0xVJLO/CIL0hq6q9yYjf+5YA==" saltValue="4+4Icip1wd7ynHl4ixLTVg==" spinCount="100000" sheet="1" selectLockedCells="1"/>
  <mergeCells count="15">
    <mergeCell ref="U5:AC5"/>
    <mergeCell ref="U28:AC28"/>
    <mergeCell ref="U29:AC29"/>
    <mergeCell ref="A28:B28"/>
    <mergeCell ref="C28:K28"/>
    <mergeCell ref="L28:T28"/>
    <mergeCell ref="A29:B29"/>
    <mergeCell ref="C29:K29"/>
    <mergeCell ref="L29:T29"/>
    <mergeCell ref="A27:B27"/>
    <mergeCell ref="A5:B5"/>
    <mergeCell ref="C5:K5"/>
    <mergeCell ref="L5:T5"/>
    <mergeCell ref="A7:A14"/>
    <mergeCell ref="A16:A25"/>
  </mergeCells>
  <pageMargins left="0.23622047244094491" right="0.23622047244094491" top="2.3622047244094491" bottom="0.74803149606299213" header="0.31496062992125984" footer="0.31496062992125984"/>
  <pageSetup paperSize="5" scale="60" fitToHeight="0" orientation="landscape" r:id="rId1"/>
  <headerFooter>
    <oddHeader>&amp;L&amp;G&amp;C&amp;"Arial,Gras"&amp;24&amp;U
&amp;36Sommaire de production&amp;R&amp;N</oddHeader>
    <oddFooter>&amp;L&amp;F&amp;C&amp;Z&amp;F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Liste!$H$2:$H$13</xm:f>
          </x14:formula1>
          <xm:sqref>B2</xm:sqref>
        </x14:dataValidation>
        <x14:dataValidation type="list" allowBlank="1" showInputMessage="1" showErrorMessage="1">
          <x14:formula1>
            <xm:f>Liste!$G$2:$G$32</xm:f>
          </x14:formula1>
          <xm:sqref>B3</xm:sqref>
        </x14:dataValidation>
        <x14:dataValidation type="list" allowBlank="1" showInputMessage="1" showErrorMessage="1">
          <x14:formula1>
            <xm:f>Liste!$J$2:$J$13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N295"/>
  <sheetViews>
    <sheetView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G271" sqref="G271"/>
    </sheetView>
  </sheetViews>
  <sheetFormatPr baseColWidth="10" defaultColWidth="10.7109375" defaultRowHeight="15" x14ac:dyDescent="0.25"/>
  <cols>
    <col min="1" max="1" width="18.7109375" style="7" customWidth="1"/>
    <col min="2" max="2" width="8.28515625" style="8" bestFit="1" customWidth="1"/>
    <col min="3" max="3" width="17.140625" style="8" bestFit="1" customWidth="1"/>
    <col min="4" max="4" width="12.42578125" style="9" bestFit="1" customWidth="1"/>
    <col min="5" max="5" width="25.7109375" style="8" customWidth="1"/>
    <col min="6" max="6" width="14.7109375" style="2" bestFit="1" customWidth="1"/>
    <col min="7" max="7" width="25.7109375" style="8" customWidth="1"/>
    <col min="8" max="8" width="14.7109375" style="2" bestFit="1" customWidth="1"/>
    <col min="9" max="9" width="15.7109375" style="10" customWidth="1"/>
    <col min="10" max="10" width="16.42578125" style="12" bestFit="1" customWidth="1"/>
    <col min="11" max="11" width="15" style="12" bestFit="1" customWidth="1"/>
    <col min="12" max="12" width="10.42578125" style="12" bestFit="1" customWidth="1"/>
    <col min="13" max="13" width="15" style="2" customWidth="1"/>
    <col min="14" max="14" width="9" style="12" bestFit="1" customWidth="1"/>
    <col min="15" max="15" width="9.85546875" style="12" bestFit="1" customWidth="1"/>
    <col min="16" max="16" width="11.28515625" style="9" bestFit="1" customWidth="1"/>
    <col min="17" max="17" width="11.28515625" style="11" customWidth="1"/>
    <col min="18" max="18" width="10.28515625" style="11" customWidth="1"/>
    <col min="19" max="20" width="20.5703125" style="2" customWidth="1"/>
    <col min="21" max="21" width="20.5703125" style="8" customWidth="1"/>
    <col min="22" max="36" width="20.5703125" style="6" customWidth="1"/>
    <col min="37" max="37" width="10.7109375" style="9"/>
    <col min="38" max="38" width="10.7109375" style="6"/>
    <col min="39" max="39" width="10.7109375" style="11"/>
    <col min="40" max="40" width="19.85546875" style="6" bestFit="1" customWidth="1"/>
    <col min="41" max="16384" width="10.7109375" style="6"/>
  </cols>
  <sheetData>
    <row r="1" spans="1:40" s="24" customFormat="1" x14ac:dyDescent="0.25">
      <c r="A1" s="15" t="s">
        <v>33</v>
      </c>
      <c r="B1" s="16" t="s">
        <v>9</v>
      </c>
      <c r="C1" s="16" t="s">
        <v>43</v>
      </c>
      <c r="D1" s="17" t="s">
        <v>69</v>
      </c>
      <c r="E1" s="16" t="s">
        <v>1</v>
      </c>
      <c r="F1" s="18" t="s">
        <v>41</v>
      </c>
      <c r="G1" s="16" t="s">
        <v>2</v>
      </c>
      <c r="H1" s="18" t="s">
        <v>42</v>
      </c>
      <c r="I1" s="19" t="s">
        <v>39</v>
      </c>
      <c r="J1" s="20" t="s">
        <v>3</v>
      </c>
      <c r="K1" s="20" t="s">
        <v>5</v>
      </c>
      <c r="L1" s="20" t="s">
        <v>40</v>
      </c>
      <c r="M1" s="18" t="s">
        <v>104</v>
      </c>
      <c r="N1" s="20" t="s">
        <v>106</v>
      </c>
      <c r="O1" s="20" t="s">
        <v>105</v>
      </c>
      <c r="P1" s="21" t="s">
        <v>98</v>
      </c>
      <c r="Q1" s="89" t="s">
        <v>103</v>
      </c>
      <c r="R1" s="22" t="s">
        <v>4</v>
      </c>
      <c r="S1" s="18" t="s">
        <v>44</v>
      </c>
      <c r="T1" s="18" t="s">
        <v>46</v>
      </c>
      <c r="U1" s="23" t="s">
        <v>56</v>
      </c>
      <c r="V1" s="18" t="s">
        <v>45</v>
      </c>
      <c r="W1" s="18" t="s">
        <v>47</v>
      </c>
      <c r="X1" s="23" t="s">
        <v>57</v>
      </c>
      <c r="Y1" s="18" t="s">
        <v>48</v>
      </c>
      <c r="Z1" s="18" t="s">
        <v>49</v>
      </c>
      <c r="AA1" s="23" t="s">
        <v>58</v>
      </c>
      <c r="AB1" s="18" t="s">
        <v>50</v>
      </c>
      <c r="AC1" s="18" t="s">
        <v>51</v>
      </c>
      <c r="AD1" s="23" t="s">
        <v>59</v>
      </c>
      <c r="AE1" s="18" t="s">
        <v>52</v>
      </c>
      <c r="AF1" s="18" t="s">
        <v>53</v>
      </c>
      <c r="AG1" s="23" t="s">
        <v>60</v>
      </c>
      <c r="AH1" s="18" t="s">
        <v>54</v>
      </c>
      <c r="AI1" s="18" t="s">
        <v>55</v>
      </c>
      <c r="AJ1" s="23" t="s">
        <v>61</v>
      </c>
      <c r="AK1" s="84" t="s">
        <v>100</v>
      </c>
      <c r="AL1" s="24" t="s">
        <v>101</v>
      </c>
      <c r="AM1" s="92" t="s">
        <v>225</v>
      </c>
      <c r="AN1" s="24" t="s">
        <v>252</v>
      </c>
    </row>
    <row r="2" spans="1:40" s="24" customFormat="1" x14ac:dyDescent="0.25">
      <c r="A2" s="93">
        <v>43949</v>
      </c>
      <c r="B2" s="94" t="s">
        <v>19</v>
      </c>
      <c r="C2" s="16" t="s">
        <v>63</v>
      </c>
      <c r="D2" s="95" t="s">
        <v>29</v>
      </c>
      <c r="E2" s="94" t="s">
        <v>130</v>
      </c>
      <c r="F2" s="96">
        <v>8</v>
      </c>
      <c r="G2" s="94"/>
      <c r="H2" s="96"/>
      <c r="I2" s="91" t="s">
        <v>208</v>
      </c>
      <c r="J2" s="97">
        <v>8255</v>
      </c>
      <c r="K2" s="97">
        <v>8255</v>
      </c>
      <c r="L2" s="97">
        <v>40640</v>
      </c>
      <c r="M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" s="97">
        <v>0</v>
      </c>
      <c r="O2" s="20">
        <v>169</v>
      </c>
      <c r="P2" s="98">
        <v>30</v>
      </c>
      <c r="Q2" s="99">
        <f>IFERROR((Tableau3[[#This Row],[QTY Produite]]/1000)*((1000/Tableau3[[#This Row],[Cadence]])/60)/Tableau3[[#This Row],[Heures Macines]],"0")</f>
        <v>0.57326388888888902</v>
      </c>
      <c r="R2" s="100">
        <v>57</v>
      </c>
      <c r="S2" s="96"/>
      <c r="T2" s="18"/>
      <c r="U2" s="101"/>
      <c r="V2" s="96"/>
      <c r="W2" s="96"/>
      <c r="X2" s="101"/>
      <c r="Y2" s="96"/>
      <c r="Z2" s="96"/>
      <c r="AA2" s="101"/>
      <c r="AB2" s="96"/>
      <c r="AC2" s="96"/>
      <c r="AD2" s="101"/>
      <c r="AE2" s="96"/>
      <c r="AF2" s="96"/>
      <c r="AG2" s="101"/>
      <c r="AH2" s="96"/>
      <c r="AI2" s="96"/>
      <c r="AJ2" s="101"/>
      <c r="AK2" s="84">
        <f t="shared" ref="AK2:AK64" si="0">MONTH(A2)</f>
        <v>4</v>
      </c>
      <c r="AL2" s="24">
        <f>YEAR(Tableau3[[#This Row],[Date]])</f>
        <v>2020</v>
      </c>
      <c r="AM2" s="92">
        <f>IFERROR(((Tableau3[[#This Row],[QTY Produite]]/1000)*VLOOKUP(Tableau3[[#This Row],[Machine]],Liste!$A:$B,2))/Tableau3[[#This Row],[Heures Macines]],"0")</f>
        <v>0.92868750000000011</v>
      </c>
      <c r="AN2" s="24" t="str">
        <f>VLOOKUP(Tableau3[[#This Row],[Opérateur 1]],Liste!$K$2:$M$68,3,FALSE)</f>
        <v>Déco</v>
      </c>
    </row>
    <row r="3" spans="1:40" s="24" customFormat="1" x14ac:dyDescent="0.25">
      <c r="A3" s="93">
        <v>43949</v>
      </c>
      <c r="B3" s="94" t="s">
        <v>19</v>
      </c>
      <c r="C3" s="16" t="s">
        <v>63</v>
      </c>
      <c r="D3" s="95" t="s">
        <v>25</v>
      </c>
      <c r="E3" s="94" t="s">
        <v>142</v>
      </c>
      <c r="F3" s="96">
        <v>8</v>
      </c>
      <c r="G3" s="94"/>
      <c r="H3" s="96"/>
      <c r="I3" s="91">
        <v>21924</v>
      </c>
      <c r="J3" s="97">
        <v>72686</v>
      </c>
      <c r="K3" s="97">
        <v>15680</v>
      </c>
      <c r="L3" s="97">
        <v>23520</v>
      </c>
      <c r="M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" s="97">
        <v>50</v>
      </c>
      <c r="O3" s="20">
        <v>43</v>
      </c>
      <c r="P3" s="98">
        <v>47</v>
      </c>
      <c r="Q3" s="99">
        <f>IFERROR((Tableau3[[#This Row],[QTY Produite]]/1000)*((1000/Tableau3[[#This Row],[Cadence]])/60)/Tableau3[[#This Row],[Heures Macines]],"0")</f>
        <v>0.69503546099290781</v>
      </c>
      <c r="R3" s="100">
        <v>70</v>
      </c>
      <c r="S3" s="96"/>
      <c r="T3" s="18"/>
      <c r="U3" s="101"/>
      <c r="V3" s="96"/>
      <c r="W3" s="96"/>
      <c r="X3" s="101"/>
      <c r="Y3" s="96"/>
      <c r="Z3" s="96"/>
      <c r="AA3" s="101"/>
      <c r="AB3" s="96"/>
      <c r="AC3" s="96"/>
      <c r="AD3" s="101"/>
      <c r="AE3" s="96"/>
      <c r="AF3" s="96"/>
      <c r="AG3" s="101"/>
      <c r="AH3" s="96"/>
      <c r="AI3" s="96"/>
      <c r="AJ3" s="101"/>
      <c r="AK3" s="84">
        <f t="shared" si="0"/>
        <v>4</v>
      </c>
      <c r="AL3" s="24">
        <f>YEAR(Tableau3[[#This Row],[Date]])</f>
        <v>2020</v>
      </c>
      <c r="AM3" s="92">
        <f>IFERROR(((Tableau3[[#This Row],[QTY Produite]]/1000)*VLOOKUP(Tableau3[[#This Row],[Machine]],Liste!$A:$B,2))/Tableau3[[#This Row],[Heures Macines]],"0")</f>
        <v>0.98</v>
      </c>
      <c r="AN3" s="24" t="str">
        <f>VLOOKUP(Tableau3[[#This Row],[Opérateur 1]],Liste!$K$2:$M$68,3,FALSE)</f>
        <v>Déco</v>
      </c>
    </row>
    <row r="4" spans="1:40" s="24" customFormat="1" x14ac:dyDescent="0.25">
      <c r="A4" s="93">
        <v>43949</v>
      </c>
      <c r="B4" s="94" t="s">
        <v>19</v>
      </c>
      <c r="C4" s="16" t="s">
        <v>63</v>
      </c>
      <c r="D4" s="95" t="s">
        <v>18</v>
      </c>
      <c r="E4" s="94" t="s">
        <v>121</v>
      </c>
      <c r="F4" s="96">
        <v>8</v>
      </c>
      <c r="G4" s="94"/>
      <c r="H4" s="96"/>
      <c r="I4" s="91">
        <v>25853</v>
      </c>
      <c r="J4" s="97">
        <v>139781</v>
      </c>
      <c r="K4" s="97">
        <v>27120</v>
      </c>
      <c r="L4" s="97">
        <v>138720</v>
      </c>
      <c r="M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" s="97">
        <v>55</v>
      </c>
      <c r="O4" s="20">
        <v>409</v>
      </c>
      <c r="P4" s="98">
        <v>90</v>
      </c>
      <c r="Q4" s="99">
        <f>IFERROR((Tableau3[[#This Row],[QTY Produite]]/1000)*((1000/Tableau3[[#This Row],[Cadence]])/60)/Tableau3[[#This Row],[Heures Macines]],"0")</f>
        <v>0.62777777777777777</v>
      </c>
      <c r="R4" s="100">
        <v>63</v>
      </c>
      <c r="S4" s="96"/>
      <c r="T4" s="18"/>
      <c r="U4" s="101"/>
      <c r="V4" s="96"/>
      <c r="W4" s="96"/>
      <c r="X4" s="101"/>
      <c r="Y4" s="96"/>
      <c r="Z4" s="96"/>
      <c r="AA4" s="101"/>
      <c r="AB4" s="96"/>
      <c r="AC4" s="96"/>
      <c r="AD4" s="101"/>
      <c r="AE4" s="96"/>
      <c r="AF4" s="96"/>
      <c r="AG4" s="101"/>
      <c r="AH4" s="96"/>
      <c r="AI4" s="96"/>
      <c r="AJ4" s="101"/>
      <c r="AK4" s="84">
        <f t="shared" si="0"/>
        <v>4</v>
      </c>
      <c r="AL4" s="24">
        <f>YEAR(Tableau3[[#This Row],[Date]])</f>
        <v>2020</v>
      </c>
      <c r="AM4" s="92">
        <f>IFERROR(((Tableau3[[#This Row],[QTY Produite]]/1000)*VLOOKUP(Tableau3[[#This Row],[Machine]],Liste!$A:$B,2))/Tableau3[[#This Row],[Heures Macines]],"0")</f>
        <v>1.3560000000000001</v>
      </c>
      <c r="AN4" s="24" t="str">
        <f>VLOOKUP(Tableau3[[#This Row],[Opérateur 1]],Liste!$K$2:$M$68,3,FALSE)</f>
        <v>Imp</v>
      </c>
    </row>
    <row r="5" spans="1:40" s="24" customFormat="1" x14ac:dyDescent="0.25">
      <c r="A5" s="93">
        <v>43949</v>
      </c>
      <c r="B5" s="94" t="s">
        <v>19</v>
      </c>
      <c r="C5" s="16" t="s">
        <v>63</v>
      </c>
      <c r="D5" s="95" t="s">
        <v>15</v>
      </c>
      <c r="E5" s="94" t="s">
        <v>131</v>
      </c>
      <c r="F5" s="96">
        <v>8</v>
      </c>
      <c r="G5" s="94"/>
      <c r="H5" s="96"/>
      <c r="I5" s="91" t="s">
        <v>234</v>
      </c>
      <c r="J5" s="97">
        <v>17850</v>
      </c>
      <c r="K5" s="97">
        <v>6993</v>
      </c>
      <c r="L5" s="97">
        <v>7992</v>
      </c>
      <c r="M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" s="97">
        <v>30</v>
      </c>
      <c r="O5" s="20">
        <v>465</v>
      </c>
      <c r="P5" s="98">
        <v>75</v>
      </c>
      <c r="Q5" s="99">
        <f>IFERROR((Tableau3[[#This Row],[QTY Produite]]/1000)*((1000/Tableau3[[#This Row],[Cadence]])/60)/Tableau3[[#This Row],[Heures Macines]],"0")</f>
        <v>0.19425000000000003</v>
      </c>
      <c r="R5" s="100">
        <v>20</v>
      </c>
      <c r="S5" s="96"/>
      <c r="T5" s="18"/>
      <c r="U5" s="101"/>
      <c r="V5" s="96"/>
      <c r="W5" s="96"/>
      <c r="X5" s="101"/>
      <c r="Y5" s="96"/>
      <c r="Z5" s="96"/>
      <c r="AA5" s="101"/>
      <c r="AB5" s="96"/>
      <c r="AC5" s="96"/>
      <c r="AD5" s="101"/>
      <c r="AE5" s="96"/>
      <c r="AF5" s="96"/>
      <c r="AG5" s="101"/>
      <c r="AH5" s="96"/>
      <c r="AI5" s="96"/>
      <c r="AJ5" s="101"/>
      <c r="AK5" s="84">
        <f t="shared" si="0"/>
        <v>4</v>
      </c>
      <c r="AL5" s="24">
        <f>YEAR(Tableau3[[#This Row],[Date]])</f>
        <v>2020</v>
      </c>
      <c r="AM5" s="92">
        <f>IFERROR(((Tableau3[[#This Row],[QTY Produite]]/1000)*VLOOKUP(Tableau3[[#This Row],[Machine]],Liste!$A:$B,2))/Tableau3[[#This Row],[Heures Macines]],"0")</f>
        <v>0.34965000000000002</v>
      </c>
      <c r="AN5" s="24" t="str">
        <f>VLOOKUP(Tableau3[[#This Row],[Opérateur 1]],Liste!$K$2:$M$68,3,FALSE)</f>
        <v>Déco</v>
      </c>
    </row>
    <row r="6" spans="1:40" s="24" customFormat="1" x14ac:dyDescent="0.25">
      <c r="A6" s="93">
        <v>43949</v>
      </c>
      <c r="B6" s="94" t="s">
        <v>19</v>
      </c>
      <c r="C6" s="16" t="s">
        <v>63</v>
      </c>
      <c r="D6" s="95" t="s">
        <v>22</v>
      </c>
      <c r="E6" s="94" t="s">
        <v>114</v>
      </c>
      <c r="F6" s="96">
        <v>8</v>
      </c>
      <c r="G6" s="94"/>
      <c r="H6" s="96"/>
      <c r="I6" s="91">
        <v>25904</v>
      </c>
      <c r="J6" s="97">
        <v>148867</v>
      </c>
      <c r="K6" s="97">
        <v>35280</v>
      </c>
      <c r="L6" s="97">
        <v>50640</v>
      </c>
      <c r="M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" s="97">
        <v>462</v>
      </c>
      <c r="O6" s="20">
        <v>258</v>
      </c>
      <c r="P6" s="98">
        <v>80</v>
      </c>
      <c r="Q6" s="99">
        <f>IFERROR((Tableau3[[#This Row],[QTY Produite]]/1000)*((1000/Tableau3[[#This Row],[Cadence]])/60)/Tableau3[[#This Row],[Heures Macines]],"0")</f>
        <v>0.91875000000000007</v>
      </c>
      <c r="R6" s="100">
        <v>93</v>
      </c>
      <c r="S6" s="96"/>
      <c r="T6" s="18"/>
      <c r="U6" s="101"/>
      <c r="V6" s="96"/>
      <c r="W6" s="96"/>
      <c r="X6" s="101"/>
      <c r="Y6" s="96"/>
      <c r="Z6" s="96"/>
      <c r="AA6" s="101"/>
      <c r="AB6" s="96"/>
      <c r="AC6" s="96"/>
      <c r="AD6" s="101"/>
      <c r="AE6" s="96"/>
      <c r="AF6" s="96"/>
      <c r="AG6" s="101"/>
      <c r="AH6" s="96"/>
      <c r="AI6" s="96"/>
      <c r="AJ6" s="101"/>
      <c r="AK6" s="84">
        <f t="shared" si="0"/>
        <v>4</v>
      </c>
      <c r="AL6" s="24">
        <f>YEAR(Tableau3[[#This Row],[Date]])</f>
        <v>2020</v>
      </c>
      <c r="AM6" s="92">
        <f>IFERROR(((Tableau3[[#This Row],[QTY Produite]]/1000)*VLOOKUP(Tableau3[[#This Row],[Machine]],Liste!$A:$B,2))/Tableau3[[#This Row],[Heures Macines]],"0")</f>
        <v>1.323</v>
      </c>
      <c r="AN6" s="24" t="str">
        <f>VLOOKUP(Tableau3[[#This Row],[Opérateur 1]],Liste!$K$2:$M$68,3,FALSE)</f>
        <v>Multi</v>
      </c>
    </row>
    <row r="7" spans="1:40" s="24" customFormat="1" x14ac:dyDescent="0.25">
      <c r="A7" s="93">
        <v>43949</v>
      </c>
      <c r="B7" s="94" t="s">
        <v>19</v>
      </c>
      <c r="C7" s="16" t="s">
        <v>63</v>
      </c>
      <c r="D7" s="95" t="s">
        <v>20</v>
      </c>
      <c r="E7" s="94" t="s">
        <v>125</v>
      </c>
      <c r="F7" s="96">
        <v>8</v>
      </c>
      <c r="G7" s="94"/>
      <c r="H7" s="96"/>
      <c r="I7" s="91">
        <v>25553</v>
      </c>
      <c r="J7" s="97">
        <v>67095</v>
      </c>
      <c r="K7" s="97">
        <v>13320</v>
      </c>
      <c r="L7" s="97">
        <v>16650</v>
      </c>
      <c r="M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7" s="97">
        <v>1689</v>
      </c>
      <c r="O7" s="20">
        <v>1262</v>
      </c>
      <c r="P7" s="98">
        <v>55</v>
      </c>
      <c r="Q7" s="99">
        <f>IFERROR((Tableau3[[#This Row],[QTY Produite]]/1000)*((1000/Tableau3[[#This Row],[Cadence]])/60)/Tableau3[[#This Row],[Heures Macines]],"0")</f>
        <v>0.50454545454545452</v>
      </c>
      <c r="R7" s="100">
        <v>51</v>
      </c>
      <c r="S7" s="96"/>
      <c r="T7" s="18"/>
      <c r="U7" s="101"/>
      <c r="V7" s="96"/>
      <c r="W7" s="96"/>
      <c r="X7" s="101"/>
      <c r="Y7" s="96"/>
      <c r="Z7" s="96"/>
      <c r="AA7" s="101"/>
      <c r="AB7" s="96"/>
      <c r="AC7" s="96"/>
      <c r="AD7" s="101"/>
      <c r="AE7" s="96"/>
      <c r="AF7" s="96"/>
      <c r="AG7" s="101"/>
      <c r="AH7" s="96"/>
      <c r="AI7" s="96"/>
      <c r="AJ7" s="101"/>
      <c r="AK7" s="84">
        <f t="shared" si="0"/>
        <v>4</v>
      </c>
      <c r="AL7" s="24">
        <f>YEAR(Tableau3[[#This Row],[Date]])</f>
        <v>2020</v>
      </c>
      <c r="AM7" s="92">
        <f>IFERROR(((Tableau3[[#This Row],[QTY Produite]]/1000)*VLOOKUP(Tableau3[[#This Row],[Machine]],Liste!$A:$B,2))/Tableau3[[#This Row],[Heures Macines]],"0")</f>
        <v>0.59940000000000004</v>
      </c>
      <c r="AN7" s="24" t="str">
        <f>VLOOKUP(Tableau3[[#This Row],[Opérateur 1]],Liste!$K$2:$M$68,3,FALSE)</f>
        <v>Multi</v>
      </c>
    </row>
    <row r="8" spans="1:40" s="24" customFormat="1" x14ac:dyDescent="0.25">
      <c r="A8" s="93">
        <v>43949</v>
      </c>
      <c r="B8" s="94" t="s">
        <v>19</v>
      </c>
      <c r="C8" s="16" t="s">
        <v>63</v>
      </c>
      <c r="D8" s="95" t="s">
        <v>17</v>
      </c>
      <c r="E8" s="94" t="s">
        <v>129</v>
      </c>
      <c r="F8" s="96">
        <v>8</v>
      </c>
      <c r="G8" s="94"/>
      <c r="H8" s="96"/>
      <c r="I8" s="91">
        <v>25986</v>
      </c>
      <c r="J8" s="97">
        <v>35145</v>
      </c>
      <c r="K8" s="97">
        <v>6272</v>
      </c>
      <c r="L8" s="97">
        <v>6272</v>
      </c>
      <c r="M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5.25</v>
      </c>
      <c r="N8" s="97">
        <v>569</v>
      </c>
      <c r="O8" s="20">
        <v>152</v>
      </c>
      <c r="P8" s="98">
        <v>32</v>
      </c>
      <c r="Q8" s="99">
        <f>IFERROR((Tableau3[[#This Row],[QTY Produite]]/1000)*((1000/Tableau3[[#This Row],[Cadence]])/60)/Tableau3[[#This Row],[Heures Macines]],"0")</f>
        <v>0.62222222222222234</v>
      </c>
      <c r="R8" s="100">
        <v>49</v>
      </c>
      <c r="S8" s="96" t="s">
        <v>144</v>
      </c>
      <c r="T8" s="18">
        <v>2.75</v>
      </c>
      <c r="U8" s="101"/>
      <c r="V8" s="96"/>
      <c r="W8" s="96"/>
      <c r="X8" s="101"/>
      <c r="Y8" s="96"/>
      <c r="Z8" s="96"/>
      <c r="AA8" s="101"/>
      <c r="AB8" s="96"/>
      <c r="AC8" s="96"/>
      <c r="AD8" s="101"/>
      <c r="AE8" s="96"/>
      <c r="AF8" s="96"/>
      <c r="AG8" s="101"/>
      <c r="AH8" s="96"/>
      <c r="AI8" s="96"/>
      <c r="AJ8" s="101"/>
      <c r="AK8" s="84">
        <f t="shared" si="0"/>
        <v>4</v>
      </c>
      <c r="AL8" s="24">
        <f>YEAR(Tableau3[[#This Row],[Date]])</f>
        <v>2020</v>
      </c>
      <c r="AM8" s="92">
        <f>IFERROR(((Tableau3[[#This Row],[QTY Produite]]/1000)*VLOOKUP(Tableau3[[#This Row],[Machine]],Liste!$A:$B,2))/Tableau3[[#This Row],[Heures Macines]],"0")</f>
        <v>0.53759999999999997</v>
      </c>
      <c r="AN8" s="24" t="str">
        <f>VLOOKUP(Tableau3[[#This Row],[Opérateur 1]],Liste!$K$2:$M$68,3,FALSE)</f>
        <v>Mono</v>
      </c>
    </row>
    <row r="9" spans="1:40" s="24" customFormat="1" x14ac:dyDescent="0.25">
      <c r="A9" s="93">
        <v>43949</v>
      </c>
      <c r="B9" s="94" t="s">
        <v>19</v>
      </c>
      <c r="C9" s="16" t="s">
        <v>63</v>
      </c>
      <c r="D9" s="95" t="s">
        <v>14</v>
      </c>
      <c r="E9" s="94" t="s">
        <v>139</v>
      </c>
      <c r="F9" s="96">
        <v>1.5</v>
      </c>
      <c r="G9" s="94"/>
      <c r="H9" s="96"/>
      <c r="I9" s="91">
        <v>26900</v>
      </c>
      <c r="J9" s="97">
        <v>19200</v>
      </c>
      <c r="K9" s="97">
        <v>2159</v>
      </c>
      <c r="L9" s="97">
        <v>19304</v>
      </c>
      <c r="M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9" s="97">
        <v>34</v>
      </c>
      <c r="O9" s="20">
        <v>-33</v>
      </c>
      <c r="P9" s="98">
        <v>32</v>
      </c>
      <c r="Q9" s="99">
        <f>IFERROR((Tableau3[[#This Row],[QTY Produite]]/1000)*((1000/Tableau3[[#This Row],[Cadence]])/60)/Tableau3[[#This Row],[Heures Macines]],"0")</f>
        <v>0.74965277777777783</v>
      </c>
      <c r="R9" s="100">
        <v>75</v>
      </c>
      <c r="S9" s="96"/>
      <c r="T9" s="18"/>
      <c r="U9" s="101"/>
      <c r="V9" s="96"/>
      <c r="W9" s="96"/>
      <c r="X9" s="101"/>
      <c r="Y9" s="96"/>
      <c r="Z9" s="96"/>
      <c r="AA9" s="101"/>
      <c r="AB9" s="96"/>
      <c r="AC9" s="96"/>
      <c r="AD9" s="101"/>
      <c r="AE9" s="96"/>
      <c r="AF9" s="96"/>
      <c r="AG9" s="101"/>
      <c r="AH9" s="96"/>
      <c r="AI9" s="96"/>
      <c r="AJ9" s="101"/>
      <c r="AK9" s="84">
        <f t="shared" si="0"/>
        <v>4</v>
      </c>
      <c r="AL9" s="24">
        <f>YEAR(Tableau3[[#This Row],[Date]])</f>
        <v>2020</v>
      </c>
      <c r="AM9" s="92">
        <f>IFERROR(((Tableau3[[#This Row],[QTY Produite]]/1000)*VLOOKUP(Tableau3[[#This Row],[Machine]],Liste!$A:$B,2))/Tableau3[[#This Row],[Heures Macines]],"0")</f>
        <v>0.64769999999999994</v>
      </c>
      <c r="AN9" s="24" t="str">
        <f>VLOOKUP(Tableau3[[#This Row],[Opérateur 1]],Liste!$K$2:$M$68,3,FALSE)</f>
        <v>Mono</v>
      </c>
    </row>
    <row r="10" spans="1:40" s="24" customFormat="1" x14ac:dyDescent="0.25">
      <c r="A10" s="93">
        <v>43948</v>
      </c>
      <c r="B10" s="94" t="s">
        <v>16</v>
      </c>
      <c r="C10" s="16" t="s">
        <v>62</v>
      </c>
      <c r="D10" s="95" t="s">
        <v>15</v>
      </c>
      <c r="E10" s="94" t="s">
        <v>109</v>
      </c>
      <c r="F10" s="96">
        <v>8</v>
      </c>
      <c r="G10" s="94"/>
      <c r="H10" s="96"/>
      <c r="I10" s="91" t="s">
        <v>234</v>
      </c>
      <c r="J10" s="97">
        <v>17850</v>
      </c>
      <c r="K10" s="97">
        <v>999</v>
      </c>
      <c r="L10" s="97">
        <v>999</v>
      </c>
      <c r="M1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" s="97">
        <v>50</v>
      </c>
      <c r="O10" s="20">
        <v>454</v>
      </c>
      <c r="P10" s="98">
        <v>70</v>
      </c>
      <c r="Q10" s="99">
        <f>IFERROR((Tableau3[[#This Row],[QTY Produite]]/1000)*((1000/Tableau3[[#This Row],[Cadence]])/60)/Tableau3[[#This Row],[Heures Macines]],"0")</f>
        <v>2.973214285714286E-2</v>
      </c>
      <c r="R10" s="100">
        <v>3</v>
      </c>
      <c r="S10" s="96"/>
      <c r="T10" s="18"/>
      <c r="U10" s="101"/>
      <c r="V10" s="96"/>
      <c r="W10" s="96"/>
      <c r="X10" s="101"/>
      <c r="Y10" s="96"/>
      <c r="Z10" s="96"/>
      <c r="AA10" s="101"/>
      <c r="AB10" s="96"/>
      <c r="AC10" s="96"/>
      <c r="AD10" s="101"/>
      <c r="AE10" s="96"/>
      <c r="AF10" s="96"/>
      <c r="AG10" s="101"/>
      <c r="AH10" s="96"/>
      <c r="AI10" s="96"/>
      <c r="AJ10" s="101"/>
      <c r="AK10" s="84">
        <f t="shared" si="0"/>
        <v>4</v>
      </c>
      <c r="AL10" s="24">
        <f>YEAR(Tableau3[[#This Row],[Date]])</f>
        <v>2020</v>
      </c>
      <c r="AM10" s="92">
        <f>IFERROR(((Tableau3[[#This Row],[QTY Produite]]/1000)*VLOOKUP(Tableau3[[#This Row],[Machine]],Liste!$A:$B,2))/Tableau3[[#This Row],[Heures Macines]],"0")</f>
        <v>4.9950000000000001E-2</v>
      </c>
      <c r="AN10" s="24" t="str">
        <f>VLOOKUP(Tableau3[[#This Row],[Opérateur 1]],Liste!$K$2:$M$68,3,FALSE)</f>
        <v>Imp</v>
      </c>
    </row>
    <row r="11" spans="1:40" s="24" customFormat="1" x14ac:dyDescent="0.25">
      <c r="A11" s="93">
        <v>43948</v>
      </c>
      <c r="B11" s="94" t="s">
        <v>16</v>
      </c>
      <c r="C11" s="16" t="s">
        <v>62</v>
      </c>
      <c r="D11" s="95" t="s">
        <v>25</v>
      </c>
      <c r="E11" s="94" t="s">
        <v>122</v>
      </c>
      <c r="F11" s="96">
        <v>3.25</v>
      </c>
      <c r="G11" s="94"/>
      <c r="H11" s="96"/>
      <c r="I11" s="91">
        <v>21924</v>
      </c>
      <c r="J11" s="97">
        <v>72686</v>
      </c>
      <c r="K11" s="97">
        <v>7840</v>
      </c>
      <c r="L11" s="97">
        <v>7840</v>
      </c>
      <c r="M1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3.25</v>
      </c>
      <c r="N11" s="97">
        <v>36</v>
      </c>
      <c r="O11" s="20">
        <v>35</v>
      </c>
      <c r="P11" s="98">
        <v>53</v>
      </c>
      <c r="Q11" s="99">
        <f>IFERROR((Tableau3[[#This Row],[QTY Produite]]/1000)*((1000/Tableau3[[#This Row],[Cadence]])/60)/Tableau3[[#This Row],[Heures Macines]],"0")</f>
        <v>0.75858732462506062</v>
      </c>
      <c r="R11" s="100">
        <v>54</v>
      </c>
      <c r="S11" s="96"/>
      <c r="T11" s="18"/>
      <c r="U11" s="101"/>
      <c r="V11" s="96"/>
      <c r="W11" s="96"/>
      <c r="X11" s="101"/>
      <c r="Y11" s="96"/>
      <c r="Z11" s="96"/>
      <c r="AA11" s="101"/>
      <c r="AB11" s="96"/>
      <c r="AC11" s="96"/>
      <c r="AD11" s="101"/>
      <c r="AE11" s="96"/>
      <c r="AF11" s="96"/>
      <c r="AG11" s="101"/>
      <c r="AH11" s="96"/>
      <c r="AI11" s="96"/>
      <c r="AJ11" s="101"/>
      <c r="AK11" s="84">
        <f t="shared" si="0"/>
        <v>4</v>
      </c>
      <c r="AL11" s="24">
        <f>YEAR(Tableau3[[#This Row],[Date]])</f>
        <v>2020</v>
      </c>
      <c r="AM11" s="92">
        <f>IFERROR(((Tableau3[[#This Row],[QTY Produite]]/1000)*VLOOKUP(Tableau3[[#This Row],[Machine]],Liste!$A:$B,2))/Tableau3[[#This Row],[Heures Macines]],"0")</f>
        <v>1.2061538461538461</v>
      </c>
      <c r="AN11" s="24" t="str">
        <f>VLOOKUP(Tableau3[[#This Row],[Opérateur 1]],Liste!$K$2:$M$68,3,FALSE)</f>
        <v>Déco</v>
      </c>
    </row>
    <row r="12" spans="1:40" s="24" customFormat="1" x14ac:dyDescent="0.25">
      <c r="A12" s="93">
        <v>43948</v>
      </c>
      <c r="B12" s="94" t="s">
        <v>16</v>
      </c>
      <c r="C12" s="16" t="s">
        <v>62</v>
      </c>
      <c r="D12" s="95" t="s">
        <v>25</v>
      </c>
      <c r="E12" s="94" t="s">
        <v>122</v>
      </c>
      <c r="F12" s="96">
        <v>4.75</v>
      </c>
      <c r="G12" s="94"/>
      <c r="H12" s="96"/>
      <c r="I12" s="91">
        <v>24996</v>
      </c>
      <c r="J12" s="97">
        <v>11715</v>
      </c>
      <c r="K12" s="97">
        <v>6039</v>
      </c>
      <c r="L12" s="97">
        <v>12507</v>
      </c>
      <c r="M1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4.75</v>
      </c>
      <c r="N12" s="97">
        <v>44</v>
      </c>
      <c r="O12" s="20">
        <v>46</v>
      </c>
      <c r="P12" s="98">
        <v>47</v>
      </c>
      <c r="Q12" s="99">
        <f>IFERROR((Tableau3[[#This Row],[QTY Produite]]/1000)*((1000/Tableau3[[#This Row],[Cadence]])/60)/Tableau3[[#This Row],[Heures Macines]],"0")</f>
        <v>0.45083986562150058</v>
      </c>
      <c r="R12" s="100">
        <v>48</v>
      </c>
      <c r="S12" s="96"/>
      <c r="T12" s="18"/>
      <c r="U12" s="101"/>
      <c r="V12" s="96"/>
      <c r="W12" s="96"/>
      <c r="X12" s="101"/>
      <c r="Y12" s="96"/>
      <c r="Z12" s="96"/>
      <c r="AA12" s="101"/>
      <c r="AB12" s="96"/>
      <c r="AC12" s="96"/>
      <c r="AD12" s="101"/>
      <c r="AE12" s="96"/>
      <c r="AF12" s="96"/>
      <c r="AG12" s="101"/>
      <c r="AH12" s="96"/>
      <c r="AI12" s="96"/>
      <c r="AJ12" s="101"/>
      <c r="AK12" s="84">
        <f t="shared" si="0"/>
        <v>4</v>
      </c>
      <c r="AL12" s="24">
        <f>YEAR(Tableau3[[#This Row],[Date]])</f>
        <v>2020</v>
      </c>
      <c r="AM12" s="92">
        <f>IFERROR(((Tableau3[[#This Row],[QTY Produite]]/1000)*VLOOKUP(Tableau3[[#This Row],[Machine]],Liste!$A:$B,2))/Tableau3[[#This Row],[Heures Macines]],"0")</f>
        <v>0.63568421052631574</v>
      </c>
      <c r="AN12" s="24" t="str">
        <f>VLOOKUP(Tableau3[[#This Row],[Opérateur 1]],Liste!$K$2:$M$68,3,FALSE)</f>
        <v>Déco</v>
      </c>
    </row>
    <row r="13" spans="1:40" s="24" customFormat="1" x14ac:dyDescent="0.25">
      <c r="A13" s="93">
        <v>43948</v>
      </c>
      <c r="B13" s="94" t="s">
        <v>16</v>
      </c>
      <c r="C13" s="16" t="s">
        <v>62</v>
      </c>
      <c r="D13" s="95" t="s">
        <v>11</v>
      </c>
      <c r="E13" s="94" t="s">
        <v>141</v>
      </c>
      <c r="F13" s="96">
        <v>3.75</v>
      </c>
      <c r="G13" s="94"/>
      <c r="H13" s="96"/>
      <c r="I13" s="91" t="s">
        <v>210</v>
      </c>
      <c r="J13" s="97">
        <v>411840</v>
      </c>
      <c r="K13" s="97">
        <v>12480</v>
      </c>
      <c r="L13" s="97">
        <v>152640</v>
      </c>
      <c r="M1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3.75</v>
      </c>
      <c r="N13" s="97">
        <v>230</v>
      </c>
      <c r="O13" s="20">
        <v>286</v>
      </c>
      <c r="P13" s="98">
        <v>90</v>
      </c>
      <c r="Q13" s="99">
        <f>IFERROR((Tableau3[[#This Row],[QTY Produite]]/1000)*((1000/Tableau3[[#This Row],[Cadence]])/60)/Tableau3[[#This Row],[Heures Macines]],"0")</f>
        <v>0.61629629629629623</v>
      </c>
      <c r="R13" s="100">
        <v>62</v>
      </c>
      <c r="S13" s="96"/>
      <c r="T13" s="18"/>
      <c r="U13" s="101"/>
      <c r="V13" s="96"/>
      <c r="W13" s="96"/>
      <c r="X13" s="101"/>
      <c r="Y13" s="96"/>
      <c r="Z13" s="96"/>
      <c r="AA13" s="101"/>
      <c r="AB13" s="96"/>
      <c r="AC13" s="96"/>
      <c r="AD13" s="101"/>
      <c r="AE13" s="96"/>
      <c r="AF13" s="96"/>
      <c r="AG13" s="101"/>
      <c r="AH13" s="96"/>
      <c r="AI13" s="96"/>
      <c r="AJ13" s="101"/>
      <c r="AK13" s="84">
        <f t="shared" si="0"/>
        <v>4</v>
      </c>
      <c r="AL13" s="24">
        <f>YEAR(Tableau3[[#This Row],[Date]])</f>
        <v>2020</v>
      </c>
      <c r="AM13" s="92">
        <f>IFERROR(((Tableau3[[#This Row],[QTY Produite]]/1000)*VLOOKUP(Tableau3[[#This Row],[Machine]],Liste!$A:$B,2))/Tableau3[[#This Row],[Heures Macines]],"0")</f>
        <v>1.3312000000000002</v>
      </c>
      <c r="AN13" s="24" t="str">
        <f>VLOOKUP(Tableau3[[#This Row],[Opérateur 1]],Liste!$K$2:$M$68,3,FALSE)</f>
        <v>Imp</v>
      </c>
    </row>
    <row r="14" spans="1:40" s="24" customFormat="1" x14ac:dyDescent="0.25">
      <c r="A14" s="93">
        <v>43948</v>
      </c>
      <c r="B14" s="94" t="s">
        <v>16</v>
      </c>
      <c r="C14" s="16" t="s">
        <v>62</v>
      </c>
      <c r="D14" s="95" t="s">
        <v>18</v>
      </c>
      <c r="E14" s="94" t="s">
        <v>141</v>
      </c>
      <c r="F14" s="96">
        <v>4.25</v>
      </c>
      <c r="G14" s="94"/>
      <c r="H14" s="96"/>
      <c r="I14" s="91">
        <v>25853</v>
      </c>
      <c r="J14" s="97">
        <v>139781</v>
      </c>
      <c r="K14" s="97">
        <v>12250</v>
      </c>
      <c r="L14" s="97">
        <v>111600</v>
      </c>
      <c r="M1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14" s="97">
        <v>40</v>
      </c>
      <c r="O14" s="20">
        <v>643</v>
      </c>
      <c r="P14" s="98">
        <v>90</v>
      </c>
      <c r="Q14" s="99">
        <f>IFERROR((Tableau3[[#This Row],[QTY Produite]]/1000)*((1000/Tableau3[[#This Row],[Cadence]])/60)/Tableau3[[#This Row],[Heures Macines]],"0")</f>
        <v>0.53376906318082795</v>
      </c>
      <c r="R14" s="100">
        <v>60</v>
      </c>
      <c r="S14" s="96"/>
      <c r="T14" s="18"/>
      <c r="U14" s="101"/>
      <c r="V14" s="96"/>
      <c r="W14" s="96"/>
      <c r="X14" s="101"/>
      <c r="Y14" s="96"/>
      <c r="Z14" s="96"/>
      <c r="AA14" s="101"/>
      <c r="AB14" s="96"/>
      <c r="AC14" s="96"/>
      <c r="AD14" s="101"/>
      <c r="AE14" s="96"/>
      <c r="AF14" s="96"/>
      <c r="AG14" s="101"/>
      <c r="AH14" s="96"/>
      <c r="AI14" s="96"/>
      <c r="AJ14" s="101"/>
      <c r="AK14" s="84">
        <f t="shared" si="0"/>
        <v>4</v>
      </c>
      <c r="AL14" s="24">
        <f>YEAR(Tableau3[[#This Row],[Date]])</f>
        <v>2020</v>
      </c>
      <c r="AM14" s="92">
        <f>IFERROR(((Tableau3[[#This Row],[QTY Produite]]/1000)*VLOOKUP(Tableau3[[#This Row],[Machine]],Liste!$A:$B,2))/Tableau3[[#This Row],[Heures Macines]],"0")</f>
        <v>1.1529411764705884</v>
      </c>
      <c r="AN14" s="24" t="str">
        <f>VLOOKUP(Tableau3[[#This Row],[Opérateur 1]],Liste!$K$2:$M$68,3,FALSE)</f>
        <v>Imp</v>
      </c>
    </row>
    <row r="15" spans="1:40" s="24" customFormat="1" x14ac:dyDescent="0.25">
      <c r="A15" s="93">
        <v>43948</v>
      </c>
      <c r="B15" s="94" t="s">
        <v>16</v>
      </c>
      <c r="C15" s="16" t="s">
        <v>62</v>
      </c>
      <c r="D15" s="95" t="s">
        <v>30</v>
      </c>
      <c r="E15" s="94" t="s">
        <v>116</v>
      </c>
      <c r="F15" s="96">
        <v>8</v>
      </c>
      <c r="G15" s="94"/>
      <c r="H15" s="96"/>
      <c r="I15" s="91" t="s">
        <v>235</v>
      </c>
      <c r="J15" s="97">
        <v>131250</v>
      </c>
      <c r="K15" s="97">
        <v>24720</v>
      </c>
      <c r="L15" s="97">
        <v>77280</v>
      </c>
      <c r="M1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5" s="97">
        <v>15</v>
      </c>
      <c r="O15" s="20">
        <v>36</v>
      </c>
      <c r="P15" s="98">
        <v>66</v>
      </c>
      <c r="Q15" s="99">
        <f>IFERROR((Tableau3[[#This Row],[QTY Produite]]/1000)*((1000/Tableau3[[#This Row],[Cadence]])/60)/Tableau3[[#This Row],[Heures Macines]],"0")</f>
        <v>0.78030303030303028</v>
      </c>
      <c r="R15" s="100">
        <v>77</v>
      </c>
      <c r="S15" s="96"/>
      <c r="T15" s="18"/>
      <c r="U15" s="101"/>
      <c r="V15" s="96"/>
      <c r="W15" s="96"/>
      <c r="X15" s="101"/>
      <c r="Y15" s="96"/>
      <c r="Z15" s="96"/>
      <c r="AA15" s="101"/>
      <c r="AB15" s="96"/>
      <c r="AC15" s="96"/>
      <c r="AD15" s="101"/>
      <c r="AE15" s="96"/>
      <c r="AF15" s="96"/>
      <c r="AG15" s="101"/>
      <c r="AH15" s="96"/>
      <c r="AI15" s="96"/>
      <c r="AJ15" s="101"/>
      <c r="AK15" s="84">
        <f t="shared" si="0"/>
        <v>4</v>
      </c>
      <c r="AL15" s="24">
        <f>YEAR(Tableau3[[#This Row],[Date]])</f>
        <v>2020</v>
      </c>
      <c r="AM15" s="92">
        <f>IFERROR(((Tableau3[[#This Row],[QTY Produite]]/1000)*VLOOKUP(Tableau3[[#This Row],[Machine]],Liste!$A:$B,2))/Tableau3[[#This Row],[Heures Macines]],"0")</f>
        <v>1.8539999999999999</v>
      </c>
      <c r="AN15" s="24" t="str">
        <f>VLOOKUP(Tableau3[[#This Row],[Opérateur 1]],Liste!$K$2:$M$68,3,FALSE)</f>
        <v>Déco</v>
      </c>
    </row>
    <row r="16" spans="1:40" s="24" customFormat="1" x14ac:dyDescent="0.25">
      <c r="A16" s="93">
        <v>43948</v>
      </c>
      <c r="B16" s="94" t="s">
        <v>16</v>
      </c>
      <c r="C16" s="16" t="s">
        <v>62</v>
      </c>
      <c r="D16" s="95" t="s">
        <v>29</v>
      </c>
      <c r="E16" s="94" t="s">
        <v>143</v>
      </c>
      <c r="F16" s="96">
        <v>8</v>
      </c>
      <c r="G16" s="94"/>
      <c r="H16" s="96"/>
      <c r="I16" s="91" t="s">
        <v>208</v>
      </c>
      <c r="J16" s="97">
        <v>69300</v>
      </c>
      <c r="K16" s="97">
        <v>10287</v>
      </c>
      <c r="L16" s="97">
        <v>32385</v>
      </c>
      <c r="M1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" s="97">
        <v>12</v>
      </c>
      <c r="O16" s="20">
        <v>167</v>
      </c>
      <c r="P16" s="98">
        <v>29</v>
      </c>
      <c r="Q16" s="99">
        <f>IFERROR((Tableau3[[#This Row],[QTY Produite]]/1000)*((1000/Tableau3[[#This Row],[Cadence]])/60)/Tableau3[[#This Row],[Heures Macines]],"0")</f>
        <v>0.73900862068965534</v>
      </c>
      <c r="R16" s="100">
        <v>74</v>
      </c>
      <c r="S16" s="96"/>
      <c r="T16" s="18"/>
      <c r="U16" s="101"/>
      <c r="V16" s="96"/>
      <c r="W16" s="96"/>
      <c r="X16" s="101"/>
      <c r="Y16" s="96"/>
      <c r="Z16" s="96"/>
      <c r="AA16" s="101"/>
      <c r="AB16" s="96"/>
      <c r="AC16" s="96"/>
      <c r="AD16" s="101"/>
      <c r="AE16" s="96"/>
      <c r="AF16" s="96"/>
      <c r="AG16" s="101"/>
      <c r="AH16" s="96"/>
      <c r="AI16" s="96"/>
      <c r="AJ16" s="101"/>
      <c r="AK16" s="84">
        <f t="shared" si="0"/>
        <v>4</v>
      </c>
      <c r="AL16" s="24">
        <f>YEAR(Tableau3[[#This Row],[Date]])</f>
        <v>2020</v>
      </c>
      <c r="AM16" s="92">
        <f>IFERROR(((Tableau3[[#This Row],[QTY Produite]]/1000)*VLOOKUP(Tableau3[[#This Row],[Machine]],Liste!$A:$B,2))/Tableau3[[#This Row],[Heures Macines]],"0")</f>
        <v>1.1572875</v>
      </c>
      <c r="AN16" s="24" t="str">
        <f>VLOOKUP(Tableau3[[#This Row],[Opérateur 1]],Liste!$K$2:$M$68,3,FALSE)</f>
        <v>Déco</v>
      </c>
    </row>
    <row r="17" spans="1:40" s="24" customFormat="1" x14ac:dyDescent="0.25">
      <c r="A17" s="93">
        <v>43948</v>
      </c>
      <c r="B17" s="94" t="s">
        <v>16</v>
      </c>
      <c r="C17" s="16" t="s">
        <v>62</v>
      </c>
      <c r="D17" s="95" t="s">
        <v>14</v>
      </c>
      <c r="E17" s="94" t="s">
        <v>112</v>
      </c>
      <c r="F17" s="96">
        <v>8</v>
      </c>
      <c r="G17" s="94"/>
      <c r="H17" s="96"/>
      <c r="I17" s="91">
        <v>26900</v>
      </c>
      <c r="J17" s="97">
        <v>19200</v>
      </c>
      <c r="K17" s="97">
        <v>15113</v>
      </c>
      <c r="L17" s="97">
        <v>17145</v>
      </c>
      <c r="M1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" s="97">
        <v>52</v>
      </c>
      <c r="O17" s="20">
        <v>31</v>
      </c>
      <c r="P17" s="98">
        <v>32</v>
      </c>
      <c r="Q17" s="99">
        <f>IFERROR((Tableau3[[#This Row],[QTY Produite]]/1000)*((1000/Tableau3[[#This Row],[Cadence]])/60)/Tableau3[[#This Row],[Heures Macines]],"0")</f>
        <v>0.98391927083333341</v>
      </c>
      <c r="R17" s="100">
        <v>98</v>
      </c>
      <c r="S17" s="96"/>
      <c r="T17" s="18"/>
      <c r="U17" s="101"/>
      <c r="V17" s="96"/>
      <c r="W17" s="96"/>
      <c r="X17" s="101"/>
      <c r="Y17" s="96"/>
      <c r="Z17" s="96"/>
      <c r="AA17" s="101"/>
      <c r="AB17" s="96"/>
      <c r="AC17" s="96"/>
      <c r="AD17" s="101"/>
      <c r="AE17" s="96"/>
      <c r="AF17" s="96"/>
      <c r="AG17" s="101"/>
      <c r="AH17" s="96"/>
      <c r="AI17" s="96"/>
      <c r="AJ17" s="101"/>
      <c r="AK17" s="84">
        <f t="shared" si="0"/>
        <v>4</v>
      </c>
      <c r="AL17" s="24">
        <f>YEAR(Tableau3[[#This Row],[Date]])</f>
        <v>2020</v>
      </c>
      <c r="AM17" s="92">
        <f>IFERROR(((Tableau3[[#This Row],[QTY Produite]]/1000)*VLOOKUP(Tableau3[[#This Row],[Machine]],Liste!$A:$B,2))/Tableau3[[#This Row],[Heures Macines]],"0")</f>
        <v>0.85010624999999995</v>
      </c>
      <c r="AN17" s="24" t="str">
        <f>VLOOKUP(Tableau3[[#This Row],[Opérateur 1]],Liste!$K$2:$M$68,3,FALSE)</f>
        <v>Mono</v>
      </c>
    </row>
    <row r="18" spans="1:40" s="24" customFormat="1" x14ac:dyDescent="0.25">
      <c r="A18" s="93">
        <v>43948</v>
      </c>
      <c r="B18" s="94" t="s">
        <v>16</v>
      </c>
      <c r="C18" s="16" t="s">
        <v>62</v>
      </c>
      <c r="D18" s="95" t="s">
        <v>22</v>
      </c>
      <c r="E18" s="94" t="s">
        <v>136</v>
      </c>
      <c r="F18" s="96">
        <v>4</v>
      </c>
      <c r="G18" s="94"/>
      <c r="H18" s="96"/>
      <c r="I18" s="91">
        <v>25904</v>
      </c>
      <c r="J18" s="97">
        <v>148867</v>
      </c>
      <c r="K18" s="97">
        <v>15360</v>
      </c>
      <c r="L18" s="97">
        <v>15360</v>
      </c>
      <c r="M1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18" s="97">
        <v>240</v>
      </c>
      <c r="O18" s="20"/>
      <c r="P18" s="98">
        <v>80</v>
      </c>
      <c r="Q18" s="99">
        <f>IFERROR((Tableau3[[#This Row],[QTY Produite]]/1000)*((1000/Tableau3[[#This Row],[Cadence]])/60)/Tableau3[[#This Row],[Heures Macines]],"0")</f>
        <v>0.8</v>
      </c>
      <c r="R18" s="100">
        <v>80</v>
      </c>
      <c r="S18" s="96"/>
      <c r="T18" s="18"/>
      <c r="U18" s="101"/>
      <c r="V18" s="96"/>
      <c r="W18" s="96"/>
      <c r="X18" s="101"/>
      <c r="Y18" s="96"/>
      <c r="Z18" s="96"/>
      <c r="AA18" s="101"/>
      <c r="AB18" s="96"/>
      <c r="AC18" s="96"/>
      <c r="AD18" s="101"/>
      <c r="AE18" s="96"/>
      <c r="AF18" s="96"/>
      <c r="AG18" s="101"/>
      <c r="AH18" s="96"/>
      <c r="AI18" s="96"/>
      <c r="AJ18" s="101"/>
      <c r="AK18" s="84">
        <f t="shared" si="0"/>
        <v>4</v>
      </c>
      <c r="AL18" s="24">
        <f>YEAR(Tableau3[[#This Row],[Date]])</f>
        <v>2020</v>
      </c>
      <c r="AM18" s="92">
        <f>IFERROR(((Tableau3[[#This Row],[QTY Produite]]/1000)*VLOOKUP(Tableau3[[#This Row],[Machine]],Liste!$A:$B,2))/Tableau3[[#This Row],[Heures Macines]],"0")</f>
        <v>1.1519999999999999</v>
      </c>
      <c r="AN18" s="24" t="str">
        <f>VLOOKUP(Tableau3[[#This Row],[Opérateur 1]],Liste!$K$2:$M$68,3,FALSE)</f>
        <v>Multi</v>
      </c>
    </row>
    <row r="19" spans="1:40" s="24" customFormat="1" x14ac:dyDescent="0.25">
      <c r="A19" s="93">
        <v>43948</v>
      </c>
      <c r="B19" s="94" t="s">
        <v>16</v>
      </c>
      <c r="C19" s="16" t="s">
        <v>62</v>
      </c>
      <c r="D19" s="95" t="s">
        <v>22</v>
      </c>
      <c r="E19" s="94" t="s">
        <v>136</v>
      </c>
      <c r="F19" s="96">
        <v>4</v>
      </c>
      <c r="G19" s="94"/>
      <c r="H19" s="96"/>
      <c r="I19" s="91">
        <v>25903</v>
      </c>
      <c r="J19" s="97">
        <v>148866</v>
      </c>
      <c r="K19" s="97">
        <v>18960</v>
      </c>
      <c r="L19" s="97">
        <v>148800</v>
      </c>
      <c r="M1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19" s="97">
        <v>326</v>
      </c>
      <c r="O19" s="20">
        <v>520</v>
      </c>
      <c r="P19" s="98">
        <v>80</v>
      </c>
      <c r="Q19" s="99">
        <f>IFERROR((Tableau3[[#This Row],[QTY Produite]]/1000)*((1000/Tableau3[[#This Row],[Cadence]])/60)/Tableau3[[#This Row],[Heures Macines]],"0")</f>
        <v>0.98750000000000004</v>
      </c>
      <c r="R19" s="100">
        <v>99</v>
      </c>
      <c r="S19" s="96"/>
      <c r="T19" s="18"/>
      <c r="U19" s="101"/>
      <c r="V19" s="96"/>
      <c r="W19" s="96"/>
      <c r="X19" s="101"/>
      <c r="Y19" s="96"/>
      <c r="Z19" s="96"/>
      <c r="AA19" s="101"/>
      <c r="AB19" s="96"/>
      <c r="AC19" s="96"/>
      <c r="AD19" s="101"/>
      <c r="AE19" s="96"/>
      <c r="AF19" s="96"/>
      <c r="AG19" s="101"/>
      <c r="AH19" s="96"/>
      <c r="AI19" s="96"/>
      <c r="AJ19" s="101"/>
      <c r="AK19" s="84">
        <f t="shared" si="0"/>
        <v>4</v>
      </c>
      <c r="AL19" s="24">
        <f>YEAR(Tableau3[[#This Row],[Date]])</f>
        <v>2020</v>
      </c>
      <c r="AM19" s="92">
        <f>IFERROR(((Tableau3[[#This Row],[QTY Produite]]/1000)*VLOOKUP(Tableau3[[#This Row],[Machine]],Liste!$A:$B,2))/Tableau3[[#This Row],[Heures Macines]],"0")</f>
        <v>1.4219999999999999</v>
      </c>
      <c r="AN19" s="24" t="str">
        <f>VLOOKUP(Tableau3[[#This Row],[Opérateur 1]],Liste!$K$2:$M$68,3,FALSE)</f>
        <v>Multi</v>
      </c>
    </row>
    <row r="20" spans="1:40" s="24" customFormat="1" x14ac:dyDescent="0.25">
      <c r="A20" s="93">
        <v>43948</v>
      </c>
      <c r="B20" s="94" t="s">
        <v>16</v>
      </c>
      <c r="C20" s="16" t="s">
        <v>62</v>
      </c>
      <c r="D20" s="95" t="s">
        <v>20</v>
      </c>
      <c r="E20" s="94" t="s">
        <v>124</v>
      </c>
      <c r="F20" s="96">
        <v>4</v>
      </c>
      <c r="G20" s="94"/>
      <c r="H20" s="96"/>
      <c r="I20" s="91">
        <v>25553</v>
      </c>
      <c r="J20" s="97">
        <v>67095</v>
      </c>
      <c r="K20" s="97">
        <v>3330</v>
      </c>
      <c r="L20" s="97">
        <v>3330</v>
      </c>
      <c r="M2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20" s="97">
        <v>660</v>
      </c>
      <c r="O20" s="20">
        <v>348</v>
      </c>
      <c r="P20" s="98">
        <v>55</v>
      </c>
      <c r="Q20" s="99">
        <f>IFERROR((Tableau3[[#This Row],[QTY Produite]]/1000)*((1000/Tableau3[[#This Row],[Cadence]])/60)/Tableau3[[#This Row],[Heures Macines]],"0")</f>
        <v>0.25227272727272726</v>
      </c>
      <c r="R20" s="100">
        <v>20</v>
      </c>
      <c r="S20" s="96"/>
      <c r="T20" s="18"/>
      <c r="U20" s="101"/>
      <c r="V20" s="96"/>
      <c r="W20" s="96"/>
      <c r="X20" s="101"/>
      <c r="Y20" s="96"/>
      <c r="Z20" s="96"/>
      <c r="AA20" s="101"/>
      <c r="AB20" s="96"/>
      <c r="AC20" s="96"/>
      <c r="AD20" s="101"/>
      <c r="AE20" s="96"/>
      <c r="AF20" s="96"/>
      <c r="AG20" s="101"/>
      <c r="AH20" s="96"/>
      <c r="AI20" s="96"/>
      <c r="AJ20" s="101"/>
      <c r="AK20" s="84">
        <f t="shared" si="0"/>
        <v>4</v>
      </c>
      <c r="AL20" s="24">
        <f>YEAR(Tableau3[[#This Row],[Date]])</f>
        <v>2020</v>
      </c>
      <c r="AM20" s="92">
        <f>IFERROR(((Tableau3[[#This Row],[QTY Produite]]/1000)*VLOOKUP(Tableau3[[#This Row],[Machine]],Liste!$A:$B,2))/Tableau3[[#This Row],[Heures Macines]],"0")</f>
        <v>0.29970000000000002</v>
      </c>
      <c r="AN20" s="24" t="str">
        <f>VLOOKUP(Tableau3[[#This Row],[Opérateur 1]],Liste!$K$2:$M$68,3,FALSE)</f>
        <v>Multi</v>
      </c>
    </row>
    <row r="21" spans="1:40" s="24" customFormat="1" x14ac:dyDescent="0.25">
      <c r="A21" s="93">
        <v>43948</v>
      </c>
      <c r="B21" s="94" t="s">
        <v>16</v>
      </c>
      <c r="C21" s="16" t="s">
        <v>62</v>
      </c>
      <c r="D21" s="95" t="s">
        <v>20</v>
      </c>
      <c r="E21" s="94" t="s">
        <v>124</v>
      </c>
      <c r="F21" s="96">
        <v>4</v>
      </c>
      <c r="G21" s="94"/>
      <c r="H21" s="96"/>
      <c r="I21" s="91">
        <v>25841</v>
      </c>
      <c r="J21" s="97">
        <v>19010</v>
      </c>
      <c r="K21" s="97">
        <v>6993</v>
      </c>
      <c r="L21" s="97">
        <v>19314</v>
      </c>
      <c r="M2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21" s="97">
        <v>111</v>
      </c>
      <c r="O21" s="20">
        <v>589</v>
      </c>
      <c r="P21" s="98">
        <v>55</v>
      </c>
      <c r="Q21" s="99">
        <f>IFERROR((Tableau3[[#This Row],[QTY Produite]]/1000)*((1000/Tableau3[[#This Row],[Cadence]])/60)/Tableau3[[#This Row],[Heures Macines]],"0")</f>
        <v>0.52977272727272728</v>
      </c>
      <c r="R21" s="100">
        <v>71</v>
      </c>
      <c r="S21" s="96"/>
      <c r="T21" s="18"/>
      <c r="U21" s="101"/>
      <c r="V21" s="96"/>
      <c r="W21" s="96"/>
      <c r="X21" s="101"/>
      <c r="Y21" s="96"/>
      <c r="Z21" s="96"/>
      <c r="AA21" s="101"/>
      <c r="AB21" s="96"/>
      <c r="AC21" s="96"/>
      <c r="AD21" s="101"/>
      <c r="AE21" s="96"/>
      <c r="AF21" s="96"/>
      <c r="AG21" s="101"/>
      <c r="AH21" s="96"/>
      <c r="AI21" s="96"/>
      <c r="AJ21" s="101"/>
      <c r="AK21" s="84">
        <f t="shared" si="0"/>
        <v>4</v>
      </c>
      <c r="AL21" s="24">
        <f>YEAR(Tableau3[[#This Row],[Date]])</f>
        <v>2020</v>
      </c>
      <c r="AM21" s="92">
        <f>IFERROR(((Tableau3[[#This Row],[QTY Produite]]/1000)*VLOOKUP(Tableau3[[#This Row],[Machine]],Liste!$A:$B,2))/Tableau3[[#This Row],[Heures Macines]],"0")</f>
        <v>0.62936999999999999</v>
      </c>
      <c r="AN21" s="24" t="str">
        <f>VLOOKUP(Tableau3[[#This Row],[Opérateur 1]],Liste!$K$2:$M$68,3,FALSE)</f>
        <v>Multi</v>
      </c>
    </row>
    <row r="22" spans="1:40" s="24" customFormat="1" x14ac:dyDescent="0.25">
      <c r="A22" s="93">
        <v>43948</v>
      </c>
      <c r="B22" s="94" t="s">
        <v>13</v>
      </c>
      <c r="C22" s="16" t="s">
        <v>102</v>
      </c>
      <c r="D22" s="95" t="s">
        <v>14</v>
      </c>
      <c r="E22" s="94" t="s">
        <v>126</v>
      </c>
      <c r="F22" s="96">
        <v>1.5</v>
      </c>
      <c r="G22" s="94"/>
      <c r="H22" s="96"/>
      <c r="I22" s="91">
        <v>25744</v>
      </c>
      <c r="J22" s="97">
        <v>28404</v>
      </c>
      <c r="K22" s="97">
        <v>2540</v>
      </c>
      <c r="L22" s="97">
        <v>27178</v>
      </c>
      <c r="M2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22" s="97">
        <v>10</v>
      </c>
      <c r="O22" s="20">
        <v>20</v>
      </c>
      <c r="P22" s="98">
        <v>41</v>
      </c>
      <c r="Q22" s="99">
        <f>IFERROR((Tableau3[[#This Row],[QTY Produite]]/1000)*((1000/Tableau3[[#This Row],[Cadence]])/60)/Tableau3[[#This Row],[Heures Macines]],"0")</f>
        <v>0.68834688346883466</v>
      </c>
      <c r="R22" s="100">
        <v>69</v>
      </c>
      <c r="S22" s="96"/>
      <c r="T22" s="18"/>
      <c r="U22" s="101"/>
      <c r="V22" s="96"/>
      <c r="W22" s="96"/>
      <c r="X22" s="101"/>
      <c r="Y22" s="96"/>
      <c r="Z22" s="96"/>
      <c r="AA22" s="101"/>
      <c r="AB22" s="96"/>
      <c r="AC22" s="96"/>
      <c r="AD22" s="101"/>
      <c r="AE22" s="96"/>
      <c r="AF22" s="96"/>
      <c r="AG22" s="101"/>
      <c r="AH22" s="96"/>
      <c r="AI22" s="96"/>
      <c r="AJ22" s="101"/>
      <c r="AK22" s="84">
        <f t="shared" si="0"/>
        <v>4</v>
      </c>
      <c r="AL22" s="24">
        <f>YEAR(Tableau3[[#This Row],[Date]])</f>
        <v>2020</v>
      </c>
      <c r="AM22" s="92">
        <f>IFERROR(((Tableau3[[#This Row],[QTY Produite]]/1000)*VLOOKUP(Tableau3[[#This Row],[Machine]],Liste!$A:$B,2))/Tableau3[[#This Row],[Heures Macines]],"0")</f>
        <v>0.76200000000000001</v>
      </c>
      <c r="AN22" s="24" t="str">
        <f>VLOOKUP(Tableau3[[#This Row],[Opérateur 1]],Liste!$K$2:$M$68,3,FALSE)</f>
        <v>Multi</v>
      </c>
    </row>
    <row r="23" spans="1:40" s="24" customFormat="1" x14ac:dyDescent="0.25">
      <c r="A23" s="93">
        <v>43948</v>
      </c>
      <c r="B23" s="94" t="s">
        <v>13</v>
      </c>
      <c r="C23" s="16" t="s">
        <v>102</v>
      </c>
      <c r="D23" s="95" t="s">
        <v>30</v>
      </c>
      <c r="E23" s="94" t="s">
        <v>107</v>
      </c>
      <c r="F23" s="96">
        <v>8</v>
      </c>
      <c r="G23" s="94"/>
      <c r="H23" s="96"/>
      <c r="I23" s="91" t="s">
        <v>235</v>
      </c>
      <c r="J23" s="97">
        <v>131250</v>
      </c>
      <c r="K23" s="97">
        <v>26400</v>
      </c>
      <c r="L23" s="97">
        <v>52560</v>
      </c>
      <c r="M2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" s="97">
        <v>40</v>
      </c>
      <c r="O23" s="20">
        <v>55</v>
      </c>
      <c r="P23" s="98">
        <v>67</v>
      </c>
      <c r="Q23" s="99">
        <f>IFERROR((Tableau3[[#This Row],[QTY Produite]]/1000)*((1000/Tableau3[[#This Row],[Cadence]])/60)/Tableau3[[#This Row],[Heures Macines]],"0")</f>
        <v>0.82089552238805963</v>
      </c>
      <c r="R23" s="100">
        <v>82</v>
      </c>
      <c r="S23" s="96"/>
      <c r="T23" s="18"/>
      <c r="U23" s="101"/>
      <c r="V23" s="96"/>
      <c r="W23" s="96"/>
      <c r="X23" s="101"/>
      <c r="Y23" s="96"/>
      <c r="Z23" s="96"/>
      <c r="AA23" s="101"/>
      <c r="AB23" s="96"/>
      <c r="AC23" s="96"/>
      <c r="AD23" s="101"/>
      <c r="AE23" s="96"/>
      <c r="AF23" s="96"/>
      <c r="AG23" s="101"/>
      <c r="AH23" s="96"/>
      <c r="AI23" s="96"/>
      <c r="AJ23" s="101"/>
      <c r="AK23" s="84">
        <f t="shared" si="0"/>
        <v>4</v>
      </c>
      <c r="AL23" s="24">
        <f>YEAR(Tableau3[[#This Row],[Date]])</f>
        <v>2020</v>
      </c>
      <c r="AM23" s="92">
        <f>IFERROR(((Tableau3[[#This Row],[QTY Produite]]/1000)*VLOOKUP(Tableau3[[#This Row],[Machine]],Liste!$A:$B,2))/Tableau3[[#This Row],[Heures Macines]],"0")</f>
        <v>1.9799999999999998</v>
      </c>
      <c r="AN23" s="24" t="str">
        <f>VLOOKUP(Tableau3[[#This Row],[Opérateur 1]],Liste!$K$2:$M$68,3,FALSE)</f>
        <v>Déco</v>
      </c>
    </row>
    <row r="24" spans="1:40" s="24" customFormat="1" x14ac:dyDescent="0.25">
      <c r="A24" s="93">
        <v>43948</v>
      </c>
      <c r="B24" s="94" t="s">
        <v>13</v>
      </c>
      <c r="C24" s="16" t="s">
        <v>102</v>
      </c>
      <c r="D24" s="95" t="s">
        <v>25</v>
      </c>
      <c r="E24" s="94" t="s">
        <v>113</v>
      </c>
      <c r="F24" s="96">
        <v>8</v>
      </c>
      <c r="G24" s="94"/>
      <c r="H24" s="96"/>
      <c r="I24" s="91">
        <v>24996</v>
      </c>
      <c r="J24" s="97">
        <v>11715</v>
      </c>
      <c r="K24" s="97">
        <v>6468</v>
      </c>
      <c r="L24" s="97">
        <v>6468</v>
      </c>
      <c r="M2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" s="97">
        <v>75</v>
      </c>
      <c r="O24" s="20">
        <v>442</v>
      </c>
      <c r="P24" s="98">
        <v>50</v>
      </c>
      <c r="Q24" s="99">
        <f>IFERROR((Tableau3[[#This Row],[QTY Produite]]/1000)*((1000/Tableau3[[#This Row],[Cadence]])/60)/Tableau3[[#This Row],[Heures Macines]],"0")</f>
        <v>0.26949999999999996</v>
      </c>
      <c r="R24" s="100">
        <v>29</v>
      </c>
      <c r="S24" s="96"/>
      <c r="T24" s="18"/>
      <c r="U24" s="101"/>
      <c r="V24" s="96"/>
      <c r="W24" s="96"/>
      <c r="X24" s="101"/>
      <c r="Y24" s="96"/>
      <c r="Z24" s="96"/>
      <c r="AA24" s="101"/>
      <c r="AB24" s="96"/>
      <c r="AC24" s="96"/>
      <c r="AD24" s="101"/>
      <c r="AE24" s="96"/>
      <c r="AF24" s="96"/>
      <c r="AG24" s="101"/>
      <c r="AH24" s="96"/>
      <c r="AI24" s="96"/>
      <c r="AJ24" s="101"/>
      <c r="AK24" s="84">
        <f t="shared" si="0"/>
        <v>4</v>
      </c>
      <c r="AL24" s="24">
        <f>YEAR(Tableau3[[#This Row],[Date]])</f>
        <v>2020</v>
      </c>
      <c r="AM24" s="92">
        <f>IFERROR(((Tableau3[[#This Row],[QTY Produite]]/1000)*VLOOKUP(Tableau3[[#This Row],[Machine]],Liste!$A:$B,2))/Tableau3[[#This Row],[Heures Macines]],"0")</f>
        <v>0.40425</v>
      </c>
      <c r="AN24" s="24" t="str">
        <f>VLOOKUP(Tableau3[[#This Row],[Opérateur 1]],Liste!$K$2:$M$68,3,FALSE)</f>
        <v>Déco</v>
      </c>
    </row>
    <row r="25" spans="1:40" s="24" customFormat="1" x14ac:dyDescent="0.25">
      <c r="A25" s="93">
        <v>43948</v>
      </c>
      <c r="B25" s="94" t="s">
        <v>13</v>
      </c>
      <c r="C25" s="16" t="s">
        <v>102</v>
      </c>
      <c r="D25" s="95" t="s">
        <v>11</v>
      </c>
      <c r="E25" s="94" t="s">
        <v>108</v>
      </c>
      <c r="F25" s="96">
        <v>4</v>
      </c>
      <c r="G25" s="94" t="s">
        <v>115</v>
      </c>
      <c r="H25" s="96">
        <v>4</v>
      </c>
      <c r="I25" s="91" t="s">
        <v>210</v>
      </c>
      <c r="J25" s="97">
        <v>411840</v>
      </c>
      <c r="K25" s="97">
        <v>30240</v>
      </c>
      <c r="L25" s="97">
        <v>140160</v>
      </c>
      <c r="M2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" s="97">
        <v>720</v>
      </c>
      <c r="O25" s="20">
        <v>456</v>
      </c>
      <c r="P25" s="98">
        <v>90</v>
      </c>
      <c r="Q25" s="99">
        <f>IFERROR((Tableau3[[#This Row],[QTY Produite]]/1000)*((1000/Tableau3[[#This Row],[Cadence]])/60)/Tableau3[[#This Row],[Heures Macines]],"0")</f>
        <v>0.7</v>
      </c>
      <c r="R25" s="100">
        <v>70</v>
      </c>
      <c r="S25" s="96"/>
      <c r="T25" s="18"/>
      <c r="U25" s="101"/>
      <c r="V25" s="96"/>
      <c r="W25" s="96"/>
      <c r="X25" s="101"/>
      <c r="Y25" s="96"/>
      <c r="Z25" s="96"/>
      <c r="AA25" s="101"/>
      <c r="AB25" s="96"/>
      <c r="AC25" s="96"/>
      <c r="AD25" s="101"/>
      <c r="AE25" s="96"/>
      <c r="AF25" s="96"/>
      <c r="AG25" s="101"/>
      <c r="AH25" s="96"/>
      <c r="AI25" s="96"/>
      <c r="AJ25" s="101"/>
      <c r="AK25" s="84">
        <f t="shared" si="0"/>
        <v>4</v>
      </c>
      <c r="AL25" s="24">
        <f>YEAR(Tableau3[[#This Row],[Date]])</f>
        <v>2020</v>
      </c>
      <c r="AM25" s="92">
        <f>IFERROR(((Tableau3[[#This Row],[QTY Produite]]/1000)*VLOOKUP(Tableau3[[#This Row],[Machine]],Liste!$A:$B,2))/Tableau3[[#This Row],[Heures Macines]],"0")</f>
        <v>1.512</v>
      </c>
      <c r="AN25" s="24" t="str">
        <f>VLOOKUP(Tableau3[[#This Row],[Opérateur 1]],Liste!$K$2:$M$68,3,FALSE)</f>
        <v>Imp</v>
      </c>
    </row>
    <row r="26" spans="1:40" s="24" customFormat="1" x14ac:dyDescent="0.25">
      <c r="A26" s="93">
        <v>43948</v>
      </c>
      <c r="B26" s="94" t="s">
        <v>13</v>
      </c>
      <c r="C26" s="16" t="s">
        <v>102</v>
      </c>
      <c r="D26" s="95" t="s">
        <v>31</v>
      </c>
      <c r="E26" s="94" t="s">
        <v>115</v>
      </c>
      <c r="F26" s="96">
        <v>4</v>
      </c>
      <c r="G26" s="94"/>
      <c r="H26" s="96"/>
      <c r="I26" s="91" t="s">
        <v>219</v>
      </c>
      <c r="J26" s="97">
        <v>26250</v>
      </c>
      <c r="K26" s="97">
        <v>9085</v>
      </c>
      <c r="L26" s="97">
        <v>25722</v>
      </c>
      <c r="M2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26" s="97">
        <v>0</v>
      </c>
      <c r="O26" s="20">
        <v>0</v>
      </c>
      <c r="P26" s="98">
        <v>40</v>
      </c>
      <c r="Q26" s="99">
        <f>IFERROR((Tableau3[[#This Row],[QTY Produite]]/1000)*((1000/Tableau3[[#This Row],[Cadence]])/60)/Tableau3[[#This Row],[Heures Macines]],"0")</f>
        <v>0.94635416666666683</v>
      </c>
      <c r="R26" s="100">
        <v>94</v>
      </c>
      <c r="S26" s="96"/>
      <c r="T26" s="18"/>
      <c r="U26" s="101"/>
      <c r="V26" s="96"/>
      <c r="W26" s="96"/>
      <c r="X26" s="101"/>
      <c r="Y26" s="96"/>
      <c r="Z26" s="96"/>
      <c r="AA26" s="101"/>
      <c r="AB26" s="96"/>
      <c r="AC26" s="96"/>
      <c r="AD26" s="101"/>
      <c r="AE26" s="96"/>
      <c r="AF26" s="96"/>
      <c r="AG26" s="101"/>
      <c r="AH26" s="96"/>
      <c r="AI26" s="96"/>
      <c r="AJ26" s="101"/>
      <c r="AK26" s="84">
        <f t="shared" si="0"/>
        <v>4</v>
      </c>
      <c r="AL26" s="24">
        <f>YEAR(Tableau3[[#This Row],[Date]])</f>
        <v>2020</v>
      </c>
      <c r="AM26" s="92">
        <f>IFERROR(((Tableau3[[#This Row],[QTY Produite]]/1000)*VLOOKUP(Tableau3[[#This Row],[Machine]],Liste!$A:$B,2))/Tableau3[[#This Row],[Heures Macines]],"0")</f>
        <v>0.90850000000000009</v>
      </c>
      <c r="AN26" s="24" t="str">
        <f>VLOOKUP(Tableau3[[#This Row],[Opérateur 1]],Liste!$K$2:$M$68,3,FALSE)</f>
        <v>Imp</v>
      </c>
    </row>
    <row r="27" spans="1:40" s="24" customFormat="1" x14ac:dyDescent="0.25">
      <c r="A27" s="93">
        <v>43948</v>
      </c>
      <c r="B27" s="94" t="s">
        <v>13</v>
      </c>
      <c r="C27" s="16" t="s">
        <v>102</v>
      </c>
      <c r="D27" s="95" t="s">
        <v>20</v>
      </c>
      <c r="E27" s="94" t="s">
        <v>132</v>
      </c>
      <c r="F27" s="96">
        <v>8</v>
      </c>
      <c r="G27" s="94"/>
      <c r="H27" s="96"/>
      <c r="I27" s="91">
        <v>25841</v>
      </c>
      <c r="J27" s="97">
        <v>19010</v>
      </c>
      <c r="K27" s="97">
        <v>12321</v>
      </c>
      <c r="L27" s="97">
        <v>12321</v>
      </c>
      <c r="M2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" s="97">
        <v>490</v>
      </c>
      <c r="O27" s="20">
        <v>562</v>
      </c>
      <c r="P27" s="98">
        <v>55</v>
      </c>
      <c r="Q27" s="99">
        <f>IFERROR((Tableau3[[#This Row],[QTY Produite]]/1000)*((1000/Tableau3[[#This Row],[Cadence]])/60)/Tableau3[[#This Row],[Heures Macines]],"0")</f>
        <v>0.46670454545454548</v>
      </c>
      <c r="R27" s="100">
        <v>60</v>
      </c>
      <c r="S27" s="96"/>
      <c r="T27" s="18"/>
      <c r="U27" s="101"/>
      <c r="V27" s="96"/>
      <c r="W27" s="96"/>
      <c r="X27" s="101"/>
      <c r="Y27" s="96"/>
      <c r="Z27" s="96"/>
      <c r="AA27" s="101"/>
      <c r="AB27" s="96"/>
      <c r="AC27" s="96"/>
      <c r="AD27" s="101"/>
      <c r="AE27" s="96"/>
      <c r="AF27" s="96"/>
      <c r="AG27" s="101"/>
      <c r="AH27" s="96"/>
      <c r="AI27" s="96"/>
      <c r="AJ27" s="101"/>
      <c r="AK27" s="84">
        <f t="shared" si="0"/>
        <v>4</v>
      </c>
      <c r="AL27" s="24">
        <f>YEAR(Tableau3[[#This Row],[Date]])</f>
        <v>2020</v>
      </c>
      <c r="AM27" s="92">
        <f>IFERROR(((Tableau3[[#This Row],[QTY Produite]]/1000)*VLOOKUP(Tableau3[[#This Row],[Machine]],Liste!$A:$B,2))/Tableau3[[#This Row],[Heures Macines]],"0")</f>
        <v>0.55444499999999997</v>
      </c>
      <c r="AN27" s="24" t="str">
        <f>VLOOKUP(Tableau3[[#This Row],[Opérateur 1]],Liste!$K$2:$M$68,3,FALSE)</f>
        <v>Multi</v>
      </c>
    </row>
    <row r="28" spans="1:40" s="24" customFormat="1" x14ac:dyDescent="0.25">
      <c r="A28" s="93">
        <v>43948</v>
      </c>
      <c r="B28" s="94" t="s">
        <v>13</v>
      </c>
      <c r="C28" s="16" t="s">
        <v>102</v>
      </c>
      <c r="D28" s="95" t="s">
        <v>22</v>
      </c>
      <c r="E28" s="94" t="s">
        <v>134</v>
      </c>
      <c r="F28" s="96">
        <v>8</v>
      </c>
      <c r="G28" s="94"/>
      <c r="H28" s="96"/>
      <c r="I28" s="91">
        <v>25903</v>
      </c>
      <c r="J28" s="97">
        <v>148866</v>
      </c>
      <c r="K28" s="97">
        <v>37920</v>
      </c>
      <c r="L28" s="97">
        <v>129840</v>
      </c>
      <c r="M2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" s="97">
        <v>30</v>
      </c>
      <c r="O28" s="20">
        <v>0</v>
      </c>
      <c r="P28" s="98">
        <v>80</v>
      </c>
      <c r="Q28" s="99">
        <f>IFERROR((Tableau3[[#This Row],[QTY Produite]]/1000)*((1000/Tableau3[[#This Row],[Cadence]])/60)/Tableau3[[#This Row],[Heures Macines]],"0")</f>
        <v>0.98750000000000004</v>
      </c>
      <c r="R28" s="100">
        <v>99</v>
      </c>
      <c r="S28" s="96"/>
      <c r="T28" s="18"/>
      <c r="U28" s="101"/>
      <c r="V28" s="96"/>
      <c r="W28" s="96"/>
      <c r="X28" s="101"/>
      <c r="Y28" s="96"/>
      <c r="Z28" s="96"/>
      <c r="AA28" s="101"/>
      <c r="AB28" s="96"/>
      <c r="AC28" s="96"/>
      <c r="AD28" s="101"/>
      <c r="AE28" s="96"/>
      <c r="AF28" s="96"/>
      <c r="AG28" s="101"/>
      <c r="AH28" s="96"/>
      <c r="AI28" s="96"/>
      <c r="AJ28" s="101"/>
      <c r="AK28" s="84">
        <f t="shared" si="0"/>
        <v>4</v>
      </c>
      <c r="AL28" s="24">
        <f>YEAR(Tableau3[[#This Row],[Date]])</f>
        <v>2020</v>
      </c>
      <c r="AM28" s="92">
        <f>IFERROR(((Tableau3[[#This Row],[QTY Produite]]/1000)*VLOOKUP(Tableau3[[#This Row],[Machine]],Liste!$A:$B,2))/Tableau3[[#This Row],[Heures Macines]],"0")</f>
        <v>1.4219999999999999</v>
      </c>
      <c r="AN28" s="24" t="str">
        <f>VLOOKUP(Tableau3[[#This Row],[Opérateur 1]],Liste!$K$2:$M$68,3,FALSE)</f>
        <v>Multi</v>
      </c>
    </row>
    <row r="29" spans="1:40" s="24" customFormat="1" x14ac:dyDescent="0.25">
      <c r="A29" s="93">
        <v>43948</v>
      </c>
      <c r="B29" s="94" t="s">
        <v>13</v>
      </c>
      <c r="C29" s="16" t="s">
        <v>102</v>
      </c>
      <c r="D29" s="95" t="s">
        <v>14</v>
      </c>
      <c r="E29" s="94" t="s">
        <v>126</v>
      </c>
      <c r="F29" s="96">
        <v>6.5</v>
      </c>
      <c r="G29" s="94"/>
      <c r="H29" s="96"/>
      <c r="I29" s="91">
        <v>26900</v>
      </c>
      <c r="J29" s="97">
        <v>19200</v>
      </c>
      <c r="K29" s="97">
        <v>2032</v>
      </c>
      <c r="L29" s="97">
        <v>2032</v>
      </c>
      <c r="M2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29" s="97">
        <v>315</v>
      </c>
      <c r="O29" s="20">
        <v>295</v>
      </c>
      <c r="P29" s="98">
        <v>31</v>
      </c>
      <c r="Q29" s="99">
        <f>IFERROR((Tableau3[[#This Row],[QTY Produite]]/1000)*((1000/Tableau3[[#This Row],[Cadence]])/60)/Tableau3[[#This Row],[Heures Macines]],"0")</f>
        <v>0.16807278742762616</v>
      </c>
      <c r="R29" s="100">
        <v>16</v>
      </c>
      <c r="S29" s="96"/>
      <c r="T29" s="18"/>
      <c r="U29" s="101"/>
      <c r="V29" s="96"/>
      <c r="W29" s="96"/>
      <c r="X29" s="101"/>
      <c r="Y29" s="96"/>
      <c r="Z29" s="96"/>
      <c r="AA29" s="101"/>
      <c r="AB29" s="96"/>
      <c r="AC29" s="96"/>
      <c r="AD29" s="101"/>
      <c r="AE29" s="96"/>
      <c r="AF29" s="96"/>
      <c r="AG29" s="101"/>
      <c r="AH29" s="96"/>
      <c r="AI29" s="96"/>
      <c r="AJ29" s="101"/>
      <c r="AK29" s="84">
        <f t="shared" si="0"/>
        <v>4</v>
      </c>
      <c r="AL29" s="24">
        <f>YEAR(Tableau3[[#This Row],[Date]])</f>
        <v>2020</v>
      </c>
      <c r="AM29" s="92">
        <f>IFERROR(((Tableau3[[#This Row],[QTY Produite]]/1000)*VLOOKUP(Tableau3[[#This Row],[Machine]],Liste!$A:$B,2))/Tableau3[[#This Row],[Heures Macines]],"0")</f>
        <v>0.14067692307692309</v>
      </c>
      <c r="AN29" s="24" t="str">
        <f>VLOOKUP(Tableau3[[#This Row],[Opérateur 1]],Liste!$K$2:$M$68,3,FALSE)</f>
        <v>Multi</v>
      </c>
    </row>
    <row r="30" spans="1:40" s="24" customFormat="1" x14ac:dyDescent="0.25">
      <c r="A30" s="93">
        <v>43948</v>
      </c>
      <c r="B30" s="94" t="s">
        <v>16</v>
      </c>
      <c r="C30" s="16" t="s">
        <v>62</v>
      </c>
      <c r="D30" s="95" t="s">
        <v>21</v>
      </c>
      <c r="E30" s="94" t="s">
        <v>110</v>
      </c>
      <c r="F30" s="96">
        <v>3</v>
      </c>
      <c r="G30" s="94"/>
      <c r="H30" s="96"/>
      <c r="I30" s="91" t="s">
        <v>236</v>
      </c>
      <c r="J30" s="97">
        <v>52500</v>
      </c>
      <c r="K30" s="97">
        <v>254</v>
      </c>
      <c r="L30" s="97">
        <v>254</v>
      </c>
      <c r="M3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30" s="97">
        <v>10</v>
      </c>
      <c r="O30" s="20">
        <v>703</v>
      </c>
      <c r="P30" s="98">
        <v>95</v>
      </c>
      <c r="Q30" s="99">
        <f>IFERROR((Tableau3[[#This Row],[QTY Produite]]/1000)*((1000/Tableau3[[#This Row],[Cadence]])/60)/Tableau3[[#This Row],[Heures Macines]],"0")</f>
        <v>1.4853801169590645E-2</v>
      </c>
      <c r="R30" s="100">
        <v>0</v>
      </c>
      <c r="S30" s="96"/>
      <c r="T30" s="18"/>
      <c r="U30" s="101"/>
      <c r="V30" s="96"/>
      <c r="W30" s="96"/>
      <c r="X30" s="101"/>
      <c r="Y30" s="96"/>
      <c r="Z30" s="96"/>
      <c r="AA30" s="101"/>
      <c r="AB30" s="96"/>
      <c r="AC30" s="96"/>
      <c r="AD30" s="101"/>
      <c r="AE30" s="96"/>
      <c r="AF30" s="96"/>
      <c r="AG30" s="101"/>
      <c r="AH30" s="96"/>
      <c r="AI30" s="96"/>
      <c r="AJ30" s="101"/>
      <c r="AK30" s="84">
        <f t="shared" si="0"/>
        <v>4</v>
      </c>
      <c r="AL30" s="24">
        <f>YEAR(Tableau3[[#This Row],[Date]])</f>
        <v>2020</v>
      </c>
      <c r="AM30" s="92">
        <f>IFERROR(((Tableau3[[#This Row],[QTY Produite]]/1000)*VLOOKUP(Tableau3[[#This Row],[Machine]],Liste!$A:$B,2))/Tableau3[[#This Row],[Heures Macines]],"0")</f>
        <v>5.0800000000000005E-2</v>
      </c>
      <c r="AN30" s="24" t="str">
        <f>VLOOKUP(Tableau3[[#This Row],[Opérateur 1]],Liste!$K$2:$M$68,3,FALSE)</f>
        <v>Déco</v>
      </c>
    </row>
    <row r="31" spans="1:40" s="24" customFormat="1" x14ac:dyDescent="0.25">
      <c r="A31" s="93">
        <v>43948</v>
      </c>
      <c r="B31" s="94" t="s">
        <v>13</v>
      </c>
      <c r="C31" s="16" t="s">
        <v>102</v>
      </c>
      <c r="D31" s="95" t="s">
        <v>26</v>
      </c>
      <c r="E31" s="94" t="s">
        <v>119</v>
      </c>
      <c r="F31" s="96">
        <v>8</v>
      </c>
      <c r="G31" s="94"/>
      <c r="H31" s="96"/>
      <c r="I31" s="91">
        <v>26739</v>
      </c>
      <c r="J31" s="97">
        <v>62089</v>
      </c>
      <c r="K31" s="97">
        <v>0</v>
      </c>
      <c r="L31" s="97">
        <v>8582</v>
      </c>
      <c r="M3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1" s="97">
        <v>0</v>
      </c>
      <c r="O31" s="20">
        <v>0</v>
      </c>
      <c r="P31" s="98">
        <v>50</v>
      </c>
      <c r="Q31" s="99">
        <f>IFERROR((Tableau3[[#This Row],[QTY Produite]]/1000)*((1000/Tableau3[[#This Row],[Cadence]])/60)/Tableau3[[#This Row],[Heures Macines]],"0")</f>
        <v>0</v>
      </c>
      <c r="R31" s="100">
        <v>0</v>
      </c>
      <c r="S31" s="96"/>
      <c r="T31" s="18"/>
      <c r="U31" s="94" t="s">
        <v>237</v>
      </c>
      <c r="V31" s="96"/>
      <c r="W31" s="96"/>
      <c r="X31" s="101"/>
      <c r="Y31" s="96"/>
      <c r="Z31" s="96"/>
      <c r="AA31" s="101"/>
      <c r="AB31" s="96"/>
      <c r="AC31" s="96"/>
      <c r="AD31" s="101"/>
      <c r="AE31" s="96"/>
      <c r="AF31" s="96"/>
      <c r="AG31" s="101"/>
      <c r="AH31" s="96"/>
      <c r="AI31" s="96"/>
      <c r="AJ31" s="101"/>
      <c r="AK31" s="84">
        <f t="shared" si="0"/>
        <v>4</v>
      </c>
      <c r="AL31" s="24">
        <f>YEAR(Tableau3[[#This Row],[Date]])</f>
        <v>2020</v>
      </c>
      <c r="AM31" s="92">
        <f>IFERROR(((Tableau3[[#This Row],[QTY Produite]]/1000)*VLOOKUP(Tableau3[[#This Row],[Machine]],Liste!$A:$B,2))/Tableau3[[#This Row],[Heures Macines]],"0")</f>
        <v>0</v>
      </c>
      <c r="AN31" s="24" t="str">
        <f>VLOOKUP(Tableau3[[#This Row],[Opérateur 1]],Liste!$K$2:$M$68,3,FALSE)</f>
        <v>Multi</v>
      </c>
    </row>
    <row r="32" spans="1:40" s="24" customFormat="1" x14ac:dyDescent="0.25">
      <c r="A32" s="93">
        <v>43948</v>
      </c>
      <c r="B32" s="94" t="s">
        <v>13</v>
      </c>
      <c r="C32" s="16" t="s">
        <v>102</v>
      </c>
      <c r="D32" s="95" t="s">
        <v>28</v>
      </c>
      <c r="E32" s="94" t="s">
        <v>117</v>
      </c>
      <c r="F32" s="96">
        <v>8</v>
      </c>
      <c r="G32" s="94"/>
      <c r="H32" s="96"/>
      <c r="I32" s="91" t="s">
        <v>238</v>
      </c>
      <c r="J32" s="97">
        <v>0</v>
      </c>
      <c r="K32" s="97">
        <v>0</v>
      </c>
      <c r="L32" s="97">
        <v>0</v>
      </c>
      <c r="M3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32" s="97">
        <v>0</v>
      </c>
      <c r="O32" s="20">
        <v>0</v>
      </c>
      <c r="P32" s="98">
        <v>0</v>
      </c>
      <c r="Q32" s="99" t="str">
        <f>IFERROR((Tableau3[[#This Row],[QTY Produite]]/1000)*((1000/Tableau3[[#This Row],[Cadence]])/60)/Tableau3[[#This Row],[Heures Macines]],"0")</f>
        <v>0</v>
      </c>
      <c r="R32" s="100">
        <v>0</v>
      </c>
      <c r="S32" s="96" t="s">
        <v>197</v>
      </c>
      <c r="T32" s="18">
        <v>8</v>
      </c>
      <c r="U32" s="94" t="s">
        <v>239</v>
      </c>
      <c r="V32" s="96"/>
      <c r="W32" s="96"/>
      <c r="X32" s="101"/>
      <c r="Y32" s="96"/>
      <c r="Z32" s="96"/>
      <c r="AA32" s="101"/>
      <c r="AB32" s="96"/>
      <c r="AC32" s="96"/>
      <c r="AD32" s="101"/>
      <c r="AE32" s="96"/>
      <c r="AF32" s="96"/>
      <c r="AG32" s="101"/>
      <c r="AH32" s="96"/>
      <c r="AI32" s="96"/>
      <c r="AJ32" s="101"/>
      <c r="AK32" s="84">
        <f t="shared" si="0"/>
        <v>4</v>
      </c>
      <c r="AL32" s="24">
        <f>YEAR(Tableau3[[#This Row],[Date]])</f>
        <v>2020</v>
      </c>
      <c r="AM32" s="92" t="str">
        <f>IFERROR(((Tableau3[[#This Row],[QTY Produite]]/1000)*VLOOKUP(Tableau3[[#This Row],[Machine]],Liste!$A:$B,2))/Tableau3[[#This Row],[Heures Macines]],"0")</f>
        <v>0</v>
      </c>
      <c r="AN32" s="24" t="str">
        <f>VLOOKUP(Tableau3[[#This Row],[Opérateur 1]],Liste!$K$2:$M$68,3,FALSE)</f>
        <v>Multi</v>
      </c>
    </row>
    <row r="33" spans="1:40" s="24" customFormat="1" x14ac:dyDescent="0.25">
      <c r="A33" s="93">
        <v>43948</v>
      </c>
      <c r="B33" s="94" t="s">
        <v>13</v>
      </c>
      <c r="C33" s="16" t="s">
        <v>102</v>
      </c>
      <c r="D33" s="95" t="s">
        <v>29</v>
      </c>
      <c r="E33" s="94" t="s">
        <v>108</v>
      </c>
      <c r="F33" s="96">
        <v>8</v>
      </c>
      <c r="G33" s="94"/>
      <c r="H33" s="96"/>
      <c r="I33" s="91" t="s">
        <v>208</v>
      </c>
      <c r="J33" s="97">
        <v>69300</v>
      </c>
      <c r="K33" s="97">
        <v>3814</v>
      </c>
      <c r="L33" s="97">
        <v>22098</v>
      </c>
      <c r="M3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3" s="97">
        <v>10</v>
      </c>
      <c r="O33" s="20">
        <v>166</v>
      </c>
      <c r="P33" s="98">
        <v>30</v>
      </c>
      <c r="Q33" s="99">
        <f>IFERROR((Tableau3[[#This Row],[QTY Produite]]/1000)*((1000/Tableau3[[#This Row],[Cadence]])/60)/Tableau3[[#This Row],[Heures Macines]],"0")</f>
        <v>0.2648611111111111</v>
      </c>
      <c r="R33" s="100">
        <v>57</v>
      </c>
      <c r="S33" s="96"/>
      <c r="T33" s="18"/>
      <c r="U33" s="101"/>
      <c r="V33" s="96"/>
      <c r="W33" s="96"/>
      <c r="X33" s="101"/>
      <c r="Y33" s="96"/>
      <c r="Z33" s="96"/>
      <c r="AA33" s="101"/>
      <c r="AB33" s="96"/>
      <c r="AC33" s="96"/>
      <c r="AD33" s="101"/>
      <c r="AE33" s="96"/>
      <c r="AF33" s="96"/>
      <c r="AG33" s="101"/>
      <c r="AH33" s="96"/>
      <c r="AI33" s="96"/>
      <c r="AJ33" s="101"/>
      <c r="AK33" s="84">
        <f t="shared" si="0"/>
        <v>4</v>
      </c>
      <c r="AL33" s="24">
        <f>YEAR(Tableau3[[#This Row],[Date]])</f>
        <v>2020</v>
      </c>
      <c r="AM33" s="92">
        <f>IFERROR(((Tableau3[[#This Row],[QTY Produite]]/1000)*VLOOKUP(Tableau3[[#This Row],[Machine]],Liste!$A:$B,2))/Tableau3[[#This Row],[Heures Macines]],"0")</f>
        <v>0.42907500000000004</v>
      </c>
      <c r="AN33" s="24" t="str">
        <f>VLOOKUP(Tableau3[[#This Row],[Opérateur 1]],Liste!$K$2:$M$68,3,FALSE)</f>
        <v>Imp</v>
      </c>
    </row>
    <row r="34" spans="1:40" s="24" customFormat="1" x14ac:dyDescent="0.25">
      <c r="A34" s="93">
        <v>43948</v>
      </c>
      <c r="B34" s="94" t="s">
        <v>13</v>
      </c>
      <c r="C34" s="16" t="s">
        <v>102</v>
      </c>
      <c r="D34" s="95" t="s">
        <v>18</v>
      </c>
      <c r="E34" s="94" t="s">
        <v>135</v>
      </c>
      <c r="F34" s="96">
        <v>8</v>
      </c>
      <c r="G34" s="94"/>
      <c r="H34" s="96"/>
      <c r="I34" s="91">
        <v>25853</v>
      </c>
      <c r="J34" s="97">
        <v>139781</v>
      </c>
      <c r="K34" s="97">
        <v>24720</v>
      </c>
      <c r="L34" s="97">
        <v>99360</v>
      </c>
      <c r="M3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4" s="97">
        <v>25</v>
      </c>
      <c r="O34" s="20">
        <v>412</v>
      </c>
      <c r="P34" s="98">
        <v>90</v>
      </c>
      <c r="Q34" s="99">
        <f>IFERROR((Tableau3[[#This Row],[QTY Produite]]/1000)*((1000/Tableau3[[#This Row],[Cadence]])/60)/Tableau3[[#This Row],[Heures Macines]],"0")</f>
        <v>0.57222222222222219</v>
      </c>
      <c r="R34" s="100">
        <v>57</v>
      </c>
      <c r="S34" s="96"/>
      <c r="T34" s="18"/>
      <c r="U34" s="101"/>
      <c r="V34" s="96"/>
      <c r="W34" s="96"/>
      <c r="X34" s="101"/>
      <c r="Y34" s="96"/>
      <c r="Z34" s="96"/>
      <c r="AA34" s="101"/>
      <c r="AB34" s="96"/>
      <c r="AC34" s="96"/>
      <c r="AD34" s="101"/>
      <c r="AE34" s="96"/>
      <c r="AF34" s="96"/>
      <c r="AG34" s="101"/>
      <c r="AH34" s="96"/>
      <c r="AI34" s="96"/>
      <c r="AJ34" s="101"/>
      <c r="AK34" s="84">
        <f t="shared" si="0"/>
        <v>4</v>
      </c>
      <c r="AL34" s="24">
        <f>YEAR(Tableau3[[#This Row],[Date]])</f>
        <v>2020</v>
      </c>
      <c r="AM34" s="92">
        <f>IFERROR(((Tableau3[[#This Row],[QTY Produite]]/1000)*VLOOKUP(Tableau3[[#This Row],[Machine]],Liste!$A:$B,2))/Tableau3[[#This Row],[Heures Macines]],"0")</f>
        <v>1.236</v>
      </c>
      <c r="AN34" s="24" t="str">
        <f>VLOOKUP(Tableau3[[#This Row],[Opérateur 1]],Liste!$K$2:$M$68,3,FALSE)</f>
        <v>Imp</v>
      </c>
    </row>
    <row r="35" spans="1:40" s="24" customFormat="1" x14ac:dyDescent="0.25">
      <c r="A35" s="93">
        <v>43948</v>
      </c>
      <c r="B35" s="94" t="s">
        <v>13</v>
      </c>
      <c r="C35" s="16" t="s">
        <v>102</v>
      </c>
      <c r="D35" s="95" t="s">
        <v>21</v>
      </c>
      <c r="E35" s="94" t="s">
        <v>110</v>
      </c>
      <c r="F35" s="96">
        <v>8</v>
      </c>
      <c r="G35" s="94" t="s">
        <v>118</v>
      </c>
      <c r="H35" s="96">
        <v>8</v>
      </c>
      <c r="I35" s="91" t="s">
        <v>236</v>
      </c>
      <c r="J35" s="97">
        <v>52500</v>
      </c>
      <c r="K35" s="97">
        <v>0</v>
      </c>
      <c r="L35" s="97">
        <v>0</v>
      </c>
      <c r="M3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35" s="97">
        <v>0</v>
      </c>
      <c r="O35" s="20">
        <v>0</v>
      </c>
      <c r="P35" s="98">
        <v>95</v>
      </c>
      <c r="Q35" s="99" t="str">
        <f>IFERROR((Tableau3[[#This Row],[QTY Produite]]/1000)*((1000/Tableau3[[#This Row],[Cadence]])/60)/Tableau3[[#This Row],[Heures Macines]],"0")</f>
        <v>0</v>
      </c>
      <c r="R35" s="100">
        <v>0</v>
      </c>
      <c r="S35" s="96" t="s">
        <v>193</v>
      </c>
      <c r="T35" s="18">
        <v>8</v>
      </c>
      <c r="U35" s="101" t="s">
        <v>240</v>
      </c>
      <c r="V35" s="96" t="s">
        <v>146</v>
      </c>
      <c r="W35" s="96">
        <v>8</v>
      </c>
      <c r="X35" s="101"/>
      <c r="Y35" s="96"/>
      <c r="Z35" s="96"/>
      <c r="AA35" s="101"/>
      <c r="AB35" s="96"/>
      <c r="AC35" s="96"/>
      <c r="AD35" s="101"/>
      <c r="AE35" s="96"/>
      <c r="AF35" s="96"/>
      <c r="AG35" s="101"/>
      <c r="AH35" s="96"/>
      <c r="AI35" s="96"/>
      <c r="AJ35" s="101"/>
      <c r="AK35" s="84">
        <f t="shared" si="0"/>
        <v>4</v>
      </c>
      <c r="AL35" s="24">
        <f>YEAR(Tableau3[[#This Row],[Date]])</f>
        <v>2020</v>
      </c>
      <c r="AM35" s="92" t="str">
        <f>IFERROR(((Tableau3[[#This Row],[QTY Produite]]/1000)*VLOOKUP(Tableau3[[#This Row],[Machine]],Liste!$A:$B,2))/Tableau3[[#This Row],[Heures Macines]],"0")</f>
        <v>0</v>
      </c>
      <c r="AN35" s="24" t="str">
        <f>VLOOKUP(Tableau3[[#This Row],[Opérateur 1]],Liste!$K$2:$M$68,3,FALSE)</f>
        <v>Déco</v>
      </c>
    </row>
    <row r="36" spans="1:40" s="24" customFormat="1" x14ac:dyDescent="0.25">
      <c r="A36" s="93">
        <v>43948</v>
      </c>
      <c r="B36" s="94" t="s">
        <v>19</v>
      </c>
      <c r="C36" s="16" t="s">
        <v>63</v>
      </c>
      <c r="D36" s="95" t="s">
        <v>30</v>
      </c>
      <c r="E36" s="94" t="s">
        <v>130</v>
      </c>
      <c r="F36" s="96">
        <v>8</v>
      </c>
      <c r="G36" s="94"/>
      <c r="H36" s="96"/>
      <c r="I36" s="91" t="s">
        <v>235</v>
      </c>
      <c r="J36" s="97">
        <v>131250</v>
      </c>
      <c r="K36" s="97">
        <v>21120</v>
      </c>
      <c r="L36" s="97">
        <v>26160</v>
      </c>
      <c r="M3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6" s="97">
        <v>15</v>
      </c>
      <c r="O36" s="20">
        <v>175</v>
      </c>
      <c r="P36" s="98">
        <v>66</v>
      </c>
      <c r="Q36" s="99">
        <f>IFERROR((Tableau3[[#This Row],[QTY Produite]]/1000)*((1000/Tableau3[[#This Row],[Cadence]])/60)/Tableau3[[#This Row],[Heures Macines]],"0")</f>
        <v>0.66666666666666674</v>
      </c>
      <c r="R36" s="100">
        <v>66</v>
      </c>
      <c r="S36" s="96"/>
      <c r="T36" s="18"/>
      <c r="U36" s="101"/>
      <c r="V36" s="96"/>
      <c r="W36" s="96"/>
      <c r="X36" s="101"/>
      <c r="Y36" s="96"/>
      <c r="Z36" s="96"/>
      <c r="AA36" s="101"/>
      <c r="AB36" s="96"/>
      <c r="AC36" s="96"/>
      <c r="AD36" s="101"/>
      <c r="AE36" s="96"/>
      <c r="AF36" s="96"/>
      <c r="AG36" s="101"/>
      <c r="AH36" s="96"/>
      <c r="AI36" s="96"/>
      <c r="AJ36" s="101"/>
      <c r="AK36" s="84">
        <f t="shared" si="0"/>
        <v>4</v>
      </c>
      <c r="AL36" s="24">
        <f>YEAR(Tableau3[[#This Row],[Date]])</f>
        <v>2020</v>
      </c>
      <c r="AM36" s="92">
        <f>IFERROR(((Tableau3[[#This Row],[QTY Produite]]/1000)*VLOOKUP(Tableau3[[#This Row],[Machine]],Liste!$A:$B,2))/Tableau3[[#This Row],[Heures Macines]],"0")</f>
        <v>1.5840000000000001</v>
      </c>
      <c r="AN36" s="24" t="str">
        <f>VLOOKUP(Tableau3[[#This Row],[Opérateur 1]],Liste!$K$2:$M$68,3,FALSE)</f>
        <v>Déco</v>
      </c>
    </row>
    <row r="37" spans="1:40" s="24" customFormat="1" x14ac:dyDescent="0.25">
      <c r="A37" s="93">
        <v>43948</v>
      </c>
      <c r="B37" s="94" t="s">
        <v>19</v>
      </c>
      <c r="C37" s="16" t="s">
        <v>63</v>
      </c>
      <c r="D37" s="95" t="s">
        <v>25</v>
      </c>
      <c r="E37" s="94" t="s">
        <v>142</v>
      </c>
      <c r="F37" s="96">
        <v>8</v>
      </c>
      <c r="G37" s="94"/>
      <c r="H37" s="96"/>
      <c r="I37" s="91">
        <v>24996</v>
      </c>
      <c r="J37" s="97">
        <v>11715</v>
      </c>
      <c r="K37" s="97">
        <v>0</v>
      </c>
      <c r="L37" s="97">
        <v>0</v>
      </c>
      <c r="M3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37" s="97">
        <v>0</v>
      </c>
      <c r="O37" s="20">
        <v>0</v>
      </c>
      <c r="P37" s="98">
        <v>0</v>
      </c>
      <c r="Q37" s="99" t="str">
        <f>IFERROR((Tableau3[[#This Row],[QTY Produite]]/1000)*((1000/Tableau3[[#This Row],[Cadence]])/60)/Tableau3[[#This Row],[Heures Macines]],"0")</f>
        <v>0</v>
      </c>
      <c r="R37" s="100">
        <v>0</v>
      </c>
      <c r="S37" s="96" t="s">
        <v>146</v>
      </c>
      <c r="T37" s="18">
        <v>8</v>
      </c>
      <c r="U37" s="101"/>
      <c r="V37" s="96"/>
      <c r="W37" s="96"/>
      <c r="X37" s="101"/>
      <c r="Y37" s="96"/>
      <c r="Z37" s="96"/>
      <c r="AA37" s="101"/>
      <c r="AB37" s="96"/>
      <c r="AC37" s="96"/>
      <c r="AD37" s="101"/>
      <c r="AE37" s="96"/>
      <c r="AF37" s="96"/>
      <c r="AG37" s="101"/>
      <c r="AH37" s="96"/>
      <c r="AI37" s="96"/>
      <c r="AJ37" s="101"/>
      <c r="AK37" s="84">
        <f t="shared" si="0"/>
        <v>4</v>
      </c>
      <c r="AL37" s="24">
        <f>YEAR(Tableau3[[#This Row],[Date]])</f>
        <v>2020</v>
      </c>
      <c r="AM37" s="92" t="str">
        <f>IFERROR(((Tableau3[[#This Row],[QTY Produite]]/1000)*VLOOKUP(Tableau3[[#This Row],[Machine]],Liste!$A:$B,2))/Tableau3[[#This Row],[Heures Macines]],"0")</f>
        <v>0</v>
      </c>
      <c r="AN37" s="24" t="str">
        <f>VLOOKUP(Tableau3[[#This Row],[Opérateur 1]],Liste!$K$2:$M$68,3,FALSE)</f>
        <v>Déco</v>
      </c>
    </row>
    <row r="38" spans="1:40" s="24" customFormat="1" x14ac:dyDescent="0.25">
      <c r="A38" s="93">
        <v>43948</v>
      </c>
      <c r="B38" s="94" t="s">
        <v>19</v>
      </c>
      <c r="C38" s="16" t="s">
        <v>63</v>
      </c>
      <c r="D38" s="95" t="s">
        <v>18</v>
      </c>
      <c r="E38" s="94" t="s">
        <v>121</v>
      </c>
      <c r="F38" s="96">
        <v>8</v>
      </c>
      <c r="G38" s="94"/>
      <c r="H38" s="96"/>
      <c r="I38" s="91">
        <v>25853</v>
      </c>
      <c r="J38" s="97">
        <v>139781</v>
      </c>
      <c r="K38" s="97">
        <v>22800</v>
      </c>
      <c r="L38" s="97">
        <v>74640</v>
      </c>
      <c r="M3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8" s="97">
        <v>30</v>
      </c>
      <c r="O38" s="20">
        <v>350</v>
      </c>
      <c r="P38" s="98">
        <v>90</v>
      </c>
      <c r="Q38" s="99">
        <f>IFERROR((Tableau3[[#This Row],[QTY Produite]]/1000)*((1000/Tableau3[[#This Row],[Cadence]])/60)/Tableau3[[#This Row],[Heures Macines]],"0")</f>
        <v>0.52777777777777779</v>
      </c>
      <c r="R38" s="100">
        <v>53</v>
      </c>
      <c r="S38" s="96"/>
      <c r="T38" s="18"/>
      <c r="U38" s="101"/>
      <c r="V38" s="96"/>
      <c r="W38" s="96"/>
      <c r="X38" s="101"/>
      <c r="Y38" s="96"/>
      <c r="Z38" s="96"/>
      <c r="AA38" s="101"/>
      <c r="AB38" s="96"/>
      <c r="AC38" s="96"/>
      <c r="AD38" s="101"/>
      <c r="AE38" s="96"/>
      <c r="AF38" s="96"/>
      <c r="AG38" s="101"/>
      <c r="AH38" s="96"/>
      <c r="AI38" s="96"/>
      <c r="AJ38" s="101"/>
      <c r="AK38" s="84">
        <f t="shared" si="0"/>
        <v>4</v>
      </c>
      <c r="AL38" s="24">
        <f>YEAR(Tableau3[[#This Row],[Date]])</f>
        <v>2020</v>
      </c>
      <c r="AM38" s="92">
        <f>IFERROR(((Tableau3[[#This Row],[QTY Produite]]/1000)*VLOOKUP(Tableau3[[#This Row],[Machine]],Liste!$A:$B,2))/Tableau3[[#This Row],[Heures Macines]],"0")</f>
        <v>1.1400000000000001</v>
      </c>
      <c r="AN38" s="24" t="str">
        <f>VLOOKUP(Tableau3[[#This Row],[Opérateur 1]],Liste!$K$2:$M$68,3,FALSE)</f>
        <v>Imp</v>
      </c>
    </row>
    <row r="39" spans="1:40" s="24" customFormat="1" x14ac:dyDescent="0.25">
      <c r="A39" s="93">
        <v>43948</v>
      </c>
      <c r="B39" s="94" t="s">
        <v>19</v>
      </c>
      <c r="C39" s="16" t="s">
        <v>63</v>
      </c>
      <c r="D39" s="95" t="s">
        <v>11</v>
      </c>
      <c r="E39" s="94" t="s">
        <v>131</v>
      </c>
      <c r="F39" s="96">
        <v>8</v>
      </c>
      <c r="G39" s="94"/>
      <c r="H39" s="96"/>
      <c r="I39" s="91" t="s">
        <v>210</v>
      </c>
      <c r="J39" s="97">
        <v>411840</v>
      </c>
      <c r="K39" s="97">
        <v>21840</v>
      </c>
      <c r="L39" s="97">
        <v>109920</v>
      </c>
      <c r="M3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39" s="97">
        <v>970</v>
      </c>
      <c r="O39" s="20">
        <v>640</v>
      </c>
      <c r="P39" s="98">
        <v>90</v>
      </c>
      <c r="Q39" s="99">
        <f>IFERROR((Tableau3[[#This Row],[QTY Produite]]/1000)*((1000/Tableau3[[#This Row],[Cadence]])/60)/Tableau3[[#This Row],[Heures Macines]],"0")</f>
        <v>0.50555555555555554</v>
      </c>
      <c r="R39" s="100">
        <v>54</v>
      </c>
      <c r="S39" s="96"/>
      <c r="T39" s="18"/>
      <c r="U39" s="101"/>
      <c r="V39" s="96"/>
      <c r="W39" s="96"/>
      <c r="X39" s="101"/>
      <c r="Y39" s="96"/>
      <c r="Z39" s="96"/>
      <c r="AA39" s="101"/>
      <c r="AB39" s="96"/>
      <c r="AC39" s="96"/>
      <c r="AD39" s="101"/>
      <c r="AE39" s="96"/>
      <c r="AF39" s="96"/>
      <c r="AG39" s="101"/>
      <c r="AH39" s="96"/>
      <c r="AI39" s="96"/>
      <c r="AJ39" s="101"/>
      <c r="AK39" s="84">
        <f t="shared" si="0"/>
        <v>4</v>
      </c>
      <c r="AL39" s="24">
        <f>YEAR(Tableau3[[#This Row],[Date]])</f>
        <v>2020</v>
      </c>
      <c r="AM39" s="92">
        <f>IFERROR(((Tableau3[[#This Row],[QTY Produite]]/1000)*VLOOKUP(Tableau3[[#This Row],[Machine]],Liste!$A:$B,2))/Tableau3[[#This Row],[Heures Macines]],"0")</f>
        <v>1.0920000000000001</v>
      </c>
      <c r="AN39" s="24" t="str">
        <f>VLOOKUP(Tableau3[[#This Row],[Opérateur 1]],Liste!$K$2:$M$68,3,FALSE)</f>
        <v>Déco</v>
      </c>
    </row>
    <row r="40" spans="1:40" s="24" customFormat="1" x14ac:dyDescent="0.25">
      <c r="A40" s="93">
        <v>43948</v>
      </c>
      <c r="B40" s="94" t="s">
        <v>19</v>
      </c>
      <c r="C40" s="16" t="s">
        <v>63</v>
      </c>
      <c r="D40" s="95" t="s">
        <v>26</v>
      </c>
      <c r="E40" s="94" t="s">
        <v>114</v>
      </c>
      <c r="F40" s="96">
        <v>8</v>
      </c>
      <c r="G40" s="94"/>
      <c r="H40" s="96"/>
      <c r="I40" s="91">
        <v>26739</v>
      </c>
      <c r="J40" s="97">
        <v>62089</v>
      </c>
      <c r="K40" s="97">
        <v>8382</v>
      </c>
      <c r="L40" s="97">
        <v>8382</v>
      </c>
      <c r="M4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0" s="97">
        <v>342</v>
      </c>
      <c r="O40" s="20">
        <v>1820</v>
      </c>
      <c r="P40" s="98">
        <v>50</v>
      </c>
      <c r="Q40" s="99">
        <f>IFERROR((Tableau3[[#This Row],[QTY Produite]]/1000)*((1000/Tableau3[[#This Row],[Cadence]])/60)/Tableau3[[#This Row],[Heures Macines]],"0")</f>
        <v>0.34924999999999995</v>
      </c>
      <c r="R40" s="100">
        <v>35</v>
      </c>
      <c r="S40" s="96"/>
      <c r="T40" s="18"/>
      <c r="U40" s="94"/>
      <c r="V40" s="96"/>
      <c r="W40" s="96"/>
      <c r="X40" s="101"/>
      <c r="Y40" s="96"/>
      <c r="Z40" s="96"/>
      <c r="AA40" s="101"/>
      <c r="AB40" s="96"/>
      <c r="AC40" s="96"/>
      <c r="AD40" s="101"/>
      <c r="AE40" s="96"/>
      <c r="AF40" s="96"/>
      <c r="AG40" s="101"/>
      <c r="AH40" s="96"/>
      <c r="AI40" s="96"/>
      <c r="AJ40" s="101"/>
      <c r="AK40" s="84">
        <f t="shared" si="0"/>
        <v>4</v>
      </c>
      <c r="AL40" s="24">
        <f>YEAR(Tableau3[[#This Row],[Date]])</f>
        <v>2020</v>
      </c>
      <c r="AM40" s="92">
        <f>IFERROR(((Tableau3[[#This Row],[QTY Produite]]/1000)*VLOOKUP(Tableau3[[#This Row],[Machine]],Liste!$A:$B,2))/Tableau3[[#This Row],[Heures Macines]],"0")</f>
        <v>0.52387499999999998</v>
      </c>
      <c r="AN40" s="24" t="str">
        <f>VLOOKUP(Tableau3[[#This Row],[Opérateur 1]],Liste!$K$2:$M$68,3,FALSE)</f>
        <v>Multi</v>
      </c>
    </row>
    <row r="41" spans="1:40" s="24" customFormat="1" x14ac:dyDescent="0.25">
      <c r="A41" s="93">
        <v>43948</v>
      </c>
      <c r="B41" s="94" t="s">
        <v>19</v>
      </c>
      <c r="C41" s="16" t="s">
        <v>63</v>
      </c>
      <c r="D41" s="95" t="s">
        <v>22</v>
      </c>
      <c r="E41" s="94" t="s">
        <v>129</v>
      </c>
      <c r="F41" s="96">
        <v>8</v>
      </c>
      <c r="G41" s="94"/>
      <c r="H41" s="96"/>
      <c r="I41" s="91">
        <v>25903</v>
      </c>
      <c r="J41" s="97">
        <v>148866</v>
      </c>
      <c r="K41" s="97">
        <v>30480</v>
      </c>
      <c r="L41" s="97">
        <v>91920</v>
      </c>
      <c r="M4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1" s="97">
        <v>892</v>
      </c>
      <c r="O41" s="20">
        <v>383</v>
      </c>
      <c r="P41" s="98">
        <v>80</v>
      </c>
      <c r="Q41" s="99">
        <f>IFERROR((Tableau3[[#This Row],[QTY Produite]]/1000)*((1000/Tableau3[[#This Row],[Cadence]])/60)/Tableau3[[#This Row],[Heures Macines]],"0")</f>
        <v>0.79375000000000007</v>
      </c>
      <c r="R41" s="100">
        <v>80</v>
      </c>
      <c r="S41" s="96"/>
      <c r="T41" s="18"/>
      <c r="U41" s="101"/>
      <c r="V41" s="96"/>
      <c r="W41" s="96"/>
      <c r="X41" s="101"/>
      <c r="Y41" s="96"/>
      <c r="Z41" s="96"/>
      <c r="AA41" s="101"/>
      <c r="AB41" s="96"/>
      <c r="AC41" s="96"/>
      <c r="AD41" s="101"/>
      <c r="AE41" s="96"/>
      <c r="AF41" s="96"/>
      <c r="AG41" s="101"/>
      <c r="AH41" s="96"/>
      <c r="AI41" s="96"/>
      <c r="AJ41" s="101"/>
      <c r="AK41" s="84">
        <f t="shared" si="0"/>
        <v>4</v>
      </c>
      <c r="AL41" s="24">
        <f>YEAR(Tableau3[[#This Row],[Date]])</f>
        <v>2020</v>
      </c>
      <c r="AM41" s="92">
        <f>IFERROR(((Tableau3[[#This Row],[QTY Produite]]/1000)*VLOOKUP(Tableau3[[#This Row],[Machine]],Liste!$A:$B,2))/Tableau3[[#This Row],[Heures Macines]],"0")</f>
        <v>1.143</v>
      </c>
      <c r="AN41" s="24" t="str">
        <f>VLOOKUP(Tableau3[[#This Row],[Opérateur 1]],Liste!$K$2:$M$68,3,FALSE)</f>
        <v>Mono</v>
      </c>
    </row>
    <row r="42" spans="1:40" s="24" customFormat="1" x14ac:dyDescent="0.25">
      <c r="A42" s="93">
        <v>43948</v>
      </c>
      <c r="B42" s="94" t="s">
        <v>19</v>
      </c>
      <c r="C42" s="16" t="s">
        <v>63</v>
      </c>
      <c r="D42" s="95" t="s">
        <v>20</v>
      </c>
      <c r="E42" s="94" t="s">
        <v>125</v>
      </c>
      <c r="F42" s="96">
        <v>8</v>
      </c>
      <c r="G42" s="94"/>
      <c r="H42" s="96"/>
      <c r="I42" s="91">
        <v>25841</v>
      </c>
      <c r="J42" s="97">
        <v>19010</v>
      </c>
      <c r="K42" s="97">
        <v>0</v>
      </c>
      <c r="L42" s="97">
        <v>0</v>
      </c>
      <c r="M4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42" s="97">
        <v>1017</v>
      </c>
      <c r="O42" s="20">
        <v>0</v>
      </c>
      <c r="P42" s="98">
        <v>0</v>
      </c>
      <c r="Q42" s="99" t="str">
        <f>IFERROR((Tableau3[[#This Row],[QTY Produite]]/1000)*((1000/Tableau3[[#This Row],[Cadence]])/60)/Tableau3[[#This Row],[Heures Macines]],"0")</f>
        <v>0</v>
      </c>
      <c r="R42" s="100">
        <v>0</v>
      </c>
      <c r="S42" s="96" t="s">
        <v>146</v>
      </c>
      <c r="T42" s="18">
        <v>8</v>
      </c>
      <c r="U42" s="101"/>
      <c r="V42" s="96"/>
      <c r="W42" s="96"/>
      <c r="X42" s="101"/>
      <c r="Y42" s="96"/>
      <c r="Z42" s="96"/>
      <c r="AA42" s="101"/>
      <c r="AB42" s="96"/>
      <c r="AC42" s="96"/>
      <c r="AD42" s="101"/>
      <c r="AE42" s="96"/>
      <c r="AF42" s="96"/>
      <c r="AG42" s="101"/>
      <c r="AH42" s="96"/>
      <c r="AI42" s="96"/>
      <c r="AJ42" s="101"/>
      <c r="AK42" s="84">
        <f t="shared" si="0"/>
        <v>4</v>
      </c>
      <c r="AL42" s="24">
        <f>YEAR(Tableau3[[#This Row],[Date]])</f>
        <v>2020</v>
      </c>
      <c r="AM42" s="92" t="str">
        <f>IFERROR(((Tableau3[[#This Row],[QTY Produite]]/1000)*VLOOKUP(Tableau3[[#This Row],[Machine]],Liste!$A:$B,2))/Tableau3[[#This Row],[Heures Macines]],"0")</f>
        <v>0</v>
      </c>
      <c r="AN42" s="24" t="str">
        <f>VLOOKUP(Tableau3[[#This Row],[Opérateur 1]],Liste!$K$2:$M$68,3,FALSE)</f>
        <v>Multi</v>
      </c>
    </row>
    <row r="43" spans="1:40" s="24" customFormat="1" x14ac:dyDescent="0.25">
      <c r="A43" s="93">
        <v>43948</v>
      </c>
      <c r="B43" s="94" t="s">
        <v>19</v>
      </c>
      <c r="C43" s="16" t="s">
        <v>63</v>
      </c>
      <c r="D43" s="95" t="s">
        <v>14</v>
      </c>
      <c r="E43" s="94" t="s">
        <v>139</v>
      </c>
      <c r="F43" s="96">
        <v>8</v>
      </c>
      <c r="G43" s="94"/>
      <c r="H43" s="96"/>
      <c r="I43" s="91">
        <v>25744</v>
      </c>
      <c r="J43" s="97">
        <v>28404</v>
      </c>
      <c r="K43" s="97">
        <v>13970</v>
      </c>
      <c r="L43" s="97">
        <v>24638</v>
      </c>
      <c r="M4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3" s="97">
        <v>605</v>
      </c>
      <c r="O43" s="20">
        <v>-70</v>
      </c>
      <c r="P43" s="98">
        <v>40</v>
      </c>
      <c r="Q43" s="99">
        <f>IFERROR((Tableau3[[#This Row],[QTY Produite]]/1000)*((1000/Tableau3[[#This Row],[Cadence]])/60)/Tableau3[[#This Row],[Heures Macines]],"0")</f>
        <v>0.72760416666666672</v>
      </c>
      <c r="R43" s="100">
        <v>73</v>
      </c>
      <c r="S43" s="96"/>
      <c r="T43" s="18"/>
      <c r="U43" s="101"/>
      <c r="V43" s="96"/>
      <c r="W43" s="96"/>
      <c r="X43" s="101"/>
      <c r="Y43" s="96"/>
      <c r="Z43" s="96"/>
      <c r="AA43" s="101"/>
      <c r="AB43" s="96"/>
      <c r="AC43" s="96"/>
      <c r="AD43" s="101"/>
      <c r="AE43" s="96"/>
      <c r="AF43" s="96"/>
      <c r="AG43" s="101"/>
      <c r="AH43" s="96"/>
      <c r="AI43" s="96"/>
      <c r="AJ43" s="101"/>
      <c r="AK43" s="84">
        <f t="shared" si="0"/>
        <v>4</v>
      </c>
      <c r="AL43" s="24">
        <f>YEAR(Tableau3[[#This Row],[Date]])</f>
        <v>2020</v>
      </c>
      <c r="AM43" s="92">
        <f>IFERROR(((Tableau3[[#This Row],[QTY Produite]]/1000)*VLOOKUP(Tableau3[[#This Row],[Machine]],Liste!$A:$B,2))/Tableau3[[#This Row],[Heures Macines]],"0")</f>
        <v>0.78581250000000002</v>
      </c>
      <c r="AN43" s="24" t="str">
        <f>VLOOKUP(Tableau3[[#This Row],[Opérateur 1]],Liste!$K$2:$M$68,3,FALSE)</f>
        <v>Mono</v>
      </c>
    </row>
    <row r="44" spans="1:40" s="24" customFormat="1" x14ac:dyDescent="0.25">
      <c r="A44" s="93">
        <v>43945</v>
      </c>
      <c r="B44" s="94" t="s">
        <v>16</v>
      </c>
      <c r="C44" s="16" t="s">
        <v>62</v>
      </c>
      <c r="D44" s="95" t="s">
        <v>30</v>
      </c>
      <c r="E44" s="94" t="s">
        <v>116</v>
      </c>
      <c r="F44" s="96">
        <v>1.5</v>
      </c>
      <c r="G44" s="94"/>
      <c r="H44" s="96"/>
      <c r="I44" s="91" t="s">
        <v>235</v>
      </c>
      <c r="J44" s="97">
        <v>131250</v>
      </c>
      <c r="K44" s="97">
        <v>5040</v>
      </c>
      <c r="L44" s="97">
        <v>5040</v>
      </c>
      <c r="M4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44" s="97">
        <v>67</v>
      </c>
      <c r="O44" s="20"/>
      <c r="P44" s="98">
        <v>66</v>
      </c>
      <c r="Q44" s="99">
        <f>IFERROR((Tableau3[[#This Row],[QTY Produite]]/1000)*((1000/Tableau3[[#This Row],[Cadence]])/60)/Tableau3[[#This Row],[Heures Macines]],"0")</f>
        <v>0.84848484848484862</v>
      </c>
      <c r="R44" s="100">
        <v>90</v>
      </c>
      <c r="S44" s="96"/>
      <c r="T44" s="18"/>
      <c r="U44" s="101"/>
      <c r="V44" s="96"/>
      <c r="W44" s="96"/>
      <c r="X44" s="101"/>
      <c r="Y44" s="96"/>
      <c r="Z44" s="96"/>
      <c r="AA44" s="101"/>
      <c r="AB44" s="96"/>
      <c r="AC44" s="96"/>
      <c r="AD44" s="101"/>
      <c r="AE44" s="96"/>
      <c r="AF44" s="96"/>
      <c r="AG44" s="101"/>
      <c r="AH44" s="96"/>
      <c r="AI44" s="96"/>
      <c r="AJ44" s="101"/>
      <c r="AK44" s="84">
        <f t="shared" si="0"/>
        <v>4</v>
      </c>
      <c r="AL44" s="24">
        <f>YEAR(Tableau3[[#This Row],[Date]])</f>
        <v>2020</v>
      </c>
      <c r="AM44" s="92">
        <f>IFERROR(((Tableau3[[#This Row],[QTY Produite]]/1000)*VLOOKUP(Tableau3[[#This Row],[Machine]],Liste!$A:$B,2))/Tableau3[[#This Row],[Heures Macines]],"0")</f>
        <v>2.016</v>
      </c>
      <c r="AN44" s="24" t="str">
        <f>VLOOKUP(Tableau3[[#This Row],[Opérateur 1]],Liste!$K$2:$M$68,3,FALSE)</f>
        <v>Déco</v>
      </c>
    </row>
    <row r="45" spans="1:40" s="24" customFormat="1" x14ac:dyDescent="0.25">
      <c r="A45" s="93">
        <v>43945</v>
      </c>
      <c r="B45" s="94" t="s">
        <v>16</v>
      </c>
      <c r="C45" s="16" t="s">
        <v>62</v>
      </c>
      <c r="D45" s="95" t="s">
        <v>30</v>
      </c>
      <c r="E45" s="94" t="s">
        <v>116</v>
      </c>
      <c r="F45" s="96">
        <v>6.5</v>
      </c>
      <c r="G45" s="94"/>
      <c r="H45" s="96"/>
      <c r="I45" s="91" t="s">
        <v>215</v>
      </c>
      <c r="J45" s="97">
        <v>131250</v>
      </c>
      <c r="K45" s="97">
        <v>20160</v>
      </c>
      <c r="L45" s="97">
        <v>130560</v>
      </c>
      <c r="M4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45" s="97">
        <v>40</v>
      </c>
      <c r="O45" s="20">
        <v>238</v>
      </c>
      <c r="P45" s="98">
        <v>66</v>
      </c>
      <c r="Q45" s="99">
        <f>IFERROR((Tableau3[[#This Row],[QTY Produite]]/1000)*((1000/Tableau3[[#This Row],[Cadence]])/60)/Tableau3[[#This Row],[Heures Macines]],"0")</f>
        <v>0.78321678321678334</v>
      </c>
      <c r="R45" s="100">
        <v>81</v>
      </c>
      <c r="S45" s="96"/>
      <c r="T45" s="18"/>
      <c r="U45" s="101"/>
      <c r="V45" s="96"/>
      <c r="W45" s="96"/>
      <c r="X45" s="101"/>
      <c r="Y45" s="96"/>
      <c r="Z45" s="96"/>
      <c r="AA45" s="101"/>
      <c r="AB45" s="96"/>
      <c r="AC45" s="96"/>
      <c r="AD45" s="101"/>
      <c r="AE45" s="96"/>
      <c r="AF45" s="96"/>
      <c r="AG45" s="101"/>
      <c r="AH45" s="96"/>
      <c r="AI45" s="96"/>
      <c r="AJ45" s="101"/>
      <c r="AK45" s="84">
        <f t="shared" si="0"/>
        <v>4</v>
      </c>
      <c r="AL45" s="24">
        <f>YEAR(Tableau3[[#This Row],[Date]])</f>
        <v>2020</v>
      </c>
      <c r="AM45" s="92">
        <f>IFERROR(((Tableau3[[#This Row],[QTY Produite]]/1000)*VLOOKUP(Tableau3[[#This Row],[Machine]],Liste!$A:$B,2))/Tableau3[[#This Row],[Heures Macines]],"0")</f>
        <v>1.8609230769230769</v>
      </c>
      <c r="AN45" s="24" t="str">
        <f>VLOOKUP(Tableau3[[#This Row],[Opérateur 1]],Liste!$K$2:$M$68,3,FALSE)</f>
        <v>Déco</v>
      </c>
    </row>
    <row r="46" spans="1:40" s="24" customFormat="1" x14ac:dyDescent="0.25">
      <c r="A46" s="93">
        <v>43945</v>
      </c>
      <c r="B46" s="94" t="s">
        <v>16</v>
      </c>
      <c r="C46" s="16" t="s">
        <v>62</v>
      </c>
      <c r="D46" s="95" t="s">
        <v>11</v>
      </c>
      <c r="E46" s="94" t="s">
        <v>141</v>
      </c>
      <c r="F46" s="96">
        <v>8</v>
      </c>
      <c r="G46" s="94"/>
      <c r="H46" s="96"/>
      <c r="I46" s="91" t="s">
        <v>210</v>
      </c>
      <c r="J46" s="97">
        <v>411840</v>
      </c>
      <c r="K46" s="97">
        <v>32640</v>
      </c>
      <c r="L46" s="97">
        <v>88080</v>
      </c>
      <c r="M4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6" s="97">
        <v>250</v>
      </c>
      <c r="O46" s="20">
        <v>258</v>
      </c>
      <c r="P46" s="98">
        <v>95</v>
      </c>
      <c r="Q46" s="99">
        <f>IFERROR((Tableau3[[#This Row],[QTY Produite]]/1000)*((1000/Tableau3[[#This Row],[Cadence]])/60)/Tableau3[[#This Row],[Heures Macines]],"0")</f>
        <v>0.71578947368421064</v>
      </c>
      <c r="R46" s="100">
        <v>72</v>
      </c>
      <c r="S46" s="96"/>
      <c r="T46" s="18"/>
      <c r="U46" s="101"/>
      <c r="V46" s="96"/>
      <c r="W46" s="96"/>
      <c r="X46" s="101"/>
      <c r="Y46" s="96"/>
      <c r="Z46" s="96"/>
      <c r="AA46" s="101"/>
      <c r="AB46" s="96"/>
      <c r="AC46" s="96"/>
      <c r="AD46" s="101"/>
      <c r="AE46" s="96"/>
      <c r="AF46" s="96"/>
      <c r="AG46" s="101"/>
      <c r="AH46" s="96"/>
      <c r="AI46" s="96"/>
      <c r="AJ46" s="101"/>
      <c r="AK46" s="84">
        <f t="shared" si="0"/>
        <v>4</v>
      </c>
      <c r="AL46" s="24">
        <f>YEAR(Tableau3[[#This Row],[Date]])</f>
        <v>2020</v>
      </c>
      <c r="AM46" s="92">
        <f>IFERROR(((Tableau3[[#This Row],[QTY Produite]]/1000)*VLOOKUP(Tableau3[[#This Row],[Machine]],Liste!$A:$B,2))/Tableau3[[#This Row],[Heures Macines]],"0")</f>
        <v>1.6320000000000001</v>
      </c>
      <c r="AN46" s="24" t="str">
        <f>VLOOKUP(Tableau3[[#This Row],[Opérateur 1]],Liste!$K$2:$M$68,3,FALSE)</f>
        <v>Imp</v>
      </c>
    </row>
    <row r="47" spans="1:40" s="24" customFormat="1" x14ac:dyDescent="0.25">
      <c r="A47" s="93">
        <v>43945</v>
      </c>
      <c r="B47" s="94" t="s">
        <v>16</v>
      </c>
      <c r="C47" s="16" t="s">
        <v>62</v>
      </c>
      <c r="D47" s="95" t="s">
        <v>31</v>
      </c>
      <c r="E47" s="94" t="s">
        <v>109</v>
      </c>
      <c r="F47" s="96">
        <v>8</v>
      </c>
      <c r="G47" s="94"/>
      <c r="H47" s="96"/>
      <c r="I47" s="91" t="s">
        <v>219</v>
      </c>
      <c r="J47" s="97">
        <v>26250</v>
      </c>
      <c r="K47" s="97">
        <v>11430</v>
      </c>
      <c r="L47" s="97">
        <v>16637</v>
      </c>
      <c r="M4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47" s="97">
        <v>50</v>
      </c>
      <c r="O47" s="20"/>
      <c r="P47" s="98">
        <v>40</v>
      </c>
      <c r="Q47" s="99">
        <f>IFERROR((Tableau3[[#This Row],[QTY Produite]]/1000)*((1000/Tableau3[[#This Row],[Cadence]])/60)/Tableau3[[#This Row],[Heures Macines]],"0")</f>
        <v>0.59531250000000002</v>
      </c>
      <c r="R47" s="100">
        <v>60</v>
      </c>
      <c r="S47" s="96"/>
      <c r="T47" s="18"/>
      <c r="U47" s="101"/>
      <c r="V47" s="96"/>
      <c r="W47" s="96"/>
      <c r="X47" s="101"/>
      <c r="Y47" s="96"/>
      <c r="Z47" s="96"/>
      <c r="AA47" s="101"/>
      <c r="AB47" s="96"/>
      <c r="AC47" s="96"/>
      <c r="AD47" s="101"/>
      <c r="AE47" s="96"/>
      <c r="AF47" s="96"/>
      <c r="AG47" s="101"/>
      <c r="AH47" s="96"/>
      <c r="AI47" s="96"/>
      <c r="AJ47" s="101"/>
      <c r="AK47" s="84">
        <f t="shared" si="0"/>
        <v>4</v>
      </c>
      <c r="AL47" s="24">
        <f>YEAR(Tableau3[[#This Row],[Date]])</f>
        <v>2020</v>
      </c>
      <c r="AM47" s="92">
        <f>IFERROR(((Tableau3[[#This Row],[QTY Produite]]/1000)*VLOOKUP(Tableau3[[#This Row],[Machine]],Liste!$A:$B,2))/Tableau3[[#This Row],[Heures Macines]],"0")</f>
        <v>0.57150000000000001</v>
      </c>
      <c r="AN47" s="24" t="str">
        <f>VLOOKUP(Tableau3[[#This Row],[Opérateur 1]],Liste!$K$2:$M$68,3,FALSE)</f>
        <v>Imp</v>
      </c>
    </row>
    <row r="48" spans="1:40" s="24" customFormat="1" x14ac:dyDescent="0.25">
      <c r="A48" s="93">
        <v>43945</v>
      </c>
      <c r="B48" s="94" t="s">
        <v>16</v>
      </c>
      <c r="C48" s="16" t="s">
        <v>62</v>
      </c>
      <c r="D48" s="95" t="s">
        <v>26</v>
      </c>
      <c r="E48" s="94" t="s">
        <v>136</v>
      </c>
      <c r="F48" s="96">
        <v>0.75</v>
      </c>
      <c r="G48" s="94"/>
      <c r="H48" s="96"/>
      <c r="I48" s="91">
        <v>26739</v>
      </c>
      <c r="J48" s="97">
        <v>62089</v>
      </c>
      <c r="K48" s="97">
        <v>0</v>
      </c>
      <c r="L48" s="97">
        <v>0</v>
      </c>
      <c r="M4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0.75</v>
      </c>
      <c r="N48" s="97">
        <v>0</v>
      </c>
      <c r="O48" s="20">
        <v>0</v>
      </c>
      <c r="P48" s="98"/>
      <c r="Q48" s="99" t="str">
        <f>IFERROR((Tableau3[[#This Row],[QTY Produite]]/1000)*((1000/Tableau3[[#This Row],[Cadence]])/60)/Tableau3[[#This Row],[Heures Macines]],"0")</f>
        <v>0</v>
      </c>
      <c r="R48" s="100"/>
      <c r="S48" s="96"/>
      <c r="T48" s="18"/>
      <c r="U48" s="101"/>
      <c r="V48" s="96"/>
      <c r="W48" s="96"/>
      <c r="X48" s="101"/>
      <c r="Y48" s="96"/>
      <c r="Z48" s="96"/>
      <c r="AA48" s="101"/>
      <c r="AB48" s="96"/>
      <c r="AC48" s="96"/>
      <c r="AD48" s="101"/>
      <c r="AE48" s="96"/>
      <c r="AF48" s="96"/>
      <c r="AG48" s="101"/>
      <c r="AH48" s="96"/>
      <c r="AI48" s="96"/>
      <c r="AJ48" s="101"/>
      <c r="AK48" s="84">
        <f t="shared" si="0"/>
        <v>4</v>
      </c>
      <c r="AL48" s="24">
        <f>YEAR(Tableau3[[#This Row],[Date]])</f>
        <v>2020</v>
      </c>
      <c r="AM48" s="92">
        <f>IFERROR(((Tableau3[[#This Row],[QTY Produite]]/1000)*VLOOKUP(Tableau3[[#This Row],[Machine]],Liste!$A:$B,2))/Tableau3[[#This Row],[Heures Macines]],"0")</f>
        <v>0</v>
      </c>
      <c r="AN48" s="24" t="str">
        <f>VLOOKUP(Tableau3[[#This Row],[Opérateur 1]],Liste!$K$2:$M$68,3,FALSE)</f>
        <v>Multi</v>
      </c>
    </row>
    <row r="49" spans="1:40" s="24" customFormat="1" x14ac:dyDescent="0.25">
      <c r="A49" s="93">
        <v>43945</v>
      </c>
      <c r="B49" s="94" t="s">
        <v>16</v>
      </c>
      <c r="C49" s="16" t="s">
        <v>62</v>
      </c>
      <c r="D49" s="95" t="s">
        <v>26</v>
      </c>
      <c r="E49" s="94" t="s">
        <v>136</v>
      </c>
      <c r="F49" s="96">
        <v>7.25</v>
      </c>
      <c r="G49" s="94"/>
      <c r="H49" s="96"/>
      <c r="I49" s="91">
        <v>25640</v>
      </c>
      <c r="J49" s="97">
        <v>28600</v>
      </c>
      <c r="K49" s="97">
        <v>6858</v>
      </c>
      <c r="L49" s="97">
        <v>28956</v>
      </c>
      <c r="M4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7.25</v>
      </c>
      <c r="N49" s="97">
        <v>630</v>
      </c>
      <c r="O49" s="20">
        <v>94</v>
      </c>
      <c r="P49" s="98">
        <v>50</v>
      </c>
      <c r="Q49" s="99">
        <f>IFERROR((Tableau3[[#This Row],[QTY Produite]]/1000)*((1000/Tableau3[[#This Row],[Cadence]])/60)/Tableau3[[#This Row],[Heures Macines]],"0")</f>
        <v>0.31531034482758613</v>
      </c>
      <c r="R49" s="100">
        <v>32</v>
      </c>
      <c r="S49" s="96"/>
      <c r="T49" s="18"/>
      <c r="U49" s="101"/>
      <c r="V49" s="96"/>
      <c r="W49" s="96"/>
      <c r="X49" s="101"/>
      <c r="Y49" s="96"/>
      <c r="Z49" s="96"/>
      <c r="AA49" s="101"/>
      <c r="AB49" s="96"/>
      <c r="AC49" s="96"/>
      <c r="AD49" s="101"/>
      <c r="AE49" s="96"/>
      <c r="AF49" s="96"/>
      <c r="AG49" s="101"/>
      <c r="AH49" s="96"/>
      <c r="AI49" s="96"/>
      <c r="AJ49" s="101"/>
      <c r="AK49" s="84">
        <f t="shared" si="0"/>
        <v>4</v>
      </c>
      <c r="AL49" s="24">
        <f>YEAR(Tableau3[[#This Row],[Date]])</f>
        <v>2020</v>
      </c>
      <c r="AM49" s="92">
        <f>IFERROR(((Tableau3[[#This Row],[QTY Produite]]/1000)*VLOOKUP(Tableau3[[#This Row],[Machine]],Liste!$A:$B,2))/Tableau3[[#This Row],[Heures Macines]],"0")</f>
        <v>0.47296551724137931</v>
      </c>
      <c r="AN49" s="24" t="str">
        <f>VLOOKUP(Tableau3[[#This Row],[Opérateur 1]],Liste!$K$2:$M$68,3,FALSE)</f>
        <v>Multi</v>
      </c>
    </row>
    <row r="50" spans="1:40" s="24" customFormat="1" x14ac:dyDescent="0.25">
      <c r="A50" s="93">
        <v>43945</v>
      </c>
      <c r="B50" s="94" t="s">
        <v>16</v>
      </c>
      <c r="C50" s="16" t="s">
        <v>62</v>
      </c>
      <c r="D50" s="95" t="s">
        <v>20</v>
      </c>
      <c r="E50" s="94" t="s">
        <v>124</v>
      </c>
      <c r="F50" s="96">
        <v>8</v>
      </c>
      <c r="G50" s="94"/>
      <c r="H50" s="96"/>
      <c r="I50" s="91">
        <v>26156</v>
      </c>
      <c r="J50" s="97">
        <v>28404</v>
      </c>
      <c r="K50" s="97">
        <v>18620</v>
      </c>
      <c r="L50" s="97">
        <v>28420</v>
      </c>
      <c r="M5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0" s="97">
        <v>820</v>
      </c>
      <c r="O50" s="20">
        <v>708</v>
      </c>
      <c r="P50" s="98">
        <v>55</v>
      </c>
      <c r="Q50" s="99">
        <f>IFERROR((Tableau3[[#This Row],[QTY Produite]]/1000)*((1000/Tableau3[[#This Row],[Cadence]])/60)/Tableau3[[#This Row],[Heures Macines]],"0")</f>
        <v>0.70530303030303032</v>
      </c>
      <c r="R50" s="100">
        <v>71</v>
      </c>
      <c r="S50" s="96"/>
      <c r="T50" s="18"/>
      <c r="U50" s="101"/>
      <c r="V50" s="96"/>
      <c r="W50" s="96"/>
      <c r="X50" s="101"/>
      <c r="Y50" s="96"/>
      <c r="Z50" s="96"/>
      <c r="AA50" s="101"/>
      <c r="AB50" s="96"/>
      <c r="AC50" s="96"/>
      <c r="AD50" s="101"/>
      <c r="AE50" s="96"/>
      <c r="AF50" s="96"/>
      <c r="AG50" s="101"/>
      <c r="AH50" s="96"/>
      <c r="AI50" s="96"/>
      <c r="AJ50" s="101"/>
      <c r="AK50" s="84">
        <f t="shared" si="0"/>
        <v>4</v>
      </c>
      <c r="AL50" s="24">
        <f>YEAR(Tableau3[[#This Row],[Date]])</f>
        <v>2020</v>
      </c>
      <c r="AM50" s="92">
        <f>IFERROR(((Tableau3[[#This Row],[QTY Produite]]/1000)*VLOOKUP(Tableau3[[#This Row],[Machine]],Liste!$A:$B,2))/Tableau3[[#This Row],[Heures Macines]],"0")</f>
        <v>0.83789999999999998</v>
      </c>
      <c r="AN50" s="24" t="str">
        <f>VLOOKUP(Tableau3[[#This Row],[Opérateur 1]],Liste!$K$2:$M$68,3,FALSE)</f>
        <v>Multi</v>
      </c>
    </row>
    <row r="51" spans="1:40" s="24" customFormat="1" x14ac:dyDescent="0.25">
      <c r="A51" s="93">
        <v>43945</v>
      </c>
      <c r="B51" s="94" t="s">
        <v>16</v>
      </c>
      <c r="C51" s="16" t="s">
        <v>62</v>
      </c>
      <c r="D51" s="95" t="s">
        <v>27</v>
      </c>
      <c r="E51" s="94" t="s">
        <v>122</v>
      </c>
      <c r="F51" s="96">
        <v>8</v>
      </c>
      <c r="G51" s="94"/>
      <c r="H51" s="96"/>
      <c r="I51" s="91" t="s">
        <v>241</v>
      </c>
      <c r="J51" s="97">
        <v>10500</v>
      </c>
      <c r="K51" s="97">
        <v>10033</v>
      </c>
      <c r="L51" s="97">
        <v>10033</v>
      </c>
      <c r="M5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1" s="97">
        <v>6</v>
      </c>
      <c r="O51" s="20">
        <v>256</v>
      </c>
      <c r="P51" s="98">
        <v>50</v>
      </c>
      <c r="Q51" s="99">
        <f>IFERROR((Tableau3[[#This Row],[QTY Produite]]/1000)*((1000/Tableau3[[#This Row],[Cadence]])/60)/Tableau3[[#This Row],[Heures Macines]],"0")</f>
        <v>0.41804166666666664</v>
      </c>
      <c r="R51" s="100">
        <v>42</v>
      </c>
      <c r="S51" s="96"/>
      <c r="T51" s="18"/>
      <c r="U51" s="101"/>
      <c r="V51" s="96"/>
      <c r="W51" s="96"/>
      <c r="X51" s="101"/>
      <c r="Y51" s="96"/>
      <c r="Z51" s="96"/>
      <c r="AA51" s="101"/>
      <c r="AB51" s="96"/>
      <c r="AC51" s="96"/>
      <c r="AD51" s="101"/>
      <c r="AE51" s="96"/>
      <c r="AF51" s="96"/>
      <c r="AG51" s="101"/>
      <c r="AH51" s="96"/>
      <c r="AI51" s="96"/>
      <c r="AJ51" s="101"/>
      <c r="AK51" s="84">
        <f t="shared" si="0"/>
        <v>4</v>
      </c>
      <c r="AL51" s="24">
        <f>YEAR(Tableau3[[#This Row],[Date]])</f>
        <v>2020</v>
      </c>
      <c r="AM51" s="92">
        <f>IFERROR(((Tableau3[[#This Row],[QTY Produite]]/1000)*VLOOKUP(Tableau3[[#This Row],[Machine]],Liste!$A:$B,2))/Tableau3[[#This Row],[Heures Macines]],"0")</f>
        <v>0.62706249999999997</v>
      </c>
      <c r="AN51" s="24" t="str">
        <f>VLOOKUP(Tableau3[[#This Row],[Opérateur 1]],Liste!$K$2:$M$68,3,FALSE)</f>
        <v>Déco</v>
      </c>
    </row>
    <row r="52" spans="1:40" s="24" customFormat="1" x14ac:dyDescent="0.25">
      <c r="A52" s="93">
        <v>43945</v>
      </c>
      <c r="B52" s="94" t="s">
        <v>16</v>
      </c>
      <c r="C52" s="16" t="s">
        <v>62</v>
      </c>
      <c r="D52" s="95" t="s">
        <v>22</v>
      </c>
      <c r="E52" s="94" t="s">
        <v>112</v>
      </c>
      <c r="F52" s="96">
        <v>8</v>
      </c>
      <c r="G52" s="94"/>
      <c r="H52" s="96"/>
      <c r="I52" s="91">
        <v>25903</v>
      </c>
      <c r="J52" s="97">
        <v>148866</v>
      </c>
      <c r="K52" s="97">
        <v>33360</v>
      </c>
      <c r="L52" s="97">
        <v>61440</v>
      </c>
      <c r="M5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2" s="97">
        <v>118</v>
      </c>
      <c r="O52" s="20">
        <v>42</v>
      </c>
      <c r="P52" s="98">
        <v>80</v>
      </c>
      <c r="Q52" s="99">
        <f>IFERROR((Tableau3[[#This Row],[QTY Produite]]/1000)*((1000/Tableau3[[#This Row],[Cadence]])/60)/Tableau3[[#This Row],[Heures Macines]],"0")</f>
        <v>0.86875000000000002</v>
      </c>
      <c r="R52" s="100">
        <v>87</v>
      </c>
      <c r="S52" s="96"/>
      <c r="T52" s="18"/>
      <c r="U52" s="101"/>
      <c r="V52" s="96"/>
      <c r="W52" s="96"/>
      <c r="X52" s="101"/>
      <c r="Y52" s="96"/>
      <c r="Z52" s="96"/>
      <c r="AA52" s="101"/>
      <c r="AB52" s="96"/>
      <c r="AC52" s="96"/>
      <c r="AD52" s="101"/>
      <c r="AE52" s="96"/>
      <c r="AF52" s="96"/>
      <c r="AG52" s="101"/>
      <c r="AH52" s="96"/>
      <c r="AI52" s="96"/>
      <c r="AJ52" s="101"/>
      <c r="AK52" s="84">
        <f t="shared" si="0"/>
        <v>4</v>
      </c>
      <c r="AL52" s="24">
        <f>YEAR(Tableau3[[#This Row],[Date]])</f>
        <v>2020</v>
      </c>
      <c r="AM52" s="92">
        <f>IFERROR(((Tableau3[[#This Row],[QTY Produite]]/1000)*VLOOKUP(Tableau3[[#This Row],[Machine]],Liste!$A:$B,2))/Tableau3[[#This Row],[Heures Macines]],"0")</f>
        <v>1.2509999999999999</v>
      </c>
      <c r="AN52" s="24" t="str">
        <f>VLOOKUP(Tableau3[[#This Row],[Opérateur 1]],Liste!$K$2:$M$68,3,FALSE)</f>
        <v>Mono</v>
      </c>
    </row>
    <row r="53" spans="1:40" s="24" customFormat="1" x14ac:dyDescent="0.25">
      <c r="A53" s="93">
        <v>43945</v>
      </c>
      <c r="B53" s="94" t="s">
        <v>16</v>
      </c>
      <c r="C53" s="16" t="s">
        <v>62</v>
      </c>
      <c r="D53" s="95" t="s">
        <v>29</v>
      </c>
      <c r="E53" s="94" t="s">
        <v>143</v>
      </c>
      <c r="F53" s="96">
        <v>8</v>
      </c>
      <c r="G53" s="94"/>
      <c r="H53" s="96"/>
      <c r="I53" s="91" t="s">
        <v>208</v>
      </c>
      <c r="J53" s="97">
        <v>69300</v>
      </c>
      <c r="K53" s="97">
        <v>9652</v>
      </c>
      <c r="L53" s="97">
        <v>18288</v>
      </c>
      <c r="M5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3" s="97">
        <v>24</v>
      </c>
      <c r="O53" s="20">
        <v>212</v>
      </c>
      <c r="P53" s="98">
        <v>29</v>
      </c>
      <c r="Q53" s="99">
        <f>IFERROR((Tableau3[[#This Row],[QTY Produite]]/1000)*((1000/Tableau3[[#This Row],[Cadence]])/60)/Tableau3[[#This Row],[Heures Macines]],"0")</f>
        <v>0.69339080459770119</v>
      </c>
      <c r="R53" s="100">
        <v>69</v>
      </c>
      <c r="S53" s="96"/>
      <c r="T53" s="18"/>
      <c r="U53" s="101"/>
      <c r="V53" s="96"/>
      <c r="W53" s="96"/>
      <c r="X53" s="101"/>
      <c r="Y53" s="96"/>
      <c r="Z53" s="96"/>
      <c r="AA53" s="101"/>
      <c r="AB53" s="96"/>
      <c r="AC53" s="96"/>
      <c r="AD53" s="101"/>
      <c r="AE53" s="96"/>
      <c r="AF53" s="96"/>
      <c r="AG53" s="101"/>
      <c r="AH53" s="96"/>
      <c r="AI53" s="96"/>
      <c r="AJ53" s="101"/>
      <c r="AK53" s="84">
        <f t="shared" si="0"/>
        <v>4</v>
      </c>
      <c r="AL53" s="24">
        <f>YEAR(Tableau3[[#This Row],[Date]])</f>
        <v>2020</v>
      </c>
      <c r="AM53" s="92">
        <f>IFERROR(((Tableau3[[#This Row],[QTY Produite]]/1000)*VLOOKUP(Tableau3[[#This Row],[Machine]],Liste!$A:$B,2))/Tableau3[[#This Row],[Heures Macines]],"0")</f>
        <v>1.08585</v>
      </c>
      <c r="AN53" s="24" t="str">
        <f>VLOOKUP(Tableau3[[#This Row],[Opérateur 1]],Liste!$K$2:$M$68,3,FALSE)</f>
        <v>Déco</v>
      </c>
    </row>
    <row r="54" spans="1:40" s="24" customFormat="1" x14ac:dyDescent="0.25">
      <c r="A54" s="93">
        <v>43945</v>
      </c>
      <c r="B54" s="94" t="s">
        <v>13</v>
      </c>
      <c r="C54" s="16" t="s">
        <v>102</v>
      </c>
      <c r="D54" s="95" t="s">
        <v>17</v>
      </c>
      <c r="E54" s="94" t="s">
        <v>126</v>
      </c>
      <c r="F54" s="96">
        <v>5.75</v>
      </c>
      <c r="G54" s="94"/>
      <c r="H54" s="96"/>
      <c r="I54" s="91">
        <v>23459</v>
      </c>
      <c r="J54" s="97">
        <v>220996</v>
      </c>
      <c r="K54" s="97">
        <v>13132</v>
      </c>
      <c r="L54" s="97">
        <v>221088</v>
      </c>
      <c r="M5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5.75</v>
      </c>
      <c r="N54" s="97">
        <v>160</v>
      </c>
      <c r="O54" s="20">
        <v>100</v>
      </c>
      <c r="P54" s="98">
        <v>53</v>
      </c>
      <c r="Q54" s="99">
        <f>IFERROR((Tableau3[[#This Row],[QTY Produite]]/1000)*((1000/Tableau3[[#This Row],[Cadence]])/60)/Tableau3[[#This Row],[Heures Macines]],"0")</f>
        <v>0.71818430407437794</v>
      </c>
      <c r="R54" s="100">
        <v>72</v>
      </c>
      <c r="S54" s="96"/>
      <c r="T54" s="18"/>
      <c r="U54" s="101"/>
      <c r="V54" s="96"/>
      <c r="W54" s="96"/>
      <c r="X54" s="101"/>
      <c r="Y54" s="96"/>
      <c r="Z54" s="96"/>
      <c r="AA54" s="101"/>
      <c r="AB54" s="96"/>
      <c r="AC54" s="96"/>
      <c r="AD54" s="101"/>
      <c r="AE54" s="96"/>
      <c r="AF54" s="96"/>
      <c r="AG54" s="101"/>
      <c r="AH54" s="96"/>
      <c r="AI54" s="96"/>
      <c r="AJ54" s="101"/>
      <c r="AK54" s="84">
        <f t="shared" si="0"/>
        <v>4</v>
      </c>
      <c r="AL54" s="24">
        <f>YEAR(Tableau3[[#This Row],[Date]])</f>
        <v>2020</v>
      </c>
      <c r="AM54" s="92">
        <f>IFERROR(((Tableau3[[#This Row],[QTY Produite]]/1000)*VLOOKUP(Tableau3[[#This Row],[Machine]],Liste!$A:$B,2))/Tableau3[[#This Row],[Heures Macines]],"0")</f>
        <v>1.0277217391304347</v>
      </c>
      <c r="AN54" s="24" t="str">
        <f>VLOOKUP(Tableau3[[#This Row],[Opérateur 1]],Liste!$K$2:$M$68,3,FALSE)</f>
        <v>Multi</v>
      </c>
    </row>
    <row r="55" spans="1:40" s="24" customFormat="1" x14ac:dyDescent="0.25">
      <c r="A55" s="93">
        <v>43945</v>
      </c>
      <c r="B55" s="94" t="s">
        <v>13</v>
      </c>
      <c r="C55" s="16" t="s">
        <v>102</v>
      </c>
      <c r="D55" s="95" t="s">
        <v>27</v>
      </c>
      <c r="E55" s="94" t="s">
        <v>113</v>
      </c>
      <c r="F55" s="96">
        <v>1.5</v>
      </c>
      <c r="G55" s="94"/>
      <c r="H55" s="96"/>
      <c r="I55" s="91">
        <v>60944</v>
      </c>
      <c r="J55" s="97">
        <v>10500</v>
      </c>
      <c r="K55" s="97">
        <v>0</v>
      </c>
      <c r="L55" s="97">
        <v>0</v>
      </c>
      <c r="M5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55" s="97">
        <v>0</v>
      </c>
      <c r="O55" s="20">
        <v>0</v>
      </c>
      <c r="P55" s="98">
        <v>0</v>
      </c>
      <c r="Q55" s="99" t="str">
        <f>IFERROR((Tableau3[[#This Row],[QTY Produite]]/1000)*((1000/Tableau3[[#This Row],[Cadence]])/60)/Tableau3[[#This Row],[Heures Macines]],"0")</f>
        <v>0</v>
      </c>
      <c r="R55" s="100">
        <v>0</v>
      </c>
      <c r="S55" s="96"/>
      <c r="T55" s="18"/>
      <c r="U55" s="101"/>
      <c r="V55" s="96"/>
      <c r="W55" s="96"/>
      <c r="X55" s="101"/>
      <c r="Y55" s="96"/>
      <c r="Z55" s="96"/>
      <c r="AA55" s="101"/>
      <c r="AB55" s="96"/>
      <c r="AC55" s="96"/>
      <c r="AD55" s="101"/>
      <c r="AE55" s="96"/>
      <c r="AF55" s="96"/>
      <c r="AG55" s="101"/>
      <c r="AH55" s="96"/>
      <c r="AI55" s="96"/>
      <c r="AJ55" s="101"/>
      <c r="AK55" s="84">
        <f t="shared" si="0"/>
        <v>4</v>
      </c>
      <c r="AL55" s="24">
        <f>YEAR(Tableau3[[#This Row],[Date]])</f>
        <v>2020</v>
      </c>
      <c r="AM55" s="92">
        <f>IFERROR(((Tableau3[[#This Row],[QTY Produite]]/1000)*VLOOKUP(Tableau3[[#This Row],[Machine]],Liste!$A:$B,2))/Tableau3[[#This Row],[Heures Macines]],"0")</f>
        <v>0</v>
      </c>
      <c r="AN55" s="24" t="str">
        <f>VLOOKUP(Tableau3[[#This Row],[Opérateur 1]],Liste!$K$2:$M$68,3,FALSE)</f>
        <v>Déco</v>
      </c>
    </row>
    <row r="56" spans="1:40" s="24" customFormat="1" x14ac:dyDescent="0.25">
      <c r="A56" s="93">
        <v>43945</v>
      </c>
      <c r="B56" s="94" t="s">
        <v>13</v>
      </c>
      <c r="C56" s="16" t="s">
        <v>102</v>
      </c>
      <c r="D56" s="95" t="s">
        <v>27</v>
      </c>
      <c r="E56" s="94" t="s">
        <v>113</v>
      </c>
      <c r="F56" s="96">
        <v>6.5</v>
      </c>
      <c r="G56" s="94"/>
      <c r="H56" s="96"/>
      <c r="I56" s="91" t="s">
        <v>218</v>
      </c>
      <c r="J56" s="97">
        <v>27300</v>
      </c>
      <c r="K56" s="97">
        <v>10033</v>
      </c>
      <c r="L56" s="97">
        <v>27305</v>
      </c>
      <c r="M5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56" s="97">
        <v>75</v>
      </c>
      <c r="O56" s="20">
        <v>459</v>
      </c>
      <c r="P56" s="98">
        <v>50</v>
      </c>
      <c r="Q56" s="99">
        <f>IFERROR((Tableau3[[#This Row],[QTY Produite]]/1000)*((1000/Tableau3[[#This Row],[Cadence]])/60)/Tableau3[[#This Row],[Heures Macines]],"0")</f>
        <v>0.51451282051282043</v>
      </c>
      <c r="R56" s="100">
        <v>51</v>
      </c>
      <c r="S56" s="96"/>
      <c r="T56" s="18"/>
      <c r="U56" s="101"/>
      <c r="V56" s="96"/>
      <c r="W56" s="96"/>
      <c r="X56" s="101"/>
      <c r="Y56" s="96"/>
      <c r="Z56" s="96"/>
      <c r="AA56" s="101"/>
      <c r="AB56" s="96"/>
      <c r="AC56" s="96"/>
      <c r="AD56" s="101"/>
      <c r="AE56" s="96"/>
      <c r="AF56" s="96"/>
      <c r="AG56" s="101"/>
      <c r="AH56" s="96"/>
      <c r="AI56" s="96"/>
      <c r="AJ56" s="101"/>
      <c r="AK56" s="84">
        <f t="shared" si="0"/>
        <v>4</v>
      </c>
      <c r="AL56" s="24">
        <f>YEAR(Tableau3[[#This Row],[Date]])</f>
        <v>2020</v>
      </c>
      <c r="AM56" s="92">
        <f>IFERROR(((Tableau3[[#This Row],[QTY Produite]]/1000)*VLOOKUP(Tableau3[[#This Row],[Machine]],Liste!$A:$B,2))/Tableau3[[#This Row],[Heures Macines]],"0")</f>
        <v>0.77176923076923076</v>
      </c>
      <c r="AN56" s="24" t="str">
        <f>VLOOKUP(Tableau3[[#This Row],[Opérateur 1]],Liste!$K$2:$M$68,3,FALSE)</f>
        <v>Déco</v>
      </c>
    </row>
    <row r="57" spans="1:40" s="24" customFormat="1" x14ac:dyDescent="0.25">
      <c r="A57" s="93">
        <v>43945</v>
      </c>
      <c r="B57" s="94" t="s">
        <v>13</v>
      </c>
      <c r="C57" s="16" t="s">
        <v>102</v>
      </c>
      <c r="D57" s="95" t="s">
        <v>30</v>
      </c>
      <c r="E57" s="94" t="s">
        <v>107</v>
      </c>
      <c r="F57" s="96">
        <v>8</v>
      </c>
      <c r="G57" s="94"/>
      <c r="H57" s="96"/>
      <c r="I57" s="91" t="s">
        <v>215</v>
      </c>
      <c r="J57" s="97">
        <v>131250</v>
      </c>
      <c r="K57" s="97">
        <v>24240</v>
      </c>
      <c r="L57" s="97">
        <v>110400</v>
      </c>
      <c r="M5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7" s="97">
        <v>50</v>
      </c>
      <c r="O57" s="20">
        <v>85</v>
      </c>
      <c r="P57" s="98">
        <v>67</v>
      </c>
      <c r="Q57" s="99">
        <f>IFERROR((Tableau3[[#This Row],[QTY Produite]]/1000)*((1000/Tableau3[[#This Row],[Cadence]])/60)/Tableau3[[#This Row],[Heures Macines]],"0")</f>
        <v>0.75373134328358204</v>
      </c>
      <c r="R57" s="100">
        <v>76</v>
      </c>
      <c r="S57" s="96"/>
      <c r="T57" s="18"/>
      <c r="U57" s="101"/>
      <c r="V57" s="96"/>
      <c r="W57" s="96"/>
      <c r="X57" s="101"/>
      <c r="Y57" s="96"/>
      <c r="Z57" s="96"/>
      <c r="AA57" s="101"/>
      <c r="AB57" s="96"/>
      <c r="AC57" s="96"/>
      <c r="AD57" s="101"/>
      <c r="AE57" s="96"/>
      <c r="AF57" s="96"/>
      <c r="AG57" s="101"/>
      <c r="AH57" s="96"/>
      <c r="AI57" s="96"/>
      <c r="AJ57" s="101"/>
      <c r="AK57" s="84">
        <f t="shared" si="0"/>
        <v>4</v>
      </c>
      <c r="AL57" s="24">
        <f>YEAR(Tableau3[[#This Row],[Date]])</f>
        <v>2020</v>
      </c>
      <c r="AM57" s="92">
        <f>IFERROR(((Tableau3[[#This Row],[QTY Produite]]/1000)*VLOOKUP(Tableau3[[#This Row],[Machine]],Liste!$A:$B,2))/Tableau3[[#This Row],[Heures Macines]],"0")</f>
        <v>1.8179999999999998</v>
      </c>
      <c r="AN57" s="24" t="str">
        <f>VLOOKUP(Tableau3[[#This Row],[Opérateur 1]],Liste!$K$2:$M$68,3,FALSE)</f>
        <v>Déco</v>
      </c>
    </row>
    <row r="58" spans="1:40" s="24" customFormat="1" x14ac:dyDescent="0.25">
      <c r="A58" s="93">
        <v>43945</v>
      </c>
      <c r="B58" s="94" t="s">
        <v>13</v>
      </c>
      <c r="C58" s="16" t="s">
        <v>102</v>
      </c>
      <c r="D58" s="95" t="s">
        <v>11</v>
      </c>
      <c r="E58" s="94" t="s">
        <v>115</v>
      </c>
      <c r="F58" s="96">
        <v>8</v>
      </c>
      <c r="G58" s="94"/>
      <c r="H58" s="96"/>
      <c r="I58" s="91" t="s">
        <v>210</v>
      </c>
      <c r="J58" s="97">
        <v>411840</v>
      </c>
      <c r="K58" s="97">
        <v>26640</v>
      </c>
      <c r="L58" s="97">
        <v>55440</v>
      </c>
      <c r="M5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8" s="97">
        <v>300</v>
      </c>
      <c r="O58" s="20">
        <v>-124</v>
      </c>
      <c r="P58" s="98">
        <v>90</v>
      </c>
      <c r="Q58" s="99">
        <f>IFERROR((Tableau3[[#This Row],[QTY Produite]]/1000)*((1000/Tableau3[[#This Row],[Cadence]])/60)/Tableau3[[#This Row],[Heures Macines]],"0")</f>
        <v>0.6166666666666667</v>
      </c>
      <c r="R58" s="100">
        <v>62</v>
      </c>
      <c r="S58" s="96"/>
      <c r="T58" s="18"/>
      <c r="U58" s="101"/>
      <c r="V58" s="96"/>
      <c r="W58" s="96"/>
      <c r="X58" s="101"/>
      <c r="Y58" s="96"/>
      <c r="Z58" s="96"/>
      <c r="AA58" s="101"/>
      <c r="AB58" s="96"/>
      <c r="AC58" s="96"/>
      <c r="AD58" s="101"/>
      <c r="AE58" s="96"/>
      <c r="AF58" s="96"/>
      <c r="AG58" s="101"/>
      <c r="AH58" s="96"/>
      <c r="AI58" s="96"/>
      <c r="AJ58" s="101"/>
      <c r="AK58" s="84">
        <f t="shared" si="0"/>
        <v>4</v>
      </c>
      <c r="AL58" s="24">
        <f>YEAR(Tableau3[[#This Row],[Date]])</f>
        <v>2020</v>
      </c>
      <c r="AM58" s="92">
        <f>IFERROR(((Tableau3[[#This Row],[QTY Produite]]/1000)*VLOOKUP(Tableau3[[#This Row],[Machine]],Liste!$A:$B,2))/Tableau3[[#This Row],[Heures Macines]],"0")</f>
        <v>1.3320000000000001</v>
      </c>
      <c r="AN58" s="24" t="str">
        <f>VLOOKUP(Tableau3[[#This Row],[Opérateur 1]],Liste!$K$2:$M$68,3,FALSE)</f>
        <v>Imp</v>
      </c>
    </row>
    <row r="59" spans="1:40" s="24" customFormat="1" x14ac:dyDescent="0.25">
      <c r="A59" s="93">
        <v>43945</v>
      </c>
      <c r="B59" s="94" t="s">
        <v>13</v>
      </c>
      <c r="C59" s="16" t="s">
        <v>102</v>
      </c>
      <c r="D59" s="95" t="s">
        <v>26</v>
      </c>
      <c r="E59" s="94" t="s">
        <v>134</v>
      </c>
      <c r="F59" s="96">
        <v>8</v>
      </c>
      <c r="G59" s="94"/>
      <c r="H59" s="96"/>
      <c r="I59" s="91">
        <v>25640</v>
      </c>
      <c r="J59" s="97">
        <v>28600</v>
      </c>
      <c r="K59" s="97">
        <v>16510</v>
      </c>
      <c r="L59" s="97">
        <v>22098</v>
      </c>
      <c r="M5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59" s="97">
        <v>2650</v>
      </c>
      <c r="O59" s="20">
        <v>70</v>
      </c>
      <c r="P59" s="98">
        <v>50</v>
      </c>
      <c r="Q59" s="99">
        <f>IFERROR((Tableau3[[#This Row],[QTY Produite]]/1000)*((1000/Tableau3[[#This Row],[Cadence]])/60)/Tableau3[[#This Row],[Heures Macines]],"0")</f>
        <v>0.68791666666666673</v>
      </c>
      <c r="R59" s="100">
        <v>69</v>
      </c>
      <c r="S59" s="96"/>
      <c r="T59" s="18"/>
      <c r="U59" s="101"/>
      <c r="V59" s="96"/>
      <c r="W59" s="96"/>
      <c r="X59" s="101"/>
      <c r="Y59" s="96"/>
      <c r="Z59" s="96"/>
      <c r="AA59" s="101"/>
      <c r="AB59" s="96"/>
      <c r="AC59" s="96"/>
      <c r="AD59" s="101"/>
      <c r="AE59" s="96"/>
      <c r="AF59" s="96"/>
      <c r="AG59" s="101"/>
      <c r="AH59" s="96"/>
      <c r="AI59" s="96"/>
      <c r="AJ59" s="101"/>
      <c r="AK59" s="84">
        <f t="shared" si="0"/>
        <v>4</v>
      </c>
      <c r="AL59" s="24">
        <f>YEAR(Tableau3[[#This Row],[Date]])</f>
        <v>2020</v>
      </c>
      <c r="AM59" s="92">
        <f>IFERROR(((Tableau3[[#This Row],[QTY Produite]]/1000)*VLOOKUP(Tableau3[[#This Row],[Machine]],Liste!$A:$B,2))/Tableau3[[#This Row],[Heures Macines]],"0")</f>
        <v>1.0318750000000001</v>
      </c>
      <c r="AN59" s="24" t="str">
        <f>VLOOKUP(Tableau3[[#This Row],[Opérateur 1]],Liste!$K$2:$M$68,3,FALSE)</f>
        <v>Multi</v>
      </c>
    </row>
    <row r="60" spans="1:40" s="24" customFormat="1" x14ac:dyDescent="0.25">
      <c r="A60" s="93">
        <v>43945</v>
      </c>
      <c r="B60" s="94" t="s">
        <v>13</v>
      </c>
      <c r="C60" s="16" t="s">
        <v>102</v>
      </c>
      <c r="D60" s="95" t="s">
        <v>22</v>
      </c>
      <c r="E60" s="94" t="s">
        <v>117</v>
      </c>
      <c r="F60" s="96">
        <v>8</v>
      </c>
      <c r="G60" s="94"/>
      <c r="H60" s="96"/>
      <c r="I60" s="91">
        <v>25903</v>
      </c>
      <c r="J60" s="97">
        <v>148866</v>
      </c>
      <c r="K60" s="97">
        <v>25200</v>
      </c>
      <c r="L60" s="97">
        <v>28080</v>
      </c>
      <c r="M6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0" s="97">
        <v>890</v>
      </c>
      <c r="O60" s="20">
        <v>380</v>
      </c>
      <c r="P60" s="98">
        <v>80</v>
      </c>
      <c r="Q60" s="99">
        <f>IFERROR((Tableau3[[#This Row],[QTY Produite]]/1000)*((1000/Tableau3[[#This Row],[Cadence]])/60)/Tableau3[[#This Row],[Heures Macines]],"0")</f>
        <v>0.65625</v>
      </c>
      <c r="R60" s="100">
        <v>70</v>
      </c>
      <c r="S60" s="96"/>
      <c r="T60" s="18"/>
      <c r="U60" s="101"/>
      <c r="V60" s="96"/>
      <c r="W60" s="96"/>
      <c r="X60" s="101"/>
      <c r="Y60" s="96"/>
      <c r="Z60" s="96"/>
      <c r="AA60" s="101"/>
      <c r="AB60" s="96"/>
      <c r="AC60" s="96"/>
      <c r="AD60" s="101"/>
      <c r="AE60" s="96"/>
      <c r="AF60" s="96"/>
      <c r="AG60" s="101"/>
      <c r="AH60" s="96"/>
      <c r="AI60" s="96"/>
      <c r="AJ60" s="101"/>
      <c r="AK60" s="84">
        <f t="shared" si="0"/>
        <v>4</v>
      </c>
      <c r="AL60" s="24">
        <f>YEAR(Tableau3[[#This Row],[Date]])</f>
        <v>2020</v>
      </c>
      <c r="AM60" s="92">
        <f>IFERROR(((Tableau3[[#This Row],[QTY Produite]]/1000)*VLOOKUP(Tableau3[[#This Row],[Machine]],Liste!$A:$B,2))/Tableau3[[#This Row],[Heures Macines]],"0")</f>
        <v>0.94499999999999995</v>
      </c>
      <c r="AN60" s="24" t="str">
        <f>VLOOKUP(Tableau3[[#This Row],[Opérateur 1]],Liste!$K$2:$M$68,3,FALSE)</f>
        <v>Multi</v>
      </c>
    </row>
    <row r="61" spans="1:40" s="24" customFormat="1" x14ac:dyDescent="0.25">
      <c r="A61" s="93">
        <v>43945</v>
      </c>
      <c r="B61" s="94" t="s">
        <v>13</v>
      </c>
      <c r="C61" s="16" t="s">
        <v>102</v>
      </c>
      <c r="D61" s="95" t="s">
        <v>20</v>
      </c>
      <c r="E61" s="94" t="s">
        <v>132</v>
      </c>
      <c r="F61" s="96">
        <v>4.25</v>
      </c>
      <c r="G61" s="94"/>
      <c r="H61" s="96"/>
      <c r="I61" s="91">
        <v>26156</v>
      </c>
      <c r="J61" s="97">
        <v>28404</v>
      </c>
      <c r="K61" s="97">
        <v>9800</v>
      </c>
      <c r="L61" s="97">
        <v>9800</v>
      </c>
      <c r="M6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61" s="97">
        <v>350</v>
      </c>
      <c r="O61" s="20">
        <v>164</v>
      </c>
      <c r="P61" s="98">
        <v>55</v>
      </c>
      <c r="Q61" s="99">
        <f>IFERROR((Tableau3[[#This Row],[QTY Produite]]/1000)*((1000/Tableau3[[#This Row],[Cadence]])/60)/Tableau3[[#This Row],[Heures Macines]],"0")</f>
        <v>0.69875222816399296</v>
      </c>
      <c r="R61" s="100">
        <v>99</v>
      </c>
      <c r="S61" s="96"/>
      <c r="T61" s="18"/>
      <c r="U61" s="101"/>
      <c r="V61" s="96"/>
      <c r="W61" s="96"/>
      <c r="X61" s="101"/>
      <c r="Y61" s="96"/>
      <c r="Z61" s="96"/>
      <c r="AA61" s="101"/>
      <c r="AB61" s="96"/>
      <c r="AC61" s="96"/>
      <c r="AD61" s="101"/>
      <c r="AE61" s="96"/>
      <c r="AF61" s="96"/>
      <c r="AG61" s="101"/>
      <c r="AH61" s="96"/>
      <c r="AI61" s="96"/>
      <c r="AJ61" s="101"/>
      <c r="AK61" s="84">
        <f t="shared" si="0"/>
        <v>4</v>
      </c>
      <c r="AL61" s="24">
        <f>YEAR(Tableau3[[#This Row],[Date]])</f>
        <v>2020</v>
      </c>
      <c r="AM61" s="92">
        <f>IFERROR(((Tableau3[[#This Row],[QTY Produite]]/1000)*VLOOKUP(Tableau3[[#This Row],[Machine]],Liste!$A:$B,2))/Tableau3[[#This Row],[Heures Macines]],"0")</f>
        <v>0.83011764705882352</v>
      </c>
      <c r="AN61" s="24" t="str">
        <f>VLOOKUP(Tableau3[[#This Row],[Opérateur 1]],Liste!$K$2:$M$68,3,FALSE)</f>
        <v>Multi</v>
      </c>
    </row>
    <row r="62" spans="1:40" s="24" customFormat="1" x14ac:dyDescent="0.25">
      <c r="A62" s="93">
        <v>43945</v>
      </c>
      <c r="B62" s="94" t="s">
        <v>13</v>
      </c>
      <c r="C62" s="16" t="s">
        <v>102</v>
      </c>
      <c r="D62" s="95" t="s">
        <v>17</v>
      </c>
      <c r="E62" s="94" t="s">
        <v>126</v>
      </c>
      <c r="F62" s="96">
        <v>2.25</v>
      </c>
      <c r="G62" s="94"/>
      <c r="H62" s="96"/>
      <c r="I62" s="91">
        <v>25649</v>
      </c>
      <c r="J62" s="97">
        <v>6286</v>
      </c>
      <c r="K62" s="97">
        <v>0</v>
      </c>
      <c r="L62" s="97">
        <v>0</v>
      </c>
      <c r="M6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2.25</v>
      </c>
      <c r="N62" s="97">
        <v>0</v>
      </c>
      <c r="O62" s="20">
        <v>0</v>
      </c>
      <c r="P62" s="98">
        <v>0</v>
      </c>
      <c r="Q62" s="99" t="str">
        <f>IFERROR((Tableau3[[#This Row],[QTY Produite]]/1000)*((1000/Tableau3[[#This Row],[Cadence]])/60)/Tableau3[[#This Row],[Heures Macines]],"0")</f>
        <v>0</v>
      </c>
      <c r="R62" s="100">
        <v>0</v>
      </c>
      <c r="S62" s="96"/>
      <c r="T62" s="18"/>
      <c r="U62" s="101"/>
      <c r="V62" s="96"/>
      <c r="W62" s="96"/>
      <c r="X62" s="101"/>
      <c r="Y62" s="96"/>
      <c r="Z62" s="96"/>
      <c r="AA62" s="101"/>
      <c r="AB62" s="96"/>
      <c r="AC62" s="96"/>
      <c r="AD62" s="101"/>
      <c r="AE62" s="96"/>
      <c r="AF62" s="96"/>
      <c r="AG62" s="101"/>
      <c r="AH62" s="96"/>
      <c r="AI62" s="96"/>
      <c r="AJ62" s="101"/>
      <c r="AK62" s="84">
        <f t="shared" si="0"/>
        <v>4</v>
      </c>
      <c r="AL62" s="24">
        <f>YEAR(Tableau3[[#This Row],[Date]])</f>
        <v>2020</v>
      </c>
      <c r="AM62" s="92">
        <f>IFERROR(((Tableau3[[#This Row],[QTY Produite]]/1000)*VLOOKUP(Tableau3[[#This Row],[Machine]],Liste!$A:$B,2))/Tableau3[[#This Row],[Heures Macines]],"0")</f>
        <v>0</v>
      </c>
      <c r="AN62" s="24" t="str">
        <f>VLOOKUP(Tableau3[[#This Row],[Opérateur 1]],Liste!$K$2:$M$68,3,FALSE)</f>
        <v>Multi</v>
      </c>
    </row>
    <row r="63" spans="1:40" s="24" customFormat="1" x14ac:dyDescent="0.25">
      <c r="A63" s="93">
        <v>43945</v>
      </c>
      <c r="B63" s="94" t="s">
        <v>13</v>
      </c>
      <c r="C63" s="16" t="s">
        <v>102</v>
      </c>
      <c r="D63" s="95" t="s">
        <v>20</v>
      </c>
      <c r="E63" s="94" t="s">
        <v>132</v>
      </c>
      <c r="F63" s="96">
        <v>3.75</v>
      </c>
      <c r="G63" s="94"/>
      <c r="H63" s="96"/>
      <c r="I63" s="91">
        <v>27122</v>
      </c>
      <c r="J63" s="97">
        <v>26256</v>
      </c>
      <c r="K63" s="97">
        <v>5599</v>
      </c>
      <c r="L63" s="97">
        <v>26179</v>
      </c>
      <c r="M6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3.75</v>
      </c>
      <c r="N63" s="97">
        <v>302</v>
      </c>
      <c r="O63" s="20">
        <v>-85</v>
      </c>
      <c r="P63" s="98">
        <v>54</v>
      </c>
      <c r="Q63" s="99">
        <f>IFERROR((Tableau3[[#This Row],[QTY Produite]]/1000)*((1000/Tableau3[[#This Row],[Cadence]])/60)/Tableau3[[#This Row],[Heures Macines]],"0")</f>
        <v>0.46082304526748968</v>
      </c>
      <c r="R63" s="100">
        <v>69</v>
      </c>
      <c r="S63" s="96"/>
      <c r="T63" s="18"/>
      <c r="U63" s="101"/>
      <c r="V63" s="96"/>
      <c r="W63" s="96"/>
      <c r="X63" s="101"/>
      <c r="Y63" s="96"/>
      <c r="Z63" s="96"/>
      <c r="AA63" s="101"/>
      <c r="AB63" s="96"/>
      <c r="AC63" s="96"/>
      <c r="AD63" s="101"/>
      <c r="AE63" s="96"/>
      <c r="AF63" s="96"/>
      <c r="AG63" s="101"/>
      <c r="AH63" s="96"/>
      <c r="AI63" s="96"/>
      <c r="AJ63" s="101"/>
      <c r="AK63" s="84">
        <f t="shared" si="0"/>
        <v>4</v>
      </c>
      <c r="AL63" s="24">
        <f>YEAR(Tableau3[[#This Row],[Date]])</f>
        <v>2020</v>
      </c>
      <c r="AM63" s="92">
        <f>IFERROR(((Tableau3[[#This Row],[QTY Produite]]/1000)*VLOOKUP(Tableau3[[#This Row],[Machine]],Liste!$A:$B,2))/Tableau3[[#This Row],[Heures Macines]],"0")</f>
        <v>0.53750399999999998</v>
      </c>
      <c r="AN63" s="24" t="str">
        <f>VLOOKUP(Tableau3[[#This Row],[Opérateur 1]],Liste!$K$2:$M$68,3,FALSE)</f>
        <v>Multi</v>
      </c>
    </row>
    <row r="64" spans="1:40" s="24" customFormat="1" x14ac:dyDescent="0.25">
      <c r="A64" s="93">
        <v>43945</v>
      </c>
      <c r="B64" s="94" t="s">
        <v>13</v>
      </c>
      <c r="C64" s="16" t="s">
        <v>102</v>
      </c>
      <c r="D64" s="95" t="s">
        <v>18</v>
      </c>
      <c r="E64" s="94" t="s">
        <v>108</v>
      </c>
      <c r="F64" s="96">
        <v>8</v>
      </c>
      <c r="G64" s="94"/>
      <c r="H64" s="96"/>
      <c r="I64" s="91">
        <v>25853</v>
      </c>
      <c r="J64" s="97">
        <v>139781</v>
      </c>
      <c r="K64" s="97">
        <v>24240</v>
      </c>
      <c r="L64" s="97">
        <v>51840</v>
      </c>
      <c r="M6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4" s="97">
        <v>80</v>
      </c>
      <c r="O64" s="20">
        <v>992</v>
      </c>
      <c r="P64" s="98">
        <v>90</v>
      </c>
      <c r="Q64" s="99">
        <f>IFERROR((Tableau3[[#This Row],[QTY Produite]]/1000)*((1000/Tableau3[[#This Row],[Cadence]])/60)/Tableau3[[#This Row],[Heures Macines]],"0")</f>
        <v>0.56111111111111101</v>
      </c>
      <c r="R64" s="100">
        <v>56</v>
      </c>
      <c r="S64" s="96"/>
      <c r="T64" s="18"/>
      <c r="U64" s="101"/>
      <c r="V64" s="96"/>
      <c r="W64" s="96"/>
      <c r="X64" s="101"/>
      <c r="Y64" s="96"/>
      <c r="Z64" s="96"/>
      <c r="AA64" s="101"/>
      <c r="AB64" s="96"/>
      <c r="AC64" s="96"/>
      <c r="AD64" s="101"/>
      <c r="AE64" s="96"/>
      <c r="AF64" s="96"/>
      <c r="AG64" s="101"/>
      <c r="AH64" s="96"/>
      <c r="AI64" s="96"/>
      <c r="AJ64" s="101"/>
      <c r="AK64" s="84">
        <f t="shared" si="0"/>
        <v>4</v>
      </c>
      <c r="AL64" s="24">
        <f>YEAR(Tableau3[[#This Row],[Date]])</f>
        <v>2020</v>
      </c>
      <c r="AM64" s="92">
        <f>IFERROR(((Tableau3[[#This Row],[QTY Produite]]/1000)*VLOOKUP(Tableau3[[#This Row],[Machine]],Liste!$A:$B,2))/Tableau3[[#This Row],[Heures Macines]],"0")</f>
        <v>1.212</v>
      </c>
      <c r="AN64" s="24" t="str">
        <f>VLOOKUP(Tableau3[[#This Row],[Opérateur 1]],Liste!$K$2:$M$68,3,FALSE)</f>
        <v>Imp</v>
      </c>
    </row>
    <row r="65" spans="1:40" s="24" customFormat="1" x14ac:dyDescent="0.25">
      <c r="A65" s="93">
        <v>43945</v>
      </c>
      <c r="B65" s="94" t="s">
        <v>19</v>
      </c>
      <c r="C65" s="16" t="s">
        <v>63</v>
      </c>
      <c r="D65" s="95" t="s">
        <v>30</v>
      </c>
      <c r="E65" s="94" t="s">
        <v>130</v>
      </c>
      <c r="F65" s="96">
        <v>8</v>
      </c>
      <c r="G65" s="94"/>
      <c r="H65" s="96"/>
      <c r="I65" s="91" t="s">
        <v>215</v>
      </c>
      <c r="J65" s="97">
        <v>131250</v>
      </c>
      <c r="K65" s="97">
        <v>25440</v>
      </c>
      <c r="L65" s="97">
        <v>86160</v>
      </c>
      <c r="M6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5" s="97">
        <v>10</v>
      </c>
      <c r="O65" s="20">
        <v>92</v>
      </c>
      <c r="P65" s="98">
        <v>66</v>
      </c>
      <c r="Q65" s="99">
        <f>IFERROR((Tableau3[[#This Row],[QTY Produite]]/1000)*((1000/Tableau3[[#This Row],[Cadence]])/60)/Tableau3[[#This Row],[Heures Macines]],"0")</f>
        <v>0.80303030303030309</v>
      </c>
      <c r="R65" s="100">
        <v>80</v>
      </c>
      <c r="S65" s="96"/>
      <c r="T65" s="18"/>
      <c r="U65" s="101"/>
      <c r="V65" s="96"/>
      <c r="W65" s="96"/>
      <c r="X65" s="101"/>
      <c r="Y65" s="96"/>
      <c r="Z65" s="96"/>
      <c r="AA65" s="101"/>
      <c r="AB65" s="96"/>
      <c r="AC65" s="96"/>
      <c r="AD65" s="101"/>
      <c r="AE65" s="96"/>
      <c r="AF65" s="96"/>
      <c r="AG65" s="101"/>
      <c r="AH65" s="96"/>
      <c r="AI65" s="96"/>
      <c r="AJ65" s="101"/>
      <c r="AK65" s="84">
        <f t="shared" ref="AK65:AK72" si="1">MONTH(A65)</f>
        <v>4</v>
      </c>
      <c r="AL65" s="24">
        <f>YEAR(Tableau3[[#This Row],[Date]])</f>
        <v>2020</v>
      </c>
      <c r="AM65" s="92">
        <f>IFERROR(((Tableau3[[#This Row],[QTY Produite]]/1000)*VLOOKUP(Tableau3[[#This Row],[Machine]],Liste!$A:$B,2))/Tableau3[[#This Row],[Heures Macines]],"0")</f>
        <v>1.9079999999999999</v>
      </c>
      <c r="AN65" s="24" t="str">
        <f>VLOOKUP(Tableau3[[#This Row],[Opérateur 1]],Liste!$K$2:$M$68,3,FALSE)</f>
        <v>Déco</v>
      </c>
    </row>
    <row r="66" spans="1:40" s="24" customFormat="1" x14ac:dyDescent="0.25">
      <c r="A66" s="93">
        <v>43945</v>
      </c>
      <c r="B66" s="94" t="s">
        <v>19</v>
      </c>
      <c r="C66" s="16" t="s">
        <v>63</v>
      </c>
      <c r="D66" s="95" t="s">
        <v>27</v>
      </c>
      <c r="E66" s="94" t="s">
        <v>142</v>
      </c>
      <c r="F66" s="96">
        <v>8</v>
      </c>
      <c r="G66" s="94"/>
      <c r="H66" s="96"/>
      <c r="I66" s="91" t="s">
        <v>218</v>
      </c>
      <c r="J66" s="97">
        <v>27300</v>
      </c>
      <c r="K66" s="97">
        <v>17272</v>
      </c>
      <c r="L66" s="97">
        <v>17272</v>
      </c>
      <c r="M6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6" s="97">
        <v>220</v>
      </c>
      <c r="O66" s="20">
        <v>200</v>
      </c>
      <c r="P66" s="98">
        <v>50</v>
      </c>
      <c r="Q66" s="99">
        <f>IFERROR((Tableau3[[#This Row],[QTY Produite]]/1000)*((1000/Tableau3[[#This Row],[Cadence]])/60)/Tableau3[[#This Row],[Heures Macines]],"0")</f>
        <v>0.71966666666666657</v>
      </c>
      <c r="R66" s="100">
        <v>72</v>
      </c>
      <c r="S66" s="96"/>
      <c r="T66" s="18"/>
      <c r="U66" s="101"/>
      <c r="V66" s="96"/>
      <c r="W66" s="96"/>
      <c r="X66" s="101"/>
      <c r="Y66" s="96"/>
      <c r="Z66" s="96"/>
      <c r="AA66" s="101"/>
      <c r="AB66" s="96"/>
      <c r="AC66" s="96"/>
      <c r="AD66" s="101"/>
      <c r="AE66" s="96"/>
      <c r="AF66" s="96"/>
      <c r="AG66" s="101"/>
      <c r="AH66" s="96"/>
      <c r="AI66" s="96"/>
      <c r="AJ66" s="101"/>
      <c r="AK66" s="84">
        <f t="shared" si="1"/>
        <v>4</v>
      </c>
      <c r="AL66" s="24">
        <f>YEAR(Tableau3[[#This Row],[Date]])</f>
        <v>2020</v>
      </c>
      <c r="AM66" s="92">
        <f>IFERROR(((Tableau3[[#This Row],[QTY Produite]]/1000)*VLOOKUP(Tableau3[[#This Row],[Machine]],Liste!$A:$B,2))/Tableau3[[#This Row],[Heures Macines]],"0")</f>
        <v>1.0794999999999999</v>
      </c>
      <c r="AN66" s="24" t="str">
        <f>VLOOKUP(Tableau3[[#This Row],[Opérateur 1]],Liste!$K$2:$M$68,3,FALSE)</f>
        <v>Déco</v>
      </c>
    </row>
    <row r="67" spans="1:40" s="24" customFormat="1" x14ac:dyDescent="0.25">
      <c r="A67" s="93">
        <v>43945</v>
      </c>
      <c r="B67" s="94" t="s">
        <v>19</v>
      </c>
      <c r="C67" s="16" t="s">
        <v>63</v>
      </c>
      <c r="D67" s="95" t="s">
        <v>18</v>
      </c>
      <c r="E67" s="94" t="s">
        <v>121</v>
      </c>
      <c r="F67" s="96">
        <v>8</v>
      </c>
      <c r="G67" s="94"/>
      <c r="H67" s="96"/>
      <c r="I67" s="91">
        <v>25853</v>
      </c>
      <c r="J67" s="97">
        <v>139781</v>
      </c>
      <c r="K67" s="97">
        <v>22560</v>
      </c>
      <c r="L67" s="97">
        <v>27600</v>
      </c>
      <c r="M6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7" s="97">
        <v>60</v>
      </c>
      <c r="O67" s="20">
        <v>1248</v>
      </c>
      <c r="P67" s="98">
        <v>90</v>
      </c>
      <c r="Q67" s="99">
        <f>IFERROR((Tableau3[[#This Row],[QTY Produite]]/1000)*((1000/Tableau3[[#This Row],[Cadence]])/60)/Tableau3[[#This Row],[Heures Macines]],"0")</f>
        <v>0.52222222222222214</v>
      </c>
      <c r="R67" s="100">
        <v>53</v>
      </c>
      <c r="S67" s="96"/>
      <c r="T67" s="18"/>
      <c r="U67" s="101"/>
      <c r="V67" s="96"/>
      <c r="W67" s="96"/>
      <c r="X67" s="101"/>
      <c r="Y67" s="96"/>
      <c r="Z67" s="96"/>
      <c r="AA67" s="101"/>
      <c r="AB67" s="96"/>
      <c r="AC67" s="96"/>
      <c r="AD67" s="101"/>
      <c r="AE67" s="96"/>
      <c r="AF67" s="96"/>
      <c r="AG67" s="101"/>
      <c r="AH67" s="96"/>
      <c r="AI67" s="96"/>
      <c r="AJ67" s="101"/>
      <c r="AK67" s="84">
        <f t="shared" si="1"/>
        <v>4</v>
      </c>
      <c r="AL67" s="24">
        <f>YEAR(Tableau3[[#This Row],[Date]])</f>
        <v>2020</v>
      </c>
      <c r="AM67" s="92">
        <f>IFERROR(((Tableau3[[#This Row],[QTY Produite]]/1000)*VLOOKUP(Tableau3[[#This Row],[Machine]],Liste!$A:$B,2))/Tableau3[[#This Row],[Heures Macines]],"0")</f>
        <v>1.1279999999999999</v>
      </c>
      <c r="AN67" s="24" t="str">
        <f>VLOOKUP(Tableau3[[#This Row],[Opérateur 1]],Liste!$K$2:$M$68,3,FALSE)</f>
        <v>Imp</v>
      </c>
    </row>
    <row r="68" spans="1:40" s="24" customFormat="1" x14ac:dyDescent="0.25">
      <c r="A68" s="93">
        <v>43945</v>
      </c>
      <c r="B68" s="94" t="s">
        <v>19</v>
      </c>
      <c r="C68" s="16" t="s">
        <v>63</v>
      </c>
      <c r="D68" s="95" t="s">
        <v>11</v>
      </c>
      <c r="E68" s="94" t="s">
        <v>131</v>
      </c>
      <c r="F68" s="96">
        <v>8</v>
      </c>
      <c r="G68" s="94"/>
      <c r="H68" s="96"/>
      <c r="I68" s="91" t="s">
        <v>210</v>
      </c>
      <c r="J68" s="97">
        <v>411840</v>
      </c>
      <c r="K68" s="97">
        <v>21120</v>
      </c>
      <c r="L68" s="97">
        <v>28800</v>
      </c>
      <c r="M6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8" s="97">
        <v>135</v>
      </c>
      <c r="O68" s="20">
        <v>910</v>
      </c>
      <c r="P68" s="98">
        <v>90</v>
      </c>
      <c r="Q68" s="99">
        <f>IFERROR((Tableau3[[#This Row],[QTY Produite]]/1000)*((1000/Tableau3[[#This Row],[Cadence]])/60)/Tableau3[[#This Row],[Heures Macines]],"0")</f>
        <v>0.48888888888888887</v>
      </c>
      <c r="R68" s="100">
        <v>49</v>
      </c>
      <c r="S68" s="96"/>
      <c r="T68" s="18"/>
      <c r="U68" s="101"/>
      <c r="V68" s="96"/>
      <c r="W68" s="96"/>
      <c r="X68" s="101"/>
      <c r="Y68" s="96"/>
      <c r="Z68" s="96"/>
      <c r="AA68" s="101"/>
      <c r="AB68" s="96"/>
      <c r="AC68" s="96"/>
      <c r="AD68" s="101"/>
      <c r="AE68" s="96"/>
      <c r="AF68" s="96"/>
      <c r="AG68" s="101"/>
      <c r="AH68" s="96"/>
      <c r="AI68" s="96"/>
      <c r="AJ68" s="101"/>
      <c r="AK68" s="84">
        <f t="shared" si="1"/>
        <v>4</v>
      </c>
      <c r="AL68" s="24">
        <f>YEAR(Tableau3[[#This Row],[Date]])</f>
        <v>2020</v>
      </c>
      <c r="AM68" s="92">
        <f>IFERROR(((Tableau3[[#This Row],[QTY Produite]]/1000)*VLOOKUP(Tableau3[[#This Row],[Machine]],Liste!$A:$B,2))/Tableau3[[#This Row],[Heures Macines]],"0")</f>
        <v>1.056</v>
      </c>
      <c r="AN68" s="24" t="str">
        <f>VLOOKUP(Tableau3[[#This Row],[Opérateur 1]],Liste!$K$2:$M$68,3,FALSE)</f>
        <v>Déco</v>
      </c>
    </row>
    <row r="69" spans="1:40" s="24" customFormat="1" x14ac:dyDescent="0.25">
      <c r="A69" s="93">
        <v>43945</v>
      </c>
      <c r="B69" s="94" t="s">
        <v>19</v>
      </c>
      <c r="C69" s="16" t="s">
        <v>63</v>
      </c>
      <c r="D69" s="95" t="s">
        <v>26</v>
      </c>
      <c r="E69" s="94" t="s">
        <v>114</v>
      </c>
      <c r="F69" s="96">
        <v>8</v>
      </c>
      <c r="G69" s="94"/>
      <c r="H69" s="96"/>
      <c r="I69" s="91">
        <v>25640</v>
      </c>
      <c r="J69" s="97">
        <v>28600</v>
      </c>
      <c r="K69" s="97">
        <v>5588</v>
      </c>
      <c r="L69" s="97">
        <v>5588</v>
      </c>
      <c r="M6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69" s="97">
        <v>162</v>
      </c>
      <c r="O69" s="20">
        <v>-100</v>
      </c>
      <c r="P69" s="98">
        <v>50</v>
      </c>
      <c r="Q69" s="99">
        <f>IFERROR((Tableau3[[#This Row],[QTY Produite]]/1000)*((1000/Tableau3[[#This Row],[Cadence]])/60)/Tableau3[[#This Row],[Heures Macines]],"0")</f>
        <v>0.23283333333333334</v>
      </c>
      <c r="R69" s="100">
        <v>23</v>
      </c>
      <c r="S69" s="96"/>
      <c r="T69" s="18"/>
      <c r="U69" s="101"/>
      <c r="V69" s="96"/>
      <c r="W69" s="96"/>
      <c r="X69" s="101"/>
      <c r="Y69" s="96"/>
      <c r="Z69" s="96"/>
      <c r="AA69" s="101"/>
      <c r="AB69" s="96"/>
      <c r="AC69" s="96"/>
      <c r="AD69" s="101"/>
      <c r="AE69" s="96"/>
      <c r="AF69" s="96"/>
      <c r="AG69" s="101"/>
      <c r="AH69" s="96"/>
      <c r="AI69" s="96"/>
      <c r="AJ69" s="101"/>
      <c r="AK69" s="84">
        <f t="shared" si="1"/>
        <v>4</v>
      </c>
      <c r="AL69" s="24">
        <f>YEAR(Tableau3[[#This Row],[Date]])</f>
        <v>2020</v>
      </c>
      <c r="AM69" s="92">
        <f>IFERROR(((Tableau3[[#This Row],[QTY Produite]]/1000)*VLOOKUP(Tableau3[[#This Row],[Machine]],Liste!$A:$B,2))/Tableau3[[#This Row],[Heures Macines]],"0")</f>
        <v>0.34925</v>
      </c>
      <c r="AN69" s="24" t="str">
        <f>VLOOKUP(Tableau3[[#This Row],[Opérateur 1]],Liste!$K$2:$M$68,3,FALSE)</f>
        <v>Multi</v>
      </c>
    </row>
    <row r="70" spans="1:40" s="24" customFormat="1" x14ac:dyDescent="0.25">
      <c r="A70" s="93">
        <v>43945</v>
      </c>
      <c r="B70" s="94" t="s">
        <v>19</v>
      </c>
      <c r="C70" s="16" t="s">
        <v>63</v>
      </c>
      <c r="D70" s="95" t="s">
        <v>22</v>
      </c>
      <c r="E70" s="94" t="s">
        <v>129</v>
      </c>
      <c r="F70" s="96">
        <v>0.75</v>
      </c>
      <c r="G70" s="94"/>
      <c r="H70" s="96"/>
      <c r="I70" s="91">
        <v>25903</v>
      </c>
      <c r="J70" s="97">
        <v>148866</v>
      </c>
      <c r="K70" s="97">
        <v>2880</v>
      </c>
      <c r="L70" s="97">
        <v>2880</v>
      </c>
      <c r="M7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0.75</v>
      </c>
      <c r="N70" s="97">
        <v>345</v>
      </c>
      <c r="O70" s="20">
        <v>333</v>
      </c>
      <c r="P70" s="98">
        <v>80</v>
      </c>
      <c r="Q70" s="99">
        <f>IFERROR((Tableau3[[#This Row],[QTY Produite]]/1000)*((1000/Tableau3[[#This Row],[Cadence]])/60)/Tableau3[[#This Row],[Heures Macines]],"0")</f>
        <v>0.79999999999999993</v>
      </c>
      <c r="R70" s="100">
        <v>80</v>
      </c>
      <c r="S70" s="96"/>
      <c r="T70" s="18"/>
      <c r="U70" s="101"/>
      <c r="V70" s="96"/>
      <c r="W70" s="96"/>
      <c r="X70" s="101"/>
      <c r="Y70" s="96"/>
      <c r="Z70" s="96"/>
      <c r="AA70" s="101"/>
      <c r="AB70" s="96"/>
      <c r="AC70" s="96"/>
      <c r="AD70" s="101"/>
      <c r="AE70" s="96"/>
      <c r="AF70" s="96"/>
      <c r="AG70" s="101"/>
      <c r="AH70" s="96"/>
      <c r="AI70" s="96"/>
      <c r="AJ70" s="101"/>
      <c r="AK70" s="84">
        <f t="shared" si="1"/>
        <v>4</v>
      </c>
      <c r="AL70" s="24">
        <f>YEAR(Tableau3[[#This Row],[Date]])</f>
        <v>2020</v>
      </c>
      <c r="AM70" s="92">
        <f>IFERROR(((Tableau3[[#This Row],[QTY Produite]]/1000)*VLOOKUP(Tableau3[[#This Row],[Machine]],Liste!$A:$B,2))/Tableau3[[#This Row],[Heures Macines]],"0")</f>
        <v>1.1519999999999999</v>
      </c>
      <c r="AN70" s="24" t="str">
        <f>VLOOKUP(Tableau3[[#This Row],[Opérateur 1]],Liste!$K$2:$M$68,3,FALSE)</f>
        <v>Mono</v>
      </c>
    </row>
    <row r="71" spans="1:40" s="24" customFormat="1" x14ac:dyDescent="0.25">
      <c r="A71" s="93">
        <v>43945</v>
      </c>
      <c r="B71" s="94" t="s">
        <v>19</v>
      </c>
      <c r="C71" s="16" t="s">
        <v>63</v>
      </c>
      <c r="D71" s="95" t="s">
        <v>20</v>
      </c>
      <c r="E71" s="94" t="s">
        <v>125</v>
      </c>
      <c r="F71" s="96">
        <v>8</v>
      </c>
      <c r="G71" s="94"/>
      <c r="H71" s="96"/>
      <c r="I71" s="91">
        <v>27122</v>
      </c>
      <c r="J71" s="97">
        <v>26256</v>
      </c>
      <c r="K71" s="97">
        <v>20580</v>
      </c>
      <c r="L71" s="97">
        <v>20580</v>
      </c>
      <c r="M7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71" s="97">
        <v>959</v>
      </c>
      <c r="O71" s="20">
        <v>416</v>
      </c>
      <c r="P71" s="98">
        <v>55</v>
      </c>
      <c r="Q71" s="99">
        <f>IFERROR((Tableau3[[#This Row],[QTY Produite]]/1000)*((1000/Tableau3[[#This Row],[Cadence]])/60)/Tableau3[[#This Row],[Heures Macines]],"0")</f>
        <v>0.77954545454545454</v>
      </c>
      <c r="R71" s="100">
        <v>79</v>
      </c>
      <c r="S71" s="96"/>
      <c r="T71" s="18"/>
      <c r="U71" s="101"/>
      <c r="V71" s="96"/>
      <c r="W71" s="96"/>
      <c r="X71" s="101"/>
      <c r="Y71" s="96"/>
      <c r="Z71" s="96"/>
      <c r="AA71" s="101"/>
      <c r="AB71" s="96"/>
      <c r="AC71" s="96"/>
      <c r="AD71" s="101"/>
      <c r="AE71" s="96"/>
      <c r="AF71" s="96"/>
      <c r="AG71" s="101"/>
      <c r="AH71" s="96"/>
      <c r="AI71" s="96"/>
      <c r="AJ71" s="101"/>
      <c r="AK71" s="84">
        <f t="shared" si="1"/>
        <v>4</v>
      </c>
      <c r="AL71" s="24">
        <f>YEAR(Tableau3[[#This Row],[Date]])</f>
        <v>2020</v>
      </c>
      <c r="AM71" s="92">
        <f>IFERROR(((Tableau3[[#This Row],[QTY Produite]]/1000)*VLOOKUP(Tableau3[[#This Row],[Machine]],Liste!$A:$B,2))/Tableau3[[#This Row],[Heures Macines]],"0")</f>
        <v>0.92609999999999992</v>
      </c>
      <c r="AN71" s="24" t="str">
        <f>VLOOKUP(Tableau3[[#This Row],[Opérateur 1]],Liste!$K$2:$M$68,3,FALSE)</f>
        <v>Multi</v>
      </c>
    </row>
    <row r="72" spans="1:40" s="24" customFormat="1" x14ac:dyDescent="0.25">
      <c r="A72" s="93">
        <v>43945</v>
      </c>
      <c r="B72" s="94" t="s">
        <v>19</v>
      </c>
      <c r="C72" s="16" t="s">
        <v>63</v>
      </c>
      <c r="D72" s="95" t="s">
        <v>17</v>
      </c>
      <c r="E72" s="94" t="s">
        <v>139</v>
      </c>
      <c r="F72" s="96">
        <v>8</v>
      </c>
      <c r="G72" s="94"/>
      <c r="H72" s="96"/>
      <c r="I72" s="91">
        <v>23459</v>
      </c>
      <c r="J72" s="97">
        <v>220996</v>
      </c>
      <c r="K72" s="97">
        <v>13524</v>
      </c>
      <c r="L72" s="97">
        <v>207956</v>
      </c>
      <c r="M7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72" s="97">
        <v>625</v>
      </c>
      <c r="O72" s="20">
        <v>232</v>
      </c>
      <c r="P72" s="98">
        <v>52</v>
      </c>
      <c r="Q72" s="99">
        <f>IFERROR((Tableau3[[#This Row],[QTY Produite]]/1000)*((1000/Tableau3[[#This Row],[Cadence]])/60)/Tableau3[[#This Row],[Heures Macines]],"0")</f>
        <v>0.54182692307692304</v>
      </c>
      <c r="R72" s="100">
        <v>8</v>
      </c>
      <c r="S72" s="96"/>
      <c r="T72" s="18"/>
      <c r="U72" s="101"/>
      <c r="V72" s="96"/>
      <c r="W72" s="96"/>
      <c r="X72" s="101"/>
      <c r="Y72" s="96"/>
      <c r="Z72" s="96"/>
      <c r="AA72" s="101"/>
      <c r="AB72" s="96"/>
      <c r="AC72" s="96"/>
      <c r="AD72" s="101"/>
      <c r="AE72" s="96"/>
      <c r="AF72" s="96"/>
      <c r="AG72" s="101"/>
      <c r="AH72" s="96"/>
      <c r="AI72" s="96"/>
      <c r="AJ72" s="101"/>
      <c r="AK72" s="84">
        <f t="shared" si="1"/>
        <v>4</v>
      </c>
      <c r="AL72" s="24">
        <f>YEAR(Tableau3[[#This Row],[Date]])</f>
        <v>2020</v>
      </c>
      <c r="AM72" s="92">
        <f>IFERROR(((Tableau3[[#This Row],[QTY Produite]]/1000)*VLOOKUP(Tableau3[[#This Row],[Machine]],Liste!$A:$B,2))/Tableau3[[#This Row],[Heures Macines]],"0")</f>
        <v>0.76072499999999998</v>
      </c>
      <c r="AN72" s="24" t="str">
        <f>VLOOKUP(Tableau3[[#This Row],[Opérateur 1]],Liste!$K$2:$M$68,3,FALSE)</f>
        <v>Mono</v>
      </c>
    </row>
    <row r="73" spans="1:40" s="24" customFormat="1" x14ac:dyDescent="0.25">
      <c r="A73" s="93">
        <v>43944</v>
      </c>
      <c r="B73" s="94" t="s">
        <v>13</v>
      </c>
      <c r="C73" s="16" t="s">
        <v>102</v>
      </c>
      <c r="D73" s="95" t="s">
        <v>32</v>
      </c>
      <c r="E73" s="94"/>
      <c r="F73" s="96"/>
      <c r="G73" s="94"/>
      <c r="H73" s="96"/>
      <c r="I73" s="91" t="s">
        <v>216</v>
      </c>
      <c r="J73" s="97">
        <v>26548</v>
      </c>
      <c r="K73" s="97">
        <v>6468</v>
      </c>
      <c r="L73" s="97">
        <v>15876</v>
      </c>
      <c r="M7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73" s="97">
        <v>0</v>
      </c>
      <c r="O73" s="20">
        <v>0</v>
      </c>
      <c r="P73" s="98"/>
      <c r="Q73" s="99" t="str">
        <f>IFERROR((Tableau3[[#This Row],[QTY Produite]]/1000)*((1000/Tableau3[[#This Row],[Cadence]])/60)/Tableau3[[#This Row],[Heures Macines]],"0")</f>
        <v>0</v>
      </c>
      <c r="R73" s="100"/>
      <c r="S73" s="96"/>
      <c r="T73" s="18"/>
      <c r="U73" s="101"/>
      <c r="V73" s="96"/>
      <c r="W73" s="96"/>
      <c r="X73" s="101"/>
      <c r="Y73" s="96"/>
      <c r="Z73" s="96"/>
      <c r="AA73" s="101"/>
      <c r="AB73" s="96"/>
      <c r="AC73" s="96"/>
      <c r="AD73" s="101"/>
      <c r="AE73" s="96"/>
      <c r="AF73" s="96"/>
      <c r="AG73" s="101"/>
      <c r="AH73" s="96"/>
      <c r="AI73" s="96"/>
      <c r="AJ73" s="101"/>
      <c r="AK73" s="84">
        <f t="shared" ref="AK73:AK88" si="2">MONTH(A73)</f>
        <v>4</v>
      </c>
      <c r="AL73" s="24">
        <f>YEAR(Tableau3[[#This Row],[Date]])</f>
        <v>2020</v>
      </c>
      <c r="AM73" s="92" t="str">
        <f>IFERROR(((Tableau3[[#This Row],[QTY Produite]]/1000)*VLOOKUP(Tableau3[[#This Row],[Machine]],Liste!$A:$B,2))/Tableau3[[#This Row],[Heures Macines]],"0")</f>
        <v>0</v>
      </c>
      <c r="AN73" s="24" t="e">
        <f>VLOOKUP(Tableau3[[#This Row],[Opérateur 1]],Liste!$K$2:$M$68,3,FALSE)</f>
        <v>#N/A</v>
      </c>
    </row>
    <row r="74" spans="1:40" s="24" customFormat="1" x14ac:dyDescent="0.25">
      <c r="A74" s="93">
        <v>43944</v>
      </c>
      <c r="B74" s="94" t="s">
        <v>13</v>
      </c>
      <c r="C74" s="16" t="s">
        <v>102</v>
      </c>
      <c r="D74" s="95" t="s">
        <v>27</v>
      </c>
      <c r="E74" s="94" t="s">
        <v>113</v>
      </c>
      <c r="F74" s="96">
        <v>1</v>
      </c>
      <c r="G74" s="94"/>
      <c r="H74" s="96"/>
      <c r="I74" s="91" t="s">
        <v>212</v>
      </c>
      <c r="J74" s="97">
        <v>33000</v>
      </c>
      <c r="K74" s="97">
        <v>0</v>
      </c>
      <c r="L74" s="97">
        <v>20193</v>
      </c>
      <c r="M7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</v>
      </c>
      <c r="N74" s="97">
        <v>0</v>
      </c>
      <c r="O74" s="20">
        <v>0</v>
      </c>
      <c r="P74" s="98"/>
      <c r="Q74" s="99" t="str">
        <f>IFERROR((Tableau3[[#This Row],[QTY Produite]]/1000)*((1000/Tableau3[[#This Row],[Cadence]])/60)/Tableau3[[#This Row],[Heures Macines]],"0")</f>
        <v>0</v>
      </c>
      <c r="R74" s="100"/>
      <c r="S74" s="96"/>
      <c r="T74" s="18"/>
      <c r="U74" s="101"/>
      <c r="V74" s="96"/>
      <c r="W74" s="96"/>
      <c r="X74" s="101"/>
      <c r="Y74" s="96"/>
      <c r="Z74" s="96"/>
      <c r="AA74" s="101"/>
      <c r="AB74" s="96"/>
      <c r="AC74" s="96"/>
      <c r="AD74" s="101"/>
      <c r="AE74" s="96"/>
      <c r="AF74" s="96"/>
      <c r="AG74" s="101"/>
      <c r="AH74" s="96"/>
      <c r="AI74" s="96"/>
      <c r="AJ74" s="101"/>
      <c r="AK74" s="84">
        <f t="shared" si="2"/>
        <v>4</v>
      </c>
      <c r="AL74" s="24">
        <f>YEAR(Tableau3[[#This Row],[Date]])</f>
        <v>2020</v>
      </c>
      <c r="AM74" s="92">
        <f>IFERROR(((Tableau3[[#This Row],[QTY Produite]]/1000)*VLOOKUP(Tableau3[[#This Row],[Machine]],Liste!$A:$B,2))/Tableau3[[#This Row],[Heures Macines]],"0")</f>
        <v>0</v>
      </c>
      <c r="AN74" s="24" t="str">
        <f>VLOOKUP(Tableau3[[#This Row],[Opérateur 1]],Liste!$K$2:$M$68,3,FALSE)</f>
        <v>Déco</v>
      </c>
    </row>
    <row r="75" spans="1:40" s="24" customFormat="1" x14ac:dyDescent="0.25">
      <c r="A75" s="93">
        <v>43944</v>
      </c>
      <c r="B75" s="94" t="s">
        <v>13</v>
      </c>
      <c r="C75" s="16" t="s">
        <v>102</v>
      </c>
      <c r="D75" s="95" t="s">
        <v>23</v>
      </c>
      <c r="E75" s="94" t="s">
        <v>113</v>
      </c>
      <c r="F75" s="96">
        <v>7</v>
      </c>
      <c r="G75" s="94"/>
      <c r="H75" s="96"/>
      <c r="I75" s="91" t="s">
        <v>188</v>
      </c>
      <c r="J75" s="97">
        <v>94500</v>
      </c>
      <c r="K75" s="97">
        <v>8892</v>
      </c>
      <c r="L75" s="97">
        <v>94488</v>
      </c>
      <c r="M7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</v>
      </c>
      <c r="N75" s="97">
        <v>100</v>
      </c>
      <c r="O75" s="20">
        <v>35</v>
      </c>
      <c r="P75" s="98">
        <v>33</v>
      </c>
      <c r="Q75" s="99">
        <f>IFERROR((Tableau3[[#This Row],[QTY Produite]]/1000)*((1000/Tableau3[[#This Row],[Cadence]])/60)/Tableau3[[#This Row],[Heures Macines]],"0")</f>
        <v>0.64155844155844155</v>
      </c>
      <c r="R75" s="100">
        <v>64</v>
      </c>
      <c r="S75" s="96"/>
      <c r="T75" s="18"/>
      <c r="U75" s="101"/>
      <c r="V75" s="96"/>
      <c r="W75" s="96"/>
      <c r="X75" s="101"/>
      <c r="Y75" s="96"/>
      <c r="Z75" s="96"/>
      <c r="AA75" s="101"/>
      <c r="AB75" s="96"/>
      <c r="AC75" s="96"/>
      <c r="AD75" s="101"/>
      <c r="AE75" s="96"/>
      <c r="AF75" s="96"/>
      <c r="AG75" s="101"/>
      <c r="AH75" s="96"/>
      <c r="AI75" s="96"/>
      <c r="AJ75" s="101"/>
      <c r="AK75" s="84">
        <f t="shared" si="2"/>
        <v>4</v>
      </c>
      <c r="AL75" s="24">
        <f>YEAR(Tableau3[[#This Row],[Date]])</f>
        <v>2020</v>
      </c>
      <c r="AM75" s="92">
        <f>IFERROR(((Tableau3[[#This Row],[QTY Produite]]/1000)*VLOOKUP(Tableau3[[#This Row],[Machine]],Liste!$A:$B,2))/Tableau3[[#This Row],[Heures Macines]],"0")</f>
        <v>0.50811428571428574</v>
      </c>
      <c r="AN75" s="24" t="str">
        <f>VLOOKUP(Tableau3[[#This Row],[Opérateur 1]],Liste!$K$2:$M$68,3,FALSE)</f>
        <v>Déco</v>
      </c>
    </row>
    <row r="76" spans="1:40" s="24" customFormat="1" x14ac:dyDescent="0.25">
      <c r="A76" s="93">
        <v>43944</v>
      </c>
      <c r="B76" s="94" t="s">
        <v>13</v>
      </c>
      <c r="C76" s="16" t="s">
        <v>102</v>
      </c>
      <c r="D76" s="95" t="s">
        <v>15</v>
      </c>
      <c r="E76" s="94" t="s">
        <v>115</v>
      </c>
      <c r="F76" s="96">
        <v>8</v>
      </c>
      <c r="G76" s="94"/>
      <c r="H76" s="96"/>
      <c r="I76" s="91" t="s">
        <v>214</v>
      </c>
      <c r="J76" s="97"/>
      <c r="K76" s="97">
        <v>24642</v>
      </c>
      <c r="L76" s="97">
        <v>32301</v>
      </c>
      <c r="M7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76" s="97">
        <v>20</v>
      </c>
      <c r="O76" s="20">
        <v>73</v>
      </c>
      <c r="P76" s="98">
        <v>80</v>
      </c>
      <c r="Q76" s="99">
        <f>IFERROR((Tableau3[[#This Row],[QTY Produite]]/1000)*((1000/Tableau3[[#This Row],[Cadence]])/60)/Tableau3[[#This Row],[Heures Macines]],"0")</f>
        <v>0.64171875</v>
      </c>
      <c r="R76" s="100">
        <v>64</v>
      </c>
      <c r="S76" s="96"/>
      <c r="T76" s="18"/>
      <c r="U76" s="101"/>
      <c r="V76" s="96"/>
      <c r="W76" s="96"/>
      <c r="X76" s="101"/>
      <c r="Y76" s="96"/>
      <c r="Z76" s="96"/>
      <c r="AA76" s="101"/>
      <c r="AB76" s="96"/>
      <c r="AC76" s="96"/>
      <c r="AD76" s="101"/>
      <c r="AE76" s="96"/>
      <c r="AF76" s="96"/>
      <c r="AG76" s="101"/>
      <c r="AH76" s="96"/>
      <c r="AI76" s="96"/>
      <c r="AJ76" s="101"/>
      <c r="AK76" s="84">
        <f t="shared" si="2"/>
        <v>4</v>
      </c>
      <c r="AL76" s="24">
        <f>YEAR(Tableau3[[#This Row],[Date]])</f>
        <v>2020</v>
      </c>
      <c r="AM76" s="92">
        <f>IFERROR(((Tableau3[[#This Row],[QTY Produite]]/1000)*VLOOKUP(Tableau3[[#This Row],[Machine]],Liste!$A:$B,2))/Tableau3[[#This Row],[Heures Macines]],"0")</f>
        <v>1.2321</v>
      </c>
      <c r="AN76" s="24" t="str">
        <f>VLOOKUP(Tableau3[[#This Row],[Opérateur 1]],Liste!$K$2:$M$68,3,FALSE)</f>
        <v>Imp</v>
      </c>
    </row>
    <row r="77" spans="1:40" s="24" customFormat="1" x14ac:dyDescent="0.25">
      <c r="A77" s="93">
        <v>43944</v>
      </c>
      <c r="B77" s="94" t="s">
        <v>13</v>
      </c>
      <c r="C77" s="16" t="s">
        <v>102</v>
      </c>
      <c r="D77" s="95" t="s">
        <v>18</v>
      </c>
      <c r="E77" s="94" t="s">
        <v>108</v>
      </c>
      <c r="F77" s="96">
        <v>8</v>
      </c>
      <c r="G77" s="94"/>
      <c r="H77" s="96"/>
      <c r="I77" s="91">
        <v>25851</v>
      </c>
      <c r="J77" s="97"/>
      <c r="K77" s="97">
        <v>30000</v>
      </c>
      <c r="L77" s="97">
        <v>134400</v>
      </c>
      <c r="M7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77" s="97">
        <v>220</v>
      </c>
      <c r="O77" s="20">
        <v>506</v>
      </c>
      <c r="P77" s="98">
        <v>90</v>
      </c>
      <c r="Q77" s="99">
        <f>IFERROR((Tableau3[[#This Row],[QTY Produite]]/1000)*((1000/Tableau3[[#This Row],[Cadence]])/60)/Tableau3[[#This Row],[Heures Macines]],"0")</f>
        <v>0.69444444444444442</v>
      </c>
      <c r="R77" s="100">
        <v>69</v>
      </c>
      <c r="S77" s="96"/>
      <c r="T77" s="18"/>
      <c r="U77" s="101"/>
      <c r="V77" s="96"/>
      <c r="W77" s="96"/>
      <c r="X77" s="101"/>
      <c r="Y77" s="96"/>
      <c r="Z77" s="96"/>
      <c r="AA77" s="101"/>
      <c r="AB77" s="96"/>
      <c r="AC77" s="96"/>
      <c r="AD77" s="101"/>
      <c r="AE77" s="96"/>
      <c r="AF77" s="96"/>
      <c r="AG77" s="101"/>
      <c r="AH77" s="96"/>
      <c r="AI77" s="96"/>
      <c r="AJ77" s="101"/>
      <c r="AK77" s="84">
        <f t="shared" si="2"/>
        <v>4</v>
      </c>
      <c r="AL77" s="24">
        <f>YEAR(Tableau3[[#This Row],[Date]])</f>
        <v>2020</v>
      </c>
      <c r="AM77" s="92">
        <f>IFERROR(((Tableau3[[#This Row],[QTY Produite]]/1000)*VLOOKUP(Tableau3[[#This Row],[Machine]],Liste!$A:$B,2))/Tableau3[[#This Row],[Heures Macines]],"0")</f>
        <v>1.5</v>
      </c>
      <c r="AN77" s="24" t="str">
        <f>VLOOKUP(Tableau3[[#This Row],[Opérateur 1]],Liste!$K$2:$M$68,3,FALSE)</f>
        <v>Imp</v>
      </c>
    </row>
    <row r="78" spans="1:40" s="24" customFormat="1" x14ac:dyDescent="0.25">
      <c r="A78" s="93">
        <v>43944</v>
      </c>
      <c r="B78" s="94" t="s">
        <v>13</v>
      </c>
      <c r="C78" s="16" t="s">
        <v>102</v>
      </c>
      <c r="D78" s="95" t="s">
        <v>20</v>
      </c>
      <c r="E78" s="94" t="s">
        <v>132</v>
      </c>
      <c r="F78" s="96">
        <v>1.75</v>
      </c>
      <c r="G78" s="94"/>
      <c r="H78" s="96"/>
      <c r="I78" s="91">
        <v>27122</v>
      </c>
      <c r="J78" s="97">
        <v>26256</v>
      </c>
      <c r="K78" s="97">
        <v>784</v>
      </c>
      <c r="L78" s="97">
        <v>784</v>
      </c>
      <c r="M7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1.75</v>
      </c>
      <c r="N78" s="97">
        <v>364</v>
      </c>
      <c r="O78" s="20">
        <v>124</v>
      </c>
      <c r="P78" s="98">
        <v>55</v>
      </c>
      <c r="Q78" s="99">
        <f>IFERROR((Tableau3[[#This Row],[QTY Produite]]/1000)*((1000/Tableau3[[#This Row],[Cadence]])/60)/Tableau3[[#This Row],[Heures Macines]],"0")</f>
        <v>0.13575757575757577</v>
      </c>
      <c r="R78" s="100">
        <v>14</v>
      </c>
      <c r="S78" s="96"/>
      <c r="T78" s="18"/>
      <c r="U78" s="101"/>
      <c r="V78" s="96"/>
      <c r="W78" s="96"/>
      <c r="X78" s="101"/>
      <c r="Y78" s="96"/>
      <c r="Z78" s="96"/>
      <c r="AA78" s="101"/>
      <c r="AB78" s="96"/>
      <c r="AC78" s="96"/>
      <c r="AD78" s="101"/>
      <c r="AE78" s="96"/>
      <c r="AF78" s="96"/>
      <c r="AG78" s="101"/>
      <c r="AH78" s="96"/>
      <c r="AI78" s="96"/>
      <c r="AJ78" s="101"/>
      <c r="AK78" s="84">
        <f t="shared" si="2"/>
        <v>4</v>
      </c>
      <c r="AL78" s="24">
        <f>YEAR(Tableau3[[#This Row],[Date]])</f>
        <v>2020</v>
      </c>
      <c r="AM78" s="92">
        <f>IFERROR(((Tableau3[[#This Row],[QTY Produite]]/1000)*VLOOKUP(Tableau3[[#This Row],[Machine]],Liste!$A:$B,2))/Tableau3[[#This Row],[Heures Macines]],"0")</f>
        <v>0.16128000000000001</v>
      </c>
      <c r="AN78" s="24" t="str">
        <f>VLOOKUP(Tableau3[[#This Row],[Opérateur 1]],Liste!$K$2:$M$68,3,FALSE)</f>
        <v>Multi</v>
      </c>
    </row>
    <row r="79" spans="1:40" s="24" customFormat="1" x14ac:dyDescent="0.25">
      <c r="A79" s="93">
        <v>43944</v>
      </c>
      <c r="B79" s="94" t="s">
        <v>13</v>
      </c>
      <c r="C79" s="16" t="s">
        <v>102</v>
      </c>
      <c r="D79" s="95" t="s">
        <v>20</v>
      </c>
      <c r="E79" s="94" t="s">
        <v>132</v>
      </c>
      <c r="F79" s="96">
        <v>5</v>
      </c>
      <c r="G79" s="94"/>
      <c r="H79" s="96"/>
      <c r="I79" s="91">
        <v>24928</v>
      </c>
      <c r="J79" s="97">
        <v>5858</v>
      </c>
      <c r="K79" s="97">
        <v>5880</v>
      </c>
      <c r="L79" s="97">
        <v>5880</v>
      </c>
      <c r="M7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79" s="97">
        <v>825</v>
      </c>
      <c r="O79" s="20">
        <v>172</v>
      </c>
      <c r="P79" s="98">
        <v>55</v>
      </c>
      <c r="Q79" s="99">
        <f>IFERROR((Tableau3[[#This Row],[QTY Produite]]/1000)*((1000/Tableau3[[#This Row],[Cadence]])/60)/Tableau3[[#This Row],[Heures Macines]],"0")</f>
        <v>0.35636363636363633</v>
      </c>
      <c r="R79" s="100">
        <v>67</v>
      </c>
      <c r="S79" s="96"/>
      <c r="T79" s="18"/>
      <c r="U79" s="101"/>
      <c r="V79" s="96"/>
      <c r="W79" s="96"/>
      <c r="X79" s="101"/>
      <c r="Y79" s="96"/>
      <c r="Z79" s="96"/>
      <c r="AA79" s="101"/>
      <c r="AB79" s="96"/>
      <c r="AC79" s="96"/>
      <c r="AD79" s="101"/>
      <c r="AE79" s="96"/>
      <c r="AF79" s="96"/>
      <c r="AG79" s="101"/>
      <c r="AH79" s="96"/>
      <c r="AI79" s="96"/>
      <c r="AJ79" s="101"/>
      <c r="AK79" s="84">
        <f t="shared" si="2"/>
        <v>4</v>
      </c>
      <c r="AL79" s="24">
        <f>YEAR(Tableau3[[#This Row],[Date]])</f>
        <v>2020</v>
      </c>
      <c r="AM79" s="92">
        <f>IFERROR(((Tableau3[[#This Row],[QTY Produite]]/1000)*VLOOKUP(Tableau3[[#This Row],[Machine]],Liste!$A:$B,2))/Tableau3[[#This Row],[Heures Macines]],"0")</f>
        <v>0.42336000000000001</v>
      </c>
      <c r="AN79" s="24" t="str">
        <f>VLOOKUP(Tableau3[[#This Row],[Opérateur 1]],Liste!$K$2:$M$68,3,FALSE)</f>
        <v>Multi</v>
      </c>
    </row>
    <row r="80" spans="1:40" s="24" customFormat="1" x14ac:dyDescent="0.25">
      <c r="A80" s="93">
        <v>43944</v>
      </c>
      <c r="B80" s="94" t="s">
        <v>13</v>
      </c>
      <c r="C80" s="16" t="s">
        <v>102</v>
      </c>
      <c r="D80" s="95" t="s">
        <v>20</v>
      </c>
      <c r="E80" s="94" t="s">
        <v>132</v>
      </c>
      <c r="F80" s="96">
        <v>1.25</v>
      </c>
      <c r="G80" s="94"/>
      <c r="H80" s="96"/>
      <c r="I80" s="91">
        <v>26054</v>
      </c>
      <c r="J80" s="97">
        <v>12476</v>
      </c>
      <c r="K80" s="97">
        <v>2744</v>
      </c>
      <c r="L80" s="97">
        <v>12544</v>
      </c>
      <c r="M8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1.25</v>
      </c>
      <c r="N80" s="97"/>
      <c r="O80" s="20"/>
      <c r="P80" s="98">
        <v>55</v>
      </c>
      <c r="Q80" s="99">
        <f>IFERROR((Tableau3[[#This Row],[QTY Produite]]/1000)*((1000/Tableau3[[#This Row],[Cadence]])/60)/Tableau3[[#This Row],[Heures Macines]],"0")</f>
        <v>0.66521212121212137</v>
      </c>
      <c r="R80" s="100">
        <v>83</v>
      </c>
      <c r="S80" s="96"/>
      <c r="T80" s="18"/>
      <c r="U80" s="101"/>
      <c r="V80" s="96"/>
      <c r="W80" s="96"/>
      <c r="X80" s="101"/>
      <c r="Y80" s="96"/>
      <c r="Z80" s="96"/>
      <c r="AA80" s="101"/>
      <c r="AB80" s="96"/>
      <c r="AC80" s="96"/>
      <c r="AD80" s="101"/>
      <c r="AE80" s="96"/>
      <c r="AF80" s="96"/>
      <c r="AG80" s="101"/>
      <c r="AH80" s="96"/>
      <c r="AI80" s="96"/>
      <c r="AJ80" s="101"/>
      <c r="AK80" s="84">
        <f t="shared" si="2"/>
        <v>4</v>
      </c>
      <c r="AL80" s="24">
        <f>YEAR(Tableau3[[#This Row],[Date]])</f>
        <v>2020</v>
      </c>
      <c r="AM80" s="92">
        <f>IFERROR(((Tableau3[[#This Row],[QTY Produite]]/1000)*VLOOKUP(Tableau3[[#This Row],[Machine]],Liste!$A:$B,2))/Tableau3[[#This Row],[Heures Macines]],"0")</f>
        <v>0.79027200000000009</v>
      </c>
      <c r="AN80" s="24" t="str">
        <f>VLOOKUP(Tableau3[[#This Row],[Opérateur 1]],Liste!$K$2:$M$68,3,FALSE)</f>
        <v>Multi</v>
      </c>
    </row>
    <row r="81" spans="1:40" s="24" customFormat="1" x14ac:dyDescent="0.25">
      <c r="A81" s="93">
        <v>43944</v>
      </c>
      <c r="B81" s="94" t="s">
        <v>13</v>
      </c>
      <c r="C81" s="16" t="s">
        <v>102</v>
      </c>
      <c r="D81" s="95" t="s">
        <v>22</v>
      </c>
      <c r="E81" s="94" t="s">
        <v>117</v>
      </c>
      <c r="F81" s="96">
        <v>8</v>
      </c>
      <c r="G81" s="94"/>
      <c r="H81" s="96"/>
      <c r="I81" s="91">
        <v>25860</v>
      </c>
      <c r="J81" s="97">
        <v>526332</v>
      </c>
      <c r="K81" s="97">
        <v>35760</v>
      </c>
      <c r="L81" s="97">
        <v>496320</v>
      </c>
      <c r="M8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81" s="97">
        <v>732</v>
      </c>
      <c r="O81" s="20"/>
      <c r="P81" s="98">
        <v>80</v>
      </c>
      <c r="Q81" s="99">
        <f>IFERROR((Tableau3[[#This Row],[QTY Produite]]/1000)*((1000/Tableau3[[#This Row],[Cadence]])/60)/Tableau3[[#This Row],[Heures Macines]],"0")</f>
        <v>0.93125000000000002</v>
      </c>
      <c r="R81" s="100">
        <v>93</v>
      </c>
      <c r="S81" s="96"/>
      <c r="T81" s="18"/>
      <c r="U81" s="101"/>
      <c r="V81" s="96"/>
      <c r="W81" s="96"/>
      <c r="X81" s="101"/>
      <c r="Y81" s="96"/>
      <c r="Z81" s="96"/>
      <c r="AA81" s="101"/>
      <c r="AB81" s="96"/>
      <c r="AC81" s="96"/>
      <c r="AD81" s="101"/>
      <c r="AE81" s="96"/>
      <c r="AF81" s="96"/>
      <c r="AG81" s="101"/>
      <c r="AH81" s="96"/>
      <c r="AI81" s="96"/>
      <c r="AJ81" s="101"/>
      <c r="AK81" s="84">
        <f t="shared" si="2"/>
        <v>4</v>
      </c>
      <c r="AL81" s="24">
        <f>YEAR(Tableau3[[#This Row],[Date]])</f>
        <v>2020</v>
      </c>
      <c r="AM81" s="92">
        <f>IFERROR(((Tableau3[[#This Row],[QTY Produite]]/1000)*VLOOKUP(Tableau3[[#This Row],[Machine]],Liste!$A:$B,2))/Tableau3[[#This Row],[Heures Macines]],"0")</f>
        <v>1.341</v>
      </c>
      <c r="AN81" s="24" t="str">
        <f>VLOOKUP(Tableau3[[#This Row],[Opérateur 1]],Liste!$K$2:$M$68,3,FALSE)</f>
        <v>Multi</v>
      </c>
    </row>
    <row r="82" spans="1:40" s="24" customFormat="1" x14ac:dyDescent="0.25">
      <c r="A82" s="93">
        <v>43944</v>
      </c>
      <c r="B82" s="94" t="s">
        <v>13</v>
      </c>
      <c r="C82" s="16" t="s">
        <v>102</v>
      </c>
      <c r="D82" s="95" t="s">
        <v>17</v>
      </c>
      <c r="E82" s="94" t="s">
        <v>111</v>
      </c>
      <c r="F82" s="96">
        <v>8</v>
      </c>
      <c r="G82" s="94"/>
      <c r="H82" s="96"/>
      <c r="I82" s="91">
        <v>23459</v>
      </c>
      <c r="J82" s="97">
        <v>220996</v>
      </c>
      <c r="K82" s="97">
        <v>24108</v>
      </c>
      <c r="L82" s="97">
        <v>194432</v>
      </c>
      <c r="M8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82" s="97">
        <v>150</v>
      </c>
      <c r="O82" s="20">
        <v>42</v>
      </c>
      <c r="P82" s="98">
        <v>53</v>
      </c>
      <c r="Q82" s="99">
        <f>IFERROR((Tableau3[[#This Row],[QTY Produite]]/1000)*((1000/Tableau3[[#This Row],[Cadence]])/60)/Tableau3[[#This Row],[Heures Macines]],"0")</f>
        <v>0.94764150943396241</v>
      </c>
      <c r="R82" s="100">
        <v>95</v>
      </c>
      <c r="S82" s="96"/>
      <c r="T82" s="18"/>
      <c r="U82" s="101"/>
      <c r="V82" s="96"/>
      <c r="W82" s="96"/>
      <c r="X82" s="101"/>
      <c r="Y82" s="96"/>
      <c r="Z82" s="96"/>
      <c r="AA82" s="101"/>
      <c r="AB82" s="96"/>
      <c r="AC82" s="96"/>
      <c r="AD82" s="101"/>
      <c r="AE82" s="96"/>
      <c r="AF82" s="96"/>
      <c r="AG82" s="101"/>
      <c r="AH82" s="96"/>
      <c r="AI82" s="96"/>
      <c r="AJ82" s="101"/>
      <c r="AK82" s="84">
        <f t="shared" si="2"/>
        <v>4</v>
      </c>
      <c r="AL82" s="24">
        <f>YEAR(Tableau3[[#This Row],[Date]])</f>
        <v>2020</v>
      </c>
      <c r="AM82" s="92">
        <f>IFERROR(((Tableau3[[#This Row],[QTY Produite]]/1000)*VLOOKUP(Tableau3[[#This Row],[Machine]],Liste!$A:$B,2))/Tableau3[[#This Row],[Heures Macines]],"0")</f>
        <v>1.3560750000000001</v>
      </c>
      <c r="AN82" s="24" t="str">
        <f>VLOOKUP(Tableau3[[#This Row],[Opérateur 1]],Liste!$K$2:$M$68,3,FALSE)</f>
        <v>Mono</v>
      </c>
    </row>
    <row r="83" spans="1:40" s="24" customFormat="1" x14ac:dyDescent="0.25">
      <c r="A83" s="93">
        <v>43944</v>
      </c>
      <c r="B83" s="94" t="s">
        <v>13</v>
      </c>
      <c r="C83" s="16" t="s">
        <v>102</v>
      </c>
      <c r="D83" s="95" t="s">
        <v>14</v>
      </c>
      <c r="E83" s="94" t="s">
        <v>126</v>
      </c>
      <c r="F83" s="96">
        <v>8</v>
      </c>
      <c r="G83" s="94"/>
      <c r="H83" s="96"/>
      <c r="I83" s="91">
        <v>25744</v>
      </c>
      <c r="J83" s="97">
        <v>28404</v>
      </c>
      <c r="K83" s="97">
        <v>1778</v>
      </c>
      <c r="L83" s="97">
        <v>10668</v>
      </c>
      <c r="M8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83" s="97">
        <v>385</v>
      </c>
      <c r="O83" s="20">
        <v>90</v>
      </c>
      <c r="P83" s="98">
        <v>40</v>
      </c>
      <c r="Q83" s="99">
        <f>IFERROR((Tableau3[[#This Row],[QTY Produite]]/1000)*((1000/Tableau3[[#This Row],[Cadence]])/60)/Tableau3[[#This Row],[Heures Macines]],"0")</f>
        <v>9.2604166666666668E-2</v>
      </c>
      <c r="R83" s="100">
        <v>10</v>
      </c>
      <c r="S83" s="96"/>
      <c r="T83" s="18"/>
      <c r="U83" s="101"/>
      <c r="V83" s="96"/>
      <c r="W83" s="96"/>
      <c r="X83" s="101"/>
      <c r="Y83" s="96"/>
      <c r="Z83" s="96"/>
      <c r="AA83" s="101"/>
      <c r="AB83" s="96"/>
      <c r="AC83" s="96"/>
      <c r="AD83" s="101"/>
      <c r="AE83" s="96"/>
      <c r="AF83" s="96"/>
      <c r="AG83" s="101"/>
      <c r="AH83" s="96"/>
      <c r="AI83" s="96"/>
      <c r="AJ83" s="101"/>
      <c r="AK83" s="84">
        <f t="shared" si="2"/>
        <v>4</v>
      </c>
      <c r="AL83" s="24">
        <f>YEAR(Tableau3[[#This Row],[Date]])</f>
        <v>2020</v>
      </c>
      <c r="AM83" s="92">
        <f>IFERROR(((Tableau3[[#This Row],[QTY Produite]]/1000)*VLOOKUP(Tableau3[[#This Row],[Machine]],Liste!$A:$B,2))/Tableau3[[#This Row],[Heures Macines]],"0")</f>
        <v>0.1000125</v>
      </c>
      <c r="AN83" s="24" t="str">
        <f>VLOOKUP(Tableau3[[#This Row],[Opérateur 1]],Liste!$K$2:$M$68,3,FALSE)</f>
        <v>Multi</v>
      </c>
    </row>
    <row r="84" spans="1:40" s="24" customFormat="1" x14ac:dyDescent="0.25">
      <c r="A84" s="93">
        <v>43944</v>
      </c>
      <c r="B84" s="94" t="s">
        <v>13</v>
      </c>
      <c r="C84" s="16" t="s">
        <v>102</v>
      </c>
      <c r="D84" s="95" t="s">
        <v>26</v>
      </c>
      <c r="E84" s="94" t="s">
        <v>134</v>
      </c>
      <c r="F84" s="96">
        <v>4.5</v>
      </c>
      <c r="G84" s="94"/>
      <c r="H84" s="96"/>
      <c r="I84" s="91">
        <v>25374</v>
      </c>
      <c r="J84" s="97">
        <v>6933</v>
      </c>
      <c r="K84" s="97">
        <v>0</v>
      </c>
      <c r="L84" s="97">
        <v>0</v>
      </c>
      <c r="M8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4.5</v>
      </c>
      <c r="N84" s="97">
        <v>0</v>
      </c>
      <c r="O84" s="20">
        <v>0</v>
      </c>
      <c r="P84" s="98"/>
      <c r="Q84" s="99" t="str">
        <f>IFERROR((Tableau3[[#This Row],[QTY Produite]]/1000)*((1000/Tableau3[[#This Row],[Cadence]])/60)/Tableau3[[#This Row],[Heures Macines]],"0")</f>
        <v>0</v>
      </c>
      <c r="R84" s="100"/>
      <c r="S84" s="96"/>
      <c r="T84" s="18"/>
      <c r="U84" s="101"/>
      <c r="V84" s="96"/>
      <c r="W84" s="96"/>
      <c r="X84" s="101"/>
      <c r="Y84" s="96"/>
      <c r="Z84" s="96"/>
      <c r="AA84" s="101"/>
      <c r="AB84" s="96"/>
      <c r="AC84" s="96"/>
      <c r="AD84" s="101"/>
      <c r="AE84" s="96"/>
      <c r="AF84" s="96"/>
      <c r="AG84" s="101"/>
      <c r="AH84" s="96"/>
      <c r="AI84" s="96"/>
      <c r="AJ84" s="101"/>
      <c r="AK84" s="84">
        <f t="shared" si="2"/>
        <v>4</v>
      </c>
      <c r="AL84" s="24">
        <f>YEAR(Tableau3[[#This Row],[Date]])</f>
        <v>2020</v>
      </c>
      <c r="AM84" s="92">
        <f>IFERROR(((Tableau3[[#This Row],[QTY Produite]]/1000)*VLOOKUP(Tableau3[[#This Row],[Machine]],Liste!$A:$B,2))/Tableau3[[#This Row],[Heures Macines]],"0")</f>
        <v>0</v>
      </c>
      <c r="AN84" s="24" t="str">
        <f>VLOOKUP(Tableau3[[#This Row],[Opérateur 1]],Liste!$K$2:$M$68,3,FALSE)</f>
        <v>Multi</v>
      </c>
    </row>
    <row r="85" spans="1:40" s="24" customFormat="1" x14ac:dyDescent="0.25">
      <c r="A85" s="93">
        <v>43944</v>
      </c>
      <c r="B85" s="94" t="s">
        <v>13</v>
      </c>
      <c r="C85" s="16" t="s">
        <v>102</v>
      </c>
      <c r="D85" s="95" t="s">
        <v>26</v>
      </c>
      <c r="E85" s="94" t="s">
        <v>134</v>
      </c>
      <c r="F85" s="96">
        <v>3.5</v>
      </c>
      <c r="G85" s="94"/>
      <c r="H85" s="96"/>
      <c r="I85" s="91">
        <v>25642</v>
      </c>
      <c r="J85" s="97">
        <v>56670</v>
      </c>
      <c r="K85" s="97">
        <v>9398</v>
      </c>
      <c r="L85" s="97">
        <v>32131</v>
      </c>
      <c r="M8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3.5</v>
      </c>
      <c r="N85" s="97">
        <v>122</v>
      </c>
      <c r="O85" s="20">
        <v>40</v>
      </c>
      <c r="P85" s="98">
        <v>50</v>
      </c>
      <c r="Q85" s="99">
        <f>IFERROR((Tableau3[[#This Row],[QTY Produite]]/1000)*((1000/Tableau3[[#This Row],[Cadence]])/60)/Tableau3[[#This Row],[Heures Macines]],"0")</f>
        <v>0.89504761904761898</v>
      </c>
      <c r="R85" s="100">
        <v>89</v>
      </c>
      <c r="S85" s="96"/>
      <c r="T85" s="18"/>
      <c r="U85" s="101"/>
      <c r="V85" s="96"/>
      <c r="W85" s="96"/>
      <c r="X85" s="101"/>
      <c r="Y85" s="96"/>
      <c r="Z85" s="96"/>
      <c r="AA85" s="101"/>
      <c r="AB85" s="96"/>
      <c r="AC85" s="96"/>
      <c r="AD85" s="101"/>
      <c r="AE85" s="96"/>
      <c r="AF85" s="96"/>
      <c r="AG85" s="101"/>
      <c r="AH85" s="96"/>
      <c r="AI85" s="96"/>
      <c r="AJ85" s="101"/>
      <c r="AK85" s="84">
        <f t="shared" si="2"/>
        <v>4</v>
      </c>
      <c r="AL85" s="24">
        <f>YEAR(Tableau3[[#This Row],[Date]])</f>
        <v>2020</v>
      </c>
      <c r="AM85" s="92">
        <f>IFERROR(((Tableau3[[#This Row],[QTY Produite]]/1000)*VLOOKUP(Tableau3[[#This Row],[Machine]],Liste!$A:$B,2))/Tableau3[[#This Row],[Heures Macines]],"0")</f>
        <v>1.3425714285714285</v>
      </c>
      <c r="AN85" s="24" t="str">
        <f>VLOOKUP(Tableau3[[#This Row],[Opérateur 1]],Liste!$K$2:$M$68,3,FALSE)</f>
        <v>Multi</v>
      </c>
    </row>
    <row r="86" spans="1:40" s="24" customFormat="1" x14ac:dyDescent="0.25">
      <c r="A86" s="93">
        <v>43944</v>
      </c>
      <c r="B86" s="94" t="s">
        <v>13</v>
      </c>
      <c r="C86" s="16" t="s">
        <v>102</v>
      </c>
      <c r="D86" s="95" t="s">
        <v>21</v>
      </c>
      <c r="E86" s="94" t="s">
        <v>110</v>
      </c>
      <c r="F86" s="96">
        <v>4.5</v>
      </c>
      <c r="G86" s="94" t="s">
        <v>118</v>
      </c>
      <c r="H86" s="96">
        <v>4.5</v>
      </c>
      <c r="I86" s="91" t="s">
        <v>220</v>
      </c>
      <c r="J86" s="97">
        <v>15523</v>
      </c>
      <c r="K86" s="97">
        <v>15484</v>
      </c>
      <c r="L86" s="97">
        <v>15484</v>
      </c>
      <c r="M8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4.5</v>
      </c>
      <c r="N86" s="97">
        <v>175</v>
      </c>
      <c r="O86" s="20">
        <v>451</v>
      </c>
      <c r="P86" s="98">
        <v>114</v>
      </c>
      <c r="Q86" s="99">
        <f>IFERROR((Tableau3[[#This Row],[QTY Produite]]/1000)*((1000/Tableau3[[#This Row],[Cadence]])/60)/Tableau3[[#This Row],[Heures Macines]],"0")</f>
        <v>0.50305393112410668</v>
      </c>
      <c r="R86" s="100">
        <v>50</v>
      </c>
      <c r="S86" s="96" t="s">
        <v>193</v>
      </c>
      <c r="T86" s="18">
        <v>4.5</v>
      </c>
      <c r="U86" s="101"/>
      <c r="V86" s="96"/>
      <c r="W86" s="96"/>
      <c r="X86" s="101"/>
      <c r="Y86" s="96"/>
      <c r="Z86" s="96"/>
      <c r="AA86" s="101"/>
      <c r="AB86" s="96"/>
      <c r="AC86" s="96"/>
      <c r="AD86" s="101"/>
      <c r="AE86" s="96"/>
      <c r="AF86" s="96"/>
      <c r="AG86" s="101"/>
      <c r="AH86" s="96"/>
      <c r="AI86" s="96"/>
      <c r="AJ86" s="101"/>
      <c r="AK86" s="84">
        <f t="shared" si="2"/>
        <v>4</v>
      </c>
      <c r="AL86" s="24">
        <f>YEAR(Tableau3[[#This Row],[Date]])</f>
        <v>2020</v>
      </c>
      <c r="AM86" s="92">
        <f>IFERROR(((Tableau3[[#This Row],[QTY Produite]]/1000)*VLOOKUP(Tableau3[[#This Row],[Machine]],Liste!$A:$B,2))/Tableau3[[#This Row],[Heures Macines]],"0")</f>
        <v>2.0645333333333333</v>
      </c>
      <c r="AN86" s="24" t="str">
        <f>VLOOKUP(Tableau3[[#This Row],[Opérateur 1]],Liste!$K$2:$M$68,3,FALSE)</f>
        <v>Déco</v>
      </c>
    </row>
    <row r="87" spans="1:40" s="24" customFormat="1" x14ac:dyDescent="0.25">
      <c r="A87" s="93">
        <v>43944</v>
      </c>
      <c r="B87" s="94" t="s">
        <v>13</v>
      </c>
      <c r="C87" s="16" t="s">
        <v>102</v>
      </c>
      <c r="D87" s="95" t="s">
        <v>21</v>
      </c>
      <c r="E87" s="94" t="s">
        <v>110</v>
      </c>
      <c r="F87" s="96">
        <v>3.5</v>
      </c>
      <c r="G87" s="94" t="s">
        <v>118</v>
      </c>
      <c r="H87" s="96">
        <v>3.5</v>
      </c>
      <c r="I87" s="91" t="s">
        <v>166</v>
      </c>
      <c r="J87" s="97">
        <v>15523</v>
      </c>
      <c r="K87" s="97">
        <v>12348</v>
      </c>
      <c r="L87" s="97">
        <v>15484</v>
      </c>
      <c r="M8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3.5</v>
      </c>
      <c r="N87" s="97">
        <v>42</v>
      </c>
      <c r="O87" s="20">
        <v>873</v>
      </c>
      <c r="P87" s="98">
        <v>114</v>
      </c>
      <c r="Q87" s="99">
        <f>IFERROR((Tableau3[[#This Row],[QTY Produite]]/1000)*((1000/Tableau3[[#This Row],[Cadence]])/60)/Tableau3[[#This Row],[Heures Macines]],"0")</f>
        <v>0.51578947368421058</v>
      </c>
      <c r="R87" s="100">
        <v>60</v>
      </c>
      <c r="S87" s="96" t="s">
        <v>193</v>
      </c>
      <c r="T87" s="18">
        <v>3.5</v>
      </c>
      <c r="U87" s="101"/>
      <c r="V87" s="96"/>
      <c r="W87" s="96"/>
      <c r="X87" s="101"/>
      <c r="Y87" s="96"/>
      <c r="Z87" s="96"/>
      <c r="AA87" s="101"/>
      <c r="AB87" s="96"/>
      <c r="AC87" s="96"/>
      <c r="AD87" s="101"/>
      <c r="AE87" s="96"/>
      <c r="AF87" s="96"/>
      <c r="AG87" s="101"/>
      <c r="AH87" s="96"/>
      <c r="AI87" s="96"/>
      <c r="AJ87" s="101"/>
      <c r="AK87" s="84">
        <f t="shared" si="2"/>
        <v>4</v>
      </c>
      <c r="AL87" s="24">
        <f>YEAR(Tableau3[[#This Row],[Date]])</f>
        <v>2020</v>
      </c>
      <c r="AM87" s="92">
        <f>IFERROR(((Tableau3[[#This Row],[QTY Produite]]/1000)*VLOOKUP(Tableau3[[#This Row],[Machine]],Liste!$A:$B,2))/Tableau3[[#This Row],[Heures Macines]],"0")</f>
        <v>2.1168</v>
      </c>
      <c r="AN87" s="24" t="str">
        <f>VLOOKUP(Tableau3[[#This Row],[Opérateur 1]],Liste!$K$2:$M$68,3,FALSE)</f>
        <v>Déco</v>
      </c>
    </row>
    <row r="88" spans="1:40" s="24" customFormat="1" x14ac:dyDescent="0.25">
      <c r="A88" s="93">
        <v>43944</v>
      </c>
      <c r="B88" s="94" t="s">
        <v>13</v>
      </c>
      <c r="C88" s="16" t="s">
        <v>102</v>
      </c>
      <c r="D88" s="95" t="s">
        <v>30</v>
      </c>
      <c r="E88" s="94" t="s">
        <v>107</v>
      </c>
      <c r="F88" s="96">
        <v>8</v>
      </c>
      <c r="G88" s="94"/>
      <c r="H88" s="96"/>
      <c r="I88" s="91" t="s">
        <v>215</v>
      </c>
      <c r="J88" s="97">
        <v>131250</v>
      </c>
      <c r="K88" s="97">
        <v>25200</v>
      </c>
      <c r="L88" s="97">
        <v>34800</v>
      </c>
      <c r="M8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88" s="97">
        <v>80</v>
      </c>
      <c r="O88" s="20">
        <v>130</v>
      </c>
      <c r="P88" s="98">
        <v>66</v>
      </c>
      <c r="Q88" s="99">
        <f>IFERROR((Tableau3[[#This Row],[QTY Produite]]/1000)*((1000/Tableau3[[#This Row],[Cadence]])/60)/Tableau3[[#This Row],[Heures Macines]],"0")</f>
        <v>0.79545454545454553</v>
      </c>
      <c r="R88" s="100">
        <v>79</v>
      </c>
      <c r="S88" s="96"/>
      <c r="T88" s="18"/>
      <c r="U88" s="101"/>
      <c r="V88" s="96"/>
      <c r="W88" s="96"/>
      <c r="X88" s="101"/>
      <c r="Y88" s="96"/>
      <c r="Z88" s="96"/>
      <c r="AA88" s="101"/>
      <c r="AB88" s="96"/>
      <c r="AC88" s="96"/>
      <c r="AD88" s="101"/>
      <c r="AE88" s="96"/>
      <c r="AF88" s="96"/>
      <c r="AG88" s="101"/>
      <c r="AH88" s="96"/>
      <c r="AI88" s="96"/>
      <c r="AJ88" s="101"/>
      <c r="AK88" s="84">
        <f t="shared" si="2"/>
        <v>4</v>
      </c>
      <c r="AL88" s="24">
        <f>YEAR(Tableau3[[#This Row],[Date]])</f>
        <v>2020</v>
      </c>
      <c r="AM88" s="92">
        <f>IFERROR(((Tableau3[[#This Row],[QTY Produite]]/1000)*VLOOKUP(Tableau3[[#This Row],[Machine]],Liste!$A:$B,2))/Tableau3[[#This Row],[Heures Macines]],"0")</f>
        <v>1.89</v>
      </c>
      <c r="AN88" s="24" t="str">
        <f>VLOOKUP(Tableau3[[#This Row],[Opérateur 1]],Liste!$K$2:$M$68,3,FALSE)</f>
        <v>Déco</v>
      </c>
    </row>
    <row r="89" spans="1:40" s="24" customFormat="1" x14ac:dyDescent="0.25">
      <c r="A89" s="93">
        <v>43944</v>
      </c>
      <c r="B89" s="94" t="s">
        <v>16</v>
      </c>
      <c r="C89" s="16" t="s">
        <v>62</v>
      </c>
      <c r="D89" s="95" t="s">
        <v>31</v>
      </c>
      <c r="E89" s="94" t="s">
        <v>109</v>
      </c>
      <c r="F89" s="96">
        <v>2.75</v>
      </c>
      <c r="G89" s="94"/>
      <c r="H89" s="96"/>
      <c r="I89" s="91" t="s">
        <v>219</v>
      </c>
      <c r="J89" s="97">
        <v>26250</v>
      </c>
      <c r="K89" s="97">
        <v>5207</v>
      </c>
      <c r="L89" s="97">
        <v>5207</v>
      </c>
      <c r="M8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2.75</v>
      </c>
      <c r="N89" s="97">
        <v>50</v>
      </c>
      <c r="O89" s="20"/>
      <c r="P89" s="98">
        <v>40</v>
      </c>
      <c r="Q89" s="99">
        <f>IFERROR((Tableau3[[#This Row],[QTY Produite]]/1000)*((1000/Tableau3[[#This Row],[Cadence]])/60)/Tableau3[[#This Row],[Heures Macines]],"0")</f>
        <v>0.78893939393939394</v>
      </c>
      <c r="R89" s="100">
        <v>41</v>
      </c>
      <c r="S89" s="96"/>
      <c r="T89" s="18"/>
      <c r="U89" s="101"/>
      <c r="V89" s="96"/>
      <c r="W89" s="96"/>
      <c r="X89" s="101"/>
      <c r="Y89" s="96"/>
      <c r="Z89" s="96"/>
      <c r="AA89" s="101"/>
      <c r="AB89" s="96"/>
      <c r="AC89" s="96"/>
      <c r="AD89" s="101"/>
      <c r="AE89" s="96"/>
      <c r="AF89" s="96"/>
      <c r="AG89" s="101"/>
      <c r="AH89" s="96"/>
      <c r="AI89" s="96"/>
      <c r="AJ89" s="101"/>
      <c r="AK89" s="84">
        <f t="shared" ref="AK89:AK100" si="3">MONTH(A89)</f>
        <v>4</v>
      </c>
      <c r="AL89" s="24">
        <f>YEAR(Tableau3[[#This Row],[Date]])</f>
        <v>2020</v>
      </c>
      <c r="AM89" s="92">
        <f>IFERROR(((Tableau3[[#This Row],[QTY Produite]]/1000)*VLOOKUP(Tableau3[[#This Row],[Machine]],Liste!$A:$B,2))/Tableau3[[#This Row],[Heures Macines]],"0")</f>
        <v>0.75738181818181827</v>
      </c>
      <c r="AN89" s="24" t="str">
        <f>VLOOKUP(Tableau3[[#This Row],[Opérateur 1]],Liste!$K$2:$M$68,3,FALSE)</f>
        <v>Imp</v>
      </c>
    </row>
    <row r="90" spans="1:40" s="24" customFormat="1" x14ac:dyDescent="0.25">
      <c r="A90" s="93">
        <v>43944</v>
      </c>
      <c r="B90" s="94" t="s">
        <v>16</v>
      </c>
      <c r="C90" s="16" t="s">
        <v>62</v>
      </c>
      <c r="D90" s="95" t="s">
        <v>15</v>
      </c>
      <c r="E90" s="94" t="s">
        <v>109</v>
      </c>
      <c r="F90" s="96">
        <v>5.25</v>
      </c>
      <c r="G90" s="94"/>
      <c r="H90" s="96"/>
      <c r="I90" s="91" t="s">
        <v>214</v>
      </c>
      <c r="J90" s="97">
        <v>44000</v>
      </c>
      <c r="K90" s="97">
        <v>11655</v>
      </c>
      <c r="L90" s="97">
        <v>43956</v>
      </c>
      <c r="M9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5.25</v>
      </c>
      <c r="N90" s="97">
        <v>40</v>
      </c>
      <c r="O90" s="20">
        <v>84</v>
      </c>
      <c r="P90" s="98">
        <v>80</v>
      </c>
      <c r="Q90" s="99">
        <f>IFERROR((Tableau3[[#This Row],[QTY Produite]]/1000)*((1000/Tableau3[[#This Row],[Cadence]])/60)/Tableau3[[#This Row],[Heures Macines]],"0")</f>
        <v>0.46250000000000002</v>
      </c>
      <c r="R90" s="100">
        <v>46</v>
      </c>
      <c r="S90" s="96"/>
      <c r="T90" s="18"/>
      <c r="U90" s="101"/>
      <c r="V90" s="96"/>
      <c r="W90" s="96"/>
      <c r="X90" s="101"/>
      <c r="Y90" s="96"/>
      <c r="Z90" s="96"/>
      <c r="AA90" s="101"/>
      <c r="AB90" s="96"/>
      <c r="AC90" s="96"/>
      <c r="AD90" s="101"/>
      <c r="AE90" s="96"/>
      <c r="AF90" s="96"/>
      <c r="AG90" s="101"/>
      <c r="AH90" s="96"/>
      <c r="AI90" s="96"/>
      <c r="AJ90" s="101"/>
      <c r="AK90" s="84">
        <f t="shared" si="3"/>
        <v>4</v>
      </c>
      <c r="AL90" s="24">
        <f>YEAR(Tableau3[[#This Row],[Date]])</f>
        <v>2020</v>
      </c>
      <c r="AM90" s="92">
        <f>IFERROR(((Tableau3[[#This Row],[QTY Produite]]/1000)*VLOOKUP(Tableau3[[#This Row],[Machine]],Liste!$A:$B,2))/Tableau3[[#This Row],[Heures Macines]],"0")</f>
        <v>0.88800000000000001</v>
      </c>
      <c r="AN90" s="24" t="str">
        <f>VLOOKUP(Tableau3[[#This Row],[Opérateur 1]],Liste!$K$2:$M$68,3,FALSE)</f>
        <v>Imp</v>
      </c>
    </row>
    <row r="91" spans="1:40" s="24" customFormat="1" x14ac:dyDescent="0.25">
      <c r="A91" s="93">
        <v>43944</v>
      </c>
      <c r="B91" s="94" t="s">
        <v>16</v>
      </c>
      <c r="C91" s="16" t="s">
        <v>62</v>
      </c>
      <c r="D91" s="95" t="s">
        <v>27</v>
      </c>
      <c r="E91" s="94" t="s">
        <v>122</v>
      </c>
      <c r="F91" s="96">
        <v>1.5</v>
      </c>
      <c r="G91" s="94"/>
      <c r="H91" s="96"/>
      <c r="I91" s="91" t="s">
        <v>218</v>
      </c>
      <c r="J91" s="97">
        <v>27300</v>
      </c>
      <c r="K91" s="97">
        <v>0</v>
      </c>
      <c r="L91" s="97">
        <v>0</v>
      </c>
      <c r="M9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91" s="97">
        <v>0</v>
      </c>
      <c r="O91" s="20">
        <v>0</v>
      </c>
      <c r="P91" s="98"/>
      <c r="Q91" s="99" t="str">
        <f>IFERROR((Tableau3[[#This Row],[QTY Produite]]/1000)*((1000/Tableau3[[#This Row],[Cadence]])/60)/Tableau3[[#This Row],[Heures Macines]],"0")</f>
        <v>0</v>
      </c>
      <c r="R91" s="100"/>
      <c r="S91" s="96"/>
      <c r="T91" s="18"/>
      <c r="U91" s="101"/>
      <c r="V91" s="96"/>
      <c r="W91" s="96"/>
      <c r="X91" s="101"/>
      <c r="Y91" s="96"/>
      <c r="Z91" s="96"/>
      <c r="AA91" s="101"/>
      <c r="AB91" s="96"/>
      <c r="AC91" s="96"/>
      <c r="AD91" s="101"/>
      <c r="AE91" s="96"/>
      <c r="AF91" s="96"/>
      <c r="AG91" s="101"/>
      <c r="AH91" s="96"/>
      <c r="AI91" s="96"/>
      <c r="AJ91" s="101"/>
      <c r="AK91" s="84">
        <f t="shared" si="3"/>
        <v>4</v>
      </c>
      <c r="AL91" s="24">
        <f>YEAR(Tableau3[[#This Row],[Date]])</f>
        <v>2020</v>
      </c>
      <c r="AM91" s="92">
        <f>IFERROR(((Tableau3[[#This Row],[QTY Produite]]/1000)*VLOOKUP(Tableau3[[#This Row],[Machine]],Liste!$A:$B,2))/Tableau3[[#This Row],[Heures Macines]],"0")</f>
        <v>0</v>
      </c>
      <c r="AN91" s="24" t="str">
        <f>VLOOKUP(Tableau3[[#This Row],[Opérateur 1]],Liste!$K$2:$M$68,3,FALSE)</f>
        <v>Déco</v>
      </c>
    </row>
    <row r="92" spans="1:40" s="24" customFormat="1" x14ac:dyDescent="0.25">
      <c r="A92" s="93">
        <v>43944</v>
      </c>
      <c r="B92" s="94" t="s">
        <v>16</v>
      </c>
      <c r="C92" s="16" t="s">
        <v>62</v>
      </c>
      <c r="D92" s="95" t="s">
        <v>27</v>
      </c>
      <c r="E92" s="94" t="s">
        <v>122</v>
      </c>
      <c r="F92" s="96">
        <v>6.5</v>
      </c>
      <c r="G92" s="94"/>
      <c r="H92" s="96"/>
      <c r="I92" s="91" t="s">
        <v>212</v>
      </c>
      <c r="J92" s="97">
        <v>33000</v>
      </c>
      <c r="K92" s="97">
        <v>12573</v>
      </c>
      <c r="L92" s="97">
        <v>32766</v>
      </c>
      <c r="M9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92" s="97">
        <v>8</v>
      </c>
      <c r="O92" s="20">
        <v>405</v>
      </c>
      <c r="P92" s="98">
        <v>50</v>
      </c>
      <c r="Q92" s="99">
        <f>IFERROR((Tableau3[[#This Row],[QTY Produite]]/1000)*((1000/Tableau3[[#This Row],[Cadence]])/60)/Tableau3[[#This Row],[Heures Macines]],"0")</f>
        <v>0.64476923076923076</v>
      </c>
      <c r="R92" s="100">
        <v>76</v>
      </c>
      <c r="S92" s="96"/>
      <c r="T92" s="18"/>
      <c r="U92" s="101"/>
      <c r="V92" s="96"/>
      <c r="W92" s="96"/>
      <c r="X92" s="101"/>
      <c r="Y92" s="96"/>
      <c r="Z92" s="96"/>
      <c r="AA92" s="101"/>
      <c r="AB92" s="96"/>
      <c r="AC92" s="96"/>
      <c r="AD92" s="101"/>
      <c r="AE92" s="96"/>
      <c r="AF92" s="96"/>
      <c r="AG92" s="101"/>
      <c r="AH92" s="96"/>
      <c r="AI92" s="96"/>
      <c r="AJ92" s="101"/>
      <c r="AK92" s="84">
        <f t="shared" si="3"/>
        <v>4</v>
      </c>
      <c r="AL92" s="24">
        <f>YEAR(Tableau3[[#This Row],[Date]])</f>
        <v>2020</v>
      </c>
      <c r="AM92" s="92">
        <f>IFERROR(((Tableau3[[#This Row],[QTY Produite]]/1000)*VLOOKUP(Tableau3[[#This Row],[Machine]],Liste!$A:$B,2))/Tableau3[[#This Row],[Heures Macines]],"0")</f>
        <v>0.96715384615384614</v>
      </c>
      <c r="AN92" s="24" t="str">
        <f>VLOOKUP(Tableau3[[#This Row],[Opérateur 1]],Liste!$K$2:$M$68,3,FALSE)</f>
        <v>Déco</v>
      </c>
    </row>
    <row r="93" spans="1:40" s="24" customFormat="1" x14ac:dyDescent="0.25">
      <c r="A93" s="93">
        <v>43944</v>
      </c>
      <c r="B93" s="94" t="s">
        <v>16</v>
      </c>
      <c r="C93" s="16" t="s">
        <v>62</v>
      </c>
      <c r="D93" s="95" t="s">
        <v>30</v>
      </c>
      <c r="E93" s="94" t="s">
        <v>116</v>
      </c>
      <c r="F93" s="96">
        <v>8</v>
      </c>
      <c r="G93" s="94"/>
      <c r="H93" s="96"/>
      <c r="I93" s="91" t="s">
        <v>215</v>
      </c>
      <c r="J93" s="97">
        <v>131250</v>
      </c>
      <c r="K93" s="97">
        <v>25920</v>
      </c>
      <c r="L93" s="97">
        <v>60720</v>
      </c>
      <c r="M9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93" s="97">
        <v>25</v>
      </c>
      <c r="O93" s="20">
        <v>143</v>
      </c>
      <c r="P93" s="98">
        <v>66</v>
      </c>
      <c r="Q93" s="99">
        <f>IFERROR((Tableau3[[#This Row],[QTY Produite]]/1000)*((1000/Tableau3[[#This Row],[Cadence]])/60)/Tableau3[[#This Row],[Heures Macines]],"0")</f>
        <v>0.81818181818181834</v>
      </c>
      <c r="R93" s="100">
        <v>81</v>
      </c>
      <c r="S93" s="96"/>
      <c r="T93" s="18"/>
      <c r="U93" s="101"/>
      <c r="V93" s="96"/>
      <c r="W93" s="96"/>
      <c r="X93" s="101"/>
      <c r="Y93" s="96"/>
      <c r="Z93" s="96"/>
      <c r="AA93" s="101"/>
      <c r="AB93" s="96"/>
      <c r="AC93" s="96"/>
      <c r="AD93" s="101"/>
      <c r="AE93" s="96"/>
      <c r="AF93" s="96"/>
      <c r="AG93" s="101"/>
      <c r="AH93" s="96"/>
      <c r="AI93" s="96"/>
      <c r="AJ93" s="101"/>
      <c r="AK93" s="84">
        <f t="shared" si="3"/>
        <v>4</v>
      </c>
      <c r="AL93" s="24">
        <f>YEAR(Tableau3[[#This Row],[Date]])</f>
        <v>2020</v>
      </c>
      <c r="AM93" s="92">
        <f>IFERROR(((Tableau3[[#This Row],[QTY Produite]]/1000)*VLOOKUP(Tableau3[[#This Row],[Machine]],Liste!$A:$B,2))/Tableau3[[#This Row],[Heures Macines]],"0")</f>
        <v>1.944</v>
      </c>
      <c r="AN93" s="24" t="str">
        <f>VLOOKUP(Tableau3[[#This Row],[Opérateur 1]],Liste!$K$2:$M$68,3,FALSE)</f>
        <v>Déco</v>
      </c>
    </row>
    <row r="94" spans="1:40" s="24" customFormat="1" x14ac:dyDescent="0.25">
      <c r="A94" s="93">
        <v>43944</v>
      </c>
      <c r="B94" s="94" t="s">
        <v>16</v>
      </c>
      <c r="C94" s="16" t="s">
        <v>62</v>
      </c>
      <c r="D94" s="95" t="s">
        <v>21</v>
      </c>
      <c r="E94" s="94" t="s">
        <v>110</v>
      </c>
      <c r="F94" s="96">
        <v>3.5</v>
      </c>
      <c r="G94" s="94"/>
      <c r="H94" s="96"/>
      <c r="I94" s="91" t="s">
        <v>217</v>
      </c>
      <c r="J94" s="97">
        <v>3300</v>
      </c>
      <c r="K94" s="97">
        <v>3136</v>
      </c>
      <c r="L94" s="97">
        <v>3136</v>
      </c>
      <c r="M9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2.5</v>
      </c>
      <c r="N94" s="97">
        <v>20</v>
      </c>
      <c r="O94" s="20">
        <v>539</v>
      </c>
      <c r="P94" s="98">
        <v>114</v>
      </c>
      <c r="Q94" s="99">
        <f>IFERROR((Tableau3[[#This Row],[QTY Produite]]/1000)*((1000/Tableau3[[#This Row],[Cadence]])/60)/Tableau3[[#This Row],[Heures Macines]],"0")</f>
        <v>0.18339181286549711</v>
      </c>
      <c r="R94" s="100">
        <v>13</v>
      </c>
      <c r="S94" s="96" t="s">
        <v>193</v>
      </c>
      <c r="T94" s="18">
        <v>1</v>
      </c>
      <c r="U94" s="101"/>
      <c r="V94" s="96"/>
      <c r="W94" s="96"/>
      <c r="X94" s="101"/>
      <c r="Y94" s="96"/>
      <c r="Z94" s="96"/>
      <c r="AA94" s="101"/>
      <c r="AB94" s="96"/>
      <c r="AC94" s="96"/>
      <c r="AD94" s="101"/>
      <c r="AE94" s="96"/>
      <c r="AF94" s="96"/>
      <c r="AG94" s="101"/>
      <c r="AH94" s="96"/>
      <c r="AI94" s="96"/>
      <c r="AJ94" s="101"/>
      <c r="AK94" s="84">
        <f t="shared" si="3"/>
        <v>4</v>
      </c>
      <c r="AL94" s="24">
        <f>YEAR(Tableau3[[#This Row],[Date]])</f>
        <v>2020</v>
      </c>
      <c r="AM94" s="92">
        <f>IFERROR(((Tableau3[[#This Row],[QTY Produite]]/1000)*VLOOKUP(Tableau3[[#This Row],[Machine]],Liste!$A:$B,2))/Tableau3[[#This Row],[Heures Macines]],"0")</f>
        <v>0.75263999999999998</v>
      </c>
      <c r="AN94" s="24" t="str">
        <f>VLOOKUP(Tableau3[[#This Row],[Opérateur 1]],Liste!$K$2:$M$68,3,FALSE)</f>
        <v>Déco</v>
      </c>
    </row>
    <row r="95" spans="1:40" s="24" customFormat="1" x14ac:dyDescent="0.25">
      <c r="A95" s="93">
        <v>43944</v>
      </c>
      <c r="B95" s="94" t="s">
        <v>16</v>
      </c>
      <c r="C95" s="16" t="s">
        <v>62</v>
      </c>
      <c r="D95" s="95" t="s">
        <v>29</v>
      </c>
      <c r="E95" s="94" t="s">
        <v>143</v>
      </c>
      <c r="F95" s="96">
        <v>8</v>
      </c>
      <c r="G95" s="94"/>
      <c r="H95" s="96"/>
      <c r="I95" s="91" t="s">
        <v>208</v>
      </c>
      <c r="J95" s="97">
        <v>69300</v>
      </c>
      <c r="K95" s="97">
        <v>7620</v>
      </c>
      <c r="L95" s="97">
        <v>8636</v>
      </c>
      <c r="M9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95" s="97">
        <v>6</v>
      </c>
      <c r="O95" s="20">
        <v>310</v>
      </c>
      <c r="P95" s="98">
        <v>29</v>
      </c>
      <c r="Q95" s="99">
        <f>IFERROR((Tableau3[[#This Row],[QTY Produite]]/1000)*((1000/Tableau3[[#This Row],[Cadence]])/60)/Tableau3[[#This Row],[Heures Macines]],"0")</f>
        <v>0.5474137931034484</v>
      </c>
      <c r="R95" s="100">
        <v>55</v>
      </c>
      <c r="S95" s="96"/>
      <c r="T95" s="18"/>
      <c r="U95" s="101"/>
      <c r="V95" s="96"/>
      <c r="W95" s="96"/>
      <c r="X95" s="101"/>
      <c r="Y95" s="96"/>
      <c r="Z95" s="96"/>
      <c r="AA95" s="101"/>
      <c r="AB95" s="96"/>
      <c r="AC95" s="96"/>
      <c r="AD95" s="101"/>
      <c r="AE95" s="96"/>
      <c r="AF95" s="96"/>
      <c r="AG95" s="101"/>
      <c r="AH95" s="96"/>
      <c r="AI95" s="96"/>
      <c r="AJ95" s="101"/>
      <c r="AK95" s="84">
        <f t="shared" si="3"/>
        <v>4</v>
      </c>
      <c r="AL95" s="24">
        <f>YEAR(Tableau3[[#This Row],[Date]])</f>
        <v>2020</v>
      </c>
      <c r="AM95" s="92">
        <f>IFERROR(((Tableau3[[#This Row],[QTY Produite]]/1000)*VLOOKUP(Tableau3[[#This Row],[Machine]],Liste!$A:$B,2))/Tableau3[[#This Row],[Heures Macines]],"0")</f>
        <v>0.85725000000000007</v>
      </c>
      <c r="AN95" s="24" t="str">
        <f>VLOOKUP(Tableau3[[#This Row],[Opérateur 1]],Liste!$K$2:$M$68,3,FALSE)</f>
        <v>Déco</v>
      </c>
    </row>
    <row r="96" spans="1:40" s="24" customFormat="1" x14ac:dyDescent="0.25">
      <c r="A96" s="93">
        <v>43944</v>
      </c>
      <c r="B96" s="94" t="s">
        <v>16</v>
      </c>
      <c r="C96" s="16" t="s">
        <v>62</v>
      </c>
      <c r="D96" s="95" t="s">
        <v>18</v>
      </c>
      <c r="E96" s="94" t="s">
        <v>141</v>
      </c>
      <c r="F96" s="96">
        <v>4.25</v>
      </c>
      <c r="G96" s="94"/>
      <c r="H96" s="96"/>
      <c r="I96" s="91">
        <v>25851</v>
      </c>
      <c r="J96" s="97">
        <v>139781</v>
      </c>
      <c r="K96" s="97">
        <v>8400</v>
      </c>
      <c r="L96" s="97">
        <v>142800</v>
      </c>
      <c r="M9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96" s="97">
        <v>15</v>
      </c>
      <c r="O96" s="20">
        <v>200</v>
      </c>
      <c r="P96" s="98">
        <v>90</v>
      </c>
      <c r="Q96" s="99">
        <f>IFERROR((Tableau3[[#This Row],[QTY Produite]]/1000)*((1000/Tableau3[[#This Row],[Cadence]])/60)/Tableau3[[#This Row],[Heures Macines]],"0")</f>
        <v>0.36601307189542487</v>
      </c>
      <c r="R96" s="100">
        <v>36</v>
      </c>
      <c r="S96" s="96"/>
      <c r="T96" s="18"/>
      <c r="U96" s="101"/>
      <c r="V96" s="96"/>
      <c r="W96" s="96"/>
      <c r="X96" s="101"/>
      <c r="Y96" s="96"/>
      <c r="Z96" s="96"/>
      <c r="AA96" s="101"/>
      <c r="AB96" s="96"/>
      <c r="AC96" s="96"/>
      <c r="AD96" s="101"/>
      <c r="AE96" s="96"/>
      <c r="AF96" s="96"/>
      <c r="AG96" s="101"/>
      <c r="AH96" s="96"/>
      <c r="AI96" s="96"/>
      <c r="AJ96" s="101"/>
      <c r="AK96" s="84">
        <f t="shared" si="3"/>
        <v>4</v>
      </c>
      <c r="AL96" s="24">
        <f>YEAR(Tableau3[[#This Row],[Date]])</f>
        <v>2020</v>
      </c>
      <c r="AM96" s="92">
        <f>IFERROR(((Tableau3[[#This Row],[QTY Produite]]/1000)*VLOOKUP(Tableau3[[#This Row],[Machine]],Liste!$A:$B,2))/Tableau3[[#This Row],[Heures Macines]],"0")</f>
        <v>0.7905882352941177</v>
      </c>
      <c r="AN96" s="24" t="str">
        <f>VLOOKUP(Tableau3[[#This Row],[Opérateur 1]],Liste!$K$2:$M$68,3,FALSE)</f>
        <v>Imp</v>
      </c>
    </row>
    <row r="97" spans="1:40" s="24" customFormat="1" x14ac:dyDescent="0.25">
      <c r="A97" s="93">
        <v>43944</v>
      </c>
      <c r="B97" s="94" t="s">
        <v>16</v>
      </c>
      <c r="C97" s="16" t="s">
        <v>62</v>
      </c>
      <c r="D97" s="95" t="s">
        <v>18</v>
      </c>
      <c r="E97" s="94" t="s">
        <v>141</v>
      </c>
      <c r="F97" s="96">
        <v>3.75</v>
      </c>
      <c r="G97" s="94"/>
      <c r="H97" s="96"/>
      <c r="I97" s="91">
        <v>25853</v>
      </c>
      <c r="J97" s="97">
        <v>139781</v>
      </c>
      <c r="K97" s="97">
        <v>5040</v>
      </c>
      <c r="L97" s="97">
        <v>5040</v>
      </c>
      <c r="M9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3.75</v>
      </c>
      <c r="N97" s="97">
        <v>10</v>
      </c>
      <c r="O97" s="20">
        <v>621</v>
      </c>
      <c r="P97" s="98">
        <v>75</v>
      </c>
      <c r="Q97" s="99">
        <f>IFERROR((Tableau3[[#This Row],[QTY Produite]]/1000)*((1000/Tableau3[[#This Row],[Cadence]])/60)/Tableau3[[#This Row],[Heures Macines]],"0")</f>
        <v>0.29866666666666669</v>
      </c>
      <c r="R97" s="100">
        <v>30</v>
      </c>
      <c r="S97" s="96"/>
      <c r="T97" s="18"/>
      <c r="U97" s="101"/>
      <c r="V97" s="96"/>
      <c r="W97" s="96"/>
      <c r="X97" s="101"/>
      <c r="Y97" s="96"/>
      <c r="Z97" s="96"/>
      <c r="AA97" s="101"/>
      <c r="AB97" s="96"/>
      <c r="AC97" s="96"/>
      <c r="AD97" s="101"/>
      <c r="AE97" s="96"/>
      <c r="AF97" s="96"/>
      <c r="AG97" s="101"/>
      <c r="AH97" s="96"/>
      <c r="AI97" s="96"/>
      <c r="AJ97" s="101"/>
      <c r="AK97" s="84">
        <f t="shared" si="3"/>
        <v>4</v>
      </c>
      <c r="AL97" s="24">
        <f>YEAR(Tableau3[[#This Row],[Date]])</f>
        <v>2020</v>
      </c>
      <c r="AM97" s="92">
        <f>IFERROR(((Tableau3[[#This Row],[QTY Produite]]/1000)*VLOOKUP(Tableau3[[#This Row],[Machine]],Liste!$A:$B,2))/Tableau3[[#This Row],[Heures Macines]],"0")</f>
        <v>0.53759999999999997</v>
      </c>
      <c r="AN97" s="24" t="str">
        <f>VLOOKUP(Tableau3[[#This Row],[Opérateur 1]],Liste!$K$2:$M$68,3,FALSE)</f>
        <v>Imp</v>
      </c>
    </row>
    <row r="98" spans="1:40" s="24" customFormat="1" x14ac:dyDescent="0.25">
      <c r="A98" s="93">
        <v>43944</v>
      </c>
      <c r="B98" s="94" t="s">
        <v>16</v>
      </c>
      <c r="C98" s="16" t="s">
        <v>62</v>
      </c>
      <c r="D98" s="95" t="s">
        <v>22</v>
      </c>
      <c r="E98" s="94" t="s">
        <v>112</v>
      </c>
      <c r="F98" s="96">
        <v>0.5</v>
      </c>
      <c r="G98" s="94"/>
      <c r="H98" s="96"/>
      <c r="I98" s="91">
        <v>25903</v>
      </c>
      <c r="J98" s="97">
        <v>148866</v>
      </c>
      <c r="K98" s="97">
        <v>0</v>
      </c>
      <c r="L98" s="97">
        <v>0</v>
      </c>
      <c r="M9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0.5</v>
      </c>
      <c r="N98" s="97">
        <v>0</v>
      </c>
      <c r="O98" s="20">
        <v>0</v>
      </c>
      <c r="P98" s="98"/>
      <c r="Q98" s="99" t="str">
        <f>IFERROR((Tableau3[[#This Row],[QTY Produite]]/1000)*((1000/Tableau3[[#This Row],[Cadence]])/60)/Tableau3[[#This Row],[Heures Macines]],"0")</f>
        <v>0</v>
      </c>
      <c r="R98" s="100"/>
      <c r="S98" s="96"/>
      <c r="T98" s="18"/>
      <c r="U98" s="101"/>
      <c r="V98" s="96"/>
      <c r="W98" s="96"/>
      <c r="X98" s="101"/>
      <c r="Y98" s="96"/>
      <c r="Z98" s="96"/>
      <c r="AA98" s="101"/>
      <c r="AB98" s="96"/>
      <c r="AC98" s="96"/>
      <c r="AD98" s="101"/>
      <c r="AE98" s="96"/>
      <c r="AF98" s="96"/>
      <c r="AG98" s="101"/>
      <c r="AH98" s="96"/>
      <c r="AI98" s="96"/>
      <c r="AJ98" s="101"/>
      <c r="AK98" s="84">
        <f t="shared" si="3"/>
        <v>4</v>
      </c>
      <c r="AL98" s="24">
        <f>YEAR(Tableau3[[#This Row],[Date]])</f>
        <v>2020</v>
      </c>
      <c r="AM98" s="92">
        <f>IFERROR(((Tableau3[[#This Row],[QTY Produite]]/1000)*VLOOKUP(Tableau3[[#This Row],[Machine]],Liste!$A:$B,2))/Tableau3[[#This Row],[Heures Macines]],"0")</f>
        <v>0</v>
      </c>
      <c r="AN98" s="24" t="str">
        <f>VLOOKUP(Tableau3[[#This Row],[Opérateur 1]],Liste!$K$2:$M$68,3,FALSE)</f>
        <v>Mono</v>
      </c>
    </row>
    <row r="99" spans="1:40" s="24" customFormat="1" x14ac:dyDescent="0.25">
      <c r="A99" s="93">
        <v>43944</v>
      </c>
      <c r="B99" s="94" t="s">
        <v>16</v>
      </c>
      <c r="C99" s="16" t="s">
        <v>62</v>
      </c>
      <c r="D99" s="95" t="s">
        <v>22</v>
      </c>
      <c r="E99" s="94" t="s">
        <v>112</v>
      </c>
      <c r="F99" s="96">
        <v>7.5</v>
      </c>
      <c r="G99" s="94"/>
      <c r="H99" s="96"/>
      <c r="I99" s="91">
        <v>25860</v>
      </c>
      <c r="J99" s="97">
        <v>526332</v>
      </c>
      <c r="K99" s="97">
        <v>30240</v>
      </c>
      <c r="L99" s="97">
        <v>526560</v>
      </c>
      <c r="M9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7.5</v>
      </c>
      <c r="N99" s="97">
        <v>266</v>
      </c>
      <c r="O99" s="20">
        <v>68</v>
      </c>
      <c r="P99" s="98">
        <v>80</v>
      </c>
      <c r="Q99" s="99">
        <f>IFERROR((Tableau3[[#This Row],[QTY Produite]]/1000)*((1000/Tableau3[[#This Row],[Cadence]])/60)/Tableau3[[#This Row],[Heures Macines]],"0")</f>
        <v>0.84</v>
      </c>
      <c r="R99" s="100">
        <v>84</v>
      </c>
      <c r="S99" s="96"/>
      <c r="T99" s="18"/>
      <c r="U99" s="101"/>
      <c r="V99" s="96"/>
      <c r="W99" s="96"/>
      <c r="X99" s="101"/>
      <c r="Y99" s="96"/>
      <c r="Z99" s="96"/>
      <c r="AA99" s="101"/>
      <c r="AB99" s="96"/>
      <c r="AC99" s="96"/>
      <c r="AD99" s="101"/>
      <c r="AE99" s="96"/>
      <c r="AF99" s="96"/>
      <c r="AG99" s="101"/>
      <c r="AH99" s="96"/>
      <c r="AI99" s="96"/>
      <c r="AJ99" s="101"/>
      <c r="AK99" s="84">
        <f t="shared" si="3"/>
        <v>4</v>
      </c>
      <c r="AL99" s="24">
        <f>YEAR(Tableau3[[#This Row],[Date]])</f>
        <v>2020</v>
      </c>
      <c r="AM99" s="92">
        <f>IFERROR(((Tableau3[[#This Row],[QTY Produite]]/1000)*VLOOKUP(Tableau3[[#This Row],[Machine]],Liste!$A:$B,2))/Tableau3[[#This Row],[Heures Macines]],"0")</f>
        <v>1.2095999999999998</v>
      </c>
      <c r="AN99" s="24" t="str">
        <f>VLOOKUP(Tableau3[[#This Row],[Opérateur 1]],Liste!$K$2:$M$68,3,FALSE)</f>
        <v>Mono</v>
      </c>
    </row>
    <row r="100" spans="1:40" s="24" customFormat="1" x14ac:dyDescent="0.25">
      <c r="A100" s="93">
        <v>43944</v>
      </c>
      <c r="B100" s="94" t="s">
        <v>16</v>
      </c>
      <c r="C100" s="16" t="s">
        <v>62</v>
      </c>
      <c r="D100" s="95" t="s">
        <v>26</v>
      </c>
      <c r="E100" s="94" t="s">
        <v>136</v>
      </c>
      <c r="F100" s="96">
        <v>8</v>
      </c>
      <c r="G100" s="94"/>
      <c r="H100" s="96"/>
      <c r="I100" s="91">
        <v>25374</v>
      </c>
      <c r="J100" s="97">
        <v>6933</v>
      </c>
      <c r="K100" s="97">
        <v>6985</v>
      </c>
      <c r="L100" s="97">
        <v>6985</v>
      </c>
      <c r="M10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0" s="97">
        <v>1135</v>
      </c>
      <c r="O100" s="20">
        <v>165</v>
      </c>
      <c r="P100" s="98">
        <v>50</v>
      </c>
      <c r="Q100" s="99">
        <f>IFERROR((Tableau3[[#This Row],[QTY Produite]]/1000)*((1000/Tableau3[[#This Row],[Cadence]])/60)/Tableau3[[#This Row],[Heures Macines]],"0")</f>
        <v>0.29104166666666664</v>
      </c>
      <c r="R100" s="100">
        <v>29</v>
      </c>
      <c r="S100" s="96"/>
      <c r="T100" s="18"/>
      <c r="U100" s="101"/>
      <c r="V100" s="96"/>
      <c r="W100" s="96"/>
      <c r="X100" s="101"/>
      <c r="Y100" s="96"/>
      <c r="Z100" s="96"/>
      <c r="AA100" s="101"/>
      <c r="AB100" s="96"/>
      <c r="AC100" s="96"/>
      <c r="AD100" s="101"/>
      <c r="AE100" s="96"/>
      <c r="AF100" s="96"/>
      <c r="AG100" s="101"/>
      <c r="AH100" s="96"/>
      <c r="AI100" s="96"/>
      <c r="AJ100" s="101"/>
      <c r="AK100" s="84">
        <f t="shared" si="3"/>
        <v>4</v>
      </c>
      <c r="AL100" s="24">
        <f>YEAR(Tableau3[[#This Row],[Date]])</f>
        <v>2020</v>
      </c>
      <c r="AM100" s="92">
        <f>IFERROR(((Tableau3[[#This Row],[QTY Produite]]/1000)*VLOOKUP(Tableau3[[#This Row],[Machine]],Liste!$A:$B,2))/Tableau3[[#This Row],[Heures Macines]],"0")</f>
        <v>0.43656250000000002</v>
      </c>
      <c r="AN100" s="24" t="str">
        <f>VLOOKUP(Tableau3[[#This Row],[Opérateur 1]],Liste!$K$2:$M$68,3,FALSE)</f>
        <v>Multi</v>
      </c>
    </row>
    <row r="101" spans="1:40" s="24" customFormat="1" x14ac:dyDescent="0.25">
      <c r="A101" s="93">
        <v>43944</v>
      </c>
      <c r="B101" s="94"/>
      <c r="C101" s="16"/>
      <c r="D101" s="95"/>
      <c r="E101" s="94"/>
      <c r="F101" s="96"/>
      <c r="G101" s="94"/>
      <c r="H101" s="96"/>
      <c r="I101" s="91"/>
      <c r="J101" s="97"/>
      <c r="K101" s="97"/>
      <c r="L101" s="97"/>
      <c r="M10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01" s="97"/>
      <c r="O101" s="20"/>
      <c r="P101" s="98"/>
      <c r="Q101" s="99" t="str">
        <f>IFERROR((Tableau3[[#This Row],[QTY Produite]]/1000)*((1000/Tableau3[[#This Row],[Cadence]])/60)/Tableau3[[#This Row],[Heures Macines]],"0")</f>
        <v>0</v>
      </c>
      <c r="R101" s="100"/>
      <c r="S101" s="96"/>
      <c r="T101" s="18"/>
      <c r="U101" s="101"/>
      <c r="V101" s="96"/>
      <c r="W101" s="96"/>
      <c r="X101" s="101"/>
      <c r="Y101" s="96"/>
      <c r="Z101" s="96"/>
      <c r="AA101" s="101"/>
      <c r="AB101" s="96"/>
      <c r="AC101" s="96"/>
      <c r="AD101" s="101"/>
      <c r="AE101" s="96"/>
      <c r="AF101" s="96"/>
      <c r="AG101" s="101"/>
      <c r="AH101" s="96"/>
      <c r="AI101" s="96"/>
      <c r="AJ101" s="101"/>
      <c r="AK101" s="84">
        <f t="shared" ref="AK101:AK112" si="4">MONTH(A101)</f>
        <v>4</v>
      </c>
      <c r="AL101" s="24">
        <f>YEAR(Tableau3[[#This Row],[Date]])</f>
        <v>2020</v>
      </c>
      <c r="AM101" s="92" t="str">
        <f>IFERROR(((Tableau3[[#This Row],[QTY Produite]]/1000)*VLOOKUP(Tableau3[[#This Row],[Machine]],Liste!$A:$B,2))/Tableau3[[#This Row],[Heures Macines]],"0")</f>
        <v>0</v>
      </c>
      <c r="AN101" s="24" t="e">
        <f>VLOOKUP(Tableau3[[#This Row],[Opérateur 1]],Liste!$K$2:$M$68,3,FALSE)</f>
        <v>#N/A</v>
      </c>
    </row>
    <row r="102" spans="1:40" s="24" customFormat="1" x14ac:dyDescent="0.25">
      <c r="A102" s="93">
        <v>43944</v>
      </c>
      <c r="B102" s="94" t="s">
        <v>19</v>
      </c>
      <c r="C102" s="16" t="s">
        <v>63</v>
      </c>
      <c r="D102" s="95" t="s">
        <v>32</v>
      </c>
      <c r="E102" s="94"/>
      <c r="F102" s="96"/>
      <c r="G102" s="94"/>
      <c r="H102" s="96"/>
      <c r="I102" s="91" t="s">
        <v>216</v>
      </c>
      <c r="J102" s="97">
        <v>26548</v>
      </c>
      <c r="K102" s="97">
        <v>4704</v>
      </c>
      <c r="L102" s="97">
        <v>9408</v>
      </c>
      <c r="M10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02" s="97">
        <v>10</v>
      </c>
      <c r="O102" s="20">
        <v>0</v>
      </c>
      <c r="P102" s="98"/>
      <c r="Q102" s="99" t="str">
        <f>IFERROR((Tableau3[[#This Row],[QTY Produite]]/1000)*((1000/Tableau3[[#This Row],[Cadence]])/60)/Tableau3[[#This Row],[Heures Macines]],"0")</f>
        <v>0</v>
      </c>
      <c r="R102" s="100"/>
      <c r="S102" s="96"/>
      <c r="T102" s="18"/>
      <c r="U102" s="101"/>
      <c r="V102" s="96"/>
      <c r="W102" s="96"/>
      <c r="X102" s="101"/>
      <c r="Y102" s="96"/>
      <c r="Z102" s="96"/>
      <c r="AA102" s="101"/>
      <c r="AB102" s="96"/>
      <c r="AC102" s="96"/>
      <c r="AD102" s="101"/>
      <c r="AE102" s="96"/>
      <c r="AF102" s="96"/>
      <c r="AG102" s="101"/>
      <c r="AH102" s="96"/>
      <c r="AI102" s="96"/>
      <c r="AJ102" s="101"/>
      <c r="AK102" s="84">
        <f t="shared" si="4"/>
        <v>4</v>
      </c>
      <c r="AL102" s="24">
        <f>YEAR(Tableau3[[#This Row],[Date]])</f>
        <v>2020</v>
      </c>
      <c r="AM102" s="92" t="str">
        <f>IFERROR(((Tableau3[[#This Row],[QTY Produite]]/1000)*VLOOKUP(Tableau3[[#This Row],[Machine]],Liste!$A:$B,2))/Tableau3[[#This Row],[Heures Macines]],"0")</f>
        <v>0</v>
      </c>
      <c r="AN102" s="24" t="e">
        <f>VLOOKUP(Tableau3[[#This Row],[Opérateur 1]],Liste!$K$2:$M$68,3,FALSE)</f>
        <v>#N/A</v>
      </c>
    </row>
    <row r="103" spans="1:40" s="24" customFormat="1" x14ac:dyDescent="0.25">
      <c r="A103" s="93">
        <v>43944</v>
      </c>
      <c r="B103" s="94" t="s">
        <v>19</v>
      </c>
      <c r="C103" s="16" t="s">
        <v>63</v>
      </c>
      <c r="D103" s="95" t="s">
        <v>30</v>
      </c>
      <c r="E103" s="94" t="s">
        <v>130</v>
      </c>
      <c r="F103" s="96">
        <v>4.75</v>
      </c>
      <c r="G103" s="94"/>
      <c r="H103" s="96"/>
      <c r="I103" s="91" t="s">
        <v>215</v>
      </c>
      <c r="J103" s="97">
        <v>131250</v>
      </c>
      <c r="K103" s="97">
        <v>9600</v>
      </c>
      <c r="L103" s="97">
        <v>9600</v>
      </c>
      <c r="M10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4.75</v>
      </c>
      <c r="N103" s="97">
        <v>5</v>
      </c>
      <c r="O103" s="20">
        <v>117</v>
      </c>
      <c r="P103" s="98">
        <v>66</v>
      </c>
      <c r="Q103" s="99">
        <f>IFERROR((Tableau3[[#This Row],[QTY Produite]]/1000)*((1000/Tableau3[[#This Row],[Cadence]])/60)/Tableau3[[#This Row],[Heures Macines]],"0")</f>
        <v>0.5103668261562998</v>
      </c>
      <c r="R103" s="100">
        <v>50</v>
      </c>
      <c r="S103" s="96"/>
      <c r="T103" s="18"/>
      <c r="U103" s="101"/>
      <c r="V103" s="96"/>
      <c r="W103" s="96"/>
      <c r="X103" s="101"/>
      <c r="Y103" s="96"/>
      <c r="Z103" s="96"/>
      <c r="AA103" s="101"/>
      <c r="AB103" s="96"/>
      <c r="AC103" s="96"/>
      <c r="AD103" s="101"/>
      <c r="AE103" s="96"/>
      <c r="AF103" s="96"/>
      <c r="AG103" s="101"/>
      <c r="AH103" s="96"/>
      <c r="AI103" s="96"/>
      <c r="AJ103" s="101"/>
      <c r="AK103" s="84">
        <f t="shared" si="4"/>
        <v>4</v>
      </c>
      <c r="AL103" s="24">
        <f>YEAR(Tableau3[[#This Row],[Date]])</f>
        <v>2020</v>
      </c>
      <c r="AM103" s="92">
        <f>IFERROR(((Tableau3[[#This Row],[QTY Produite]]/1000)*VLOOKUP(Tableau3[[#This Row],[Machine]],Liste!$A:$B,2))/Tableau3[[#This Row],[Heures Macines]],"0")</f>
        <v>1.2126315789473683</v>
      </c>
      <c r="AN103" s="24" t="str">
        <f>VLOOKUP(Tableau3[[#This Row],[Opérateur 1]],Liste!$K$2:$M$68,3,FALSE)</f>
        <v>Déco</v>
      </c>
    </row>
    <row r="104" spans="1:40" s="24" customFormat="1" x14ac:dyDescent="0.25">
      <c r="A104" s="93">
        <v>43944</v>
      </c>
      <c r="B104" s="94" t="s">
        <v>19</v>
      </c>
      <c r="C104" s="16" t="s">
        <v>63</v>
      </c>
      <c r="D104" s="95" t="s">
        <v>30</v>
      </c>
      <c r="E104" s="94" t="s">
        <v>130</v>
      </c>
      <c r="F104" s="96">
        <v>3.25</v>
      </c>
      <c r="G104" s="94"/>
      <c r="H104" s="96"/>
      <c r="I104" s="91" t="s">
        <v>187</v>
      </c>
      <c r="J104" s="97">
        <v>135960</v>
      </c>
      <c r="K104" s="97">
        <v>5684</v>
      </c>
      <c r="L104" s="97">
        <v>136220</v>
      </c>
      <c r="M10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3.25</v>
      </c>
      <c r="N104" s="97">
        <v>40</v>
      </c>
      <c r="O104" s="20">
        <v>140</v>
      </c>
      <c r="P104" s="98">
        <v>66</v>
      </c>
      <c r="Q104" s="99">
        <f>IFERROR((Tableau3[[#This Row],[QTY Produite]]/1000)*((1000/Tableau3[[#This Row],[Cadence]])/60)/Tableau3[[#This Row],[Heures Macines]],"0")</f>
        <v>0.44164724164724167</v>
      </c>
      <c r="R104" s="100">
        <v>44</v>
      </c>
      <c r="S104" s="96"/>
      <c r="T104" s="18"/>
      <c r="U104" s="101"/>
      <c r="V104" s="96"/>
      <c r="W104" s="96"/>
      <c r="X104" s="101"/>
      <c r="Y104" s="96"/>
      <c r="Z104" s="96"/>
      <c r="AA104" s="101"/>
      <c r="AB104" s="96"/>
      <c r="AC104" s="96"/>
      <c r="AD104" s="101"/>
      <c r="AE104" s="96"/>
      <c r="AF104" s="96"/>
      <c r="AG104" s="101"/>
      <c r="AH104" s="96"/>
      <c r="AI104" s="96"/>
      <c r="AJ104" s="101"/>
      <c r="AK104" s="84">
        <f t="shared" si="4"/>
        <v>4</v>
      </c>
      <c r="AL104" s="24">
        <f>YEAR(Tableau3[[#This Row],[Date]])</f>
        <v>2020</v>
      </c>
      <c r="AM104" s="92">
        <f>IFERROR(((Tableau3[[#This Row],[QTY Produite]]/1000)*VLOOKUP(Tableau3[[#This Row],[Machine]],Liste!$A:$B,2))/Tableau3[[#This Row],[Heures Macines]],"0")</f>
        <v>1.0493538461538461</v>
      </c>
      <c r="AN104" s="24" t="str">
        <f>VLOOKUP(Tableau3[[#This Row],[Opérateur 1]],Liste!$K$2:$M$68,3,FALSE)</f>
        <v>Déco</v>
      </c>
    </row>
    <row r="105" spans="1:40" s="24" customFormat="1" x14ac:dyDescent="0.25">
      <c r="A105" s="93">
        <v>43944</v>
      </c>
      <c r="B105" s="94" t="s">
        <v>19</v>
      </c>
      <c r="C105" s="16" t="s">
        <v>63</v>
      </c>
      <c r="D105" s="95" t="s">
        <v>23</v>
      </c>
      <c r="E105" s="94" t="s">
        <v>142</v>
      </c>
      <c r="F105" s="96">
        <v>8</v>
      </c>
      <c r="G105" s="94"/>
      <c r="H105" s="96"/>
      <c r="I105" s="91" t="s">
        <v>188</v>
      </c>
      <c r="J105" s="97">
        <v>94500</v>
      </c>
      <c r="K105" s="97">
        <v>11811</v>
      </c>
      <c r="L105" s="97">
        <v>85596</v>
      </c>
      <c r="M10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5" s="97">
        <v>75</v>
      </c>
      <c r="O105" s="20">
        <v>197</v>
      </c>
      <c r="P105" s="98">
        <v>35</v>
      </c>
      <c r="Q105" s="99">
        <f>IFERROR((Tableau3[[#This Row],[QTY Produite]]/1000)*((1000/Tableau3[[#This Row],[Cadence]])/60)/Tableau3[[#This Row],[Heures Macines]],"0")</f>
        <v>0.70303571428571432</v>
      </c>
      <c r="R105" s="100">
        <v>74</v>
      </c>
      <c r="S105" s="96"/>
      <c r="T105" s="18"/>
      <c r="U105" s="101"/>
      <c r="V105" s="96"/>
      <c r="W105" s="96"/>
      <c r="X105" s="101"/>
      <c r="Y105" s="96"/>
      <c r="Z105" s="96"/>
      <c r="AA105" s="101"/>
      <c r="AB105" s="96"/>
      <c r="AC105" s="96"/>
      <c r="AD105" s="101"/>
      <c r="AE105" s="96"/>
      <c r="AF105" s="96"/>
      <c r="AG105" s="101"/>
      <c r="AH105" s="96"/>
      <c r="AI105" s="96"/>
      <c r="AJ105" s="101"/>
      <c r="AK105" s="84">
        <f t="shared" si="4"/>
        <v>4</v>
      </c>
      <c r="AL105" s="24">
        <f>YEAR(Tableau3[[#This Row],[Date]])</f>
        <v>2020</v>
      </c>
      <c r="AM105" s="92">
        <f>IFERROR(((Tableau3[[#This Row],[QTY Produite]]/1000)*VLOOKUP(Tableau3[[#This Row],[Machine]],Liste!$A:$B,2))/Tableau3[[#This Row],[Heures Macines]],"0")</f>
        <v>0.59055000000000002</v>
      </c>
      <c r="AN105" s="24" t="str">
        <f>VLOOKUP(Tableau3[[#This Row],[Opérateur 1]],Liste!$K$2:$M$68,3,FALSE)</f>
        <v>Déco</v>
      </c>
    </row>
    <row r="106" spans="1:40" s="24" customFormat="1" x14ac:dyDescent="0.25">
      <c r="A106" s="93">
        <v>43944</v>
      </c>
      <c r="B106" s="94" t="s">
        <v>19</v>
      </c>
      <c r="C106" s="16" t="s">
        <v>63</v>
      </c>
      <c r="D106" s="95" t="s">
        <v>18</v>
      </c>
      <c r="E106" s="94" t="s">
        <v>121</v>
      </c>
      <c r="F106" s="96">
        <v>8</v>
      </c>
      <c r="G106" s="94"/>
      <c r="H106" s="96"/>
      <c r="I106" s="91">
        <v>25851</v>
      </c>
      <c r="J106" s="97">
        <v>139781</v>
      </c>
      <c r="K106" s="97">
        <v>31440</v>
      </c>
      <c r="L106" s="97">
        <v>104400</v>
      </c>
      <c r="M10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6" s="97">
        <v>200</v>
      </c>
      <c r="O106" s="20">
        <v>234</v>
      </c>
      <c r="P106" s="98">
        <v>90</v>
      </c>
      <c r="Q106" s="99">
        <f>IFERROR((Tableau3[[#This Row],[QTY Produite]]/1000)*((1000/Tableau3[[#This Row],[Cadence]])/60)/Tableau3[[#This Row],[Heures Macines]],"0")</f>
        <v>0.72777777777777775</v>
      </c>
      <c r="R106" s="100">
        <v>73</v>
      </c>
      <c r="S106" s="96"/>
      <c r="T106" s="18"/>
      <c r="U106" s="101"/>
      <c r="V106" s="96"/>
      <c r="W106" s="96"/>
      <c r="X106" s="101"/>
      <c r="Y106" s="96"/>
      <c r="Z106" s="96"/>
      <c r="AA106" s="101"/>
      <c r="AB106" s="96"/>
      <c r="AC106" s="96"/>
      <c r="AD106" s="101"/>
      <c r="AE106" s="96"/>
      <c r="AF106" s="96"/>
      <c r="AG106" s="101"/>
      <c r="AH106" s="96"/>
      <c r="AI106" s="96"/>
      <c r="AJ106" s="101"/>
      <c r="AK106" s="84">
        <f t="shared" si="4"/>
        <v>4</v>
      </c>
      <c r="AL106" s="24">
        <f>YEAR(Tableau3[[#This Row],[Date]])</f>
        <v>2020</v>
      </c>
      <c r="AM106" s="92">
        <f>IFERROR(((Tableau3[[#This Row],[QTY Produite]]/1000)*VLOOKUP(Tableau3[[#This Row],[Machine]],Liste!$A:$B,2))/Tableau3[[#This Row],[Heures Macines]],"0")</f>
        <v>1.5720000000000001</v>
      </c>
      <c r="AN106" s="24" t="str">
        <f>VLOOKUP(Tableau3[[#This Row],[Opérateur 1]],Liste!$K$2:$M$68,3,FALSE)</f>
        <v>Imp</v>
      </c>
    </row>
    <row r="107" spans="1:40" s="24" customFormat="1" x14ac:dyDescent="0.25">
      <c r="A107" s="93">
        <v>43944</v>
      </c>
      <c r="B107" s="94" t="s">
        <v>19</v>
      </c>
      <c r="C107" s="16" t="s">
        <v>63</v>
      </c>
      <c r="D107" s="95" t="s">
        <v>15</v>
      </c>
      <c r="E107" s="94" t="s">
        <v>131</v>
      </c>
      <c r="F107" s="96">
        <v>8</v>
      </c>
      <c r="G107" s="94"/>
      <c r="H107" s="96"/>
      <c r="I107" s="91" t="s">
        <v>214</v>
      </c>
      <c r="J107" s="97">
        <v>44000</v>
      </c>
      <c r="K107" s="97">
        <v>7659</v>
      </c>
      <c r="L107" s="97">
        <v>7659</v>
      </c>
      <c r="M10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7" s="97">
        <v>45</v>
      </c>
      <c r="O107" s="20">
        <v>811</v>
      </c>
      <c r="P107" s="98">
        <v>80</v>
      </c>
      <c r="Q107" s="99">
        <f>IFERROR((Tableau3[[#This Row],[QTY Produite]]/1000)*((1000/Tableau3[[#This Row],[Cadence]])/60)/Tableau3[[#This Row],[Heures Macines]],"0")</f>
        <v>0.19945312500000001</v>
      </c>
      <c r="R107" s="100">
        <v>20</v>
      </c>
      <c r="S107" s="96"/>
      <c r="T107" s="18"/>
      <c r="U107" s="101"/>
      <c r="V107" s="96"/>
      <c r="W107" s="96"/>
      <c r="X107" s="101"/>
      <c r="Y107" s="96"/>
      <c r="Z107" s="96"/>
      <c r="AA107" s="101"/>
      <c r="AB107" s="96"/>
      <c r="AC107" s="96"/>
      <c r="AD107" s="101"/>
      <c r="AE107" s="96"/>
      <c r="AF107" s="96"/>
      <c r="AG107" s="101"/>
      <c r="AH107" s="96"/>
      <c r="AI107" s="96"/>
      <c r="AJ107" s="101"/>
      <c r="AK107" s="84">
        <f t="shared" si="4"/>
        <v>4</v>
      </c>
      <c r="AL107" s="24">
        <f>YEAR(Tableau3[[#This Row],[Date]])</f>
        <v>2020</v>
      </c>
      <c r="AM107" s="92">
        <f>IFERROR(((Tableau3[[#This Row],[QTY Produite]]/1000)*VLOOKUP(Tableau3[[#This Row],[Machine]],Liste!$A:$B,2))/Tableau3[[#This Row],[Heures Macines]],"0")</f>
        <v>0.38295000000000001</v>
      </c>
      <c r="AN107" s="24" t="str">
        <f>VLOOKUP(Tableau3[[#This Row],[Opérateur 1]],Liste!$K$2:$M$68,3,FALSE)</f>
        <v>Déco</v>
      </c>
    </row>
    <row r="108" spans="1:40" s="24" customFormat="1" x14ac:dyDescent="0.25">
      <c r="A108" s="93">
        <v>43944</v>
      </c>
      <c r="B108" s="94" t="s">
        <v>19</v>
      </c>
      <c r="C108" s="16" t="s">
        <v>63</v>
      </c>
      <c r="D108" s="95" t="s">
        <v>26</v>
      </c>
      <c r="E108" s="94" t="s">
        <v>114</v>
      </c>
      <c r="F108" s="96">
        <v>8</v>
      </c>
      <c r="G108" s="94"/>
      <c r="H108" s="96"/>
      <c r="I108" s="91">
        <v>25642</v>
      </c>
      <c r="J108" s="97">
        <v>56670</v>
      </c>
      <c r="K108" s="97">
        <v>15240</v>
      </c>
      <c r="L108" s="97">
        <v>22733</v>
      </c>
      <c r="M10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8" s="97">
        <v>328</v>
      </c>
      <c r="O108" s="20">
        <v>12</v>
      </c>
      <c r="P108" s="98">
        <v>50</v>
      </c>
      <c r="Q108" s="99">
        <f>IFERROR((Tableau3[[#This Row],[QTY Produite]]/1000)*((1000/Tableau3[[#This Row],[Cadence]])/60)/Tableau3[[#This Row],[Heures Macines]],"0")</f>
        <v>0.63500000000000001</v>
      </c>
      <c r="R108" s="100">
        <v>64</v>
      </c>
      <c r="S108" s="96"/>
      <c r="T108" s="18"/>
      <c r="U108" s="101"/>
      <c r="V108" s="96"/>
      <c r="W108" s="96"/>
      <c r="X108" s="101"/>
      <c r="Y108" s="96"/>
      <c r="Z108" s="96"/>
      <c r="AA108" s="101"/>
      <c r="AB108" s="96"/>
      <c r="AC108" s="96"/>
      <c r="AD108" s="101"/>
      <c r="AE108" s="96"/>
      <c r="AF108" s="96"/>
      <c r="AG108" s="101"/>
      <c r="AH108" s="96"/>
      <c r="AI108" s="96"/>
      <c r="AJ108" s="101"/>
      <c r="AK108" s="84">
        <f t="shared" si="4"/>
        <v>4</v>
      </c>
      <c r="AL108" s="24">
        <f>YEAR(Tableau3[[#This Row],[Date]])</f>
        <v>2020</v>
      </c>
      <c r="AM108" s="92">
        <f>IFERROR(((Tableau3[[#This Row],[QTY Produite]]/1000)*VLOOKUP(Tableau3[[#This Row],[Machine]],Liste!$A:$B,2))/Tableau3[[#This Row],[Heures Macines]],"0")</f>
        <v>0.95250000000000001</v>
      </c>
      <c r="AN108" s="24" t="str">
        <f>VLOOKUP(Tableau3[[#This Row],[Opérateur 1]],Liste!$K$2:$M$68,3,FALSE)</f>
        <v>Multi</v>
      </c>
    </row>
    <row r="109" spans="1:40" s="24" customFormat="1" x14ac:dyDescent="0.25">
      <c r="A109" s="93">
        <v>43944</v>
      </c>
      <c r="B109" s="94" t="s">
        <v>19</v>
      </c>
      <c r="C109" s="16" t="s">
        <v>63</v>
      </c>
      <c r="D109" s="95" t="s">
        <v>22</v>
      </c>
      <c r="E109" s="94" t="s">
        <v>129</v>
      </c>
      <c r="F109" s="96">
        <v>8</v>
      </c>
      <c r="G109" s="94"/>
      <c r="H109" s="96"/>
      <c r="I109" s="91">
        <v>25860</v>
      </c>
      <c r="J109" s="97">
        <v>526332</v>
      </c>
      <c r="K109" s="97">
        <v>37200</v>
      </c>
      <c r="L109" s="97">
        <v>460560</v>
      </c>
      <c r="M10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09" s="97">
        <v>479</v>
      </c>
      <c r="O109" s="20">
        <v>204</v>
      </c>
      <c r="P109" s="98">
        <v>80</v>
      </c>
      <c r="Q109" s="99">
        <f>IFERROR((Tableau3[[#This Row],[QTY Produite]]/1000)*((1000/Tableau3[[#This Row],[Cadence]])/60)/Tableau3[[#This Row],[Heures Macines]],"0")</f>
        <v>0.96875000000000011</v>
      </c>
      <c r="R109" s="100">
        <v>97</v>
      </c>
      <c r="S109" s="96"/>
      <c r="T109" s="18"/>
      <c r="U109" s="101"/>
      <c r="V109" s="96"/>
      <c r="W109" s="96"/>
      <c r="X109" s="101"/>
      <c r="Y109" s="96"/>
      <c r="Z109" s="96"/>
      <c r="AA109" s="101"/>
      <c r="AB109" s="96"/>
      <c r="AC109" s="96"/>
      <c r="AD109" s="101"/>
      <c r="AE109" s="96"/>
      <c r="AF109" s="96"/>
      <c r="AG109" s="101"/>
      <c r="AH109" s="96"/>
      <c r="AI109" s="96"/>
      <c r="AJ109" s="101"/>
      <c r="AK109" s="84">
        <f t="shared" si="4"/>
        <v>4</v>
      </c>
      <c r="AL109" s="24">
        <f>YEAR(Tableau3[[#This Row],[Date]])</f>
        <v>2020</v>
      </c>
      <c r="AM109" s="92">
        <f>IFERROR(((Tableau3[[#This Row],[QTY Produite]]/1000)*VLOOKUP(Tableau3[[#This Row],[Machine]],Liste!$A:$B,2))/Tableau3[[#This Row],[Heures Macines]],"0")</f>
        <v>1.395</v>
      </c>
      <c r="AN109" s="24" t="str">
        <f>VLOOKUP(Tableau3[[#This Row],[Opérateur 1]],Liste!$K$2:$M$68,3,FALSE)</f>
        <v>Mono</v>
      </c>
    </row>
    <row r="110" spans="1:40" s="24" customFormat="1" x14ac:dyDescent="0.25">
      <c r="A110" s="93">
        <v>43944</v>
      </c>
      <c r="B110" s="94" t="s">
        <v>19</v>
      </c>
      <c r="C110" s="16" t="s">
        <v>63</v>
      </c>
      <c r="D110" s="95" t="s">
        <v>20</v>
      </c>
      <c r="E110" s="94" t="s">
        <v>125</v>
      </c>
      <c r="F110" s="96">
        <v>4</v>
      </c>
      <c r="G110" s="94"/>
      <c r="H110" s="96"/>
      <c r="I110" s="91">
        <v>26054</v>
      </c>
      <c r="J110" s="97">
        <v>12476</v>
      </c>
      <c r="K110" s="97">
        <v>9800</v>
      </c>
      <c r="L110" s="97">
        <v>9800</v>
      </c>
      <c r="M11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110" s="97">
        <v>518</v>
      </c>
      <c r="O110" s="20">
        <v>132</v>
      </c>
      <c r="P110" s="98">
        <v>55</v>
      </c>
      <c r="Q110" s="99">
        <f>IFERROR((Tableau3[[#This Row],[QTY Produite]]/1000)*((1000/Tableau3[[#This Row],[Cadence]])/60)/Tableau3[[#This Row],[Heures Macines]],"0")</f>
        <v>0.74242424242424254</v>
      </c>
      <c r="R110" s="100">
        <v>75</v>
      </c>
      <c r="S110" s="96"/>
      <c r="T110" s="18"/>
      <c r="U110" s="101"/>
      <c r="V110" s="96"/>
      <c r="W110" s="96"/>
      <c r="X110" s="101"/>
      <c r="Y110" s="96"/>
      <c r="Z110" s="96"/>
      <c r="AA110" s="101"/>
      <c r="AB110" s="96"/>
      <c r="AC110" s="96"/>
      <c r="AD110" s="101"/>
      <c r="AE110" s="96"/>
      <c r="AF110" s="96"/>
      <c r="AG110" s="101"/>
      <c r="AH110" s="96"/>
      <c r="AI110" s="96"/>
      <c r="AJ110" s="101"/>
      <c r="AK110" s="84">
        <f t="shared" si="4"/>
        <v>4</v>
      </c>
      <c r="AL110" s="24">
        <f>YEAR(Tableau3[[#This Row],[Date]])</f>
        <v>2020</v>
      </c>
      <c r="AM110" s="92">
        <f>IFERROR(((Tableau3[[#This Row],[QTY Produite]]/1000)*VLOOKUP(Tableau3[[#This Row],[Machine]],Liste!$A:$B,2))/Tableau3[[#This Row],[Heures Macines]],"0")</f>
        <v>0.88200000000000001</v>
      </c>
      <c r="AN110" s="24" t="str">
        <f>VLOOKUP(Tableau3[[#This Row],[Opérateur 1]],Liste!$K$2:$M$68,3,FALSE)</f>
        <v>Multi</v>
      </c>
    </row>
    <row r="111" spans="1:40" s="24" customFormat="1" x14ac:dyDescent="0.25">
      <c r="A111" s="93">
        <v>43944</v>
      </c>
      <c r="B111" s="94" t="s">
        <v>19</v>
      </c>
      <c r="C111" s="16" t="s">
        <v>63</v>
      </c>
      <c r="D111" s="95" t="s">
        <v>20</v>
      </c>
      <c r="E111" s="94" t="s">
        <v>125</v>
      </c>
      <c r="F111" s="96">
        <v>4</v>
      </c>
      <c r="G111" s="94"/>
      <c r="H111" s="96"/>
      <c r="I111" s="91">
        <v>25870</v>
      </c>
      <c r="J111" s="97">
        <v>25000</v>
      </c>
      <c r="K111" s="97">
        <v>10192</v>
      </c>
      <c r="L111" s="97">
        <v>25088</v>
      </c>
      <c r="M11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111" s="97">
        <v>368</v>
      </c>
      <c r="O111" s="20">
        <v>46</v>
      </c>
      <c r="P111" s="98">
        <v>55</v>
      </c>
      <c r="Q111" s="99">
        <f>IFERROR((Tableau3[[#This Row],[QTY Produite]]/1000)*((1000/Tableau3[[#This Row],[Cadence]])/60)/Tableau3[[#This Row],[Heures Macines]],"0")</f>
        <v>0.77212121212121221</v>
      </c>
      <c r="R111" s="100">
        <v>78</v>
      </c>
      <c r="S111" s="96"/>
      <c r="T111" s="18"/>
      <c r="U111" s="101"/>
      <c r="V111" s="96"/>
      <c r="W111" s="96"/>
      <c r="X111" s="101"/>
      <c r="Y111" s="96"/>
      <c r="Z111" s="96"/>
      <c r="AA111" s="101"/>
      <c r="AB111" s="96"/>
      <c r="AC111" s="96"/>
      <c r="AD111" s="101"/>
      <c r="AE111" s="96"/>
      <c r="AF111" s="96"/>
      <c r="AG111" s="101"/>
      <c r="AH111" s="96"/>
      <c r="AI111" s="96"/>
      <c r="AJ111" s="101"/>
      <c r="AK111" s="84">
        <f t="shared" si="4"/>
        <v>4</v>
      </c>
      <c r="AL111" s="24">
        <f>YEAR(Tableau3[[#This Row],[Date]])</f>
        <v>2020</v>
      </c>
      <c r="AM111" s="92">
        <f>IFERROR(((Tableau3[[#This Row],[QTY Produite]]/1000)*VLOOKUP(Tableau3[[#This Row],[Machine]],Liste!$A:$B,2))/Tableau3[[#This Row],[Heures Macines]],"0")</f>
        <v>0.91727999999999998</v>
      </c>
      <c r="AN111" s="24" t="str">
        <f>VLOOKUP(Tableau3[[#This Row],[Opérateur 1]],Liste!$K$2:$M$68,3,FALSE)</f>
        <v>Multi</v>
      </c>
    </row>
    <row r="112" spans="1:40" s="24" customFormat="1" x14ac:dyDescent="0.25">
      <c r="A112" s="93">
        <v>43944</v>
      </c>
      <c r="B112" s="94" t="s">
        <v>19</v>
      </c>
      <c r="C112" s="16" t="s">
        <v>63</v>
      </c>
      <c r="D112" s="95" t="s">
        <v>17</v>
      </c>
      <c r="E112" s="94" t="s">
        <v>139</v>
      </c>
      <c r="F112" s="96">
        <v>8</v>
      </c>
      <c r="G112" s="94"/>
      <c r="H112" s="96"/>
      <c r="I112" s="91">
        <v>23459</v>
      </c>
      <c r="J112" s="97">
        <v>220996</v>
      </c>
      <c r="K112" s="97">
        <v>12740</v>
      </c>
      <c r="L112" s="97">
        <v>170324</v>
      </c>
      <c r="M11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2" s="97">
        <v>758</v>
      </c>
      <c r="O112" s="20">
        <v>652</v>
      </c>
      <c r="P112" s="98">
        <v>53</v>
      </c>
      <c r="Q112" s="99">
        <f>IFERROR((Tableau3[[#This Row],[QTY Produite]]/1000)*((1000/Tableau3[[#This Row],[Cadence]])/60)/Tableau3[[#This Row],[Heures Macines]],"0")</f>
        <v>0.50078616352201266</v>
      </c>
      <c r="R112" s="100">
        <v>50</v>
      </c>
      <c r="S112" s="96"/>
      <c r="T112" s="18"/>
      <c r="U112" s="101"/>
      <c r="V112" s="96"/>
      <c r="W112" s="96"/>
      <c r="X112" s="101"/>
      <c r="Y112" s="96"/>
      <c r="Z112" s="96"/>
      <c r="AA112" s="101"/>
      <c r="AB112" s="96"/>
      <c r="AC112" s="96"/>
      <c r="AD112" s="101"/>
      <c r="AE112" s="96"/>
      <c r="AF112" s="96"/>
      <c r="AG112" s="101"/>
      <c r="AH112" s="96"/>
      <c r="AI112" s="96"/>
      <c r="AJ112" s="101"/>
      <c r="AK112" s="84">
        <f t="shared" si="4"/>
        <v>4</v>
      </c>
      <c r="AL112" s="24">
        <f>YEAR(Tableau3[[#This Row],[Date]])</f>
        <v>2020</v>
      </c>
      <c r="AM112" s="92">
        <f>IFERROR(((Tableau3[[#This Row],[QTY Produite]]/1000)*VLOOKUP(Tableau3[[#This Row],[Machine]],Liste!$A:$B,2))/Tableau3[[#This Row],[Heures Macines]],"0")</f>
        <v>0.71662500000000007</v>
      </c>
      <c r="AN112" s="24" t="str">
        <f>VLOOKUP(Tableau3[[#This Row],[Opérateur 1]],Liste!$K$2:$M$68,3,FALSE)</f>
        <v>Mono</v>
      </c>
    </row>
    <row r="113" spans="1:40" s="24" customFormat="1" x14ac:dyDescent="0.25">
      <c r="A113" s="93">
        <v>43943</v>
      </c>
      <c r="B113" s="94" t="s">
        <v>16</v>
      </c>
      <c r="C113" s="16" t="s">
        <v>62</v>
      </c>
      <c r="D113" s="95" t="s">
        <v>22</v>
      </c>
      <c r="E113" s="94" t="s">
        <v>112</v>
      </c>
      <c r="F113" s="96">
        <v>8</v>
      </c>
      <c r="G113" s="94"/>
      <c r="H113" s="96"/>
      <c r="I113" s="91">
        <v>25860</v>
      </c>
      <c r="J113" s="97">
        <v>526332</v>
      </c>
      <c r="K113" s="97">
        <v>36720</v>
      </c>
      <c r="L113" s="97">
        <v>423360</v>
      </c>
      <c r="M11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3" s="97">
        <v>192</v>
      </c>
      <c r="O113" s="20">
        <v>68</v>
      </c>
      <c r="P113" s="98">
        <v>80</v>
      </c>
      <c r="Q113" s="99">
        <f>IFERROR((Tableau3[[#This Row],[QTY Produite]]/1000)*((1000/Tableau3[[#This Row],[Cadence]])/60)/Tableau3[[#This Row],[Heures Macines]],"0")</f>
        <v>0.95625000000000004</v>
      </c>
      <c r="R113" s="100">
        <v>96</v>
      </c>
      <c r="S113" s="96"/>
      <c r="T113" s="18"/>
      <c r="U113" s="101"/>
      <c r="V113" s="96"/>
      <c r="W113" s="96"/>
      <c r="X113" s="101"/>
      <c r="Y113" s="96"/>
      <c r="Z113" s="96"/>
      <c r="AA113" s="101"/>
      <c r="AB113" s="96"/>
      <c r="AC113" s="96"/>
      <c r="AD113" s="101"/>
      <c r="AE113" s="96"/>
      <c r="AF113" s="96"/>
      <c r="AG113" s="101"/>
      <c r="AH113" s="96"/>
      <c r="AI113" s="96"/>
      <c r="AJ113" s="101"/>
      <c r="AK113" s="84">
        <f t="shared" ref="AK113:AK120" si="5">MONTH(A113)</f>
        <v>4</v>
      </c>
      <c r="AL113" s="24">
        <f>YEAR(Tableau3[[#This Row],[Date]])</f>
        <v>2020</v>
      </c>
      <c r="AM113" s="92">
        <f>IFERROR(((Tableau3[[#This Row],[QTY Produite]]/1000)*VLOOKUP(Tableau3[[#This Row],[Machine]],Liste!$A:$B,2))/Tableau3[[#This Row],[Heures Macines]],"0")</f>
        <v>1.377</v>
      </c>
      <c r="AN113" s="24" t="str">
        <f>VLOOKUP(Tableau3[[#This Row],[Opérateur 1]],Liste!$K$2:$M$68,3,FALSE)</f>
        <v>Mono</v>
      </c>
    </row>
    <row r="114" spans="1:40" s="24" customFormat="1" x14ac:dyDescent="0.25">
      <c r="A114" s="93">
        <v>43943</v>
      </c>
      <c r="B114" s="94" t="s">
        <v>16</v>
      </c>
      <c r="C114" s="16" t="s">
        <v>62</v>
      </c>
      <c r="D114" s="95" t="s">
        <v>20</v>
      </c>
      <c r="E114" s="94" t="s">
        <v>124</v>
      </c>
      <c r="F114" s="96">
        <v>8</v>
      </c>
      <c r="G114" s="94"/>
      <c r="H114" s="96"/>
      <c r="I114" s="91">
        <v>25870</v>
      </c>
      <c r="J114" s="97">
        <v>25000</v>
      </c>
      <c r="K114" s="97">
        <v>12544</v>
      </c>
      <c r="L114" s="97">
        <v>14896</v>
      </c>
      <c r="M11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4" s="97">
        <v>417</v>
      </c>
      <c r="O114" s="20">
        <v>40</v>
      </c>
      <c r="P114" s="98">
        <v>55</v>
      </c>
      <c r="Q114" s="99">
        <f>IFERROR((Tableau3[[#This Row],[QTY Produite]]/1000)*((1000/Tableau3[[#This Row],[Cadence]])/60)/Tableau3[[#This Row],[Heures Macines]],"0")</f>
        <v>0.47515151515151516</v>
      </c>
      <c r="R114" s="100">
        <v>48</v>
      </c>
      <c r="S114" s="96"/>
      <c r="T114" s="18"/>
      <c r="U114" s="101"/>
      <c r="V114" s="96"/>
      <c r="W114" s="96"/>
      <c r="X114" s="101"/>
      <c r="Y114" s="96"/>
      <c r="Z114" s="96"/>
      <c r="AA114" s="101"/>
      <c r="AB114" s="96"/>
      <c r="AC114" s="96"/>
      <c r="AD114" s="101"/>
      <c r="AE114" s="96"/>
      <c r="AF114" s="96"/>
      <c r="AG114" s="101"/>
      <c r="AH114" s="96"/>
      <c r="AI114" s="96"/>
      <c r="AJ114" s="101"/>
      <c r="AK114" s="84">
        <f t="shared" si="5"/>
        <v>4</v>
      </c>
      <c r="AL114" s="24">
        <f>YEAR(Tableau3[[#This Row],[Date]])</f>
        <v>2020</v>
      </c>
      <c r="AM114" s="92">
        <f>IFERROR(((Tableau3[[#This Row],[QTY Produite]]/1000)*VLOOKUP(Tableau3[[#This Row],[Machine]],Liste!$A:$B,2))/Tableau3[[#This Row],[Heures Macines]],"0")</f>
        <v>0.56447999999999998</v>
      </c>
      <c r="AN114" s="24" t="str">
        <f>VLOOKUP(Tableau3[[#This Row],[Opérateur 1]],Liste!$K$2:$M$68,3,FALSE)</f>
        <v>Multi</v>
      </c>
    </row>
    <row r="115" spans="1:40" s="24" customFormat="1" x14ac:dyDescent="0.25">
      <c r="A115" s="93">
        <v>43943</v>
      </c>
      <c r="B115" s="94" t="s">
        <v>16</v>
      </c>
      <c r="C115" s="16" t="s">
        <v>62</v>
      </c>
      <c r="D115" s="95" t="s">
        <v>26</v>
      </c>
      <c r="E115" s="94" t="s">
        <v>136</v>
      </c>
      <c r="F115" s="96">
        <v>8</v>
      </c>
      <c r="G115" s="94"/>
      <c r="H115" s="96"/>
      <c r="I115" s="91">
        <v>25642</v>
      </c>
      <c r="J115" s="97">
        <v>56670</v>
      </c>
      <c r="K115" s="97">
        <v>7493</v>
      </c>
      <c r="L115" s="97">
        <v>7493</v>
      </c>
      <c r="M11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5" s="97">
        <v>2565</v>
      </c>
      <c r="O115" s="20">
        <v>199</v>
      </c>
      <c r="P115" s="98">
        <v>50</v>
      </c>
      <c r="Q115" s="99">
        <f>IFERROR((Tableau3[[#This Row],[QTY Produite]]/1000)*((1000/Tableau3[[#This Row],[Cadence]])/60)/Tableau3[[#This Row],[Heures Macines]],"0")</f>
        <v>0.31220833333333331</v>
      </c>
      <c r="R115" s="100">
        <v>31</v>
      </c>
      <c r="S115" s="96"/>
      <c r="T115" s="18"/>
      <c r="U115" s="101"/>
      <c r="V115" s="96"/>
      <c r="W115" s="96"/>
      <c r="X115" s="101"/>
      <c r="Y115" s="96"/>
      <c r="Z115" s="96"/>
      <c r="AA115" s="101"/>
      <c r="AB115" s="96"/>
      <c r="AC115" s="96"/>
      <c r="AD115" s="101"/>
      <c r="AE115" s="96"/>
      <c r="AF115" s="96"/>
      <c r="AG115" s="101"/>
      <c r="AH115" s="96"/>
      <c r="AI115" s="96"/>
      <c r="AJ115" s="101"/>
      <c r="AK115" s="84">
        <f t="shared" si="5"/>
        <v>4</v>
      </c>
      <c r="AL115" s="24">
        <f>YEAR(Tableau3[[#This Row],[Date]])</f>
        <v>2020</v>
      </c>
      <c r="AM115" s="92">
        <f>IFERROR(((Tableau3[[#This Row],[QTY Produite]]/1000)*VLOOKUP(Tableau3[[#This Row],[Machine]],Liste!$A:$B,2))/Tableau3[[#This Row],[Heures Macines]],"0")</f>
        <v>0.46831250000000002</v>
      </c>
      <c r="AN115" s="24" t="str">
        <f>VLOOKUP(Tableau3[[#This Row],[Opérateur 1]],Liste!$K$2:$M$68,3,FALSE)</f>
        <v>Multi</v>
      </c>
    </row>
    <row r="116" spans="1:40" s="24" customFormat="1" x14ac:dyDescent="0.25">
      <c r="A116" s="93">
        <v>43943</v>
      </c>
      <c r="B116" s="94" t="s">
        <v>16</v>
      </c>
      <c r="C116" s="16" t="s">
        <v>62</v>
      </c>
      <c r="D116" s="95" t="s">
        <v>23</v>
      </c>
      <c r="E116" s="94" t="s">
        <v>143</v>
      </c>
      <c r="F116" s="96">
        <v>8</v>
      </c>
      <c r="G116" s="94"/>
      <c r="H116" s="96"/>
      <c r="I116" s="91" t="s">
        <v>188</v>
      </c>
      <c r="J116" s="97">
        <v>94500</v>
      </c>
      <c r="K116" s="97">
        <v>12446</v>
      </c>
      <c r="L116" s="97">
        <v>73787</v>
      </c>
      <c r="M11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6" s="97">
        <v>160</v>
      </c>
      <c r="O116" s="20">
        <v>564</v>
      </c>
      <c r="P116" s="98">
        <v>33</v>
      </c>
      <c r="Q116" s="99">
        <f>IFERROR((Tableau3[[#This Row],[QTY Produite]]/1000)*((1000/Tableau3[[#This Row],[Cadence]])/60)/Tableau3[[#This Row],[Heures Macines]],"0")</f>
        <v>0.78573232323232323</v>
      </c>
      <c r="R116" s="100">
        <v>78</v>
      </c>
      <c r="S116" s="96"/>
      <c r="T116" s="18"/>
      <c r="U116" s="101"/>
      <c r="V116" s="96"/>
      <c r="W116" s="96"/>
      <c r="X116" s="101"/>
      <c r="Y116" s="96"/>
      <c r="Z116" s="96"/>
      <c r="AA116" s="101"/>
      <c r="AB116" s="96"/>
      <c r="AC116" s="96"/>
      <c r="AD116" s="101"/>
      <c r="AE116" s="96"/>
      <c r="AF116" s="96"/>
      <c r="AG116" s="101"/>
      <c r="AH116" s="96"/>
      <c r="AI116" s="96"/>
      <c r="AJ116" s="101"/>
      <c r="AK116" s="84">
        <f t="shared" si="5"/>
        <v>4</v>
      </c>
      <c r="AL116" s="24">
        <f>YEAR(Tableau3[[#This Row],[Date]])</f>
        <v>2020</v>
      </c>
      <c r="AM116" s="92">
        <f>IFERROR(((Tableau3[[#This Row],[QTY Produite]]/1000)*VLOOKUP(Tableau3[[#This Row],[Machine]],Liste!$A:$B,2))/Tableau3[[#This Row],[Heures Macines]],"0")</f>
        <v>0.62230000000000008</v>
      </c>
      <c r="AN116" s="24" t="str">
        <f>VLOOKUP(Tableau3[[#This Row],[Opérateur 1]],Liste!$K$2:$M$68,3,FALSE)</f>
        <v>Déco</v>
      </c>
    </row>
    <row r="117" spans="1:40" s="24" customFormat="1" x14ac:dyDescent="0.25">
      <c r="A117" s="93">
        <v>43943</v>
      </c>
      <c r="B117" s="94" t="s">
        <v>16</v>
      </c>
      <c r="C117" s="16" t="s">
        <v>62</v>
      </c>
      <c r="D117" s="95" t="s">
        <v>18</v>
      </c>
      <c r="E117" s="94" t="s">
        <v>141</v>
      </c>
      <c r="F117" s="96">
        <v>8</v>
      </c>
      <c r="G117" s="94"/>
      <c r="H117" s="96"/>
      <c r="I117" s="91">
        <v>25851</v>
      </c>
      <c r="J117" s="97">
        <v>139781</v>
      </c>
      <c r="K117" s="97">
        <v>33120</v>
      </c>
      <c r="L117" s="97">
        <v>72960</v>
      </c>
      <c r="M11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7" s="97">
        <v>350</v>
      </c>
      <c r="O117" s="20">
        <v>372</v>
      </c>
      <c r="P117" s="98">
        <v>90</v>
      </c>
      <c r="Q117" s="99">
        <f>IFERROR((Tableau3[[#This Row],[QTY Produite]]/1000)*((1000/Tableau3[[#This Row],[Cadence]])/60)/Tableau3[[#This Row],[Heures Macines]],"0")</f>
        <v>0.76666666666666661</v>
      </c>
      <c r="R117" s="100">
        <v>77</v>
      </c>
      <c r="S117" s="96"/>
      <c r="T117" s="18"/>
      <c r="U117" s="101"/>
      <c r="V117" s="96"/>
      <c r="W117" s="96"/>
      <c r="X117" s="101"/>
      <c r="Y117" s="96"/>
      <c r="Z117" s="96"/>
      <c r="AA117" s="101"/>
      <c r="AB117" s="96"/>
      <c r="AC117" s="96"/>
      <c r="AD117" s="101"/>
      <c r="AE117" s="96"/>
      <c r="AF117" s="96"/>
      <c r="AG117" s="101"/>
      <c r="AH117" s="96"/>
      <c r="AI117" s="96"/>
      <c r="AJ117" s="101"/>
      <c r="AK117" s="84">
        <f t="shared" si="5"/>
        <v>4</v>
      </c>
      <c r="AL117" s="24">
        <f>YEAR(Tableau3[[#This Row],[Date]])</f>
        <v>2020</v>
      </c>
      <c r="AM117" s="92">
        <f>IFERROR(((Tableau3[[#This Row],[QTY Produite]]/1000)*VLOOKUP(Tableau3[[#This Row],[Machine]],Liste!$A:$B,2))/Tableau3[[#This Row],[Heures Macines]],"0")</f>
        <v>1.6559999999999999</v>
      </c>
      <c r="AN117" s="24" t="str">
        <f>VLOOKUP(Tableau3[[#This Row],[Opérateur 1]],Liste!$K$2:$M$68,3,FALSE)</f>
        <v>Imp</v>
      </c>
    </row>
    <row r="118" spans="1:40" s="24" customFormat="1" x14ac:dyDescent="0.25">
      <c r="A118" s="93">
        <v>43943</v>
      </c>
      <c r="B118" s="94" t="s">
        <v>16</v>
      </c>
      <c r="C118" s="16" t="s">
        <v>62</v>
      </c>
      <c r="D118" s="95" t="s">
        <v>30</v>
      </c>
      <c r="E118" s="94" t="s">
        <v>116</v>
      </c>
      <c r="F118" s="96">
        <v>8</v>
      </c>
      <c r="G118" s="94"/>
      <c r="H118" s="96"/>
      <c r="I118" s="91" t="s">
        <v>213</v>
      </c>
      <c r="J118" s="97">
        <v>135960</v>
      </c>
      <c r="K118" s="97">
        <v>20972</v>
      </c>
      <c r="L118" s="97">
        <v>130536</v>
      </c>
      <c r="M11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8" s="97">
        <v>130</v>
      </c>
      <c r="O118" s="20">
        <v>421</v>
      </c>
      <c r="P118" s="98">
        <v>66</v>
      </c>
      <c r="Q118" s="99">
        <f>IFERROR((Tableau3[[#This Row],[QTY Produite]]/1000)*((1000/Tableau3[[#This Row],[Cadence]])/60)/Tableau3[[#This Row],[Heures Macines]],"0")</f>
        <v>0.66199494949494953</v>
      </c>
      <c r="R118" s="100">
        <v>65</v>
      </c>
      <c r="S118" s="96"/>
      <c r="T118" s="18"/>
      <c r="U118" s="101"/>
      <c r="V118" s="96"/>
      <c r="W118" s="96"/>
      <c r="X118" s="101"/>
      <c r="Y118" s="96"/>
      <c r="Z118" s="96"/>
      <c r="AA118" s="101"/>
      <c r="AB118" s="96"/>
      <c r="AC118" s="96"/>
      <c r="AD118" s="101"/>
      <c r="AE118" s="96"/>
      <c r="AF118" s="96"/>
      <c r="AG118" s="101"/>
      <c r="AH118" s="96"/>
      <c r="AI118" s="96"/>
      <c r="AJ118" s="101"/>
      <c r="AK118" s="84">
        <f t="shared" si="5"/>
        <v>4</v>
      </c>
      <c r="AL118" s="24">
        <f>YEAR(Tableau3[[#This Row],[Date]])</f>
        <v>2020</v>
      </c>
      <c r="AM118" s="92">
        <f>IFERROR(((Tableau3[[#This Row],[QTY Produite]]/1000)*VLOOKUP(Tableau3[[#This Row],[Machine]],Liste!$A:$B,2))/Tableau3[[#This Row],[Heures Macines]],"0")</f>
        <v>1.5729</v>
      </c>
      <c r="AN118" s="24" t="str">
        <f>VLOOKUP(Tableau3[[#This Row],[Opérateur 1]],Liste!$K$2:$M$68,3,FALSE)</f>
        <v>Déco</v>
      </c>
    </row>
    <row r="119" spans="1:40" s="24" customFormat="1" x14ac:dyDescent="0.25">
      <c r="A119" s="93">
        <v>43943</v>
      </c>
      <c r="B119" s="94" t="s">
        <v>16</v>
      </c>
      <c r="C119" s="16" t="s">
        <v>62</v>
      </c>
      <c r="D119" s="95" t="s">
        <v>27</v>
      </c>
      <c r="E119" s="94" t="s">
        <v>122</v>
      </c>
      <c r="F119" s="96">
        <v>8</v>
      </c>
      <c r="G119" s="94"/>
      <c r="H119" s="96"/>
      <c r="I119" s="91" t="s">
        <v>212</v>
      </c>
      <c r="J119" s="97">
        <v>33000</v>
      </c>
      <c r="K119" s="97">
        <v>16383</v>
      </c>
      <c r="L119" s="97">
        <v>20193</v>
      </c>
      <c r="M11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19" s="97">
        <v>195</v>
      </c>
      <c r="O119" s="20">
        <v>453</v>
      </c>
      <c r="P119" s="98">
        <v>50</v>
      </c>
      <c r="Q119" s="99">
        <f>IFERROR((Tableau3[[#This Row],[QTY Produite]]/1000)*((1000/Tableau3[[#This Row],[Cadence]])/60)/Tableau3[[#This Row],[Heures Macines]],"0")</f>
        <v>0.68262499999999993</v>
      </c>
      <c r="R119" s="100">
        <v>68</v>
      </c>
      <c r="S119" s="96"/>
      <c r="T119" s="18"/>
      <c r="U119" s="101"/>
      <c r="V119" s="96"/>
      <c r="W119" s="96"/>
      <c r="X119" s="101"/>
      <c r="Y119" s="96"/>
      <c r="Z119" s="96"/>
      <c r="AA119" s="101"/>
      <c r="AB119" s="96"/>
      <c r="AC119" s="96"/>
      <c r="AD119" s="101"/>
      <c r="AE119" s="96"/>
      <c r="AF119" s="96"/>
      <c r="AG119" s="101"/>
      <c r="AH119" s="96"/>
      <c r="AI119" s="96"/>
      <c r="AJ119" s="101"/>
      <c r="AK119" s="84">
        <f t="shared" si="5"/>
        <v>4</v>
      </c>
      <c r="AL119" s="24">
        <f>YEAR(Tableau3[[#This Row],[Date]])</f>
        <v>2020</v>
      </c>
      <c r="AM119" s="92">
        <f>IFERROR(((Tableau3[[#This Row],[QTY Produite]]/1000)*VLOOKUP(Tableau3[[#This Row],[Machine]],Liste!$A:$B,2))/Tableau3[[#This Row],[Heures Macines]],"0")</f>
        <v>1.0239374999999999</v>
      </c>
      <c r="AN119" s="24" t="str">
        <f>VLOOKUP(Tableau3[[#This Row],[Opérateur 1]],Liste!$K$2:$M$68,3,FALSE)</f>
        <v>Déco</v>
      </c>
    </row>
    <row r="120" spans="1:40" s="24" customFormat="1" x14ac:dyDescent="0.25">
      <c r="A120" s="93">
        <v>43943</v>
      </c>
      <c r="B120" s="94" t="s">
        <v>16</v>
      </c>
      <c r="C120" s="16" t="s">
        <v>62</v>
      </c>
      <c r="D120" s="95" t="s">
        <v>15</v>
      </c>
      <c r="E120" s="94" t="s">
        <v>109</v>
      </c>
      <c r="F120" s="96">
        <v>8</v>
      </c>
      <c r="G120" s="94"/>
      <c r="H120" s="96"/>
      <c r="I120" s="91" t="s">
        <v>207</v>
      </c>
      <c r="J120" s="97">
        <v>17050</v>
      </c>
      <c r="K120" s="97">
        <v>7659</v>
      </c>
      <c r="L120" s="97">
        <v>14319</v>
      </c>
      <c r="M12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0" s="97">
        <v>300</v>
      </c>
      <c r="O120" s="20">
        <v>2095</v>
      </c>
      <c r="P120" s="98">
        <v>55</v>
      </c>
      <c r="Q120" s="99">
        <f>IFERROR((Tableau3[[#This Row],[QTY Produite]]/1000)*((1000/Tableau3[[#This Row],[Cadence]])/60)/Tableau3[[#This Row],[Heures Macines]],"0")</f>
        <v>0.29011363636363635</v>
      </c>
      <c r="R120" s="100">
        <v>29</v>
      </c>
      <c r="S120" s="96"/>
      <c r="T120" s="18"/>
      <c r="U120" s="101"/>
      <c r="V120" s="96"/>
      <c r="W120" s="96"/>
      <c r="X120" s="101"/>
      <c r="Y120" s="96"/>
      <c r="Z120" s="96"/>
      <c r="AA120" s="101"/>
      <c r="AB120" s="96"/>
      <c r="AC120" s="96"/>
      <c r="AD120" s="101"/>
      <c r="AE120" s="96"/>
      <c r="AF120" s="96"/>
      <c r="AG120" s="101"/>
      <c r="AH120" s="96"/>
      <c r="AI120" s="96"/>
      <c r="AJ120" s="101"/>
      <c r="AK120" s="84">
        <f t="shared" si="5"/>
        <v>4</v>
      </c>
      <c r="AL120" s="24">
        <f>YEAR(Tableau3[[#This Row],[Date]])</f>
        <v>2020</v>
      </c>
      <c r="AM120" s="92">
        <f>IFERROR(((Tableau3[[#This Row],[QTY Produite]]/1000)*VLOOKUP(Tableau3[[#This Row],[Machine]],Liste!$A:$B,2))/Tableau3[[#This Row],[Heures Macines]],"0")</f>
        <v>0.38295000000000001</v>
      </c>
      <c r="AN120" s="24" t="str">
        <f>VLOOKUP(Tableau3[[#This Row],[Opérateur 1]],Liste!$K$2:$M$68,3,FALSE)</f>
        <v>Imp</v>
      </c>
    </row>
    <row r="121" spans="1:40" s="24" customFormat="1" x14ac:dyDescent="0.25">
      <c r="A121" s="93">
        <v>43943</v>
      </c>
      <c r="B121" s="94" t="s">
        <v>13</v>
      </c>
      <c r="C121" s="16" t="s">
        <v>102</v>
      </c>
      <c r="D121" s="95" t="s">
        <v>14</v>
      </c>
      <c r="E121" s="94" t="s">
        <v>126</v>
      </c>
      <c r="F121" s="96">
        <v>1.5</v>
      </c>
      <c r="G121" s="94"/>
      <c r="H121" s="96"/>
      <c r="I121" s="91">
        <v>26500</v>
      </c>
      <c r="J121" s="97">
        <v>49586</v>
      </c>
      <c r="K121" s="97">
        <v>4247</v>
      </c>
      <c r="L121" s="97">
        <v>49586</v>
      </c>
      <c r="M12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121" s="97">
        <v>1</v>
      </c>
      <c r="O121" s="20">
        <v>20</v>
      </c>
      <c r="P121" s="98">
        <v>47</v>
      </c>
      <c r="Q121" s="99">
        <f>IFERROR((Tableau3[[#This Row],[QTY Produite]]/1000)*((1000/Tableau3[[#This Row],[Cadence]])/60)/Tableau3[[#This Row],[Heures Macines]],"0")</f>
        <v>1.0040189125295509</v>
      </c>
      <c r="R121" s="100">
        <v>100</v>
      </c>
      <c r="S121" s="96"/>
      <c r="T121" s="18"/>
      <c r="U121" s="101"/>
      <c r="V121" s="96"/>
      <c r="W121" s="96"/>
      <c r="X121" s="101"/>
      <c r="Y121" s="96"/>
      <c r="Z121" s="96"/>
      <c r="AA121" s="101"/>
      <c r="AB121" s="96"/>
      <c r="AC121" s="96"/>
      <c r="AD121" s="101"/>
      <c r="AE121" s="96"/>
      <c r="AF121" s="96"/>
      <c r="AG121" s="101"/>
      <c r="AH121" s="96"/>
      <c r="AI121" s="96"/>
      <c r="AJ121" s="101"/>
      <c r="AK121" s="84">
        <f t="shared" ref="AK121:AK132" si="6">MONTH(A121)</f>
        <v>4</v>
      </c>
      <c r="AL121" s="24">
        <f>YEAR(Tableau3[[#This Row],[Date]])</f>
        <v>2020</v>
      </c>
      <c r="AM121" s="92">
        <f>IFERROR(((Tableau3[[#This Row],[QTY Produite]]/1000)*VLOOKUP(Tableau3[[#This Row],[Machine]],Liste!$A:$B,2))/Tableau3[[#This Row],[Heures Macines]],"0")</f>
        <v>1.2741</v>
      </c>
      <c r="AN121" s="24" t="str">
        <f>VLOOKUP(Tableau3[[#This Row],[Opérateur 1]],Liste!$K$2:$M$68,3,FALSE)</f>
        <v>Multi</v>
      </c>
    </row>
    <row r="122" spans="1:40" s="24" customFormat="1" x14ac:dyDescent="0.25">
      <c r="A122" s="93">
        <v>43943</v>
      </c>
      <c r="B122" s="94" t="s">
        <v>13</v>
      </c>
      <c r="C122" s="16" t="s">
        <v>102</v>
      </c>
      <c r="D122" s="95" t="s">
        <v>23</v>
      </c>
      <c r="E122" s="94" t="s">
        <v>113</v>
      </c>
      <c r="F122" s="96">
        <v>8</v>
      </c>
      <c r="G122" s="94"/>
      <c r="H122" s="96"/>
      <c r="I122" s="91" t="s">
        <v>188</v>
      </c>
      <c r="J122" s="97">
        <v>94500</v>
      </c>
      <c r="K122" s="97">
        <v>12573</v>
      </c>
      <c r="L122" s="97">
        <v>61341</v>
      </c>
      <c r="M12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2" s="97">
        <v>250</v>
      </c>
      <c r="O122" s="20">
        <v>972</v>
      </c>
      <c r="P122" s="98">
        <v>33</v>
      </c>
      <c r="Q122" s="99">
        <f>IFERROR((Tableau3[[#This Row],[QTY Produite]]/1000)*((1000/Tableau3[[#This Row],[Cadence]])/60)/Tableau3[[#This Row],[Heures Macines]],"0")</f>
        <v>0.79375000000000007</v>
      </c>
      <c r="R122" s="100">
        <v>79</v>
      </c>
      <c r="S122" s="96"/>
      <c r="T122" s="18"/>
      <c r="U122" s="101"/>
      <c r="V122" s="96"/>
      <c r="W122" s="96"/>
      <c r="X122" s="101"/>
      <c r="Y122" s="96"/>
      <c r="Z122" s="96"/>
      <c r="AA122" s="101"/>
      <c r="AB122" s="96"/>
      <c r="AC122" s="96"/>
      <c r="AD122" s="101"/>
      <c r="AE122" s="96"/>
      <c r="AF122" s="96"/>
      <c r="AG122" s="101"/>
      <c r="AH122" s="96"/>
      <c r="AI122" s="96"/>
      <c r="AJ122" s="101"/>
      <c r="AK122" s="84">
        <f t="shared" si="6"/>
        <v>4</v>
      </c>
      <c r="AL122" s="24">
        <f>YEAR(Tableau3[[#This Row],[Date]])</f>
        <v>2020</v>
      </c>
      <c r="AM122" s="92">
        <f>IFERROR(((Tableau3[[#This Row],[QTY Produite]]/1000)*VLOOKUP(Tableau3[[#This Row],[Machine]],Liste!$A:$B,2))/Tableau3[[#This Row],[Heures Macines]],"0")</f>
        <v>0.62865000000000004</v>
      </c>
      <c r="AN122" s="24" t="str">
        <f>VLOOKUP(Tableau3[[#This Row],[Opérateur 1]],Liste!$K$2:$M$68,3,FALSE)</f>
        <v>Déco</v>
      </c>
    </row>
    <row r="123" spans="1:40" s="24" customFormat="1" x14ac:dyDescent="0.25">
      <c r="A123" s="93">
        <v>43943</v>
      </c>
      <c r="B123" s="94" t="s">
        <v>13</v>
      </c>
      <c r="C123" s="16" t="s">
        <v>102</v>
      </c>
      <c r="D123" s="95" t="s">
        <v>30</v>
      </c>
      <c r="E123" s="94" t="s">
        <v>107</v>
      </c>
      <c r="F123" s="96">
        <v>8</v>
      </c>
      <c r="G123" s="94"/>
      <c r="H123" s="96"/>
      <c r="I123" s="91" t="s">
        <v>187</v>
      </c>
      <c r="J123" s="97">
        <v>135960</v>
      </c>
      <c r="K123" s="97">
        <v>19208</v>
      </c>
      <c r="L123" s="97">
        <v>109564</v>
      </c>
      <c r="M12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3" s="97">
        <v>105</v>
      </c>
      <c r="O123" s="20">
        <v>222</v>
      </c>
      <c r="P123" s="98">
        <v>667</v>
      </c>
      <c r="Q123" s="99">
        <f>IFERROR((Tableau3[[#This Row],[QTY Produite]]/1000)*((1000/Tableau3[[#This Row],[Cadence]])/60)/Tableau3[[#This Row],[Heures Macines]],"0")</f>
        <v>5.9995002498750616E-2</v>
      </c>
      <c r="R123" s="100">
        <v>60</v>
      </c>
      <c r="S123" s="96"/>
      <c r="T123" s="18"/>
      <c r="U123" s="101"/>
      <c r="V123" s="96"/>
      <c r="W123" s="96"/>
      <c r="X123" s="101"/>
      <c r="Y123" s="96"/>
      <c r="Z123" s="96"/>
      <c r="AA123" s="101"/>
      <c r="AB123" s="96"/>
      <c r="AC123" s="96"/>
      <c r="AD123" s="101"/>
      <c r="AE123" s="96"/>
      <c r="AF123" s="96"/>
      <c r="AG123" s="101"/>
      <c r="AH123" s="96"/>
      <c r="AI123" s="96"/>
      <c r="AJ123" s="101"/>
      <c r="AK123" s="84">
        <f t="shared" si="6"/>
        <v>4</v>
      </c>
      <c r="AL123" s="24">
        <f>YEAR(Tableau3[[#This Row],[Date]])</f>
        <v>2020</v>
      </c>
      <c r="AM123" s="92">
        <f>IFERROR(((Tableau3[[#This Row],[QTY Produite]]/1000)*VLOOKUP(Tableau3[[#This Row],[Machine]],Liste!$A:$B,2))/Tableau3[[#This Row],[Heures Macines]],"0")</f>
        <v>1.4405999999999999</v>
      </c>
      <c r="AN123" s="24" t="str">
        <f>VLOOKUP(Tableau3[[#This Row],[Opérateur 1]],Liste!$K$2:$M$68,3,FALSE)</f>
        <v>Déco</v>
      </c>
    </row>
    <row r="124" spans="1:40" s="24" customFormat="1" x14ac:dyDescent="0.25">
      <c r="A124" s="93">
        <v>43943</v>
      </c>
      <c r="B124" s="94" t="s">
        <v>13</v>
      </c>
      <c r="C124" s="16" t="s">
        <v>102</v>
      </c>
      <c r="D124" s="95" t="s">
        <v>15</v>
      </c>
      <c r="E124" s="94" t="s">
        <v>115</v>
      </c>
      <c r="F124" s="96">
        <v>8</v>
      </c>
      <c r="G124" s="94"/>
      <c r="H124" s="96"/>
      <c r="I124" s="91" t="s">
        <v>207</v>
      </c>
      <c r="J124" s="97">
        <v>17050</v>
      </c>
      <c r="K124" s="97">
        <v>6660</v>
      </c>
      <c r="L124" s="97">
        <v>6660</v>
      </c>
      <c r="M12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4" s="97">
        <v>50</v>
      </c>
      <c r="O124" s="20">
        <v>893</v>
      </c>
      <c r="P124" s="98">
        <v>55</v>
      </c>
      <c r="Q124" s="99">
        <f>IFERROR((Tableau3[[#This Row],[QTY Produite]]/1000)*((1000/Tableau3[[#This Row],[Cadence]])/60)/Tableau3[[#This Row],[Heures Macines]],"0")</f>
        <v>0.25227272727272726</v>
      </c>
      <c r="R124" s="100">
        <v>27</v>
      </c>
      <c r="S124" s="96"/>
      <c r="T124" s="18"/>
      <c r="U124" s="101"/>
      <c r="V124" s="96"/>
      <c r="W124" s="96"/>
      <c r="X124" s="101"/>
      <c r="Y124" s="96"/>
      <c r="Z124" s="96"/>
      <c r="AA124" s="101"/>
      <c r="AB124" s="96"/>
      <c r="AC124" s="96"/>
      <c r="AD124" s="101"/>
      <c r="AE124" s="96"/>
      <c r="AF124" s="96"/>
      <c r="AG124" s="101"/>
      <c r="AH124" s="96"/>
      <c r="AI124" s="96"/>
      <c r="AJ124" s="101"/>
      <c r="AK124" s="84">
        <f t="shared" si="6"/>
        <v>4</v>
      </c>
      <c r="AL124" s="24">
        <f>YEAR(Tableau3[[#This Row],[Date]])</f>
        <v>2020</v>
      </c>
      <c r="AM124" s="92">
        <f>IFERROR(((Tableau3[[#This Row],[QTY Produite]]/1000)*VLOOKUP(Tableau3[[#This Row],[Machine]],Liste!$A:$B,2))/Tableau3[[#This Row],[Heures Macines]],"0")</f>
        <v>0.33300000000000002</v>
      </c>
      <c r="AN124" s="24" t="str">
        <f>VLOOKUP(Tableau3[[#This Row],[Opérateur 1]],Liste!$K$2:$M$68,3,FALSE)</f>
        <v>Imp</v>
      </c>
    </row>
    <row r="125" spans="1:40" s="24" customFormat="1" x14ac:dyDescent="0.25">
      <c r="A125" s="93">
        <v>43943</v>
      </c>
      <c r="B125" s="94" t="s">
        <v>13</v>
      </c>
      <c r="C125" s="16" t="s">
        <v>102</v>
      </c>
      <c r="D125" s="95" t="s">
        <v>18</v>
      </c>
      <c r="E125" s="94" t="s">
        <v>108</v>
      </c>
      <c r="F125" s="96">
        <v>8</v>
      </c>
      <c r="G125" s="94"/>
      <c r="H125" s="96"/>
      <c r="I125" s="91">
        <v>25851</v>
      </c>
      <c r="J125" s="97">
        <v>139781</v>
      </c>
      <c r="K125" s="97">
        <v>24000</v>
      </c>
      <c r="L125" s="97">
        <v>39840</v>
      </c>
      <c r="M12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5" s="97">
        <v>200</v>
      </c>
      <c r="O125" s="20">
        <v>494</v>
      </c>
      <c r="P125" s="98">
        <v>90</v>
      </c>
      <c r="Q125" s="99">
        <f>IFERROR((Tableau3[[#This Row],[QTY Produite]]/1000)*((1000/Tableau3[[#This Row],[Cadence]])/60)/Tableau3[[#This Row],[Heures Macines]],"0")</f>
        <v>0.55555555555555558</v>
      </c>
      <c r="R125" s="100">
        <v>56</v>
      </c>
      <c r="S125" s="96"/>
      <c r="T125" s="18"/>
      <c r="U125" s="101"/>
      <c r="V125" s="96"/>
      <c r="W125" s="96"/>
      <c r="X125" s="101"/>
      <c r="Y125" s="96"/>
      <c r="Z125" s="96"/>
      <c r="AA125" s="101"/>
      <c r="AB125" s="96"/>
      <c r="AC125" s="96"/>
      <c r="AD125" s="101"/>
      <c r="AE125" s="96"/>
      <c r="AF125" s="96"/>
      <c r="AG125" s="101"/>
      <c r="AH125" s="96"/>
      <c r="AI125" s="96"/>
      <c r="AJ125" s="101"/>
      <c r="AK125" s="84">
        <f t="shared" si="6"/>
        <v>4</v>
      </c>
      <c r="AL125" s="24">
        <f>YEAR(Tableau3[[#This Row],[Date]])</f>
        <v>2020</v>
      </c>
      <c r="AM125" s="92">
        <f>IFERROR(((Tableau3[[#This Row],[QTY Produite]]/1000)*VLOOKUP(Tableau3[[#This Row],[Machine]],Liste!$A:$B,2))/Tableau3[[#This Row],[Heures Macines]],"0")</f>
        <v>1.2000000000000002</v>
      </c>
      <c r="AN125" s="24" t="str">
        <f>VLOOKUP(Tableau3[[#This Row],[Opérateur 1]],Liste!$K$2:$M$68,3,FALSE)</f>
        <v>Imp</v>
      </c>
    </row>
    <row r="126" spans="1:40" s="24" customFormat="1" x14ac:dyDescent="0.25">
      <c r="A126" s="93">
        <v>43943</v>
      </c>
      <c r="B126" s="94" t="s">
        <v>13</v>
      </c>
      <c r="C126" s="16" t="s">
        <v>102</v>
      </c>
      <c r="D126" s="95" t="s">
        <v>21</v>
      </c>
      <c r="E126" s="94" t="s">
        <v>110</v>
      </c>
      <c r="F126" s="96">
        <v>8</v>
      </c>
      <c r="G126" s="94"/>
      <c r="H126" s="96"/>
      <c r="I126" s="91" t="s">
        <v>166</v>
      </c>
      <c r="J126" s="97">
        <v>3136</v>
      </c>
      <c r="K126" s="97">
        <v>3136</v>
      </c>
      <c r="L126" s="97">
        <v>3136</v>
      </c>
      <c r="M12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126" s="97">
        <v>35</v>
      </c>
      <c r="O126" s="20">
        <v>480</v>
      </c>
      <c r="P126" s="98">
        <v>104</v>
      </c>
      <c r="Q126" s="99">
        <f>IFERROR((Tableau3[[#This Row],[QTY Produite]]/1000)*((1000/Tableau3[[#This Row],[Cadence]])/60)/Tableau3[[#This Row],[Heures Macines]],"0")</f>
        <v>0.10051282051282051</v>
      </c>
      <c r="R126" s="100">
        <v>7</v>
      </c>
      <c r="S126" s="96" t="s">
        <v>191</v>
      </c>
      <c r="T126" s="18">
        <v>3</v>
      </c>
      <c r="U126" s="101"/>
      <c r="V126" s="96"/>
      <c r="W126" s="96"/>
      <c r="X126" s="101"/>
      <c r="Y126" s="96"/>
      <c r="Z126" s="96"/>
      <c r="AA126" s="101"/>
      <c r="AB126" s="96"/>
      <c r="AC126" s="96"/>
      <c r="AD126" s="101"/>
      <c r="AE126" s="96"/>
      <c r="AF126" s="96"/>
      <c r="AG126" s="101"/>
      <c r="AH126" s="96"/>
      <c r="AI126" s="96"/>
      <c r="AJ126" s="101"/>
      <c r="AK126" s="84">
        <f t="shared" si="6"/>
        <v>4</v>
      </c>
      <c r="AL126" s="24">
        <f>YEAR(Tableau3[[#This Row],[Date]])</f>
        <v>2020</v>
      </c>
      <c r="AM126" s="92">
        <f>IFERROR(((Tableau3[[#This Row],[QTY Produite]]/1000)*VLOOKUP(Tableau3[[#This Row],[Machine]],Liste!$A:$B,2))/Tableau3[[#This Row],[Heures Macines]],"0")</f>
        <v>0.37631999999999999</v>
      </c>
      <c r="AN126" s="24" t="str">
        <f>VLOOKUP(Tableau3[[#This Row],[Opérateur 1]],Liste!$K$2:$M$68,3,FALSE)</f>
        <v>Déco</v>
      </c>
    </row>
    <row r="127" spans="1:40" s="24" customFormat="1" x14ac:dyDescent="0.25">
      <c r="A127" s="93">
        <v>43943</v>
      </c>
      <c r="B127" s="94" t="s">
        <v>13</v>
      </c>
      <c r="C127" s="16" t="s">
        <v>102</v>
      </c>
      <c r="D127" s="95" t="s">
        <v>22</v>
      </c>
      <c r="E127" s="94" t="s">
        <v>117</v>
      </c>
      <c r="F127" s="96">
        <v>8</v>
      </c>
      <c r="G127" s="94"/>
      <c r="H127" s="96"/>
      <c r="I127" s="91">
        <v>25860</v>
      </c>
      <c r="J127" s="97">
        <v>526332</v>
      </c>
      <c r="K127" s="97">
        <v>35280</v>
      </c>
      <c r="L127" s="97">
        <v>386640</v>
      </c>
      <c r="M12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27" s="97">
        <v>369</v>
      </c>
      <c r="O127" s="20">
        <v>551</v>
      </c>
      <c r="P127" s="98">
        <v>80</v>
      </c>
      <c r="Q127" s="99">
        <f>IFERROR((Tableau3[[#This Row],[QTY Produite]]/1000)*((1000/Tableau3[[#This Row],[Cadence]])/60)/Tableau3[[#This Row],[Heures Macines]],"0")</f>
        <v>0.91875000000000007</v>
      </c>
      <c r="R127" s="100">
        <v>92</v>
      </c>
      <c r="S127" s="96"/>
      <c r="T127" s="18"/>
      <c r="U127" s="101"/>
      <c r="V127" s="96"/>
      <c r="W127" s="96"/>
      <c r="X127" s="101"/>
      <c r="Y127" s="96"/>
      <c r="Z127" s="96"/>
      <c r="AA127" s="101"/>
      <c r="AB127" s="96"/>
      <c r="AC127" s="96"/>
      <c r="AD127" s="101"/>
      <c r="AE127" s="96"/>
      <c r="AF127" s="96"/>
      <c r="AG127" s="101"/>
      <c r="AH127" s="96"/>
      <c r="AI127" s="96"/>
      <c r="AJ127" s="101"/>
      <c r="AK127" s="84">
        <f t="shared" si="6"/>
        <v>4</v>
      </c>
      <c r="AL127" s="24">
        <f>YEAR(Tableau3[[#This Row],[Date]])</f>
        <v>2020</v>
      </c>
      <c r="AM127" s="92">
        <f>IFERROR(((Tableau3[[#This Row],[QTY Produite]]/1000)*VLOOKUP(Tableau3[[#This Row],[Machine]],Liste!$A:$B,2))/Tableau3[[#This Row],[Heures Macines]],"0")</f>
        <v>1.323</v>
      </c>
      <c r="AN127" s="24" t="str">
        <f>VLOOKUP(Tableau3[[#This Row],[Opérateur 1]],Liste!$K$2:$M$68,3,FALSE)</f>
        <v>Multi</v>
      </c>
    </row>
    <row r="128" spans="1:40" s="24" customFormat="1" x14ac:dyDescent="0.25">
      <c r="A128" s="93">
        <v>43943</v>
      </c>
      <c r="B128" s="94" t="s">
        <v>13</v>
      </c>
      <c r="C128" s="16" t="s">
        <v>102</v>
      </c>
      <c r="D128" s="95" t="s">
        <v>14</v>
      </c>
      <c r="E128" s="94" t="s">
        <v>126</v>
      </c>
      <c r="F128" s="96">
        <v>6.5</v>
      </c>
      <c r="G128" s="94"/>
      <c r="H128" s="96"/>
      <c r="I128" s="91">
        <v>25744</v>
      </c>
      <c r="J128" s="97">
        <v>28404</v>
      </c>
      <c r="K128" s="97">
        <v>8890</v>
      </c>
      <c r="L128" s="97">
        <v>8890</v>
      </c>
      <c r="M12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128" s="97">
        <v>210</v>
      </c>
      <c r="O128" s="20">
        <v>75</v>
      </c>
      <c r="P128" s="98">
        <v>41</v>
      </c>
      <c r="Q128" s="99">
        <f>IFERROR((Tableau3[[#This Row],[QTY Produite]]/1000)*((1000/Tableau3[[#This Row],[Cadence]])/60)/Tableau3[[#This Row],[Heures Macines]],"0")</f>
        <v>0.55597248280175104</v>
      </c>
      <c r="R128" s="100">
        <v>55</v>
      </c>
      <c r="S128" s="96"/>
      <c r="T128" s="18"/>
      <c r="U128" s="101"/>
      <c r="V128" s="96"/>
      <c r="W128" s="96"/>
      <c r="X128" s="101"/>
      <c r="Y128" s="96"/>
      <c r="Z128" s="96"/>
      <c r="AA128" s="101"/>
      <c r="AB128" s="96"/>
      <c r="AC128" s="96"/>
      <c r="AD128" s="101"/>
      <c r="AE128" s="96"/>
      <c r="AF128" s="96"/>
      <c r="AG128" s="101"/>
      <c r="AH128" s="96"/>
      <c r="AI128" s="96"/>
      <c r="AJ128" s="101"/>
      <c r="AK128" s="84">
        <f t="shared" si="6"/>
        <v>4</v>
      </c>
      <c r="AL128" s="24">
        <f>YEAR(Tableau3[[#This Row],[Date]])</f>
        <v>2020</v>
      </c>
      <c r="AM128" s="92">
        <f>IFERROR(((Tableau3[[#This Row],[QTY Produite]]/1000)*VLOOKUP(Tableau3[[#This Row],[Machine]],Liste!$A:$B,2))/Tableau3[[#This Row],[Heures Macines]],"0")</f>
        <v>0.6154615384615385</v>
      </c>
      <c r="AN128" s="24" t="str">
        <f>VLOOKUP(Tableau3[[#This Row],[Opérateur 1]],Liste!$K$2:$M$68,3,FALSE)</f>
        <v>Multi</v>
      </c>
    </row>
    <row r="129" spans="1:40" s="24" customFormat="1" x14ac:dyDescent="0.25">
      <c r="A129" s="93">
        <v>43943</v>
      </c>
      <c r="B129" s="94" t="s">
        <v>13</v>
      </c>
      <c r="C129" s="16" t="s">
        <v>102</v>
      </c>
      <c r="D129" s="95" t="s">
        <v>17</v>
      </c>
      <c r="E129" s="94" t="s">
        <v>111</v>
      </c>
      <c r="F129" s="96">
        <v>4.25</v>
      </c>
      <c r="G129" s="94"/>
      <c r="H129" s="96"/>
      <c r="I129" s="91">
        <v>23459</v>
      </c>
      <c r="J129" s="97">
        <v>220996</v>
      </c>
      <c r="K129" s="97">
        <v>0</v>
      </c>
      <c r="L129" s="97">
        <v>157584</v>
      </c>
      <c r="M12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129" s="97">
        <v>0</v>
      </c>
      <c r="O129" s="20">
        <v>0</v>
      </c>
      <c r="P129" s="98">
        <v>0</v>
      </c>
      <c r="Q129" s="99" t="str">
        <f>IFERROR((Tableau3[[#This Row],[QTY Produite]]/1000)*((1000/Tableau3[[#This Row],[Cadence]])/60)/Tableau3[[#This Row],[Heures Macines]],"0")</f>
        <v>0</v>
      </c>
      <c r="R129" s="100">
        <v>0</v>
      </c>
      <c r="S129" s="96"/>
      <c r="T129" s="18"/>
      <c r="U129" s="101"/>
      <c r="V129" s="96"/>
      <c r="W129" s="96"/>
      <c r="X129" s="101"/>
      <c r="Y129" s="96"/>
      <c r="Z129" s="96"/>
      <c r="AA129" s="101"/>
      <c r="AB129" s="96"/>
      <c r="AC129" s="96"/>
      <c r="AD129" s="101"/>
      <c r="AE129" s="96"/>
      <c r="AF129" s="96"/>
      <c r="AG129" s="101"/>
      <c r="AH129" s="96"/>
      <c r="AI129" s="96"/>
      <c r="AJ129" s="101"/>
      <c r="AK129" s="84">
        <f t="shared" si="6"/>
        <v>4</v>
      </c>
      <c r="AL129" s="24">
        <f>YEAR(Tableau3[[#This Row],[Date]])</f>
        <v>2020</v>
      </c>
      <c r="AM129" s="92">
        <f>IFERROR(((Tableau3[[#This Row],[QTY Produite]]/1000)*VLOOKUP(Tableau3[[#This Row],[Machine]],Liste!$A:$B,2))/Tableau3[[#This Row],[Heures Macines]],"0")</f>
        <v>0</v>
      </c>
      <c r="AN129" s="24" t="str">
        <f>VLOOKUP(Tableau3[[#This Row],[Opérateur 1]],Liste!$K$2:$M$68,3,FALSE)</f>
        <v>Mono</v>
      </c>
    </row>
    <row r="130" spans="1:40" s="24" customFormat="1" x14ac:dyDescent="0.25">
      <c r="A130" s="93">
        <v>43943</v>
      </c>
      <c r="B130" s="94" t="s">
        <v>13</v>
      </c>
      <c r="C130" s="16" t="s">
        <v>102</v>
      </c>
      <c r="D130" s="95" t="s">
        <v>20</v>
      </c>
      <c r="E130" s="94" t="s">
        <v>132</v>
      </c>
      <c r="F130" s="96">
        <v>0.75</v>
      </c>
      <c r="G130" s="94"/>
      <c r="H130" s="96"/>
      <c r="I130" s="91">
        <v>25870</v>
      </c>
      <c r="J130" s="97">
        <v>25000</v>
      </c>
      <c r="K130" s="97">
        <v>2352</v>
      </c>
      <c r="L130" s="97">
        <v>2352</v>
      </c>
      <c r="M13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0.75</v>
      </c>
      <c r="N130" s="97">
        <v>225</v>
      </c>
      <c r="O130" s="20">
        <v>48</v>
      </c>
      <c r="P130" s="98">
        <v>55</v>
      </c>
      <c r="Q130" s="99">
        <f>IFERROR((Tableau3[[#This Row],[QTY Produite]]/1000)*((1000/Tableau3[[#This Row],[Cadence]])/60)/Tableau3[[#This Row],[Heures Macines]],"0")</f>
        <v>0.95030303030303021</v>
      </c>
      <c r="R130" s="100">
        <v>57</v>
      </c>
      <c r="S130" s="96"/>
      <c r="T130" s="18"/>
      <c r="U130" s="101"/>
      <c r="V130" s="96"/>
      <c r="W130" s="96"/>
      <c r="X130" s="101"/>
      <c r="Y130" s="96"/>
      <c r="Z130" s="96"/>
      <c r="AA130" s="101"/>
      <c r="AB130" s="96"/>
      <c r="AC130" s="96"/>
      <c r="AD130" s="101"/>
      <c r="AE130" s="96"/>
      <c r="AF130" s="96"/>
      <c r="AG130" s="101"/>
      <c r="AH130" s="96"/>
      <c r="AI130" s="96"/>
      <c r="AJ130" s="101"/>
      <c r="AK130" s="84">
        <f t="shared" si="6"/>
        <v>4</v>
      </c>
      <c r="AL130" s="24">
        <f>YEAR(Tableau3[[#This Row],[Date]])</f>
        <v>2020</v>
      </c>
      <c r="AM130" s="92">
        <f>IFERROR(((Tableau3[[#This Row],[QTY Produite]]/1000)*VLOOKUP(Tableau3[[#This Row],[Machine]],Liste!$A:$B,2))/Tableau3[[#This Row],[Heures Macines]],"0")</f>
        <v>1.12896</v>
      </c>
      <c r="AN130" s="24" t="str">
        <f>VLOOKUP(Tableau3[[#This Row],[Opérateur 1]],Liste!$K$2:$M$68,3,FALSE)</f>
        <v>Multi</v>
      </c>
    </row>
    <row r="131" spans="1:40" s="24" customFormat="1" x14ac:dyDescent="0.25">
      <c r="A131" s="93">
        <v>43943</v>
      </c>
      <c r="B131" s="94" t="s">
        <v>13</v>
      </c>
      <c r="C131" s="16" t="s">
        <v>102</v>
      </c>
      <c r="D131" s="95" t="s">
        <v>20</v>
      </c>
      <c r="E131" s="94" t="s">
        <v>132</v>
      </c>
      <c r="F131" s="96">
        <v>6.75</v>
      </c>
      <c r="G131" s="94"/>
      <c r="H131" s="96"/>
      <c r="I131" s="91">
        <v>25844</v>
      </c>
      <c r="J131" s="97">
        <v>25000</v>
      </c>
      <c r="K131" s="97">
        <v>21364</v>
      </c>
      <c r="L131" s="97">
        <v>25088</v>
      </c>
      <c r="M13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6.75</v>
      </c>
      <c r="N131" s="97">
        <v>141</v>
      </c>
      <c r="O131" s="20">
        <v>-160</v>
      </c>
      <c r="P131" s="98">
        <v>56</v>
      </c>
      <c r="Q131" s="99">
        <f>IFERROR((Tableau3[[#This Row],[QTY Produite]]/1000)*((1000/Tableau3[[#This Row],[Cadence]])/60)/Tableau3[[#This Row],[Heures Macines]],"0")</f>
        <v>0.94197530864197532</v>
      </c>
      <c r="R131" s="100">
        <v>98</v>
      </c>
      <c r="S131" s="96"/>
      <c r="T131" s="18"/>
      <c r="U131" s="101"/>
      <c r="V131" s="96"/>
      <c r="W131" s="96"/>
      <c r="X131" s="101"/>
      <c r="Y131" s="96"/>
      <c r="Z131" s="96"/>
      <c r="AA131" s="101"/>
      <c r="AB131" s="96"/>
      <c r="AC131" s="96"/>
      <c r="AD131" s="101"/>
      <c r="AE131" s="96"/>
      <c r="AF131" s="96"/>
      <c r="AG131" s="101"/>
      <c r="AH131" s="96"/>
      <c r="AI131" s="96"/>
      <c r="AJ131" s="101"/>
      <c r="AK131" s="84">
        <f t="shared" si="6"/>
        <v>4</v>
      </c>
      <c r="AL131" s="24">
        <f>YEAR(Tableau3[[#This Row],[Date]])</f>
        <v>2020</v>
      </c>
      <c r="AM131" s="92">
        <f>IFERROR(((Tableau3[[#This Row],[QTY Produite]]/1000)*VLOOKUP(Tableau3[[#This Row],[Machine]],Liste!$A:$B,2))/Tableau3[[#This Row],[Heures Macines]],"0")</f>
        <v>1.1394133333333334</v>
      </c>
      <c r="AN131" s="24" t="str">
        <f>VLOOKUP(Tableau3[[#This Row],[Opérateur 1]],Liste!$K$2:$M$68,3,FALSE)</f>
        <v>Multi</v>
      </c>
    </row>
    <row r="132" spans="1:40" s="24" customFormat="1" x14ac:dyDescent="0.25">
      <c r="A132" s="93">
        <v>43943</v>
      </c>
      <c r="B132" s="94" t="s">
        <v>13</v>
      </c>
      <c r="C132" s="16" t="s">
        <v>102</v>
      </c>
      <c r="D132" s="95" t="s">
        <v>26</v>
      </c>
      <c r="E132" s="94" t="s">
        <v>134</v>
      </c>
      <c r="F132" s="96">
        <v>8</v>
      </c>
      <c r="G132" s="94"/>
      <c r="H132" s="96"/>
      <c r="I132" s="91">
        <v>25642</v>
      </c>
      <c r="J132" s="97">
        <v>56670</v>
      </c>
      <c r="K132" s="97">
        <v>0</v>
      </c>
      <c r="L132" s="97">
        <v>0</v>
      </c>
      <c r="M13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32" s="97">
        <v>2800</v>
      </c>
      <c r="O132" s="20">
        <v>0</v>
      </c>
      <c r="P132" s="98">
        <v>0</v>
      </c>
      <c r="Q132" s="99" t="str">
        <f>IFERROR((Tableau3[[#This Row],[QTY Produite]]/1000)*((1000/Tableau3[[#This Row],[Cadence]])/60)/Tableau3[[#This Row],[Heures Macines]],"0")</f>
        <v>0</v>
      </c>
      <c r="R132" s="100">
        <v>0</v>
      </c>
      <c r="S132" s="96"/>
      <c r="T132" s="18"/>
      <c r="U132" s="101"/>
      <c r="V132" s="96"/>
      <c r="W132" s="96"/>
      <c r="X132" s="101"/>
      <c r="Y132" s="96"/>
      <c r="Z132" s="96"/>
      <c r="AA132" s="101"/>
      <c r="AB132" s="96"/>
      <c r="AC132" s="96"/>
      <c r="AD132" s="101"/>
      <c r="AE132" s="96"/>
      <c r="AF132" s="96"/>
      <c r="AG132" s="101"/>
      <c r="AH132" s="96"/>
      <c r="AI132" s="96"/>
      <c r="AJ132" s="101"/>
      <c r="AK132" s="84">
        <f t="shared" si="6"/>
        <v>4</v>
      </c>
      <c r="AL132" s="24">
        <f>YEAR(Tableau3[[#This Row],[Date]])</f>
        <v>2020</v>
      </c>
      <c r="AM132" s="92">
        <f>IFERROR(((Tableau3[[#This Row],[QTY Produite]]/1000)*VLOOKUP(Tableau3[[#This Row],[Machine]],Liste!$A:$B,2))/Tableau3[[#This Row],[Heures Macines]],"0")</f>
        <v>0</v>
      </c>
      <c r="AN132" s="24" t="str">
        <f>VLOOKUP(Tableau3[[#This Row],[Opérateur 1]],Liste!$K$2:$M$68,3,FALSE)</f>
        <v>Multi</v>
      </c>
    </row>
    <row r="133" spans="1:40" s="24" customFormat="1" x14ac:dyDescent="0.25">
      <c r="A133" s="93">
        <v>43943</v>
      </c>
      <c r="B133" s="94" t="s">
        <v>19</v>
      </c>
      <c r="C133" s="16" t="s">
        <v>63</v>
      </c>
      <c r="D133" s="95" t="s">
        <v>30</v>
      </c>
      <c r="E133" s="94" t="s">
        <v>130</v>
      </c>
      <c r="F133" s="96">
        <v>8</v>
      </c>
      <c r="G133" s="94"/>
      <c r="H133" s="96"/>
      <c r="I133" s="91" t="s">
        <v>187</v>
      </c>
      <c r="J133" s="97">
        <v>135960</v>
      </c>
      <c r="K133" s="97">
        <v>15484</v>
      </c>
      <c r="L133" s="97">
        <v>90356</v>
      </c>
      <c r="M13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33" s="97">
        <v>30</v>
      </c>
      <c r="O133" s="20">
        <v>317</v>
      </c>
      <c r="P133" s="98">
        <v>66</v>
      </c>
      <c r="Q133" s="99">
        <f>IFERROR((Tableau3[[#This Row],[QTY Produite]]/1000)*((1000/Tableau3[[#This Row],[Cadence]])/60)/Tableau3[[#This Row],[Heures Macines]],"0")</f>
        <v>0.48876262626262629</v>
      </c>
      <c r="R133" s="100">
        <v>48</v>
      </c>
      <c r="S133" s="96"/>
      <c r="T133" s="18"/>
      <c r="U133" s="101"/>
      <c r="V133" s="96"/>
      <c r="W133" s="96"/>
      <c r="X133" s="101"/>
      <c r="Y133" s="96"/>
      <c r="Z133" s="96"/>
      <c r="AA133" s="101"/>
      <c r="AB133" s="96"/>
      <c r="AC133" s="96"/>
      <c r="AD133" s="101"/>
      <c r="AE133" s="96"/>
      <c r="AF133" s="96"/>
      <c r="AG133" s="101"/>
      <c r="AH133" s="96"/>
      <c r="AI133" s="96"/>
      <c r="AJ133" s="101"/>
      <c r="AK133" s="84">
        <f t="shared" ref="AK133:AK143" si="7">MONTH(A133)</f>
        <v>4</v>
      </c>
      <c r="AL133" s="24">
        <f>YEAR(Tableau3[[#This Row],[Date]])</f>
        <v>2020</v>
      </c>
      <c r="AM133" s="92">
        <f>IFERROR(((Tableau3[[#This Row],[QTY Produite]]/1000)*VLOOKUP(Tableau3[[#This Row],[Machine]],Liste!$A:$B,2))/Tableau3[[#This Row],[Heures Macines]],"0")</f>
        <v>1.1613</v>
      </c>
      <c r="AN133" s="24" t="str">
        <f>VLOOKUP(Tableau3[[#This Row],[Opérateur 1]],Liste!$K$2:$M$68,3,FALSE)</f>
        <v>Déco</v>
      </c>
    </row>
    <row r="134" spans="1:40" s="24" customFormat="1" x14ac:dyDescent="0.25">
      <c r="A134" s="93">
        <v>43943</v>
      </c>
      <c r="B134" s="94" t="s">
        <v>19</v>
      </c>
      <c r="C134" s="16" t="s">
        <v>63</v>
      </c>
      <c r="D134" s="95" t="s">
        <v>23</v>
      </c>
      <c r="E134" s="94" t="s">
        <v>142</v>
      </c>
      <c r="F134" s="96">
        <v>7</v>
      </c>
      <c r="G134" s="94"/>
      <c r="H134" s="96"/>
      <c r="I134" s="91" t="s">
        <v>188</v>
      </c>
      <c r="J134" s="97">
        <v>94500</v>
      </c>
      <c r="K134" s="97">
        <v>9652</v>
      </c>
      <c r="L134" s="97">
        <v>48768</v>
      </c>
      <c r="M13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</v>
      </c>
      <c r="N134" s="97">
        <v>50</v>
      </c>
      <c r="O134" s="20">
        <v>924</v>
      </c>
      <c r="P134" s="98">
        <v>35</v>
      </c>
      <c r="Q134" s="99">
        <f>IFERROR((Tableau3[[#This Row],[QTY Produite]]/1000)*((1000/Tableau3[[#This Row],[Cadence]])/60)/Tableau3[[#This Row],[Heures Macines]],"0")</f>
        <v>0.76603174603174606</v>
      </c>
      <c r="R134" s="100">
        <v>60</v>
      </c>
      <c r="S134" s="96"/>
      <c r="T134" s="18">
        <v>1</v>
      </c>
      <c r="U134" s="101" t="s">
        <v>211</v>
      </c>
      <c r="V134" s="96"/>
      <c r="W134" s="96"/>
      <c r="X134" s="101"/>
      <c r="Y134" s="96"/>
      <c r="Z134" s="96"/>
      <c r="AA134" s="101"/>
      <c r="AB134" s="96"/>
      <c r="AC134" s="96"/>
      <c r="AD134" s="101"/>
      <c r="AE134" s="96"/>
      <c r="AF134" s="96"/>
      <c r="AG134" s="101"/>
      <c r="AH134" s="96"/>
      <c r="AI134" s="96"/>
      <c r="AJ134" s="101"/>
      <c r="AK134" s="84">
        <f t="shared" si="7"/>
        <v>4</v>
      </c>
      <c r="AL134" s="24">
        <f>YEAR(Tableau3[[#This Row],[Date]])</f>
        <v>2020</v>
      </c>
      <c r="AM134" s="92">
        <f>IFERROR(((Tableau3[[#This Row],[QTY Produite]]/1000)*VLOOKUP(Tableau3[[#This Row],[Machine]],Liste!$A:$B,2))/Tableau3[[#This Row],[Heures Macines]],"0")</f>
        <v>0.64346666666666663</v>
      </c>
      <c r="AN134" s="24" t="str">
        <f>VLOOKUP(Tableau3[[#This Row],[Opérateur 1]],Liste!$K$2:$M$68,3,FALSE)</f>
        <v>Déco</v>
      </c>
    </row>
    <row r="135" spans="1:40" s="24" customFormat="1" x14ac:dyDescent="0.25">
      <c r="A135" s="93">
        <v>43943</v>
      </c>
      <c r="B135" s="94" t="s">
        <v>19</v>
      </c>
      <c r="C135" s="16" t="s">
        <v>63</v>
      </c>
      <c r="D135" s="95" t="s">
        <v>18</v>
      </c>
      <c r="E135" s="94" t="s">
        <v>121</v>
      </c>
      <c r="F135" s="96">
        <v>4.75</v>
      </c>
      <c r="G135" s="94"/>
      <c r="H135" s="96"/>
      <c r="I135" s="91">
        <v>25851</v>
      </c>
      <c r="J135" s="97">
        <v>139781</v>
      </c>
      <c r="K135" s="97">
        <v>15840</v>
      </c>
      <c r="L135" s="97">
        <v>15840</v>
      </c>
      <c r="M13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135" s="97">
        <v>100</v>
      </c>
      <c r="O135" s="20">
        <v>1100</v>
      </c>
      <c r="P135" s="98">
        <v>90</v>
      </c>
      <c r="Q135" s="99">
        <f>IFERROR((Tableau3[[#This Row],[QTY Produite]]/1000)*((1000/Tableau3[[#This Row],[Cadence]])/60)/Tableau3[[#This Row],[Heures Macines]],"0")</f>
        <v>1.9555555555555555</v>
      </c>
      <c r="R135" s="100">
        <v>37</v>
      </c>
      <c r="S135" s="96" t="s">
        <v>146</v>
      </c>
      <c r="T135" s="18">
        <v>3.25</v>
      </c>
      <c r="U135" s="101"/>
      <c r="V135" s="96"/>
      <c r="W135" s="96"/>
      <c r="X135" s="101"/>
      <c r="Y135" s="96"/>
      <c r="Z135" s="96"/>
      <c r="AA135" s="101"/>
      <c r="AB135" s="96"/>
      <c r="AC135" s="96"/>
      <c r="AD135" s="101"/>
      <c r="AE135" s="96"/>
      <c r="AF135" s="96"/>
      <c r="AG135" s="101"/>
      <c r="AH135" s="96"/>
      <c r="AI135" s="96"/>
      <c r="AJ135" s="101"/>
      <c r="AK135" s="84">
        <f t="shared" si="7"/>
        <v>4</v>
      </c>
      <c r="AL135" s="24">
        <f>YEAR(Tableau3[[#This Row],[Date]])</f>
        <v>2020</v>
      </c>
      <c r="AM135" s="92">
        <f>IFERROR(((Tableau3[[#This Row],[QTY Produite]]/1000)*VLOOKUP(Tableau3[[#This Row],[Machine]],Liste!$A:$B,2))/Tableau3[[#This Row],[Heures Macines]],"0")</f>
        <v>4.2240000000000002</v>
      </c>
      <c r="AN135" s="24" t="str">
        <f>VLOOKUP(Tableau3[[#This Row],[Opérateur 1]],Liste!$K$2:$M$68,3,FALSE)</f>
        <v>Imp</v>
      </c>
    </row>
    <row r="136" spans="1:40" s="24" customFormat="1" x14ac:dyDescent="0.25">
      <c r="A136" s="93">
        <v>43943</v>
      </c>
      <c r="B136" s="94" t="s">
        <v>19</v>
      </c>
      <c r="C136" s="16" t="s">
        <v>63</v>
      </c>
      <c r="D136" s="95" t="s">
        <v>11</v>
      </c>
      <c r="E136" s="94" t="s">
        <v>131</v>
      </c>
      <c r="F136" s="96">
        <v>3.75</v>
      </c>
      <c r="G136" s="94"/>
      <c r="H136" s="96"/>
      <c r="I136" s="91" t="s">
        <v>207</v>
      </c>
      <c r="J136" s="97">
        <v>17050</v>
      </c>
      <c r="K136" s="97">
        <v>0</v>
      </c>
      <c r="L136" s="97">
        <v>0</v>
      </c>
      <c r="M13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3.75</v>
      </c>
      <c r="N136" s="97">
        <v>0</v>
      </c>
      <c r="O136" s="20">
        <v>423</v>
      </c>
      <c r="P136" s="98">
        <v>0</v>
      </c>
      <c r="Q136" s="99" t="str">
        <f>IFERROR((Tableau3[[#This Row],[QTY Produite]]/1000)*((1000/Tableau3[[#This Row],[Cadence]])/60)/Tableau3[[#This Row],[Heures Macines]],"0")</f>
        <v>0</v>
      </c>
      <c r="R136" s="100">
        <v>0</v>
      </c>
      <c r="S136" s="96"/>
      <c r="T136" s="18"/>
      <c r="U136" s="101"/>
      <c r="V136" s="96"/>
      <c r="W136" s="96"/>
      <c r="X136" s="101"/>
      <c r="Y136" s="96"/>
      <c r="Z136" s="96"/>
      <c r="AA136" s="101"/>
      <c r="AB136" s="96"/>
      <c r="AC136" s="96"/>
      <c r="AD136" s="101"/>
      <c r="AE136" s="96"/>
      <c r="AF136" s="96"/>
      <c r="AG136" s="101"/>
      <c r="AH136" s="96"/>
      <c r="AI136" s="96"/>
      <c r="AJ136" s="101"/>
      <c r="AK136" s="84">
        <f t="shared" si="7"/>
        <v>4</v>
      </c>
      <c r="AL136" s="24">
        <f>YEAR(Tableau3[[#This Row],[Date]])</f>
        <v>2020</v>
      </c>
      <c r="AM136" s="92">
        <f>IFERROR(((Tableau3[[#This Row],[QTY Produite]]/1000)*VLOOKUP(Tableau3[[#This Row],[Machine]],Liste!$A:$B,2))/Tableau3[[#This Row],[Heures Macines]],"0")</f>
        <v>0</v>
      </c>
      <c r="AN136" s="24" t="str">
        <f>VLOOKUP(Tableau3[[#This Row],[Opérateur 1]],Liste!$K$2:$M$68,3,FALSE)</f>
        <v>Déco</v>
      </c>
    </row>
    <row r="137" spans="1:40" s="24" customFormat="1" x14ac:dyDescent="0.25">
      <c r="A137" s="93">
        <v>43943</v>
      </c>
      <c r="B137" s="94" t="s">
        <v>19</v>
      </c>
      <c r="C137" s="16" t="s">
        <v>63</v>
      </c>
      <c r="D137" s="95" t="s">
        <v>11</v>
      </c>
      <c r="E137" s="94" t="s">
        <v>131</v>
      </c>
      <c r="F137" s="96">
        <v>4.25</v>
      </c>
      <c r="G137" s="94"/>
      <c r="H137" s="96"/>
      <c r="I137" s="91" t="s">
        <v>210</v>
      </c>
      <c r="J137" s="97">
        <v>411840</v>
      </c>
      <c r="K137" s="97">
        <v>7680</v>
      </c>
      <c r="L137" s="97">
        <v>7680</v>
      </c>
      <c r="M13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137" s="97">
        <v>84</v>
      </c>
      <c r="O137" s="20">
        <v>610</v>
      </c>
      <c r="P137" s="98">
        <v>90</v>
      </c>
      <c r="Q137" s="99">
        <f>IFERROR((Tableau3[[#This Row],[QTY Produite]]/1000)*((1000/Tableau3[[#This Row],[Cadence]])/60)/Tableau3[[#This Row],[Heures Macines]],"0")</f>
        <v>0.33464052287581697</v>
      </c>
      <c r="R137" s="100">
        <v>34</v>
      </c>
      <c r="S137" s="96"/>
      <c r="T137" s="18"/>
      <c r="U137" s="101"/>
      <c r="V137" s="96"/>
      <c r="W137" s="96"/>
      <c r="X137" s="101"/>
      <c r="Y137" s="96"/>
      <c r="Z137" s="96"/>
      <c r="AA137" s="101"/>
      <c r="AB137" s="96"/>
      <c r="AC137" s="96"/>
      <c r="AD137" s="101"/>
      <c r="AE137" s="96"/>
      <c r="AF137" s="96"/>
      <c r="AG137" s="101"/>
      <c r="AH137" s="96"/>
      <c r="AI137" s="96"/>
      <c r="AJ137" s="101"/>
      <c r="AK137" s="84">
        <f t="shared" si="7"/>
        <v>4</v>
      </c>
      <c r="AL137" s="24">
        <f>YEAR(Tableau3[[#This Row],[Date]])</f>
        <v>2020</v>
      </c>
      <c r="AM137" s="92">
        <f>IFERROR(((Tableau3[[#This Row],[QTY Produite]]/1000)*VLOOKUP(Tableau3[[#This Row],[Machine]],Liste!$A:$B,2))/Tableau3[[#This Row],[Heures Macines]],"0")</f>
        <v>0.72282352941176475</v>
      </c>
      <c r="AN137" s="24" t="str">
        <f>VLOOKUP(Tableau3[[#This Row],[Opérateur 1]],Liste!$K$2:$M$68,3,FALSE)</f>
        <v>Déco</v>
      </c>
    </row>
    <row r="138" spans="1:40" s="24" customFormat="1" x14ac:dyDescent="0.25">
      <c r="A138" s="93">
        <v>43943</v>
      </c>
      <c r="B138" s="94" t="s">
        <v>19</v>
      </c>
      <c r="C138" s="16" t="s">
        <v>63</v>
      </c>
      <c r="D138" s="95" t="s">
        <v>22</v>
      </c>
      <c r="E138" s="94" t="s">
        <v>114</v>
      </c>
      <c r="F138" s="96">
        <v>8</v>
      </c>
      <c r="G138" s="94"/>
      <c r="H138" s="96"/>
      <c r="I138" s="91">
        <v>25860</v>
      </c>
      <c r="J138" s="97">
        <v>526332</v>
      </c>
      <c r="K138" s="97">
        <v>33840</v>
      </c>
      <c r="L138" s="97">
        <v>351360</v>
      </c>
      <c r="M13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38" s="97">
        <v>247</v>
      </c>
      <c r="O138" s="20">
        <v>573</v>
      </c>
      <c r="P138" s="98">
        <v>80</v>
      </c>
      <c r="Q138" s="99">
        <f>IFERROR((Tableau3[[#This Row],[QTY Produite]]/1000)*((1000/Tableau3[[#This Row],[Cadence]])/60)/Tableau3[[#This Row],[Heures Macines]],"0")</f>
        <v>0.88125000000000009</v>
      </c>
      <c r="R138" s="100">
        <v>90</v>
      </c>
      <c r="S138" s="96"/>
      <c r="T138" s="18"/>
      <c r="U138" s="101"/>
      <c r="V138" s="96"/>
      <c r="W138" s="96"/>
      <c r="X138" s="101"/>
      <c r="Y138" s="96"/>
      <c r="Z138" s="96"/>
      <c r="AA138" s="101"/>
      <c r="AB138" s="96"/>
      <c r="AC138" s="96"/>
      <c r="AD138" s="101"/>
      <c r="AE138" s="96"/>
      <c r="AF138" s="96"/>
      <c r="AG138" s="101"/>
      <c r="AH138" s="96"/>
      <c r="AI138" s="96"/>
      <c r="AJ138" s="101"/>
      <c r="AK138" s="84">
        <f t="shared" si="7"/>
        <v>4</v>
      </c>
      <c r="AL138" s="24">
        <f>YEAR(Tableau3[[#This Row],[Date]])</f>
        <v>2020</v>
      </c>
      <c r="AM138" s="92">
        <f>IFERROR(((Tableau3[[#This Row],[QTY Produite]]/1000)*VLOOKUP(Tableau3[[#This Row],[Machine]],Liste!$A:$B,2))/Tableau3[[#This Row],[Heures Macines]],"0")</f>
        <v>1.2690000000000001</v>
      </c>
      <c r="AN138" s="24" t="str">
        <f>VLOOKUP(Tableau3[[#This Row],[Opérateur 1]],Liste!$K$2:$M$68,3,FALSE)</f>
        <v>Multi</v>
      </c>
    </row>
    <row r="139" spans="1:40" s="24" customFormat="1" x14ac:dyDescent="0.25">
      <c r="A139" s="93">
        <v>43943</v>
      </c>
      <c r="B139" s="94" t="s">
        <v>19</v>
      </c>
      <c r="C139" s="16" t="s">
        <v>63</v>
      </c>
      <c r="D139" s="95" t="s">
        <v>20</v>
      </c>
      <c r="E139" s="94" t="s">
        <v>125</v>
      </c>
      <c r="F139" s="96">
        <v>3.5</v>
      </c>
      <c r="G139" s="94"/>
      <c r="H139" s="96"/>
      <c r="I139" s="91"/>
      <c r="J139" s="97">
        <v>196</v>
      </c>
      <c r="K139" s="97">
        <v>196</v>
      </c>
      <c r="L139" s="97">
        <v>196</v>
      </c>
      <c r="M13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39" s="97">
        <v>0</v>
      </c>
      <c r="O139" s="20">
        <v>732</v>
      </c>
      <c r="P139" s="98"/>
      <c r="Q139" s="99" t="str">
        <f>IFERROR((Tableau3[[#This Row],[QTY Produite]]/1000)*((1000/Tableau3[[#This Row],[Cadence]])/60)/Tableau3[[#This Row],[Heures Macines]],"0")</f>
        <v>0</v>
      </c>
      <c r="R139" s="100"/>
      <c r="S139" s="96" t="s">
        <v>193</v>
      </c>
      <c r="T139" s="18">
        <v>3.5</v>
      </c>
      <c r="U139" s="101" t="s">
        <v>209</v>
      </c>
      <c r="V139" s="96"/>
      <c r="W139" s="96"/>
      <c r="X139" s="101"/>
      <c r="Y139" s="96"/>
      <c r="Z139" s="96"/>
      <c r="AA139" s="101"/>
      <c r="AB139" s="96"/>
      <c r="AC139" s="96"/>
      <c r="AD139" s="101"/>
      <c r="AE139" s="96"/>
      <c r="AF139" s="96"/>
      <c r="AG139" s="101"/>
      <c r="AH139" s="96"/>
      <c r="AI139" s="96"/>
      <c r="AJ139" s="101"/>
      <c r="AK139" s="84">
        <f t="shared" si="7"/>
        <v>4</v>
      </c>
      <c r="AL139" s="24">
        <f>YEAR(Tableau3[[#This Row],[Date]])</f>
        <v>2020</v>
      </c>
      <c r="AM139" s="92" t="str">
        <f>IFERROR(((Tableau3[[#This Row],[QTY Produite]]/1000)*VLOOKUP(Tableau3[[#This Row],[Machine]],Liste!$A:$B,2))/Tableau3[[#This Row],[Heures Macines]],"0")</f>
        <v>0</v>
      </c>
      <c r="AN139" s="24" t="str">
        <f>VLOOKUP(Tableau3[[#This Row],[Opérateur 1]],Liste!$K$2:$M$68,3,FALSE)</f>
        <v>Multi</v>
      </c>
    </row>
    <row r="140" spans="1:40" s="24" customFormat="1" x14ac:dyDescent="0.25">
      <c r="A140" s="93">
        <v>43943</v>
      </c>
      <c r="B140" s="94" t="s">
        <v>19</v>
      </c>
      <c r="C140" s="16" t="s">
        <v>63</v>
      </c>
      <c r="D140" s="95" t="s">
        <v>20</v>
      </c>
      <c r="E140" s="94" t="s">
        <v>125</v>
      </c>
      <c r="F140" s="96">
        <v>3</v>
      </c>
      <c r="G140" s="94"/>
      <c r="H140" s="96"/>
      <c r="I140" s="91">
        <v>25844</v>
      </c>
      <c r="J140" s="97">
        <v>25000</v>
      </c>
      <c r="K140" s="97">
        <v>3724</v>
      </c>
      <c r="L140" s="97">
        <v>3724</v>
      </c>
      <c r="M14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140" s="97">
        <v>537</v>
      </c>
      <c r="O140" s="20">
        <v>340</v>
      </c>
      <c r="P140" s="98">
        <v>55</v>
      </c>
      <c r="Q140" s="99">
        <f>IFERROR((Tableau3[[#This Row],[QTY Produite]]/1000)*((1000/Tableau3[[#This Row],[Cadence]])/60)/Tableau3[[#This Row],[Heures Macines]],"0")</f>
        <v>0.3761616161616162</v>
      </c>
      <c r="R140" s="100">
        <v>36</v>
      </c>
      <c r="S140" s="96"/>
      <c r="T140" s="18"/>
      <c r="U140" s="101"/>
      <c r="V140" s="96"/>
      <c r="W140" s="96"/>
      <c r="X140" s="101"/>
      <c r="Y140" s="96"/>
      <c r="Z140" s="96"/>
      <c r="AA140" s="101"/>
      <c r="AB140" s="96"/>
      <c r="AC140" s="96"/>
      <c r="AD140" s="101"/>
      <c r="AE140" s="96"/>
      <c r="AF140" s="96"/>
      <c r="AG140" s="101"/>
      <c r="AH140" s="96"/>
      <c r="AI140" s="96"/>
      <c r="AJ140" s="101"/>
      <c r="AK140" s="84">
        <f t="shared" si="7"/>
        <v>4</v>
      </c>
      <c r="AL140" s="24">
        <f>YEAR(Tableau3[[#This Row],[Date]])</f>
        <v>2020</v>
      </c>
      <c r="AM140" s="92">
        <f>IFERROR(((Tableau3[[#This Row],[QTY Produite]]/1000)*VLOOKUP(Tableau3[[#This Row],[Machine]],Liste!$A:$B,2))/Tableau3[[#This Row],[Heures Macines]],"0")</f>
        <v>0.44688</v>
      </c>
      <c r="AN140" s="24" t="str">
        <f>VLOOKUP(Tableau3[[#This Row],[Opérateur 1]],Liste!$K$2:$M$68,3,FALSE)</f>
        <v>Multi</v>
      </c>
    </row>
    <row r="141" spans="1:40" s="24" customFormat="1" x14ac:dyDescent="0.25">
      <c r="A141" s="93">
        <v>43943</v>
      </c>
      <c r="B141" s="94" t="s">
        <v>19</v>
      </c>
      <c r="C141" s="16" t="s">
        <v>63</v>
      </c>
      <c r="D141" s="95" t="s">
        <v>20</v>
      </c>
      <c r="E141" s="94" t="s">
        <v>125</v>
      </c>
      <c r="F141" s="96">
        <v>1.5</v>
      </c>
      <c r="G141" s="94"/>
      <c r="H141" s="96"/>
      <c r="I141" s="91">
        <v>24449</v>
      </c>
      <c r="J141" s="97">
        <v>51861</v>
      </c>
      <c r="K141" s="97">
        <v>1960</v>
      </c>
      <c r="L141" s="97">
        <v>51940</v>
      </c>
      <c r="M14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141" s="97">
        <v>76</v>
      </c>
      <c r="O141" s="20">
        <v>16</v>
      </c>
      <c r="P141" s="98">
        <v>55</v>
      </c>
      <c r="Q141" s="99">
        <f>IFERROR((Tableau3[[#This Row],[QTY Produite]]/1000)*((1000/Tableau3[[#This Row],[Cadence]])/60)/Tableau3[[#This Row],[Heures Macines]],"0")</f>
        <v>0.39595959595959601</v>
      </c>
      <c r="R141" s="100">
        <v>40</v>
      </c>
      <c r="S141" s="96"/>
      <c r="T141" s="18"/>
      <c r="U141" s="101"/>
      <c r="V141" s="96"/>
      <c r="W141" s="96"/>
      <c r="X141" s="101"/>
      <c r="Y141" s="96"/>
      <c r="Z141" s="96"/>
      <c r="AA141" s="101"/>
      <c r="AB141" s="96"/>
      <c r="AC141" s="96"/>
      <c r="AD141" s="101"/>
      <c r="AE141" s="96"/>
      <c r="AF141" s="96"/>
      <c r="AG141" s="101"/>
      <c r="AH141" s="96"/>
      <c r="AI141" s="96"/>
      <c r="AJ141" s="101"/>
      <c r="AK141" s="84">
        <f t="shared" si="7"/>
        <v>4</v>
      </c>
      <c r="AL141" s="24">
        <f>YEAR(Tableau3[[#This Row],[Date]])</f>
        <v>2020</v>
      </c>
      <c r="AM141" s="92">
        <f>IFERROR(((Tableau3[[#This Row],[QTY Produite]]/1000)*VLOOKUP(Tableau3[[#This Row],[Machine]],Liste!$A:$B,2))/Tableau3[[#This Row],[Heures Macines]],"0")</f>
        <v>0.47039999999999998</v>
      </c>
      <c r="AN141" s="24" t="str">
        <f>VLOOKUP(Tableau3[[#This Row],[Opérateur 1]],Liste!$K$2:$M$68,3,FALSE)</f>
        <v>Multi</v>
      </c>
    </row>
    <row r="142" spans="1:40" s="24" customFormat="1" x14ac:dyDescent="0.25">
      <c r="A142" s="93">
        <v>43943</v>
      </c>
      <c r="B142" s="94" t="s">
        <v>19</v>
      </c>
      <c r="C142" s="16" t="s">
        <v>63</v>
      </c>
      <c r="D142" s="95" t="s">
        <v>14</v>
      </c>
      <c r="E142" s="94" t="s">
        <v>139</v>
      </c>
      <c r="F142" s="96">
        <v>8</v>
      </c>
      <c r="G142" s="94"/>
      <c r="H142" s="96"/>
      <c r="I142" s="91">
        <v>26500</v>
      </c>
      <c r="J142" s="97">
        <v>49586</v>
      </c>
      <c r="K142" s="97">
        <v>19685</v>
      </c>
      <c r="L142" s="97">
        <v>45339</v>
      </c>
      <c r="M14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2" s="97">
        <v>590</v>
      </c>
      <c r="O142" s="20">
        <v>215</v>
      </c>
      <c r="P142" s="98">
        <v>47</v>
      </c>
      <c r="Q142" s="99">
        <f>IFERROR((Tableau3[[#This Row],[QTY Produite]]/1000)*((1000/Tableau3[[#This Row],[Cadence]])/60)/Tableau3[[#This Row],[Heures Macines]],"0")</f>
        <v>0.87256205673758858</v>
      </c>
      <c r="R142" s="100">
        <v>87</v>
      </c>
      <c r="S142" s="96"/>
      <c r="T142" s="18"/>
      <c r="U142" s="101"/>
      <c r="V142" s="96"/>
      <c r="W142" s="96"/>
      <c r="X142" s="101"/>
      <c r="Y142" s="96"/>
      <c r="Z142" s="96"/>
      <c r="AA142" s="101"/>
      <c r="AB142" s="96"/>
      <c r="AC142" s="96"/>
      <c r="AD142" s="101"/>
      <c r="AE142" s="96"/>
      <c r="AF142" s="96"/>
      <c r="AG142" s="101"/>
      <c r="AH142" s="96"/>
      <c r="AI142" s="96"/>
      <c r="AJ142" s="101"/>
      <c r="AK142" s="84">
        <f t="shared" si="7"/>
        <v>4</v>
      </c>
      <c r="AL142" s="24">
        <f>YEAR(Tableau3[[#This Row],[Date]])</f>
        <v>2020</v>
      </c>
      <c r="AM142" s="92">
        <f>IFERROR(((Tableau3[[#This Row],[QTY Produite]]/1000)*VLOOKUP(Tableau3[[#This Row],[Machine]],Liste!$A:$B,2))/Tableau3[[#This Row],[Heures Macines]],"0")</f>
        <v>1.10728125</v>
      </c>
      <c r="AN142" s="24" t="str">
        <f>VLOOKUP(Tableau3[[#This Row],[Opérateur 1]],Liste!$K$2:$M$68,3,FALSE)</f>
        <v>Mono</v>
      </c>
    </row>
    <row r="143" spans="1:40" s="24" customFormat="1" x14ac:dyDescent="0.25">
      <c r="A143" s="93">
        <v>43943</v>
      </c>
      <c r="B143" s="94" t="s">
        <v>19</v>
      </c>
      <c r="C143" s="16" t="s">
        <v>63</v>
      </c>
      <c r="D143" s="95" t="s">
        <v>10</v>
      </c>
      <c r="E143" s="94" t="s">
        <v>129</v>
      </c>
      <c r="F143" s="96">
        <v>8</v>
      </c>
      <c r="G143" s="94"/>
      <c r="H143" s="96"/>
      <c r="I143" s="91">
        <v>26764</v>
      </c>
      <c r="J143" s="97">
        <v>31191</v>
      </c>
      <c r="K143" s="97">
        <v>19440</v>
      </c>
      <c r="L143" s="97">
        <v>31200</v>
      </c>
      <c r="M14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3" s="97">
        <v>620</v>
      </c>
      <c r="O143" s="20">
        <v>172</v>
      </c>
      <c r="P143" s="98">
        <v>50</v>
      </c>
      <c r="Q143" s="99">
        <f>IFERROR((Tableau3[[#This Row],[QTY Produite]]/1000)*((1000/Tableau3[[#This Row],[Cadence]])/60)/Tableau3[[#This Row],[Heures Macines]],"0")</f>
        <v>0.81</v>
      </c>
      <c r="R143" s="100">
        <v>81</v>
      </c>
      <c r="S143" s="96"/>
      <c r="T143" s="18"/>
      <c r="U143" s="101"/>
      <c r="V143" s="96"/>
      <c r="W143" s="96"/>
      <c r="X143" s="101"/>
      <c r="Y143" s="96"/>
      <c r="Z143" s="96"/>
      <c r="AA143" s="101"/>
      <c r="AB143" s="96"/>
      <c r="AC143" s="96"/>
      <c r="AD143" s="101"/>
      <c r="AE143" s="96"/>
      <c r="AF143" s="96"/>
      <c r="AG143" s="101"/>
      <c r="AH143" s="96"/>
      <c r="AI143" s="96"/>
      <c r="AJ143" s="101"/>
      <c r="AK143" s="84">
        <f t="shared" si="7"/>
        <v>4</v>
      </c>
      <c r="AL143" s="24">
        <f>YEAR(Tableau3[[#This Row],[Date]])</f>
        <v>2020</v>
      </c>
      <c r="AM143" s="92">
        <f>IFERROR(((Tableau3[[#This Row],[QTY Produite]]/1000)*VLOOKUP(Tableau3[[#This Row],[Machine]],Liste!$A:$B,2))/Tableau3[[#This Row],[Heures Macines]],"0")</f>
        <v>1.0935000000000001</v>
      </c>
      <c r="AN143" s="24" t="str">
        <f>VLOOKUP(Tableau3[[#This Row],[Opérateur 1]],Liste!$K$2:$M$68,3,FALSE)</f>
        <v>Mono</v>
      </c>
    </row>
    <row r="144" spans="1:40" s="24" customFormat="1" x14ac:dyDescent="0.25">
      <c r="A144" s="93">
        <v>43942</v>
      </c>
      <c r="B144" s="94" t="s">
        <v>16</v>
      </c>
      <c r="C144" s="16" t="s">
        <v>62</v>
      </c>
      <c r="D144" s="95" t="s">
        <v>29</v>
      </c>
      <c r="E144" s="94" t="s">
        <v>143</v>
      </c>
      <c r="F144" s="96">
        <v>2.5</v>
      </c>
      <c r="G144" s="94"/>
      <c r="H144" s="96"/>
      <c r="I144" s="91" t="s">
        <v>208</v>
      </c>
      <c r="J144" s="97">
        <v>69300</v>
      </c>
      <c r="K144" s="97">
        <v>762</v>
      </c>
      <c r="L144" s="97">
        <v>762</v>
      </c>
      <c r="M14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2.5</v>
      </c>
      <c r="N144" s="97">
        <v>911</v>
      </c>
      <c r="O144" s="20">
        <v>149</v>
      </c>
      <c r="P144" s="98">
        <v>31</v>
      </c>
      <c r="Q144" s="99">
        <f>IFERROR((Tableau3[[#This Row],[QTY Produite]]/1000)*((1000/Tableau3[[#This Row],[Cadence]])/60)/Tableau3[[#This Row],[Heures Macines]],"0")</f>
        <v>0.16387096774193549</v>
      </c>
      <c r="R144" s="100">
        <v>22</v>
      </c>
      <c r="S144" s="96"/>
      <c r="T144" s="18"/>
      <c r="U144" s="101"/>
      <c r="V144" s="96"/>
      <c r="W144" s="96"/>
      <c r="X144" s="101"/>
      <c r="Y144" s="96"/>
      <c r="Z144" s="96"/>
      <c r="AA144" s="101"/>
      <c r="AB144" s="96"/>
      <c r="AC144" s="96"/>
      <c r="AD144" s="101"/>
      <c r="AE144" s="96"/>
      <c r="AF144" s="96"/>
      <c r="AG144" s="101"/>
      <c r="AH144" s="96"/>
      <c r="AI144" s="96"/>
      <c r="AJ144" s="101"/>
      <c r="AK144" s="84">
        <f t="shared" ref="AK144:AK153" si="8">MONTH(A144)</f>
        <v>4</v>
      </c>
      <c r="AL144" s="24">
        <f>YEAR(Tableau3[[#This Row],[Date]])</f>
        <v>2020</v>
      </c>
      <c r="AM144" s="92">
        <f>IFERROR(((Tableau3[[#This Row],[QTY Produite]]/1000)*VLOOKUP(Tableau3[[#This Row],[Machine]],Liste!$A:$B,2))/Tableau3[[#This Row],[Heures Macines]],"0")</f>
        <v>0.27432000000000001</v>
      </c>
      <c r="AN144" s="24" t="str">
        <f>VLOOKUP(Tableau3[[#This Row],[Opérateur 1]],Liste!$K$2:$M$68,3,FALSE)</f>
        <v>Déco</v>
      </c>
    </row>
    <row r="145" spans="1:40" s="24" customFormat="1" x14ac:dyDescent="0.25">
      <c r="A145" s="93">
        <v>43942</v>
      </c>
      <c r="B145" s="94" t="s">
        <v>16</v>
      </c>
      <c r="C145" s="16" t="s">
        <v>62</v>
      </c>
      <c r="D145" s="95" t="s">
        <v>23</v>
      </c>
      <c r="E145" s="94" t="s">
        <v>143</v>
      </c>
      <c r="F145" s="96">
        <v>5.5</v>
      </c>
      <c r="G145" s="94" t="s">
        <v>122</v>
      </c>
      <c r="H145" s="96">
        <v>2.5</v>
      </c>
      <c r="I145" s="91" t="s">
        <v>188</v>
      </c>
      <c r="J145" s="97">
        <v>94500</v>
      </c>
      <c r="K145" s="97">
        <v>11938</v>
      </c>
      <c r="L145" s="97">
        <v>39116</v>
      </c>
      <c r="M14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5" s="97">
        <v>145</v>
      </c>
      <c r="O145" s="20">
        <v>971</v>
      </c>
      <c r="P145" s="98">
        <v>33</v>
      </c>
      <c r="Q145" s="99">
        <f>IFERROR((Tableau3[[#This Row],[QTY Produite]]/1000)*((1000/Tableau3[[#This Row],[Cadence]])/60)/Tableau3[[#This Row],[Heures Macines]],"0")</f>
        <v>0.7536616161616162</v>
      </c>
      <c r="R145" s="100">
        <v>75</v>
      </c>
      <c r="S145" s="96"/>
      <c r="T145" s="18"/>
      <c r="U145" s="101"/>
      <c r="V145" s="96"/>
      <c r="W145" s="96"/>
      <c r="X145" s="101"/>
      <c r="Y145" s="96"/>
      <c r="Z145" s="96"/>
      <c r="AA145" s="101"/>
      <c r="AB145" s="96"/>
      <c r="AC145" s="96"/>
      <c r="AD145" s="101"/>
      <c r="AE145" s="96"/>
      <c r="AF145" s="96"/>
      <c r="AG145" s="101"/>
      <c r="AH145" s="96"/>
      <c r="AI145" s="96"/>
      <c r="AJ145" s="101"/>
      <c r="AK145" s="84">
        <f t="shared" si="8"/>
        <v>4</v>
      </c>
      <c r="AL145" s="24">
        <f>YEAR(Tableau3[[#This Row],[Date]])</f>
        <v>2020</v>
      </c>
      <c r="AM145" s="92">
        <f>IFERROR(((Tableau3[[#This Row],[QTY Produite]]/1000)*VLOOKUP(Tableau3[[#This Row],[Machine]],Liste!$A:$B,2))/Tableau3[[#This Row],[Heures Macines]],"0")</f>
        <v>0.5969000000000001</v>
      </c>
      <c r="AN145" s="24" t="str">
        <f>VLOOKUP(Tableau3[[#This Row],[Opérateur 1]],Liste!$K$2:$M$68,3,FALSE)</f>
        <v>Déco</v>
      </c>
    </row>
    <row r="146" spans="1:40" s="24" customFormat="1" x14ac:dyDescent="0.25">
      <c r="A146" s="93">
        <v>43942</v>
      </c>
      <c r="B146" s="94" t="s">
        <v>16</v>
      </c>
      <c r="C146" s="16" t="s">
        <v>62</v>
      </c>
      <c r="D146" s="95" t="s">
        <v>31</v>
      </c>
      <c r="E146" s="94" t="s">
        <v>122</v>
      </c>
      <c r="F146" s="96">
        <v>5.5</v>
      </c>
      <c r="G146" s="94"/>
      <c r="H146" s="96"/>
      <c r="I146" s="91" t="s">
        <v>190</v>
      </c>
      <c r="J146" s="97">
        <v>30800</v>
      </c>
      <c r="K146" s="97">
        <v>12987</v>
      </c>
      <c r="L146" s="97">
        <v>29970</v>
      </c>
      <c r="M14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5.5</v>
      </c>
      <c r="N146" s="97">
        <v>28</v>
      </c>
      <c r="O146" s="20"/>
      <c r="P146" s="98">
        <v>43</v>
      </c>
      <c r="Q146" s="99">
        <f>IFERROR((Tableau3[[#This Row],[QTY Produite]]/1000)*((1000/Tableau3[[#This Row],[Cadence]])/60)/Tableau3[[#This Row],[Heures Macines]],"0")</f>
        <v>0.91522198731501048</v>
      </c>
      <c r="R146" s="100">
        <v>100</v>
      </c>
      <c r="S146" s="96"/>
      <c r="T146" s="18"/>
      <c r="U146" s="101"/>
      <c r="V146" s="96"/>
      <c r="W146" s="96"/>
      <c r="X146" s="101"/>
      <c r="Y146" s="96"/>
      <c r="Z146" s="96"/>
      <c r="AA146" s="101"/>
      <c r="AB146" s="96"/>
      <c r="AC146" s="96"/>
      <c r="AD146" s="101"/>
      <c r="AE146" s="96"/>
      <c r="AF146" s="96"/>
      <c r="AG146" s="101"/>
      <c r="AH146" s="96"/>
      <c r="AI146" s="96"/>
      <c r="AJ146" s="101"/>
      <c r="AK146" s="84">
        <f t="shared" si="8"/>
        <v>4</v>
      </c>
      <c r="AL146" s="24">
        <f>YEAR(Tableau3[[#This Row],[Date]])</f>
        <v>2020</v>
      </c>
      <c r="AM146" s="92">
        <f>IFERROR(((Tableau3[[#This Row],[QTY Produite]]/1000)*VLOOKUP(Tableau3[[#This Row],[Machine]],Liste!$A:$B,2))/Tableau3[[#This Row],[Heures Macines]],"0")</f>
        <v>0.94450909090909108</v>
      </c>
      <c r="AN146" s="24" t="str">
        <f>VLOOKUP(Tableau3[[#This Row],[Opérateur 1]],Liste!$K$2:$M$68,3,FALSE)</f>
        <v>Déco</v>
      </c>
    </row>
    <row r="147" spans="1:40" s="24" customFormat="1" x14ac:dyDescent="0.25">
      <c r="A147" s="93">
        <v>43942</v>
      </c>
      <c r="B147" s="94" t="s">
        <v>16</v>
      </c>
      <c r="C147" s="16" t="s">
        <v>62</v>
      </c>
      <c r="D147" s="95" t="s">
        <v>22</v>
      </c>
      <c r="E147" s="94" t="s">
        <v>136</v>
      </c>
      <c r="F147" s="96">
        <v>8</v>
      </c>
      <c r="G147" s="94"/>
      <c r="H147" s="96"/>
      <c r="I147" s="91">
        <v>25860</v>
      </c>
      <c r="J147" s="97">
        <v>526332</v>
      </c>
      <c r="K147" s="97">
        <v>28320</v>
      </c>
      <c r="L147" s="97">
        <v>317520</v>
      </c>
      <c r="M14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7" s="97">
        <v>1105</v>
      </c>
      <c r="O147" s="20"/>
      <c r="P147" s="98">
        <v>80</v>
      </c>
      <c r="Q147" s="99">
        <f>IFERROR((Tableau3[[#This Row],[QTY Produite]]/1000)*((1000/Tableau3[[#This Row],[Cadence]])/60)/Tableau3[[#This Row],[Heures Macines]],"0")</f>
        <v>0.73750000000000004</v>
      </c>
      <c r="R147" s="100">
        <v>74</v>
      </c>
      <c r="S147" s="96"/>
      <c r="T147" s="18"/>
      <c r="U147" s="101"/>
      <c r="V147" s="96"/>
      <c r="W147" s="96"/>
      <c r="X147" s="101"/>
      <c r="Y147" s="96"/>
      <c r="Z147" s="96"/>
      <c r="AA147" s="101"/>
      <c r="AB147" s="96"/>
      <c r="AC147" s="96"/>
      <c r="AD147" s="101"/>
      <c r="AE147" s="96"/>
      <c r="AF147" s="96"/>
      <c r="AG147" s="101"/>
      <c r="AH147" s="96"/>
      <c r="AI147" s="96"/>
      <c r="AJ147" s="101"/>
      <c r="AK147" s="84">
        <f t="shared" si="8"/>
        <v>4</v>
      </c>
      <c r="AL147" s="24">
        <f>YEAR(Tableau3[[#This Row],[Date]])</f>
        <v>2020</v>
      </c>
      <c r="AM147" s="92">
        <f>IFERROR(((Tableau3[[#This Row],[QTY Produite]]/1000)*VLOOKUP(Tableau3[[#This Row],[Machine]],Liste!$A:$B,2))/Tableau3[[#This Row],[Heures Macines]],"0")</f>
        <v>1.0620000000000001</v>
      </c>
      <c r="AN147" s="24" t="str">
        <f>VLOOKUP(Tableau3[[#This Row],[Opérateur 1]],Liste!$K$2:$M$68,3,FALSE)</f>
        <v>Multi</v>
      </c>
    </row>
    <row r="148" spans="1:40" s="24" customFormat="1" x14ac:dyDescent="0.25">
      <c r="A148" s="93">
        <v>43942</v>
      </c>
      <c r="B148" s="94" t="s">
        <v>16</v>
      </c>
      <c r="C148" s="16" t="s">
        <v>62</v>
      </c>
      <c r="D148" s="95" t="s">
        <v>14</v>
      </c>
      <c r="E148" s="94" t="s">
        <v>112</v>
      </c>
      <c r="F148" s="96">
        <v>8</v>
      </c>
      <c r="G148" s="94"/>
      <c r="H148" s="96"/>
      <c r="I148" s="91">
        <v>26500</v>
      </c>
      <c r="J148" s="97">
        <v>49586</v>
      </c>
      <c r="K148" s="97">
        <v>22098</v>
      </c>
      <c r="L148" s="97">
        <v>25654</v>
      </c>
      <c r="M14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8" s="97">
        <v>88</v>
      </c>
      <c r="O148" s="20">
        <v>12</v>
      </c>
      <c r="P148" s="98">
        <v>48</v>
      </c>
      <c r="Q148" s="99">
        <f>IFERROR((Tableau3[[#This Row],[QTY Produite]]/1000)*((1000/Tableau3[[#This Row],[Cadence]])/60)/Tableau3[[#This Row],[Heures Macines]],"0")</f>
        <v>0.95911458333333321</v>
      </c>
      <c r="R148" s="100">
        <v>96</v>
      </c>
      <c r="S148" s="96"/>
      <c r="T148" s="18"/>
      <c r="U148" s="101"/>
      <c r="V148" s="96"/>
      <c r="W148" s="96"/>
      <c r="X148" s="101"/>
      <c r="Y148" s="96"/>
      <c r="Z148" s="96"/>
      <c r="AA148" s="101"/>
      <c r="AB148" s="96"/>
      <c r="AC148" s="96"/>
      <c r="AD148" s="101"/>
      <c r="AE148" s="96"/>
      <c r="AF148" s="96"/>
      <c r="AG148" s="101"/>
      <c r="AH148" s="96"/>
      <c r="AI148" s="96"/>
      <c r="AJ148" s="101"/>
      <c r="AK148" s="84">
        <f t="shared" si="8"/>
        <v>4</v>
      </c>
      <c r="AL148" s="24">
        <f>YEAR(Tableau3[[#This Row],[Date]])</f>
        <v>2020</v>
      </c>
      <c r="AM148" s="92">
        <f>IFERROR(((Tableau3[[#This Row],[QTY Produite]]/1000)*VLOOKUP(Tableau3[[#This Row],[Machine]],Liste!$A:$B,2))/Tableau3[[#This Row],[Heures Macines]],"0")</f>
        <v>1.2430125000000001</v>
      </c>
      <c r="AN148" s="24" t="str">
        <f>VLOOKUP(Tableau3[[#This Row],[Opérateur 1]],Liste!$K$2:$M$68,3,FALSE)</f>
        <v>Mono</v>
      </c>
    </row>
    <row r="149" spans="1:40" s="24" customFormat="1" x14ac:dyDescent="0.25">
      <c r="A149" s="93">
        <v>43942</v>
      </c>
      <c r="B149" s="94" t="s">
        <v>16</v>
      </c>
      <c r="C149" s="16" t="s">
        <v>62</v>
      </c>
      <c r="D149" s="95" t="s">
        <v>20</v>
      </c>
      <c r="E149" s="94" t="s">
        <v>124</v>
      </c>
      <c r="F149" s="96">
        <v>8</v>
      </c>
      <c r="G149" s="94"/>
      <c r="H149" s="96"/>
      <c r="I149" s="91">
        <v>24449</v>
      </c>
      <c r="J149" s="97">
        <v>51861</v>
      </c>
      <c r="K149" s="97">
        <v>19208</v>
      </c>
      <c r="L149" s="97">
        <v>49980</v>
      </c>
      <c r="M14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49" s="97">
        <v>2534</v>
      </c>
      <c r="O149" s="20">
        <v>88</v>
      </c>
      <c r="P149" s="98">
        <v>55</v>
      </c>
      <c r="Q149" s="99">
        <f>IFERROR((Tableau3[[#This Row],[QTY Produite]]/1000)*((1000/Tableau3[[#This Row],[Cadence]])/60)/Tableau3[[#This Row],[Heures Macines]],"0")</f>
        <v>0.72757575757575754</v>
      </c>
      <c r="R149" s="100">
        <v>73</v>
      </c>
      <c r="S149" s="96"/>
      <c r="T149" s="18"/>
      <c r="U149" s="101"/>
      <c r="V149" s="96"/>
      <c r="W149" s="96"/>
      <c r="X149" s="101"/>
      <c r="Y149" s="96"/>
      <c r="Z149" s="96"/>
      <c r="AA149" s="101"/>
      <c r="AB149" s="96"/>
      <c r="AC149" s="96"/>
      <c r="AD149" s="101"/>
      <c r="AE149" s="96"/>
      <c r="AF149" s="96"/>
      <c r="AG149" s="101"/>
      <c r="AH149" s="96"/>
      <c r="AI149" s="96"/>
      <c r="AJ149" s="101"/>
      <c r="AK149" s="84">
        <f t="shared" si="8"/>
        <v>4</v>
      </c>
      <c r="AL149" s="24">
        <f>YEAR(Tableau3[[#This Row],[Date]])</f>
        <v>2020</v>
      </c>
      <c r="AM149" s="92">
        <f>IFERROR(((Tableau3[[#This Row],[QTY Produite]]/1000)*VLOOKUP(Tableau3[[#This Row],[Machine]],Liste!$A:$B,2))/Tableau3[[#This Row],[Heures Macines]],"0")</f>
        <v>0.86435999999999991</v>
      </c>
      <c r="AN149" s="24" t="str">
        <f>VLOOKUP(Tableau3[[#This Row],[Opérateur 1]],Liste!$K$2:$M$68,3,FALSE)</f>
        <v>Multi</v>
      </c>
    </row>
    <row r="150" spans="1:40" s="24" customFormat="1" x14ac:dyDescent="0.25">
      <c r="A150" s="93">
        <v>43942</v>
      </c>
      <c r="B150" s="94" t="s">
        <v>16</v>
      </c>
      <c r="C150" s="16" t="s">
        <v>62</v>
      </c>
      <c r="D150" s="95" t="s">
        <v>15</v>
      </c>
      <c r="E150" s="94" t="s">
        <v>109</v>
      </c>
      <c r="F150" s="96">
        <v>4.75</v>
      </c>
      <c r="G150" s="94"/>
      <c r="H150" s="96"/>
      <c r="I150" s="91" t="s">
        <v>207</v>
      </c>
      <c r="J150" s="97">
        <v>17050</v>
      </c>
      <c r="K150" s="97"/>
      <c r="L150" s="97"/>
      <c r="M15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50" s="97"/>
      <c r="O150" s="20"/>
      <c r="P150" s="98"/>
      <c r="Q150" s="99" t="str">
        <f>IFERROR((Tableau3[[#This Row],[QTY Produite]]/1000)*((1000/Tableau3[[#This Row],[Cadence]])/60)/Tableau3[[#This Row],[Heures Macines]],"0")</f>
        <v>0</v>
      </c>
      <c r="R150" s="100"/>
      <c r="S150" s="96" t="s">
        <v>146</v>
      </c>
      <c r="T150" s="18">
        <v>4.75</v>
      </c>
      <c r="U150" s="101"/>
      <c r="V150" s="96"/>
      <c r="W150" s="96"/>
      <c r="X150" s="101"/>
      <c r="Y150" s="96"/>
      <c r="Z150" s="96"/>
      <c r="AA150" s="101"/>
      <c r="AB150" s="96"/>
      <c r="AC150" s="96"/>
      <c r="AD150" s="101"/>
      <c r="AE150" s="96"/>
      <c r="AF150" s="96"/>
      <c r="AG150" s="101"/>
      <c r="AH150" s="96"/>
      <c r="AI150" s="96"/>
      <c r="AJ150" s="101"/>
      <c r="AK150" s="84">
        <f t="shared" si="8"/>
        <v>4</v>
      </c>
      <c r="AL150" s="24">
        <f>YEAR(Tableau3[[#This Row],[Date]])</f>
        <v>2020</v>
      </c>
      <c r="AM150" s="92" t="str">
        <f>IFERROR(((Tableau3[[#This Row],[QTY Produite]]/1000)*VLOOKUP(Tableau3[[#This Row],[Machine]],Liste!$A:$B,2))/Tableau3[[#This Row],[Heures Macines]],"0")</f>
        <v>0</v>
      </c>
      <c r="AN150" s="24" t="str">
        <f>VLOOKUP(Tableau3[[#This Row],[Opérateur 1]],Liste!$K$2:$M$68,3,FALSE)</f>
        <v>Imp</v>
      </c>
    </row>
    <row r="151" spans="1:40" s="24" customFormat="1" x14ac:dyDescent="0.25">
      <c r="A151" s="93">
        <v>43942</v>
      </c>
      <c r="B151" s="94" t="s">
        <v>16</v>
      </c>
      <c r="C151" s="16" t="s">
        <v>62</v>
      </c>
      <c r="D151" s="95" t="s">
        <v>15</v>
      </c>
      <c r="E151" s="94" t="s">
        <v>109</v>
      </c>
      <c r="F151" s="96">
        <v>3.25</v>
      </c>
      <c r="G151" s="94"/>
      <c r="H151" s="96"/>
      <c r="I151" s="91" t="s">
        <v>189</v>
      </c>
      <c r="J151" s="97">
        <v>16500</v>
      </c>
      <c r="K151" s="97">
        <v>4953</v>
      </c>
      <c r="L151" s="97">
        <v>16383</v>
      </c>
      <c r="M15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3.25</v>
      </c>
      <c r="N151" s="97">
        <v>200</v>
      </c>
      <c r="O151" s="20">
        <v>440</v>
      </c>
      <c r="P151" s="98">
        <v>80</v>
      </c>
      <c r="Q151" s="99">
        <f>IFERROR((Tableau3[[#This Row],[QTY Produite]]/1000)*((1000/Tableau3[[#This Row],[Cadence]])/60)/Tableau3[[#This Row],[Heures Macines]],"0")</f>
        <v>0.3175</v>
      </c>
      <c r="R151" s="100">
        <v>69</v>
      </c>
      <c r="S151" s="96"/>
      <c r="T151" s="18"/>
      <c r="U151" s="101"/>
      <c r="V151" s="96"/>
      <c r="W151" s="96"/>
      <c r="X151" s="101"/>
      <c r="Y151" s="96"/>
      <c r="Z151" s="96"/>
      <c r="AA151" s="101"/>
      <c r="AB151" s="96"/>
      <c r="AC151" s="96"/>
      <c r="AD151" s="101"/>
      <c r="AE151" s="96"/>
      <c r="AF151" s="96"/>
      <c r="AG151" s="101"/>
      <c r="AH151" s="96"/>
      <c r="AI151" s="96"/>
      <c r="AJ151" s="101"/>
      <c r="AK151" s="84">
        <f t="shared" si="8"/>
        <v>4</v>
      </c>
      <c r="AL151" s="24">
        <f>YEAR(Tableau3[[#This Row],[Date]])</f>
        <v>2020</v>
      </c>
      <c r="AM151" s="92">
        <f>IFERROR(((Tableau3[[#This Row],[QTY Produite]]/1000)*VLOOKUP(Tableau3[[#This Row],[Machine]],Liste!$A:$B,2))/Tableau3[[#This Row],[Heures Macines]],"0")</f>
        <v>0.60960000000000014</v>
      </c>
      <c r="AN151" s="24" t="str">
        <f>VLOOKUP(Tableau3[[#This Row],[Opérateur 1]],Liste!$K$2:$M$68,3,FALSE)</f>
        <v>Imp</v>
      </c>
    </row>
    <row r="152" spans="1:40" s="24" customFormat="1" x14ac:dyDescent="0.25">
      <c r="A152" s="93">
        <v>43942</v>
      </c>
      <c r="B152" s="94" t="s">
        <v>16</v>
      </c>
      <c r="C152" s="16" t="s">
        <v>62</v>
      </c>
      <c r="D152" s="95" t="s">
        <v>30</v>
      </c>
      <c r="E152" s="94" t="s">
        <v>116</v>
      </c>
      <c r="F152" s="96">
        <v>8</v>
      </c>
      <c r="G152" s="94"/>
      <c r="H152" s="96"/>
      <c r="I152" s="91" t="s">
        <v>187</v>
      </c>
      <c r="J152" s="97">
        <v>135960</v>
      </c>
      <c r="K152" s="97">
        <v>21952</v>
      </c>
      <c r="L152" s="97">
        <v>74872</v>
      </c>
      <c r="M15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52" s="97">
        <v>45</v>
      </c>
      <c r="O152" s="20">
        <v>286</v>
      </c>
      <c r="P152" s="98">
        <v>66</v>
      </c>
      <c r="Q152" s="99">
        <f>IFERROR((Tableau3[[#This Row],[QTY Produite]]/1000)*((1000/Tableau3[[#This Row],[Cadence]])/60)/Tableau3[[#This Row],[Heures Macines]],"0")</f>
        <v>0.69292929292929306</v>
      </c>
      <c r="R152" s="100">
        <v>69</v>
      </c>
      <c r="S152" s="96"/>
      <c r="T152" s="18"/>
      <c r="U152" s="101"/>
      <c r="V152" s="96"/>
      <c r="W152" s="96"/>
      <c r="X152" s="101"/>
      <c r="Y152" s="96"/>
      <c r="Z152" s="96"/>
      <c r="AA152" s="101"/>
      <c r="AB152" s="96"/>
      <c r="AC152" s="96"/>
      <c r="AD152" s="101"/>
      <c r="AE152" s="96"/>
      <c r="AF152" s="96"/>
      <c r="AG152" s="101"/>
      <c r="AH152" s="96"/>
      <c r="AI152" s="96"/>
      <c r="AJ152" s="101"/>
      <c r="AK152" s="84">
        <f t="shared" si="8"/>
        <v>4</v>
      </c>
      <c r="AL152" s="24">
        <f>YEAR(Tableau3[[#This Row],[Date]])</f>
        <v>2020</v>
      </c>
      <c r="AM152" s="92">
        <f>IFERROR(((Tableau3[[#This Row],[QTY Produite]]/1000)*VLOOKUP(Tableau3[[#This Row],[Machine]],Liste!$A:$B,2))/Tableau3[[#This Row],[Heures Macines]],"0")</f>
        <v>1.6464000000000001</v>
      </c>
      <c r="AN152" s="24" t="str">
        <f>VLOOKUP(Tableau3[[#This Row],[Opérateur 1]],Liste!$K$2:$M$68,3,FALSE)</f>
        <v>Déco</v>
      </c>
    </row>
    <row r="153" spans="1:40" s="24" customFormat="1" x14ac:dyDescent="0.25">
      <c r="A153" s="93">
        <v>43942</v>
      </c>
      <c r="B153" s="94" t="s">
        <v>16</v>
      </c>
      <c r="C153" s="16" t="s">
        <v>62</v>
      </c>
      <c r="D153" s="95" t="s">
        <v>18</v>
      </c>
      <c r="E153" s="94" t="s">
        <v>141</v>
      </c>
      <c r="F153" s="96">
        <v>8</v>
      </c>
      <c r="G153" s="94"/>
      <c r="H153" s="96"/>
      <c r="I153" s="91">
        <v>25851</v>
      </c>
      <c r="J153" s="97">
        <v>139781</v>
      </c>
      <c r="K153" s="97"/>
      <c r="L153" s="97"/>
      <c r="M15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53" s="97"/>
      <c r="O153" s="20"/>
      <c r="P153" s="98"/>
      <c r="Q153" s="99" t="str">
        <f>IFERROR((Tableau3[[#This Row],[QTY Produite]]/1000)*((1000/Tableau3[[#This Row],[Cadence]])/60)/Tableau3[[#This Row],[Heures Macines]],"0")</f>
        <v>0</v>
      </c>
      <c r="R153" s="100"/>
      <c r="S153" s="96" t="s">
        <v>144</v>
      </c>
      <c r="T153" s="18">
        <v>0.25</v>
      </c>
      <c r="U153" s="101" t="s">
        <v>206</v>
      </c>
      <c r="V153" s="96" t="s">
        <v>146</v>
      </c>
      <c r="W153" s="96">
        <v>7.75</v>
      </c>
      <c r="X153" s="101"/>
      <c r="Y153" s="96"/>
      <c r="Z153" s="96"/>
      <c r="AA153" s="101"/>
      <c r="AB153" s="96"/>
      <c r="AC153" s="96"/>
      <c r="AD153" s="101"/>
      <c r="AE153" s="96"/>
      <c r="AF153" s="96"/>
      <c r="AG153" s="101"/>
      <c r="AH153" s="96"/>
      <c r="AI153" s="96"/>
      <c r="AJ153" s="101"/>
      <c r="AK153" s="84">
        <f t="shared" si="8"/>
        <v>4</v>
      </c>
      <c r="AL153" s="24">
        <f>YEAR(Tableau3[[#This Row],[Date]])</f>
        <v>2020</v>
      </c>
      <c r="AM153" s="92" t="str">
        <f>IFERROR(((Tableau3[[#This Row],[QTY Produite]]/1000)*VLOOKUP(Tableau3[[#This Row],[Machine]],Liste!$A:$B,2))/Tableau3[[#This Row],[Heures Macines]],"0")</f>
        <v>0</v>
      </c>
      <c r="AN153" s="24" t="str">
        <f>VLOOKUP(Tableau3[[#This Row],[Opérateur 1]],Liste!$K$2:$M$68,3,FALSE)</f>
        <v>Imp</v>
      </c>
    </row>
    <row r="154" spans="1:40" s="24" customFormat="1" x14ac:dyDescent="0.25">
      <c r="A154" s="93">
        <v>43942</v>
      </c>
      <c r="B154" s="94" t="s">
        <v>13</v>
      </c>
      <c r="C154" s="16" t="s">
        <v>102</v>
      </c>
      <c r="D154" s="95" t="s">
        <v>10</v>
      </c>
      <c r="E154" s="94" t="s">
        <v>111</v>
      </c>
      <c r="F154" s="96">
        <v>2.25</v>
      </c>
      <c r="G154" s="94"/>
      <c r="H154" s="96"/>
      <c r="I154" s="91">
        <v>26595</v>
      </c>
      <c r="J154" s="97">
        <v>23295</v>
      </c>
      <c r="K154" s="97">
        <v>2400</v>
      </c>
      <c r="L154" s="97">
        <v>23280</v>
      </c>
      <c r="M15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2.25</v>
      </c>
      <c r="N154" s="97">
        <v>0</v>
      </c>
      <c r="O154" s="20">
        <v>0</v>
      </c>
      <c r="P154" s="98">
        <v>52</v>
      </c>
      <c r="Q154" s="99">
        <f>IFERROR((Tableau3[[#This Row],[QTY Produite]]/1000)*((1000/Tableau3[[#This Row],[Cadence]])/60)/Tableau3[[#This Row],[Heures Macines]],"0")</f>
        <v>0.34188034188034183</v>
      </c>
      <c r="R154" s="100">
        <v>34</v>
      </c>
      <c r="S154" s="96"/>
      <c r="T154" s="18"/>
      <c r="U154" s="101"/>
      <c r="V154" s="96"/>
      <c r="W154" s="96"/>
      <c r="X154" s="101"/>
      <c r="Y154" s="96"/>
      <c r="Z154" s="96"/>
      <c r="AA154" s="101"/>
      <c r="AB154" s="96"/>
      <c r="AC154" s="96"/>
      <c r="AD154" s="101"/>
      <c r="AE154" s="96"/>
      <c r="AF154" s="96"/>
      <c r="AG154" s="101"/>
      <c r="AH154" s="96"/>
      <c r="AI154" s="96"/>
      <c r="AJ154" s="101"/>
      <c r="AK154" s="84">
        <f t="shared" ref="AK154:AK166" si="9">MONTH(A154)</f>
        <v>4</v>
      </c>
      <c r="AL154" s="24">
        <f>YEAR(Tableau3[[#This Row],[Date]])</f>
        <v>2020</v>
      </c>
      <c r="AM154" s="92">
        <f>IFERROR(((Tableau3[[#This Row],[QTY Produite]]/1000)*VLOOKUP(Tableau3[[#This Row],[Machine]],Liste!$A:$B,2))/Tableau3[[#This Row],[Heures Macines]],"0")</f>
        <v>0.48000000000000004</v>
      </c>
      <c r="AN154" s="24" t="str">
        <f>VLOOKUP(Tableau3[[#This Row],[Opérateur 1]],Liste!$K$2:$M$68,3,FALSE)</f>
        <v>Mono</v>
      </c>
    </row>
    <row r="155" spans="1:40" s="24" customFormat="1" x14ac:dyDescent="0.25">
      <c r="A155" s="93">
        <v>43942</v>
      </c>
      <c r="B155" s="94" t="s">
        <v>13</v>
      </c>
      <c r="C155" s="16" t="s">
        <v>102</v>
      </c>
      <c r="D155" s="95" t="s">
        <v>14</v>
      </c>
      <c r="E155" s="94" t="s">
        <v>126</v>
      </c>
      <c r="F155" s="96">
        <v>1.5</v>
      </c>
      <c r="G155" s="94"/>
      <c r="H155" s="96"/>
      <c r="I155" s="91">
        <v>24983</v>
      </c>
      <c r="J155" s="97">
        <v>99524</v>
      </c>
      <c r="K155" s="97">
        <v>2286</v>
      </c>
      <c r="L155" s="97">
        <v>99568</v>
      </c>
      <c r="M15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155" s="97">
        <v>5</v>
      </c>
      <c r="O155" s="20">
        <v>20</v>
      </c>
      <c r="P155" s="98">
        <v>31</v>
      </c>
      <c r="Q155" s="99">
        <f>IFERROR((Tableau3[[#This Row],[QTY Produite]]/1000)*((1000/Tableau3[[#This Row],[Cadence]])/60)/Tableau3[[#This Row],[Heures Macines]],"0")</f>
        <v>0.8193548387096774</v>
      </c>
      <c r="R155" s="100">
        <v>82</v>
      </c>
      <c r="S155" s="96"/>
      <c r="T155" s="18"/>
      <c r="U155" s="101"/>
      <c r="V155" s="96"/>
      <c r="W155" s="96"/>
      <c r="X155" s="101"/>
      <c r="Y155" s="96"/>
      <c r="Z155" s="96"/>
      <c r="AA155" s="101"/>
      <c r="AB155" s="96"/>
      <c r="AC155" s="96"/>
      <c r="AD155" s="101"/>
      <c r="AE155" s="96"/>
      <c r="AF155" s="96"/>
      <c r="AG155" s="101"/>
      <c r="AH155" s="96"/>
      <c r="AI155" s="96"/>
      <c r="AJ155" s="101"/>
      <c r="AK155" s="84">
        <f t="shared" si="9"/>
        <v>4</v>
      </c>
      <c r="AL155" s="24">
        <f>YEAR(Tableau3[[#This Row],[Date]])</f>
        <v>2020</v>
      </c>
      <c r="AM155" s="92">
        <f>IFERROR(((Tableau3[[#This Row],[QTY Produite]]/1000)*VLOOKUP(Tableau3[[#This Row],[Machine]],Liste!$A:$B,2))/Tableau3[[#This Row],[Heures Macines]],"0")</f>
        <v>0.68579999999999997</v>
      </c>
      <c r="AN155" s="24" t="str">
        <f>VLOOKUP(Tableau3[[#This Row],[Opérateur 1]],Liste!$K$2:$M$68,3,FALSE)</f>
        <v>Multi</v>
      </c>
    </row>
    <row r="156" spans="1:40" s="24" customFormat="1" x14ac:dyDescent="0.25">
      <c r="A156" s="93">
        <v>43942</v>
      </c>
      <c r="B156" s="94" t="s">
        <v>13</v>
      </c>
      <c r="C156" s="16" t="s">
        <v>102</v>
      </c>
      <c r="D156" s="95" t="s">
        <v>31</v>
      </c>
      <c r="E156" s="94" t="s">
        <v>118</v>
      </c>
      <c r="F156" s="96">
        <v>8</v>
      </c>
      <c r="G156" s="94"/>
      <c r="H156" s="96"/>
      <c r="I156" s="91" t="s">
        <v>190</v>
      </c>
      <c r="J156" s="97">
        <v>30800</v>
      </c>
      <c r="K156" s="97">
        <v>19883</v>
      </c>
      <c r="L156" s="97">
        <v>16983</v>
      </c>
      <c r="M15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56" s="97">
        <v>187</v>
      </c>
      <c r="O156" s="20">
        <v>0</v>
      </c>
      <c r="P156" s="98">
        <v>44</v>
      </c>
      <c r="Q156" s="99">
        <f>IFERROR((Tableau3[[#This Row],[QTY Produite]]/1000)*((1000/Tableau3[[#This Row],[Cadence]])/60)/Tableau3[[#This Row],[Heures Macines]],"0")</f>
        <v>0.94142992424242422</v>
      </c>
      <c r="R156" s="100">
        <v>80</v>
      </c>
      <c r="S156" s="96"/>
      <c r="T156" s="18"/>
      <c r="U156" s="101"/>
      <c r="V156" s="96"/>
      <c r="W156" s="96"/>
      <c r="X156" s="101"/>
      <c r="Y156" s="96"/>
      <c r="Z156" s="96"/>
      <c r="AA156" s="101"/>
      <c r="AB156" s="96"/>
      <c r="AC156" s="96"/>
      <c r="AD156" s="101"/>
      <c r="AE156" s="96"/>
      <c r="AF156" s="96"/>
      <c r="AG156" s="101"/>
      <c r="AH156" s="96"/>
      <c r="AI156" s="96"/>
      <c r="AJ156" s="101"/>
      <c r="AK156" s="84">
        <f t="shared" si="9"/>
        <v>4</v>
      </c>
      <c r="AL156" s="24">
        <f>YEAR(Tableau3[[#This Row],[Date]])</f>
        <v>2020</v>
      </c>
      <c r="AM156" s="92">
        <f>IFERROR(((Tableau3[[#This Row],[QTY Produite]]/1000)*VLOOKUP(Tableau3[[#This Row],[Machine]],Liste!$A:$B,2))/Tableau3[[#This Row],[Heures Macines]],"0")</f>
        <v>0.99414999999999998</v>
      </c>
      <c r="AN156" s="24" t="str">
        <f>VLOOKUP(Tableau3[[#This Row],[Opérateur 1]],Liste!$K$2:$M$68,3,FALSE)</f>
        <v>Imp</v>
      </c>
    </row>
    <row r="157" spans="1:40" s="24" customFormat="1" x14ac:dyDescent="0.25">
      <c r="A157" s="93">
        <v>43942</v>
      </c>
      <c r="B157" s="94" t="s">
        <v>13</v>
      </c>
      <c r="C157" s="16" t="s">
        <v>102</v>
      </c>
      <c r="D157" s="95" t="s">
        <v>23</v>
      </c>
      <c r="E157" s="94" t="s">
        <v>113</v>
      </c>
      <c r="F157" s="96">
        <v>8</v>
      </c>
      <c r="G157" s="94"/>
      <c r="H157" s="96"/>
      <c r="I157" s="91" t="s">
        <v>188</v>
      </c>
      <c r="J157" s="97">
        <v>94500</v>
      </c>
      <c r="K157" s="97">
        <v>12192</v>
      </c>
      <c r="L157" s="97">
        <v>27178</v>
      </c>
      <c r="M15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57" s="97">
        <v>75</v>
      </c>
      <c r="O157" s="20">
        <v>258</v>
      </c>
      <c r="P157" s="98">
        <v>33</v>
      </c>
      <c r="Q157" s="99">
        <f>IFERROR((Tableau3[[#This Row],[QTY Produite]]/1000)*((1000/Tableau3[[#This Row],[Cadence]])/60)/Tableau3[[#This Row],[Heures Macines]],"0")</f>
        <v>0.76969696969696977</v>
      </c>
      <c r="R157" s="100">
        <v>78</v>
      </c>
      <c r="S157" s="96"/>
      <c r="T157" s="18"/>
      <c r="U157" s="101"/>
      <c r="V157" s="96"/>
      <c r="W157" s="96"/>
      <c r="X157" s="101"/>
      <c r="Y157" s="96"/>
      <c r="Z157" s="96"/>
      <c r="AA157" s="101"/>
      <c r="AB157" s="96"/>
      <c r="AC157" s="96"/>
      <c r="AD157" s="101"/>
      <c r="AE157" s="96"/>
      <c r="AF157" s="96"/>
      <c r="AG157" s="101"/>
      <c r="AH157" s="96"/>
      <c r="AI157" s="96"/>
      <c r="AJ157" s="101"/>
      <c r="AK157" s="84">
        <f t="shared" si="9"/>
        <v>4</v>
      </c>
      <c r="AL157" s="24">
        <f>YEAR(Tableau3[[#This Row],[Date]])</f>
        <v>2020</v>
      </c>
      <c r="AM157" s="92">
        <f>IFERROR(((Tableau3[[#This Row],[QTY Produite]]/1000)*VLOOKUP(Tableau3[[#This Row],[Machine]],Liste!$A:$B,2))/Tableau3[[#This Row],[Heures Macines]],"0")</f>
        <v>0.60960000000000003</v>
      </c>
      <c r="AN157" s="24" t="str">
        <f>VLOOKUP(Tableau3[[#This Row],[Opérateur 1]],Liste!$K$2:$M$68,3,FALSE)</f>
        <v>Déco</v>
      </c>
    </row>
    <row r="158" spans="1:40" s="24" customFormat="1" x14ac:dyDescent="0.25">
      <c r="A158" s="93">
        <v>43942</v>
      </c>
      <c r="B158" s="94" t="s">
        <v>13</v>
      </c>
      <c r="C158" s="16" t="s">
        <v>102</v>
      </c>
      <c r="D158" s="95" t="s">
        <v>15</v>
      </c>
      <c r="E158" s="94" t="s">
        <v>115</v>
      </c>
      <c r="F158" s="96">
        <v>3</v>
      </c>
      <c r="G158" s="94"/>
      <c r="H158" s="96"/>
      <c r="I158" s="91" t="s">
        <v>189</v>
      </c>
      <c r="J158" s="97">
        <v>16500</v>
      </c>
      <c r="K158" s="97">
        <v>11430</v>
      </c>
      <c r="L158" s="97">
        <v>11430</v>
      </c>
      <c r="M15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158" s="97">
        <v>300</v>
      </c>
      <c r="O158" s="20">
        <v>690</v>
      </c>
      <c r="P158" s="98">
        <v>70</v>
      </c>
      <c r="Q158" s="99">
        <f>IFERROR((Tableau3[[#This Row],[QTY Produite]]/1000)*((1000/Tableau3[[#This Row],[Cadence]])/60)/Tableau3[[#This Row],[Heures Macines]],"0")</f>
        <v>0.90714285714285714</v>
      </c>
      <c r="R158" s="100">
        <v>91</v>
      </c>
      <c r="S158" s="96"/>
      <c r="T158" s="18"/>
      <c r="U158" s="101"/>
      <c r="V158" s="96"/>
      <c r="W158" s="96"/>
      <c r="X158" s="101"/>
      <c r="Y158" s="96"/>
      <c r="Z158" s="96"/>
      <c r="AA158" s="101"/>
      <c r="AB158" s="96"/>
      <c r="AC158" s="96"/>
      <c r="AD158" s="101"/>
      <c r="AE158" s="96"/>
      <c r="AF158" s="96"/>
      <c r="AG158" s="101"/>
      <c r="AH158" s="96"/>
      <c r="AI158" s="96"/>
      <c r="AJ158" s="101"/>
      <c r="AK158" s="84">
        <f t="shared" si="9"/>
        <v>4</v>
      </c>
      <c r="AL158" s="24">
        <f>YEAR(Tableau3[[#This Row],[Date]])</f>
        <v>2020</v>
      </c>
      <c r="AM158" s="92">
        <f>IFERROR(((Tableau3[[#This Row],[QTY Produite]]/1000)*VLOOKUP(Tableau3[[#This Row],[Machine]],Liste!$A:$B,2))/Tableau3[[#This Row],[Heures Macines]],"0")</f>
        <v>1.524</v>
      </c>
      <c r="AN158" s="24" t="str">
        <f>VLOOKUP(Tableau3[[#This Row],[Opérateur 1]],Liste!$K$2:$M$68,3,FALSE)</f>
        <v>Imp</v>
      </c>
    </row>
    <row r="159" spans="1:40" s="24" customFormat="1" x14ac:dyDescent="0.25">
      <c r="A159" s="93">
        <v>43942</v>
      </c>
      <c r="B159" s="94" t="s">
        <v>13</v>
      </c>
      <c r="C159" s="16" t="s">
        <v>102</v>
      </c>
      <c r="D159" s="95" t="s">
        <v>30</v>
      </c>
      <c r="E159" s="94" t="s">
        <v>107</v>
      </c>
      <c r="F159" s="96">
        <v>8</v>
      </c>
      <c r="G159" s="94"/>
      <c r="H159" s="96"/>
      <c r="I159" s="91" t="s">
        <v>187</v>
      </c>
      <c r="J159" s="97">
        <v>135960</v>
      </c>
      <c r="K159" s="97">
        <v>22148</v>
      </c>
      <c r="L159" s="97">
        <v>52920</v>
      </c>
      <c r="M15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59" s="97">
        <v>125</v>
      </c>
      <c r="O159" s="20">
        <v>108</v>
      </c>
      <c r="P159" s="98">
        <v>67</v>
      </c>
      <c r="Q159" s="99">
        <f>IFERROR((Tableau3[[#This Row],[QTY Produite]]/1000)*((1000/Tableau3[[#This Row],[Cadence]])/60)/Tableau3[[#This Row],[Heures Macines]],"0")</f>
        <v>0.68868159203980095</v>
      </c>
      <c r="R159" s="100">
        <v>69</v>
      </c>
      <c r="S159" s="96"/>
      <c r="T159" s="18"/>
      <c r="U159" s="101"/>
      <c r="V159" s="96"/>
      <c r="W159" s="96"/>
      <c r="X159" s="101"/>
      <c r="Y159" s="96"/>
      <c r="Z159" s="96"/>
      <c r="AA159" s="101"/>
      <c r="AB159" s="96"/>
      <c r="AC159" s="96"/>
      <c r="AD159" s="101"/>
      <c r="AE159" s="96"/>
      <c r="AF159" s="96"/>
      <c r="AG159" s="101"/>
      <c r="AH159" s="96"/>
      <c r="AI159" s="96"/>
      <c r="AJ159" s="101"/>
      <c r="AK159" s="84">
        <f t="shared" si="9"/>
        <v>4</v>
      </c>
      <c r="AL159" s="24">
        <f>YEAR(Tableau3[[#This Row],[Date]])</f>
        <v>2020</v>
      </c>
      <c r="AM159" s="92">
        <f>IFERROR(((Tableau3[[#This Row],[QTY Produite]]/1000)*VLOOKUP(Tableau3[[#This Row],[Machine]],Liste!$A:$B,2))/Tableau3[[#This Row],[Heures Macines]],"0")</f>
        <v>1.6611</v>
      </c>
      <c r="AN159" s="24" t="str">
        <f>VLOOKUP(Tableau3[[#This Row],[Opérateur 1]],Liste!$K$2:$M$68,3,FALSE)</f>
        <v>Déco</v>
      </c>
    </row>
    <row r="160" spans="1:40" s="24" customFormat="1" x14ac:dyDescent="0.25">
      <c r="A160" s="93">
        <v>43942</v>
      </c>
      <c r="B160" s="94" t="s">
        <v>13</v>
      </c>
      <c r="C160" s="16" t="s">
        <v>102</v>
      </c>
      <c r="D160" s="95" t="s">
        <v>18</v>
      </c>
      <c r="E160" s="94" t="s">
        <v>108</v>
      </c>
      <c r="F160" s="96">
        <v>8</v>
      </c>
      <c r="G160" s="94"/>
      <c r="H160" s="96"/>
      <c r="I160" s="91" t="s">
        <v>149</v>
      </c>
      <c r="J160" s="97">
        <v>214032</v>
      </c>
      <c r="K160" s="97">
        <v>22932</v>
      </c>
      <c r="L160" s="97">
        <v>213640</v>
      </c>
      <c r="M16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0" s="97">
        <v>55</v>
      </c>
      <c r="O160" s="20">
        <v>578</v>
      </c>
      <c r="P160" s="98">
        <v>90</v>
      </c>
      <c r="Q160" s="99">
        <f>IFERROR((Tableau3[[#This Row],[QTY Produite]]/1000)*((1000/Tableau3[[#This Row],[Cadence]])/60)/Tableau3[[#This Row],[Heures Macines]],"0")</f>
        <v>0.53083333333333327</v>
      </c>
      <c r="R160" s="100">
        <v>53</v>
      </c>
      <c r="S160" s="96"/>
      <c r="T160" s="18"/>
      <c r="U160" s="101"/>
      <c r="V160" s="96"/>
      <c r="W160" s="96"/>
      <c r="X160" s="101"/>
      <c r="Y160" s="96"/>
      <c r="Z160" s="96"/>
      <c r="AA160" s="101"/>
      <c r="AB160" s="96"/>
      <c r="AC160" s="96"/>
      <c r="AD160" s="101"/>
      <c r="AE160" s="96"/>
      <c r="AF160" s="96"/>
      <c r="AG160" s="101"/>
      <c r="AH160" s="96"/>
      <c r="AI160" s="96"/>
      <c r="AJ160" s="101"/>
      <c r="AK160" s="84">
        <f t="shared" si="9"/>
        <v>4</v>
      </c>
      <c r="AL160" s="24">
        <f>YEAR(Tableau3[[#This Row],[Date]])</f>
        <v>2020</v>
      </c>
      <c r="AM160" s="92">
        <f>IFERROR(((Tableau3[[#This Row],[QTY Produite]]/1000)*VLOOKUP(Tableau3[[#This Row],[Machine]],Liste!$A:$B,2))/Tableau3[[#This Row],[Heures Macines]],"0")</f>
        <v>1.1466000000000001</v>
      </c>
      <c r="AN160" s="24" t="str">
        <f>VLOOKUP(Tableau3[[#This Row],[Opérateur 1]],Liste!$K$2:$M$68,3,FALSE)</f>
        <v>Imp</v>
      </c>
    </row>
    <row r="161" spans="1:40" s="24" customFormat="1" x14ac:dyDescent="0.25">
      <c r="A161" s="93">
        <v>43942</v>
      </c>
      <c r="B161" s="94" t="s">
        <v>13</v>
      </c>
      <c r="C161" s="16" t="s">
        <v>102</v>
      </c>
      <c r="D161" s="95" t="s">
        <v>10</v>
      </c>
      <c r="E161" s="94" t="s">
        <v>111</v>
      </c>
      <c r="F161" s="96">
        <v>5.75</v>
      </c>
      <c r="G161" s="94"/>
      <c r="H161" s="96"/>
      <c r="I161" s="91">
        <v>26764</v>
      </c>
      <c r="J161" s="97">
        <v>31191</v>
      </c>
      <c r="K161" s="97">
        <v>11760</v>
      </c>
      <c r="L161" s="97">
        <v>11760</v>
      </c>
      <c r="M16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5.75</v>
      </c>
      <c r="N161" s="97">
        <v>580</v>
      </c>
      <c r="O161" s="20">
        <v>60</v>
      </c>
      <c r="P161" s="98">
        <v>52</v>
      </c>
      <c r="Q161" s="99">
        <f>IFERROR((Tableau3[[#This Row],[QTY Produite]]/1000)*((1000/Tableau3[[#This Row],[Cadence]])/60)/Tableau3[[#This Row],[Heures Macines]],"0")</f>
        <v>0.65551839464882933</v>
      </c>
      <c r="R161" s="100">
        <v>84</v>
      </c>
      <c r="S161" s="96"/>
      <c r="T161" s="18"/>
      <c r="U161" s="101"/>
      <c r="V161" s="96"/>
      <c r="W161" s="96"/>
      <c r="X161" s="101"/>
      <c r="Y161" s="96"/>
      <c r="Z161" s="96"/>
      <c r="AA161" s="101"/>
      <c r="AB161" s="96"/>
      <c r="AC161" s="96"/>
      <c r="AD161" s="101"/>
      <c r="AE161" s="96"/>
      <c r="AF161" s="96"/>
      <c r="AG161" s="101"/>
      <c r="AH161" s="96"/>
      <c r="AI161" s="96"/>
      <c r="AJ161" s="101"/>
      <c r="AK161" s="84">
        <f t="shared" si="9"/>
        <v>4</v>
      </c>
      <c r="AL161" s="24">
        <f>YEAR(Tableau3[[#This Row],[Date]])</f>
        <v>2020</v>
      </c>
      <c r="AM161" s="92">
        <f>IFERROR(((Tableau3[[#This Row],[QTY Produite]]/1000)*VLOOKUP(Tableau3[[#This Row],[Machine]],Liste!$A:$B,2))/Tableau3[[#This Row],[Heures Macines]],"0")</f>
        <v>0.92034782608695653</v>
      </c>
      <c r="AN161" s="24" t="str">
        <f>VLOOKUP(Tableau3[[#This Row],[Opérateur 1]],Liste!$K$2:$M$68,3,FALSE)</f>
        <v>Mono</v>
      </c>
    </row>
    <row r="162" spans="1:40" s="24" customFormat="1" x14ac:dyDescent="0.25">
      <c r="A162" s="93">
        <v>43942</v>
      </c>
      <c r="B162" s="94" t="s">
        <v>13</v>
      </c>
      <c r="C162" s="16" t="s">
        <v>102</v>
      </c>
      <c r="D162" s="95" t="s">
        <v>14</v>
      </c>
      <c r="E162" s="94" t="s">
        <v>126</v>
      </c>
      <c r="F162" s="96">
        <v>4.75</v>
      </c>
      <c r="G162" s="94"/>
      <c r="H162" s="96"/>
      <c r="I162" s="91">
        <v>26500</v>
      </c>
      <c r="J162" s="97">
        <v>49586</v>
      </c>
      <c r="K162" s="97">
        <v>3556</v>
      </c>
      <c r="L162" s="97">
        <v>3556</v>
      </c>
      <c r="M16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162" s="97">
        <v>358</v>
      </c>
      <c r="O162" s="20">
        <v>25</v>
      </c>
      <c r="P162" s="98">
        <v>47</v>
      </c>
      <c r="Q162" s="99">
        <f>IFERROR((Tableau3[[#This Row],[QTY Produite]]/1000)*((1000/Tableau3[[#This Row],[Cadence]])/60)/Tableau3[[#This Row],[Heures Macines]],"0")</f>
        <v>0.42033096926713953</v>
      </c>
      <c r="R162" s="100">
        <v>27</v>
      </c>
      <c r="S162" s="96" t="s">
        <v>144</v>
      </c>
      <c r="T162" s="18">
        <v>1.75</v>
      </c>
      <c r="U162" s="101"/>
      <c r="V162" s="96"/>
      <c r="W162" s="96"/>
      <c r="X162" s="101"/>
      <c r="Y162" s="96"/>
      <c r="Z162" s="96"/>
      <c r="AA162" s="101"/>
      <c r="AB162" s="96"/>
      <c r="AC162" s="96"/>
      <c r="AD162" s="101"/>
      <c r="AE162" s="96"/>
      <c r="AF162" s="96"/>
      <c r="AG162" s="101"/>
      <c r="AH162" s="96"/>
      <c r="AI162" s="96"/>
      <c r="AJ162" s="101"/>
      <c r="AK162" s="84">
        <f t="shared" si="9"/>
        <v>4</v>
      </c>
      <c r="AL162" s="24">
        <f>YEAR(Tableau3[[#This Row],[Date]])</f>
        <v>2020</v>
      </c>
      <c r="AM162" s="92">
        <f>IFERROR(((Tableau3[[#This Row],[QTY Produite]]/1000)*VLOOKUP(Tableau3[[#This Row],[Machine]],Liste!$A:$B,2))/Tableau3[[#This Row],[Heures Macines]],"0")</f>
        <v>0.53339999999999999</v>
      </c>
      <c r="AN162" s="24" t="str">
        <f>VLOOKUP(Tableau3[[#This Row],[Opérateur 1]],Liste!$K$2:$M$68,3,FALSE)</f>
        <v>Multi</v>
      </c>
    </row>
    <row r="163" spans="1:40" s="24" customFormat="1" x14ac:dyDescent="0.25">
      <c r="A163" s="93">
        <v>43942</v>
      </c>
      <c r="B163" s="94" t="s">
        <v>13</v>
      </c>
      <c r="C163" s="16" t="s">
        <v>102</v>
      </c>
      <c r="D163" s="95" t="s">
        <v>21</v>
      </c>
      <c r="E163" s="94" t="s">
        <v>110</v>
      </c>
      <c r="F163" s="96">
        <v>8</v>
      </c>
      <c r="G163" s="94"/>
      <c r="H163" s="96"/>
      <c r="I163" s="91" t="s">
        <v>166</v>
      </c>
      <c r="J163" s="97">
        <v>15523</v>
      </c>
      <c r="K163" s="97">
        <v>0</v>
      </c>
      <c r="L163" s="97">
        <v>0</v>
      </c>
      <c r="M16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63" s="97">
        <v>0</v>
      </c>
      <c r="O163" s="20">
        <v>0</v>
      </c>
      <c r="P163" s="98">
        <v>0</v>
      </c>
      <c r="Q163" s="99" t="str">
        <f>IFERROR((Tableau3[[#This Row],[QTY Produite]]/1000)*((1000/Tableau3[[#This Row],[Cadence]])/60)/Tableau3[[#This Row],[Heures Macines]],"0")</f>
        <v>0</v>
      </c>
      <c r="R163" s="100">
        <v>0</v>
      </c>
      <c r="S163" s="96" t="s">
        <v>191</v>
      </c>
      <c r="T163" s="18">
        <v>8</v>
      </c>
      <c r="U163" s="101"/>
      <c r="V163" s="96"/>
      <c r="W163" s="96"/>
      <c r="X163" s="101"/>
      <c r="Y163" s="96"/>
      <c r="Z163" s="96"/>
      <c r="AA163" s="101"/>
      <c r="AB163" s="96"/>
      <c r="AC163" s="96"/>
      <c r="AD163" s="101"/>
      <c r="AE163" s="96"/>
      <c r="AF163" s="96"/>
      <c r="AG163" s="101"/>
      <c r="AH163" s="96"/>
      <c r="AI163" s="96"/>
      <c r="AJ163" s="101"/>
      <c r="AK163" s="84">
        <f t="shared" si="9"/>
        <v>4</v>
      </c>
      <c r="AL163" s="24">
        <f>YEAR(Tableau3[[#This Row],[Date]])</f>
        <v>2020</v>
      </c>
      <c r="AM163" s="92" t="str">
        <f>IFERROR(((Tableau3[[#This Row],[QTY Produite]]/1000)*VLOOKUP(Tableau3[[#This Row],[Machine]],Liste!$A:$B,2))/Tableau3[[#This Row],[Heures Macines]],"0")</f>
        <v>0</v>
      </c>
      <c r="AN163" s="24" t="str">
        <f>VLOOKUP(Tableau3[[#This Row],[Opérateur 1]],Liste!$K$2:$M$68,3,FALSE)</f>
        <v>Déco</v>
      </c>
    </row>
    <row r="164" spans="1:40" s="24" customFormat="1" x14ac:dyDescent="0.25">
      <c r="A164" s="93">
        <v>43942</v>
      </c>
      <c r="B164" s="94" t="s">
        <v>13</v>
      </c>
      <c r="C164" s="16" t="s">
        <v>102</v>
      </c>
      <c r="D164" s="95" t="s">
        <v>20</v>
      </c>
      <c r="E164" s="94" t="s">
        <v>132</v>
      </c>
      <c r="F164" s="96">
        <v>8</v>
      </c>
      <c r="G164" s="94"/>
      <c r="H164" s="96"/>
      <c r="I164" s="91">
        <v>24449</v>
      </c>
      <c r="J164" s="97">
        <v>51861</v>
      </c>
      <c r="K164" s="97">
        <v>19600</v>
      </c>
      <c r="L164" s="97">
        <v>30772</v>
      </c>
      <c r="M16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4" s="97">
        <v>1195</v>
      </c>
      <c r="O164" s="20">
        <v>-24</v>
      </c>
      <c r="P164" s="98">
        <v>55</v>
      </c>
      <c r="Q164" s="99">
        <f>IFERROR((Tableau3[[#This Row],[QTY Produite]]/1000)*((1000/Tableau3[[#This Row],[Cadence]])/60)/Tableau3[[#This Row],[Heures Macines]],"0")</f>
        <v>0.74242424242424254</v>
      </c>
      <c r="R164" s="100">
        <v>74</v>
      </c>
      <c r="S164" s="96"/>
      <c r="T164" s="18"/>
      <c r="U164" s="101"/>
      <c r="V164" s="96"/>
      <c r="W164" s="96"/>
      <c r="X164" s="101"/>
      <c r="Y164" s="96"/>
      <c r="Z164" s="96"/>
      <c r="AA164" s="101"/>
      <c r="AB164" s="96"/>
      <c r="AC164" s="96"/>
      <c r="AD164" s="101"/>
      <c r="AE164" s="96"/>
      <c r="AF164" s="96"/>
      <c r="AG164" s="101"/>
      <c r="AH164" s="96"/>
      <c r="AI164" s="96"/>
      <c r="AJ164" s="101"/>
      <c r="AK164" s="84">
        <f t="shared" si="9"/>
        <v>4</v>
      </c>
      <c r="AL164" s="24">
        <f>YEAR(Tableau3[[#This Row],[Date]])</f>
        <v>2020</v>
      </c>
      <c r="AM164" s="92">
        <f>IFERROR(((Tableau3[[#This Row],[QTY Produite]]/1000)*VLOOKUP(Tableau3[[#This Row],[Machine]],Liste!$A:$B,2))/Tableau3[[#This Row],[Heures Macines]],"0")</f>
        <v>0.88200000000000001</v>
      </c>
      <c r="AN164" s="24" t="str">
        <f>VLOOKUP(Tableau3[[#This Row],[Opérateur 1]],Liste!$K$2:$M$68,3,FALSE)</f>
        <v>Multi</v>
      </c>
    </row>
    <row r="165" spans="1:40" s="24" customFormat="1" x14ac:dyDescent="0.25">
      <c r="A165" s="93">
        <v>43942</v>
      </c>
      <c r="B165" s="94" t="s">
        <v>13</v>
      </c>
      <c r="C165" s="16" t="s">
        <v>102</v>
      </c>
      <c r="D165" s="95" t="s">
        <v>22</v>
      </c>
      <c r="E165" s="94" t="s">
        <v>117</v>
      </c>
      <c r="F165" s="96">
        <v>8</v>
      </c>
      <c r="G165" s="94"/>
      <c r="H165" s="96"/>
      <c r="I165" s="91">
        <v>25860</v>
      </c>
      <c r="J165" s="97">
        <v>526332</v>
      </c>
      <c r="K165" s="97">
        <v>30960</v>
      </c>
      <c r="L165" s="97">
        <v>289200</v>
      </c>
      <c r="M16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5" s="97">
        <v>446</v>
      </c>
      <c r="O165" s="20">
        <v>220</v>
      </c>
      <c r="P165" s="98">
        <v>80</v>
      </c>
      <c r="Q165" s="99">
        <f>IFERROR((Tableau3[[#This Row],[QTY Produite]]/1000)*((1000/Tableau3[[#This Row],[Cadence]])/60)/Tableau3[[#This Row],[Heures Macines]],"0")</f>
        <v>0.80625000000000002</v>
      </c>
      <c r="R165" s="100">
        <v>81</v>
      </c>
      <c r="S165" s="96"/>
      <c r="T165" s="18"/>
      <c r="U165" s="101"/>
      <c r="V165" s="96"/>
      <c r="W165" s="96"/>
      <c r="X165" s="101"/>
      <c r="Y165" s="96"/>
      <c r="Z165" s="96"/>
      <c r="AA165" s="101"/>
      <c r="AB165" s="96"/>
      <c r="AC165" s="96"/>
      <c r="AD165" s="101"/>
      <c r="AE165" s="96"/>
      <c r="AF165" s="96"/>
      <c r="AG165" s="101"/>
      <c r="AH165" s="96"/>
      <c r="AI165" s="96"/>
      <c r="AJ165" s="101"/>
      <c r="AK165" s="84">
        <f t="shared" si="9"/>
        <v>4</v>
      </c>
      <c r="AL165" s="24">
        <f>YEAR(Tableau3[[#This Row],[Date]])</f>
        <v>2020</v>
      </c>
      <c r="AM165" s="92">
        <f>IFERROR(((Tableau3[[#This Row],[QTY Produite]]/1000)*VLOOKUP(Tableau3[[#This Row],[Machine]],Liste!$A:$B,2))/Tableau3[[#This Row],[Heures Macines]],"0")</f>
        <v>1.161</v>
      </c>
      <c r="AN165" s="24" t="str">
        <f>VLOOKUP(Tableau3[[#This Row],[Opérateur 1]],Liste!$K$2:$M$68,3,FALSE)</f>
        <v>Multi</v>
      </c>
    </row>
    <row r="166" spans="1:40" s="24" customFormat="1" x14ac:dyDescent="0.25">
      <c r="A166" s="93">
        <v>43942</v>
      </c>
      <c r="B166" s="94" t="s">
        <v>13</v>
      </c>
      <c r="C166" s="16" t="s">
        <v>102</v>
      </c>
      <c r="D166" s="95" t="s">
        <v>26</v>
      </c>
      <c r="E166" s="94" t="s">
        <v>134</v>
      </c>
      <c r="F166" s="96">
        <v>8</v>
      </c>
      <c r="G166" s="94"/>
      <c r="H166" s="96"/>
      <c r="I166" s="91">
        <v>25642</v>
      </c>
      <c r="J166" s="97">
        <v>56670</v>
      </c>
      <c r="K166" s="97">
        <v>0</v>
      </c>
      <c r="L166" s="97">
        <v>0</v>
      </c>
      <c r="M16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6" s="97">
        <v>0</v>
      </c>
      <c r="O166" s="20">
        <v>0</v>
      </c>
      <c r="P166" s="98">
        <v>0</v>
      </c>
      <c r="Q166" s="99" t="str">
        <f>IFERROR((Tableau3[[#This Row],[QTY Produite]]/1000)*((1000/Tableau3[[#This Row],[Cadence]])/60)/Tableau3[[#This Row],[Heures Macines]],"0")</f>
        <v>0</v>
      </c>
      <c r="R166" s="100">
        <v>0</v>
      </c>
      <c r="S166" s="96"/>
      <c r="T166" s="18"/>
      <c r="U166" s="101"/>
      <c r="V166" s="96"/>
      <c r="W166" s="96"/>
      <c r="X166" s="101"/>
      <c r="Y166" s="96"/>
      <c r="Z166" s="96"/>
      <c r="AA166" s="101"/>
      <c r="AB166" s="96"/>
      <c r="AC166" s="96"/>
      <c r="AD166" s="101"/>
      <c r="AE166" s="96"/>
      <c r="AF166" s="96"/>
      <c r="AG166" s="101"/>
      <c r="AH166" s="96"/>
      <c r="AI166" s="96"/>
      <c r="AJ166" s="101"/>
      <c r="AK166" s="84">
        <f t="shared" si="9"/>
        <v>4</v>
      </c>
      <c r="AL166" s="24">
        <f>YEAR(Tableau3[[#This Row],[Date]])</f>
        <v>2020</v>
      </c>
      <c r="AM166" s="92">
        <f>IFERROR(((Tableau3[[#This Row],[QTY Produite]]/1000)*VLOOKUP(Tableau3[[#This Row],[Machine]],Liste!$A:$B,2))/Tableau3[[#This Row],[Heures Macines]],"0")</f>
        <v>0</v>
      </c>
      <c r="AN166" s="24" t="str">
        <f>VLOOKUP(Tableau3[[#This Row],[Opérateur 1]],Liste!$K$2:$M$68,3,FALSE)</f>
        <v>Multi</v>
      </c>
    </row>
    <row r="167" spans="1:40" s="24" customFormat="1" x14ac:dyDescent="0.25">
      <c r="A167" s="93">
        <v>43942</v>
      </c>
      <c r="B167" s="94" t="s">
        <v>19</v>
      </c>
      <c r="C167" s="16" t="s">
        <v>63</v>
      </c>
      <c r="D167" s="95" t="s">
        <v>32</v>
      </c>
      <c r="E167" s="94"/>
      <c r="F167" s="96"/>
      <c r="G167" s="94"/>
      <c r="H167" s="96"/>
      <c r="I167" s="91">
        <v>25740</v>
      </c>
      <c r="J167" s="97">
        <v>25040</v>
      </c>
      <c r="K167" s="97"/>
      <c r="L167" s="97">
        <v>25040</v>
      </c>
      <c r="M16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67" s="97">
        <v>0</v>
      </c>
      <c r="O167" s="20">
        <v>0</v>
      </c>
      <c r="P167" s="98">
        <v>0</v>
      </c>
      <c r="Q167" s="99" t="str">
        <f>IFERROR((Tableau3[[#This Row],[QTY Produite]]/1000)*((1000/Tableau3[[#This Row],[Cadence]])/60)/Tableau3[[#This Row],[Heures Macines]],"0")</f>
        <v>0</v>
      </c>
      <c r="R167" s="100">
        <v>0</v>
      </c>
      <c r="S167" s="96"/>
      <c r="T167" s="18"/>
      <c r="U167" s="101"/>
      <c r="V167" s="96"/>
      <c r="W167" s="96"/>
      <c r="X167" s="101"/>
      <c r="Y167" s="96"/>
      <c r="Z167" s="96"/>
      <c r="AA167" s="101"/>
      <c r="AB167" s="96"/>
      <c r="AC167" s="96"/>
      <c r="AD167" s="101"/>
      <c r="AE167" s="96"/>
      <c r="AF167" s="96"/>
      <c r="AG167" s="101"/>
      <c r="AH167" s="96"/>
      <c r="AI167" s="96"/>
      <c r="AJ167" s="101"/>
      <c r="AK167" s="84">
        <f t="shared" ref="AK167:AK177" si="10">MONTH(A167)</f>
        <v>4</v>
      </c>
      <c r="AL167" s="24">
        <f>YEAR(Tableau3[[#This Row],[Date]])</f>
        <v>2020</v>
      </c>
      <c r="AM167" s="92" t="str">
        <f>IFERROR(((Tableau3[[#This Row],[QTY Produite]]/1000)*VLOOKUP(Tableau3[[#This Row],[Machine]],Liste!$A:$B,2))/Tableau3[[#This Row],[Heures Macines]],"0")</f>
        <v>0</v>
      </c>
      <c r="AN167" s="24" t="e">
        <f>VLOOKUP(Tableau3[[#This Row],[Opérateur 1]],Liste!$K$2:$M$68,3,FALSE)</f>
        <v>#N/A</v>
      </c>
    </row>
    <row r="168" spans="1:40" s="24" customFormat="1" x14ac:dyDescent="0.25">
      <c r="A168" s="93">
        <v>43942</v>
      </c>
      <c r="B168" s="94" t="s">
        <v>19</v>
      </c>
      <c r="C168" s="16" t="s">
        <v>63</v>
      </c>
      <c r="D168" s="95" t="s">
        <v>31</v>
      </c>
      <c r="E168" s="94" t="s">
        <v>131</v>
      </c>
      <c r="F168" s="96">
        <v>4</v>
      </c>
      <c r="G168" s="94"/>
      <c r="H168" s="96"/>
      <c r="I168" s="91" t="s">
        <v>190</v>
      </c>
      <c r="J168" s="97">
        <v>30800</v>
      </c>
      <c r="K168" s="97">
        <v>0</v>
      </c>
      <c r="L168" s="97">
        <v>0</v>
      </c>
      <c r="M16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168" s="97">
        <v>0</v>
      </c>
      <c r="O168" s="20">
        <v>0</v>
      </c>
      <c r="P168" s="98">
        <v>0</v>
      </c>
      <c r="Q168" s="99" t="str">
        <f>IFERROR((Tableau3[[#This Row],[QTY Produite]]/1000)*((1000/Tableau3[[#This Row],[Cadence]])/60)/Tableau3[[#This Row],[Heures Macines]],"0")</f>
        <v>0</v>
      </c>
      <c r="R168" s="100">
        <v>0</v>
      </c>
      <c r="S168" s="96"/>
      <c r="T168" s="18"/>
      <c r="U168" s="101"/>
      <c r="V168" s="96"/>
      <c r="W168" s="96"/>
      <c r="X168" s="101"/>
      <c r="Y168" s="96"/>
      <c r="Z168" s="96"/>
      <c r="AA168" s="101"/>
      <c r="AB168" s="96"/>
      <c r="AC168" s="96"/>
      <c r="AD168" s="101"/>
      <c r="AE168" s="96"/>
      <c r="AF168" s="96"/>
      <c r="AG168" s="101"/>
      <c r="AH168" s="96"/>
      <c r="AI168" s="96"/>
      <c r="AJ168" s="101"/>
      <c r="AK168" s="84">
        <f t="shared" si="10"/>
        <v>4</v>
      </c>
      <c r="AL168" s="24">
        <f>YEAR(Tableau3[[#This Row],[Date]])</f>
        <v>2020</v>
      </c>
      <c r="AM168" s="92">
        <f>IFERROR(((Tableau3[[#This Row],[QTY Produite]]/1000)*VLOOKUP(Tableau3[[#This Row],[Machine]],Liste!$A:$B,2))/Tableau3[[#This Row],[Heures Macines]],"0")</f>
        <v>0</v>
      </c>
      <c r="AN168" s="24" t="str">
        <f>VLOOKUP(Tableau3[[#This Row],[Opérateur 1]],Liste!$K$2:$M$68,3,FALSE)</f>
        <v>Déco</v>
      </c>
    </row>
    <row r="169" spans="1:40" s="24" customFormat="1" x14ac:dyDescent="0.25">
      <c r="A169" s="93">
        <v>43942</v>
      </c>
      <c r="B169" s="94" t="s">
        <v>19</v>
      </c>
      <c r="C169" s="16" t="s">
        <v>63</v>
      </c>
      <c r="D169" s="95" t="s">
        <v>30</v>
      </c>
      <c r="E169" s="94" t="s">
        <v>130</v>
      </c>
      <c r="F169" s="96">
        <v>8</v>
      </c>
      <c r="G169" s="94"/>
      <c r="H169" s="96"/>
      <c r="I169" s="91" t="s">
        <v>187</v>
      </c>
      <c r="J169" s="97">
        <v>135960</v>
      </c>
      <c r="K169" s="97">
        <v>17052</v>
      </c>
      <c r="L169" s="97">
        <v>30772</v>
      </c>
      <c r="M16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69" s="97">
        <v>30</v>
      </c>
      <c r="O169" s="20">
        <v>473</v>
      </c>
      <c r="P169" s="98">
        <v>66</v>
      </c>
      <c r="Q169" s="99">
        <f>IFERROR((Tableau3[[#This Row],[QTY Produite]]/1000)*((1000/Tableau3[[#This Row],[Cadence]])/60)/Tableau3[[#This Row],[Heures Macines]],"0")</f>
        <v>0.53825757575757582</v>
      </c>
      <c r="R169" s="100">
        <v>53</v>
      </c>
      <c r="S169" s="96"/>
      <c r="T169" s="18"/>
      <c r="U169" s="101"/>
      <c r="V169" s="96"/>
      <c r="W169" s="96"/>
      <c r="X169" s="101"/>
      <c r="Y169" s="96"/>
      <c r="Z169" s="96"/>
      <c r="AA169" s="101"/>
      <c r="AB169" s="96"/>
      <c r="AC169" s="96"/>
      <c r="AD169" s="101"/>
      <c r="AE169" s="96"/>
      <c r="AF169" s="96"/>
      <c r="AG169" s="101"/>
      <c r="AH169" s="96"/>
      <c r="AI169" s="96"/>
      <c r="AJ169" s="101"/>
      <c r="AK169" s="84">
        <f t="shared" si="10"/>
        <v>4</v>
      </c>
      <c r="AL169" s="24">
        <f>YEAR(Tableau3[[#This Row],[Date]])</f>
        <v>2020</v>
      </c>
      <c r="AM169" s="92">
        <f>IFERROR(((Tableau3[[#This Row],[QTY Produite]]/1000)*VLOOKUP(Tableau3[[#This Row],[Machine]],Liste!$A:$B,2))/Tableau3[[#This Row],[Heures Macines]],"0")</f>
        <v>1.2788999999999999</v>
      </c>
      <c r="AN169" s="24" t="str">
        <f>VLOOKUP(Tableau3[[#This Row],[Opérateur 1]],Liste!$K$2:$M$68,3,FALSE)</f>
        <v>Déco</v>
      </c>
    </row>
    <row r="170" spans="1:40" s="24" customFormat="1" x14ac:dyDescent="0.25">
      <c r="A170" s="93">
        <v>43942</v>
      </c>
      <c r="B170" s="94" t="s">
        <v>19</v>
      </c>
      <c r="C170" s="16" t="s">
        <v>63</v>
      </c>
      <c r="D170" s="95" t="s">
        <v>23</v>
      </c>
      <c r="E170" s="94" t="s">
        <v>142</v>
      </c>
      <c r="F170" s="96">
        <v>8</v>
      </c>
      <c r="G170" s="94"/>
      <c r="H170" s="96"/>
      <c r="I170" s="91" t="s">
        <v>188</v>
      </c>
      <c r="J170" s="97">
        <v>94500</v>
      </c>
      <c r="K170" s="97">
        <v>10287</v>
      </c>
      <c r="L170" s="97">
        <v>14986</v>
      </c>
      <c r="M17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0" s="97">
        <v>300</v>
      </c>
      <c r="O170" s="20">
        <v>370</v>
      </c>
      <c r="P170" s="98">
        <v>35</v>
      </c>
      <c r="Q170" s="99">
        <f>IFERROR((Tableau3[[#This Row],[QTY Produite]]/1000)*((1000/Tableau3[[#This Row],[Cadence]])/60)/Tableau3[[#This Row],[Heures Macines]],"0")</f>
        <v>0.61232142857142868</v>
      </c>
      <c r="R170" s="100">
        <v>64</v>
      </c>
      <c r="S170" s="96"/>
      <c r="T170" s="18"/>
      <c r="U170" s="101"/>
      <c r="V170" s="96"/>
      <c r="W170" s="96"/>
      <c r="X170" s="101"/>
      <c r="Y170" s="96"/>
      <c r="Z170" s="96"/>
      <c r="AA170" s="101"/>
      <c r="AB170" s="96"/>
      <c r="AC170" s="96"/>
      <c r="AD170" s="101"/>
      <c r="AE170" s="96"/>
      <c r="AF170" s="96"/>
      <c r="AG170" s="101"/>
      <c r="AH170" s="96"/>
      <c r="AI170" s="96"/>
      <c r="AJ170" s="101"/>
      <c r="AK170" s="84">
        <f t="shared" si="10"/>
        <v>4</v>
      </c>
      <c r="AL170" s="24">
        <f>YEAR(Tableau3[[#This Row],[Date]])</f>
        <v>2020</v>
      </c>
      <c r="AM170" s="92">
        <f>IFERROR(((Tableau3[[#This Row],[QTY Produite]]/1000)*VLOOKUP(Tableau3[[#This Row],[Machine]],Liste!$A:$B,2))/Tableau3[[#This Row],[Heures Macines]],"0")</f>
        <v>0.51435000000000008</v>
      </c>
      <c r="AN170" s="24" t="str">
        <f>VLOOKUP(Tableau3[[#This Row],[Opérateur 1]],Liste!$K$2:$M$68,3,FALSE)</f>
        <v>Déco</v>
      </c>
    </row>
    <row r="171" spans="1:40" s="24" customFormat="1" x14ac:dyDescent="0.25">
      <c r="A171" s="93">
        <v>43942</v>
      </c>
      <c r="B171" s="94" t="s">
        <v>19</v>
      </c>
      <c r="C171" s="16" t="s">
        <v>63</v>
      </c>
      <c r="D171" s="95" t="s">
        <v>18</v>
      </c>
      <c r="E171" s="94" t="s">
        <v>121</v>
      </c>
      <c r="F171" s="96">
        <v>8</v>
      </c>
      <c r="G171" s="94"/>
      <c r="H171" s="96"/>
      <c r="I171" s="91" t="s">
        <v>149</v>
      </c>
      <c r="J171" s="97">
        <v>214032</v>
      </c>
      <c r="K171" s="97">
        <v>27636</v>
      </c>
      <c r="L171" s="97">
        <v>190708</v>
      </c>
      <c r="M17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1" s="97">
        <v>250</v>
      </c>
      <c r="O171" s="20">
        <v>665</v>
      </c>
      <c r="P171" s="98">
        <v>90</v>
      </c>
      <c r="Q171" s="99">
        <f>IFERROR((Tableau3[[#This Row],[QTY Produite]]/1000)*((1000/Tableau3[[#This Row],[Cadence]])/60)/Tableau3[[#This Row],[Heures Macines]],"0")</f>
        <v>0.63972222222222219</v>
      </c>
      <c r="R171" s="100">
        <v>64</v>
      </c>
      <c r="S171" s="96"/>
      <c r="T171" s="18"/>
      <c r="U171" s="101"/>
      <c r="V171" s="96"/>
      <c r="W171" s="96"/>
      <c r="X171" s="101"/>
      <c r="Y171" s="96"/>
      <c r="Z171" s="96"/>
      <c r="AA171" s="101"/>
      <c r="AB171" s="96"/>
      <c r="AC171" s="96"/>
      <c r="AD171" s="101"/>
      <c r="AE171" s="96"/>
      <c r="AF171" s="96"/>
      <c r="AG171" s="101"/>
      <c r="AH171" s="96"/>
      <c r="AI171" s="96"/>
      <c r="AJ171" s="101"/>
      <c r="AK171" s="84">
        <f t="shared" si="10"/>
        <v>4</v>
      </c>
      <c r="AL171" s="24">
        <f>YEAR(Tableau3[[#This Row],[Date]])</f>
        <v>2020</v>
      </c>
      <c r="AM171" s="92">
        <f>IFERROR(((Tableau3[[#This Row],[QTY Produite]]/1000)*VLOOKUP(Tableau3[[#This Row],[Machine]],Liste!$A:$B,2))/Tableau3[[#This Row],[Heures Macines]],"0")</f>
        <v>1.3818000000000001</v>
      </c>
      <c r="AN171" s="24" t="str">
        <f>VLOOKUP(Tableau3[[#This Row],[Opérateur 1]],Liste!$K$2:$M$68,3,FALSE)</f>
        <v>Imp</v>
      </c>
    </row>
    <row r="172" spans="1:40" s="24" customFormat="1" x14ac:dyDescent="0.25">
      <c r="A172" s="93">
        <v>43942</v>
      </c>
      <c r="B172" s="94" t="s">
        <v>19</v>
      </c>
      <c r="C172" s="16" t="s">
        <v>63</v>
      </c>
      <c r="D172" s="95" t="s">
        <v>15</v>
      </c>
      <c r="E172" s="94" t="s">
        <v>131</v>
      </c>
      <c r="F172" s="96">
        <v>2.5</v>
      </c>
      <c r="G172" s="94"/>
      <c r="H172" s="96"/>
      <c r="I172" s="91" t="s">
        <v>189</v>
      </c>
      <c r="J172" s="97">
        <v>16500</v>
      </c>
      <c r="K172" s="97">
        <v>0</v>
      </c>
      <c r="L172" s="97">
        <v>0</v>
      </c>
      <c r="M17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2.5</v>
      </c>
      <c r="N172" s="97">
        <v>0</v>
      </c>
      <c r="O172" s="20">
        <v>283</v>
      </c>
      <c r="P172" s="98">
        <v>0</v>
      </c>
      <c r="Q172" s="99" t="str">
        <f>IFERROR((Tableau3[[#This Row],[QTY Produite]]/1000)*((1000/Tableau3[[#This Row],[Cadence]])/60)/Tableau3[[#This Row],[Heures Macines]],"0")</f>
        <v>0</v>
      </c>
      <c r="R172" s="100">
        <v>0</v>
      </c>
      <c r="S172" s="96"/>
      <c r="T172" s="18"/>
      <c r="U172" s="101"/>
      <c r="V172" s="96"/>
      <c r="W172" s="96"/>
      <c r="X172" s="101"/>
      <c r="Y172" s="96"/>
      <c r="Z172" s="96"/>
      <c r="AA172" s="101"/>
      <c r="AB172" s="96"/>
      <c r="AC172" s="96"/>
      <c r="AD172" s="101"/>
      <c r="AE172" s="96"/>
      <c r="AF172" s="96"/>
      <c r="AG172" s="101"/>
      <c r="AH172" s="96"/>
      <c r="AI172" s="96"/>
      <c r="AJ172" s="101"/>
      <c r="AK172" s="84">
        <f t="shared" si="10"/>
        <v>4</v>
      </c>
      <c r="AL172" s="24">
        <f>YEAR(Tableau3[[#This Row],[Date]])</f>
        <v>2020</v>
      </c>
      <c r="AM172" s="92">
        <f>IFERROR(((Tableau3[[#This Row],[QTY Produite]]/1000)*VLOOKUP(Tableau3[[#This Row],[Machine]],Liste!$A:$B,2))/Tableau3[[#This Row],[Heures Macines]],"0")</f>
        <v>0</v>
      </c>
      <c r="AN172" s="24" t="str">
        <f>VLOOKUP(Tableau3[[#This Row],[Opérateur 1]],Liste!$K$2:$M$68,3,FALSE)</f>
        <v>Déco</v>
      </c>
    </row>
    <row r="173" spans="1:40" s="24" customFormat="1" x14ac:dyDescent="0.25">
      <c r="A173" s="93">
        <v>43942</v>
      </c>
      <c r="B173" s="94" t="s">
        <v>19</v>
      </c>
      <c r="C173" s="16" t="s">
        <v>63</v>
      </c>
      <c r="D173" s="95" t="s">
        <v>15</v>
      </c>
      <c r="E173" s="94" t="s">
        <v>131</v>
      </c>
      <c r="F173" s="96">
        <v>1.25</v>
      </c>
      <c r="G173" s="94"/>
      <c r="H173" s="96"/>
      <c r="I173" s="91" t="s">
        <v>184</v>
      </c>
      <c r="J173" s="97">
        <v>16500</v>
      </c>
      <c r="K173" s="97">
        <v>0</v>
      </c>
      <c r="L173" s="97"/>
      <c r="M17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1.25</v>
      </c>
      <c r="N173" s="97">
        <v>0</v>
      </c>
      <c r="O173" s="20">
        <v>0</v>
      </c>
      <c r="P173" s="98">
        <v>0</v>
      </c>
      <c r="Q173" s="99" t="str">
        <f>IFERROR((Tableau3[[#This Row],[QTY Produite]]/1000)*((1000/Tableau3[[#This Row],[Cadence]])/60)/Tableau3[[#This Row],[Heures Macines]],"0")</f>
        <v>0</v>
      </c>
      <c r="R173" s="100">
        <v>0</v>
      </c>
      <c r="S173" s="96"/>
      <c r="T173" s="18"/>
      <c r="U173" s="101"/>
      <c r="V173" s="96"/>
      <c r="W173" s="96"/>
      <c r="X173" s="101"/>
      <c r="Y173" s="96"/>
      <c r="Z173" s="96"/>
      <c r="AA173" s="101"/>
      <c r="AB173" s="96"/>
      <c r="AC173" s="96"/>
      <c r="AD173" s="101"/>
      <c r="AE173" s="96"/>
      <c r="AF173" s="96"/>
      <c r="AG173" s="101"/>
      <c r="AH173" s="96"/>
      <c r="AI173" s="96"/>
      <c r="AJ173" s="101"/>
      <c r="AK173" s="84">
        <f t="shared" si="10"/>
        <v>4</v>
      </c>
      <c r="AL173" s="24">
        <f>YEAR(Tableau3[[#This Row],[Date]])</f>
        <v>2020</v>
      </c>
      <c r="AM173" s="92">
        <f>IFERROR(((Tableau3[[#This Row],[QTY Produite]]/1000)*VLOOKUP(Tableau3[[#This Row],[Machine]],Liste!$A:$B,2))/Tableau3[[#This Row],[Heures Macines]],"0")</f>
        <v>0</v>
      </c>
      <c r="AN173" s="24" t="str">
        <f>VLOOKUP(Tableau3[[#This Row],[Opérateur 1]],Liste!$K$2:$M$68,3,FALSE)</f>
        <v>Déco</v>
      </c>
    </row>
    <row r="174" spans="1:40" s="24" customFormat="1" x14ac:dyDescent="0.25">
      <c r="A174" s="93">
        <v>43942</v>
      </c>
      <c r="B174" s="94" t="s">
        <v>19</v>
      </c>
      <c r="C174" s="16" t="s">
        <v>63</v>
      </c>
      <c r="D174" s="95" t="s">
        <v>22</v>
      </c>
      <c r="E174" s="94" t="s">
        <v>114</v>
      </c>
      <c r="F174" s="96">
        <v>8</v>
      </c>
      <c r="G174" s="94"/>
      <c r="H174" s="96"/>
      <c r="I174" s="91">
        <v>25860</v>
      </c>
      <c r="J174" s="97">
        <v>526332</v>
      </c>
      <c r="K174" s="97">
        <v>37200</v>
      </c>
      <c r="L174" s="97">
        <v>258240</v>
      </c>
      <c r="M17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4" s="97">
        <v>217</v>
      </c>
      <c r="O174" s="20">
        <v>263</v>
      </c>
      <c r="P174" s="98">
        <v>80</v>
      </c>
      <c r="Q174" s="99">
        <f>IFERROR((Tableau3[[#This Row],[QTY Produite]]/1000)*((1000/Tableau3[[#This Row],[Cadence]])/60)/Tableau3[[#This Row],[Heures Macines]],"0")</f>
        <v>0.96875000000000011</v>
      </c>
      <c r="R174" s="100">
        <v>98</v>
      </c>
      <c r="S174" s="96"/>
      <c r="T174" s="18"/>
      <c r="U174" s="101"/>
      <c r="V174" s="96"/>
      <c r="W174" s="96"/>
      <c r="X174" s="101"/>
      <c r="Y174" s="96"/>
      <c r="Z174" s="96"/>
      <c r="AA174" s="101"/>
      <c r="AB174" s="96"/>
      <c r="AC174" s="96"/>
      <c r="AD174" s="101"/>
      <c r="AE174" s="96"/>
      <c r="AF174" s="96"/>
      <c r="AG174" s="101"/>
      <c r="AH174" s="96"/>
      <c r="AI174" s="96"/>
      <c r="AJ174" s="101"/>
      <c r="AK174" s="84">
        <f t="shared" si="10"/>
        <v>4</v>
      </c>
      <c r="AL174" s="24">
        <f>YEAR(Tableau3[[#This Row],[Date]])</f>
        <v>2020</v>
      </c>
      <c r="AM174" s="92">
        <f>IFERROR(((Tableau3[[#This Row],[QTY Produite]]/1000)*VLOOKUP(Tableau3[[#This Row],[Machine]],Liste!$A:$B,2))/Tableau3[[#This Row],[Heures Macines]],"0")</f>
        <v>1.395</v>
      </c>
      <c r="AN174" s="24" t="str">
        <f>VLOOKUP(Tableau3[[#This Row],[Opérateur 1]],Liste!$K$2:$M$68,3,FALSE)</f>
        <v>Multi</v>
      </c>
    </row>
    <row r="175" spans="1:40" s="24" customFormat="1" x14ac:dyDescent="0.25">
      <c r="A175" s="93">
        <v>43942</v>
      </c>
      <c r="B175" s="94" t="s">
        <v>19</v>
      </c>
      <c r="C175" s="16" t="s">
        <v>63</v>
      </c>
      <c r="D175" s="95" t="s">
        <v>20</v>
      </c>
      <c r="E175" s="94" t="s">
        <v>125</v>
      </c>
      <c r="F175" s="96">
        <v>8</v>
      </c>
      <c r="G175" s="94"/>
      <c r="H175" s="96"/>
      <c r="I175" s="91">
        <v>24449</v>
      </c>
      <c r="J175" s="97">
        <v>51861</v>
      </c>
      <c r="K175" s="97">
        <v>11172</v>
      </c>
      <c r="L175" s="97">
        <v>11172</v>
      </c>
      <c r="M17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5" s="97">
        <v>918</v>
      </c>
      <c r="O175" s="20">
        <v>284</v>
      </c>
      <c r="P175" s="98">
        <v>55</v>
      </c>
      <c r="Q175" s="99">
        <f>IFERROR((Tableau3[[#This Row],[QTY Produite]]/1000)*((1000/Tableau3[[#This Row],[Cadence]])/60)/Tableau3[[#This Row],[Heures Macines]],"0")</f>
        <v>0.42318181818181821</v>
      </c>
      <c r="R175" s="100">
        <v>42</v>
      </c>
      <c r="S175" s="96"/>
      <c r="T175" s="18"/>
      <c r="U175" s="101"/>
      <c r="V175" s="96"/>
      <c r="W175" s="96"/>
      <c r="X175" s="101"/>
      <c r="Y175" s="96"/>
      <c r="Z175" s="96"/>
      <c r="AA175" s="101"/>
      <c r="AB175" s="96"/>
      <c r="AC175" s="96"/>
      <c r="AD175" s="101"/>
      <c r="AE175" s="96"/>
      <c r="AF175" s="96"/>
      <c r="AG175" s="101"/>
      <c r="AH175" s="96"/>
      <c r="AI175" s="96"/>
      <c r="AJ175" s="101"/>
      <c r="AK175" s="84">
        <f t="shared" si="10"/>
        <v>4</v>
      </c>
      <c r="AL175" s="24">
        <f>YEAR(Tableau3[[#This Row],[Date]])</f>
        <v>2020</v>
      </c>
      <c r="AM175" s="92">
        <f>IFERROR(((Tableau3[[#This Row],[QTY Produite]]/1000)*VLOOKUP(Tableau3[[#This Row],[Machine]],Liste!$A:$B,2))/Tableau3[[#This Row],[Heures Macines]],"0")</f>
        <v>0.50273999999999996</v>
      </c>
      <c r="AN175" s="24" t="str">
        <f>VLOOKUP(Tableau3[[#This Row],[Opérateur 1]],Liste!$K$2:$M$68,3,FALSE)</f>
        <v>Multi</v>
      </c>
    </row>
    <row r="176" spans="1:40" s="24" customFormat="1" x14ac:dyDescent="0.25">
      <c r="A176" s="93">
        <v>43942</v>
      </c>
      <c r="B176" s="94" t="s">
        <v>19</v>
      </c>
      <c r="C176" s="16" t="s">
        <v>63</v>
      </c>
      <c r="D176" s="95" t="s">
        <v>14</v>
      </c>
      <c r="E176" s="94" t="s">
        <v>139</v>
      </c>
      <c r="F176" s="96">
        <v>8</v>
      </c>
      <c r="G176" s="94"/>
      <c r="H176" s="96"/>
      <c r="I176" s="91">
        <v>24983</v>
      </c>
      <c r="J176" s="97">
        <v>99524</v>
      </c>
      <c r="K176" s="97">
        <v>11430</v>
      </c>
      <c r="L176" s="97">
        <v>97282</v>
      </c>
      <c r="M17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6" s="97">
        <v>245</v>
      </c>
      <c r="O176" s="20">
        <v>230</v>
      </c>
      <c r="P176" s="98">
        <v>31</v>
      </c>
      <c r="Q176" s="99">
        <f>IFERROR((Tableau3[[#This Row],[QTY Produite]]/1000)*((1000/Tableau3[[#This Row],[Cadence]])/60)/Tableau3[[#This Row],[Heures Macines]],"0")</f>
        <v>0.76814516129032251</v>
      </c>
      <c r="R176" s="100">
        <v>77</v>
      </c>
      <c r="S176" s="96"/>
      <c r="T176" s="18"/>
      <c r="U176" s="101"/>
      <c r="V176" s="96"/>
      <c r="W176" s="96"/>
      <c r="X176" s="101"/>
      <c r="Y176" s="96"/>
      <c r="Z176" s="96"/>
      <c r="AA176" s="101"/>
      <c r="AB176" s="96"/>
      <c r="AC176" s="96"/>
      <c r="AD176" s="101"/>
      <c r="AE176" s="96"/>
      <c r="AF176" s="96"/>
      <c r="AG176" s="101"/>
      <c r="AH176" s="96"/>
      <c r="AI176" s="96"/>
      <c r="AJ176" s="101"/>
      <c r="AK176" s="84">
        <f t="shared" si="10"/>
        <v>4</v>
      </c>
      <c r="AL176" s="24">
        <f>YEAR(Tableau3[[#This Row],[Date]])</f>
        <v>2020</v>
      </c>
      <c r="AM176" s="92">
        <f>IFERROR(((Tableau3[[#This Row],[QTY Produite]]/1000)*VLOOKUP(Tableau3[[#This Row],[Machine]],Liste!$A:$B,2))/Tableau3[[#This Row],[Heures Macines]],"0")</f>
        <v>0.64293750000000005</v>
      </c>
      <c r="AN176" s="24" t="str">
        <f>VLOOKUP(Tableau3[[#This Row],[Opérateur 1]],Liste!$K$2:$M$68,3,FALSE)</f>
        <v>Mono</v>
      </c>
    </row>
    <row r="177" spans="1:40" s="24" customFormat="1" x14ac:dyDescent="0.25">
      <c r="A177" s="93">
        <v>43942</v>
      </c>
      <c r="B177" s="94" t="s">
        <v>19</v>
      </c>
      <c r="C177" s="16" t="s">
        <v>63</v>
      </c>
      <c r="D177" s="95" t="s">
        <v>10</v>
      </c>
      <c r="E177" s="94" t="s">
        <v>129</v>
      </c>
      <c r="F177" s="96">
        <v>8</v>
      </c>
      <c r="G177" s="94"/>
      <c r="H177" s="96"/>
      <c r="I177" s="91">
        <v>26595</v>
      </c>
      <c r="J177" s="97">
        <v>23295</v>
      </c>
      <c r="K177" s="97">
        <v>20880</v>
      </c>
      <c r="L177" s="97">
        <v>20880</v>
      </c>
      <c r="M17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7" s="97">
        <v>833</v>
      </c>
      <c r="O177" s="20">
        <v>221</v>
      </c>
      <c r="P177" s="98">
        <v>53</v>
      </c>
      <c r="Q177" s="99">
        <f>IFERROR((Tableau3[[#This Row],[QTY Produite]]/1000)*((1000/Tableau3[[#This Row],[Cadence]])/60)/Tableau3[[#This Row],[Heures Macines]],"0")</f>
        <v>0.82075471698113212</v>
      </c>
      <c r="R177" s="100">
        <v>82</v>
      </c>
      <c r="S177" s="96"/>
      <c r="T177" s="18"/>
      <c r="U177" s="101"/>
      <c r="V177" s="96"/>
      <c r="W177" s="96"/>
      <c r="X177" s="101"/>
      <c r="Y177" s="96"/>
      <c r="Z177" s="96"/>
      <c r="AA177" s="101"/>
      <c r="AB177" s="96"/>
      <c r="AC177" s="96"/>
      <c r="AD177" s="101"/>
      <c r="AE177" s="96"/>
      <c r="AF177" s="96"/>
      <c r="AG177" s="101"/>
      <c r="AH177" s="96"/>
      <c r="AI177" s="96"/>
      <c r="AJ177" s="101"/>
      <c r="AK177" s="84">
        <f t="shared" si="10"/>
        <v>4</v>
      </c>
      <c r="AL177" s="24">
        <f>YEAR(Tableau3[[#This Row],[Date]])</f>
        <v>2020</v>
      </c>
      <c r="AM177" s="92">
        <f>IFERROR(((Tableau3[[#This Row],[QTY Produite]]/1000)*VLOOKUP(Tableau3[[#This Row],[Machine]],Liste!$A:$B,2))/Tableau3[[#This Row],[Heures Macines]],"0")</f>
        <v>1.1744999999999999</v>
      </c>
      <c r="AN177" s="24" t="str">
        <f>VLOOKUP(Tableau3[[#This Row],[Opérateur 1]],Liste!$K$2:$M$68,3,FALSE)</f>
        <v>Mono</v>
      </c>
    </row>
    <row r="178" spans="1:40" s="24" customFormat="1" x14ac:dyDescent="0.25">
      <c r="A178" s="93">
        <v>43941</v>
      </c>
      <c r="B178" s="94" t="s">
        <v>16</v>
      </c>
      <c r="C178" s="16" t="s">
        <v>62</v>
      </c>
      <c r="D178" s="95" t="s">
        <v>15</v>
      </c>
      <c r="E178" s="94" t="s">
        <v>109</v>
      </c>
      <c r="F178" s="96">
        <v>8</v>
      </c>
      <c r="G178" s="94"/>
      <c r="H178" s="96"/>
      <c r="I178" s="91" t="s">
        <v>184</v>
      </c>
      <c r="J178" s="97">
        <v>16500</v>
      </c>
      <c r="K178" s="97">
        <v>16383</v>
      </c>
      <c r="L178" s="97">
        <v>16383</v>
      </c>
      <c r="M17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78" s="97">
        <v>350</v>
      </c>
      <c r="O178" s="20">
        <v>2125</v>
      </c>
      <c r="P178" s="98">
        <v>80</v>
      </c>
      <c r="Q178" s="99">
        <f>IFERROR((Tableau3[[#This Row],[QTY Produite]]/1000)*((1000/Tableau3[[#This Row],[Cadence]])/60)/Tableau3[[#This Row],[Heures Macines]],"0")</f>
        <v>0.426640625</v>
      </c>
      <c r="R178" s="100">
        <v>43</v>
      </c>
      <c r="S178" s="96"/>
      <c r="T178" s="18"/>
      <c r="U178" s="101"/>
      <c r="V178" s="96"/>
      <c r="W178" s="96"/>
      <c r="X178" s="101"/>
      <c r="Y178" s="96"/>
      <c r="Z178" s="96"/>
      <c r="AA178" s="101"/>
      <c r="AB178" s="96"/>
      <c r="AC178" s="96"/>
      <c r="AD178" s="101"/>
      <c r="AE178" s="96"/>
      <c r="AF178" s="96"/>
      <c r="AG178" s="101"/>
      <c r="AH178" s="96"/>
      <c r="AI178" s="96"/>
      <c r="AJ178" s="101"/>
      <c r="AK178" s="84">
        <f t="shared" ref="AK178:AK188" si="11">MONTH(A178)</f>
        <v>4</v>
      </c>
      <c r="AL178" s="24">
        <f>YEAR(Tableau3[[#This Row],[Date]])</f>
        <v>2020</v>
      </c>
      <c r="AM178" s="92">
        <f>IFERROR(((Tableau3[[#This Row],[QTY Produite]]/1000)*VLOOKUP(Tableau3[[#This Row],[Machine]],Liste!$A:$B,2))/Tableau3[[#This Row],[Heures Macines]],"0")</f>
        <v>0.81915000000000004</v>
      </c>
      <c r="AN178" s="24" t="str">
        <f>VLOOKUP(Tableau3[[#This Row],[Opérateur 1]],Liste!$K$2:$M$68,3,FALSE)</f>
        <v>Imp</v>
      </c>
    </row>
    <row r="179" spans="1:40" s="24" customFormat="1" x14ac:dyDescent="0.25">
      <c r="A179" s="93">
        <v>43941</v>
      </c>
      <c r="B179" s="94" t="s">
        <v>16</v>
      </c>
      <c r="C179" s="16" t="s">
        <v>62</v>
      </c>
      <c r="D179" s="95" t="s">
        <v>23</v>
      </c>
      <c r="E179" s="94" t="s">
        <v>143</v>
      </c>
      <c r="F179" s="96">
        <v>4.25</v>
      </c>
      <c r="G179" s="94"/>
      <c r="H179" s="96"/>
      <c r="I179" s="91" t="s">
        <v>188</v>
      </c>
      <c r="J179" s="97">
        <v>94500</v>
      </c>
      <c r="K179" s="97">
        <v>4699</v>
      </c>
      <c r="L179" s="97">
        <v>4699</v>
      </c>
      <c r="M17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4.25</v>
      </c>
      <c r="N179" s="97">
        <v>30</v>
      </c>
      <c r="O179" s="20">
        <v>268</v>
      </c>
      <c r="P179" s="98">
        <v>33</v>
      </c>
      <c r="Q179" s="99">
        <f>IFERROR((Tableau3[[#This Row],[QTY Produite]]/1000)*((1000/Tableau3[[#This Row],[Cadence]])/60)/Tableau3[[#This Row],[Heures Macines]],"0")</f>
        <v>0.55840760546642898</v>
      </c>
      <c r="R179" s="100">
        <v>55</v>
      </c>
      <c r="S179" s="96"/>
      <c r="T179" s="18"/>
      <c r="U179" s="101"/>
      <c r="V179" s="96"/>
      <c r="W179" s="96"/>
      <c r="X179" s="101"/>
      <c r="Y179" s="96"/>
      <c r="Z179" s="96"/>
      <c r="AA179" s="101"/>
      <c r="AB179" s="96"/>
      <c r="AC179" s="96"/>
      <c r="AD179" s="101"/>
      <c r="AE179" s="96"/>
      <c r="AF179" s="96"/>
      <c r="AG179" s="101"/>
      <c r="AH179" s="96"/>
      <c r="AI179" s="96"/>
      <c r="AJ179" s="101"/>
      <c r="AK179" s="84">
        <f t="shared" si="11"/>
        <v>4</v>
      </c>
      <c r="AL179" s="24">
        <f>YEAR(Tableau3[[#This Row],[Date]])</f>
        <v>2020</v>
      </c>
      <c r="AM179" s="92">
        <f>IFERROR(((Tableau3[[#This Row],[QTY Produite]]/1000)*VLOOKUP(Tableau3[[#This Row],[Machine]],Liste!$A:$B,2))/Tableau3[[#This Row],[Heures Macines]],"0")</f>
        <v>0.44225882352941176</v>
      </c>
      <c r="AN179" s="24" t="str">
        <f>VLOOKUP(Tableau3[[#This Row],[Opérateur 1]],Liste!$K$2:$M$68,3,FALSE)</f>
        <v>Déco</v>
      </c>
    </row>
    <row r="180" spans="1:40" s="24" customFormat="1" x14ac:dyDescent="0.25">
      <c r="A180" s="93">
        <v>43941</v>
      </c>
      <c r="B180" s="94" t="s">
        <v>16</v>
      </c>
      <c r="C180" s="16" t="s">
        <v>62</v>
      </c>
      <c r="D180" s="95" t="s">
        <v>23</v>
      </c>
      <c r="E180" s="94" t="s">
        <v>143</v>
      </c>
      <c r="F180" s="96">
        <v>3.75</v>
      </c>
      <c r="G180" s="94"/>
      <c r="H180" s="96"/>
      <c r="I180" s="91" t="s">
        <v>176</v>
      </c>
      <c r="J180" s="97">
        <v>15750</v>
      </c>
      <c r="K180" s="97">
        <v>4445</v>
      </c>
      <c r="L180" s="97">
        <v>15748</v>
      </c>
      <c r="M18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3.75</v>
      </c>
      <c r="N180" s="97">
        <v>25</v>
      </c>
      <c r="O180" s="20">
        <v>29</v>
      </c>
      <c r="P180" s="98">
        <v>33</v>
      </c>
      <c r="Q180" s="99">
        <f>IFERROR((Tableau3[[#This Row],[QTY Produite]]/1000)*((1000/Tableau3[[#This Row],[Cadence]])/60)/Tableau3[[#This Row],[Heures Macines]],"0")</f>
        <v>0.59865319865319877</v>
      </c>
      <c r="R180" s="100">
        <v>59</v>
      </c>
      <c r="S180" s="96"/>
      <c r="T180" s="18"/>
      <c r="U180" s="101"/>
      <c r="V180" s="96"/>
      <c r="W180" s="96"/>
      <c r="X180" s="101"/>
      <c r="Y180" s="96"/>
      <c r="Z180" s="96"/>
      <c r="AA180" s="101"/>
      <c r="AB180" s="96"/>
      <c r="AC180" s="96"/>
      <c r="AD180" s="101"/>
      <c r="AE180" s="96"/>
      <c r="AF180" s="96"/>
      <c r="AG180" s="101"/>
      <c r="AH180" s="96"/>
      <c r="AI180" s="96"/>
      <c r="AJ180" s="101"/>
      <c r="AK180" s="84">
        <f t="shared" si="11"/>
        <v>4</v>
      </c>
      <c r="AL180" s="24">
        <f>YEAR(Tableau3[[#This Row],[Date]])</f>
        <v>2020</v>
      </c>
      <c r="AM180" s="92">
        <f>IFERROR(((Tableau3[[#This Row],[QTY Produite]]/1000)*VLOOKUP(Tableau3[[#This Row],[Machine]],Liste!$A:$B,2))/Tableau3[[#This Row],[Heures Macines]],"0")</f>
        <v>0.47413333333333341</v>
      </c>
      <c r="AN180" s="24" t="str">
        <f>VLOOKUP(Tableau3[[#This Row],[Opérateur 1]],Liste!$K$2:$M$68,3,FALSE)</f>
        <v>Déco</v>
      </c>
    </row>
    <row r="181" spans="1:40" s="24" customFormat="1" x14ac:dyDescent="0.25">
      <c r="A181" s="93">
        <v>43941</v>
      </c>
      <c r="B181" s="94" t="s">
        <v>16</v>
      </c>
      <c r="C181" s="16" t="s">
        <v>62</v>
      </c>
      <c r="D181" s="95" t="s">
        <v>30</v>
      </c>
      <c r="E181" s="94" t="s">
        <v>116</v>
      </c>
      <c r="F181" s="96">
        <v>8</v>
      </c>
      <c r="G181" s="94"/>
      <c r="H181" s="96"/>
      <c r="I181" s="91" t="s">
        <v>187</v>
      </c>
      <c r="J181" s="97">
        <v>135960</v>
      </c>
      <c r="K181" s="97">
        <v>13720</v>
      </c>
      <c r="L181" s="97">
        <v>13720</v>
      </c>
      <c r="M18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81" s="97">
        <v>75</v>
      </c>
      <c r="O181" s="20">
        <v>266</v>
      </c>
      <c r="P181" s="98">
        <v>66</v>
      </c>
      <c r="Q181" s="99">
        <f>IFERROR((Tableau3[[#This Row],[QTY Produite]]/1000)*((1000/Tableau3[[#This Row],[Cadence]])/60)/Tableau3[[#This Row],[Heures Macines]],"0")</f>
        <v>0.43308080808080812</v>
      </c>
      <c r="R181" s="100">
        <v>43</v>
      </c>
      <c r="S181" s="96"/>
      <c r="T181" s="18"/>
      <c r="U181" s="101"/>
      <c r="V181" s="96"/>
      <c r="W181" s="96"/>
      <c r="X181" s="101"/>
      <c r="Y181" s="96"/>
      <c r="Z181" s="96"/>
      <c r="AA181" s="101"/>
      <c r="AB181" s="96"/>
      <c r="AC181" s="96"/>
      <c r="AD181" s="101"/>
      <c r="AE181" s="96"/>
      <c r="AF181" s="96"/>
      <c r="AG181" s="101"/>
      <c r="AH181" s="96"/>
      <c r="AI181" s="96"/>
      <c r="AJ181" s="101"/>
      <c r="AK181" s="84">
        <f t="shared" si="11"/>
        <v>4</v>
      </c>
      <c r="AL181" s="24">
        <f>YEAR(Tableau3[[#This Row],[Date]])</f>
        <v>2020</v>
      </c>
      <c r="AM181" s="92">
        <f>IFERROR(((Tableau3[[#This Row],[QTY Produite]]/1000)*VLOOKUP(Tableau3[[#This Row],[Machine]],Liste!$A:$B,2))/Tableau3[[#This Row],[Heures Macines]],"0")</f>
        <v>1.0289999999999999</v>
      </c>
      <c r="AN181" s="24" t="str">
        <f>VLOOKUP(Tableau3[[#This Row],[Opérateur 1]],Liste!$K$2:$M$68,3,FALSE)</f>
        <v>Déco</v>
      </c>
    </row>
    <row r="182" spans="1:40" s="24" customFormat="1" x14ac:dyDescent="0.25">
      <c r="A182" s="93">
        <v>43941</v>
      </c>
      <c r="B182" s="94" t="s">
        <v>16</v>
      </c>
      <c r="C182" s="16" t="s">
        <v>62</v>
      </c>
      <c r="D182" s="95" t="s">
        <v>18</v>
      </c>
      <c r="E182" s="94" t="s">
        <v>141</v>
      </c>
      <c r="F182" s="96">
        <v>3.25</v>
      </c>
      <c r="G182" s="94"/>
      <c r="H182" s="96"/>
      <c r="I182" s="91" t="s">
        <v>149</v>
      </c>
      <c r="J182" s="97">
        <v>214032</v>
      </c>
      <c r="K182" s="97">
        <v>12544</v>
      </c>
      <c r="L182" s="97">
        <v>163072</v>
      </c>
      <c r="M18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3.25</v>
      </c>
      <c r="N182" s="97">
        <v>35</v>
      </c>
      <c r="O182" s="20">
        <v>43</v>
      </c>
      <c r="P182" s="98">
        <v>90</v>
      </c>
      <c r="Q182" s="99">
        <f>IFERROR((Tableau3[[#This Row],[QTY Produite]]/1000)*((1000/Tableau3[[#This Row],[Cadence]])/60)/Tableau3[[#This Row],[Heures Macines]],"0")</f>
        <v>0.71475783475783483</v>
      </c>
      <c r="R182" s="100">
        <v>84</v>
      </c>
      <c r="S182" s="96"/>
      <c r="T182" s="18"/>
      <c r="U182" s="101"/>
      <c r="V182" s="96"/>
      <c r="W182" s="96"/>
      <c r="X182" s="101"/>
      <c r="Y182" s="96"/>
      <c r="Z182" s="96"/>
      <c r="AA182" s="101"/>
      <c r="AB182" s="96"/>
      <c r="AC182" s="96"/>
      <c r="AD182" s="101"/>
      <c r="AE182" s="96"/>
      <c r="AF182" s="96"/>
      <c r="AG182" s="101"/>
      <c r="AH182" s="96"/>
      <c r="AI182" s="96"/>
      <c r="AJ182" s="101"/>
      <c r="AK182" s="84">
        <f t="shared" si="11"/>
        <v>4</v>
      </c>
      <c r="AL182" s="24">
        <f>YEAR(Tableau3[[#This Row],[Date]])</f>
        <v>2020</v>
      </c>
      <c r="AM182" s="92">
        <f>IFERROR(((Tableau3[[#This Row],[QTY Produite]]/1000)*VLOOKUP(Tableau3[[#This Row],[Machine]],Liste!$A:$B,2))/Tableau3[[#This Row],[Heures Macines]],"0")</f>
        <v>1.5438769230769234</v>
      </c>
      <c r="AN182" s="24" t="str">
        <f>VLOOKUP(Tableau3[[#This Row],[Opérateur 1]],Liste!$K$2:$M$68,3,FALSE)</f>
        <v>Imp</v>
      </c>
    </row>
    <row r="183" spans="1:40" s="24" customFormat="1" x14ac:dyDescent="0.25">
      <c r="A183" s="93">
        <v>43941</v>
      </c>
      <c r="B183" s="94" t="s">
        <v>16</v>
      </c>
      <c r="C183" s="16" t="s">
        <v>62</v>
      </c>
      <c r="D183" s="95" t="s">
        <v>11</v>
      </c>
      <c r="E183" s="94" t="s">
        <v>141</v>
      </c>
      <c r="F183" s="96">
        <v>4.75</v>
      </c>
      <c r="G183" s="94"/>
      <c r="H183" s="96"/>
      <c r="I183" s="91" t="s">
        <v>169</v>
      </c>
      <c r="J183" s="97">
        <v>171072</v>
      </c>
      <c r="K183" s="97">
        <v>12000</v>
      </c>
      <c r="L183" s="97">
        <v>171120</v>
      </c>
      <c r="M18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4.75</v>
      </c>
      <c r="N183" s="97">
        <v>200</v>
      </c>
      <c r="O183" s="20"/>
      <c r="P183" s="98">
        <v>90</v>
      </c>
      <c r="Q183" s="99">
        <f>IFERROR((Tableau3[[#This Row],[QTY Produite]]/1000)*((1000/Tableau3[[#This Row],[Cadence]])/60)/Tableau3[[#This Row],[Heures Macines]],"0")</f>
        <v>0.46783625730994155</v>
      </c>
      <c r="R183" s="100">
        <v>47</v>
      </c>
      <c r="S183" s="96"/>
      <c r="T183" s="18"/>
      <c r="U183" s="101"/>
      <c r="V183" s="96"/>
      <c r="W183" s="96"/>
      <c r="X183" s="101"/>
      <c r="Y183" s="96"/>
      <c r="Z183" s="96"/>
      <c r="AA183" s="101"/>
      <c r="AB183" s="96"/>
      <c r="AC183" s="96"/>
      <c r="AD183" s="101"/>
      <c r="AE183" s="96"/>
      <c r="AF183" s="96"/>
      <c r="AG183" s="101"/>
      <c r="AH183" s="96"/>
      <c r="AI183" s="96"/>
      <c r="AJ183" s="101"/>
      <c r="AK183" s="84">
        <f t="shared" si="11"/>
        <v>4</v>
      </c>
      <c r="AL183" s="24">
        <f>YEAR(Tableau3[[#This Row],[Date]])</f>
        <v>2020</v>
      </c>
      <c r="AM183" s="92">
        <f>IFERROR(((Tableau3[[#This Row],[QTY Produite]]/1000)*VLOOKUP(Tableau3[[#This Row],[Machine]],Liste!$A:$B,2))/Tableau3[[#This Row],[Heures Macines]],"0")</f>
        <v>1.0105263157894739</v>
      </c>
      <c r="AN183" s="24" t="str">
        <f>VLOOKUP(Tableau3[[#This Row],[Opérateur 1]],Liste!$K$2:$M$68,3,FALSE)</f>
        <v>Imp</v>
      </c>
    </row>
    <row r="184" spans="1:40" s="24" customFormat="1" x14ac:dyDescent="0.25">
      <c r="A184" s="93">
        <v>43941</v>
      </c>
      <c r="B184" s="94" t="s">
        <v>16</v>
      </c>
      <c r="C184" s="16" t="s">
        <v>62</v>
      </c>
      <c r="D184" s="95" t="s">
        <v>31</v>
      </c>
      <c r="E184" s="94" t="s">
        <v>122</v>
      </c>
      <c r="F184" s="96">
        <v>2</v>
      </c>
      <c r="G184" s="94"/>
      <c r="H184" s="96"/>
      <c r="I184" s="91" t="s">
        <v>186</v>
      </c>
      <c r="J184" s="97">
        <v>5500</v>
      </c>
      <c r="K184" s="97">
        <v>4900</v>
      </c>
      <c r="L184" s="97">
        <v>4900</v>
      </c>
      <c r="M18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</v>
      </c>
      <c r="N184" s="97">
        <v>25</v>
      </c>
      <c r="O184" s="20"/>
      <c r="P184" s="98">
        <v>41</v>
      </c>
      <c r="Q184" s="99">
        <f>IFERROR((Tableau3[[#This Row],[QTY Produite]]/1000)*((1000/Tableau3[[#This Row],[Cadence]])/60)/Tableau3[[#This Row],[Heures Macines]],"0")</f>
        <v>0.99593495934959353</v>
      </c>
      <c r="R184" s="100">
        <v>100</v>
      </c>
      <c r="S184" s="96"/>
      <c r="T184" s="18"/>
      <c r="U184" s="101"/>
      <c r="V184" s="96"/>
      <c r="W184" s="96"/>
      <c r="X184" s="101"/>
      <c r="Y184" s="96"/>
      <c r="Z184" s="96"/>
      <c r="AA184" s="101"/>
      <c r="AB184" s="96"/>
      <c r="AC184" s="96"/>
      <c r="AD184" s="101"/>
      <c r="AE184" s="96"/>
      <c r="AF184" s="96"/>
      <c r="AG184" s="101"/>
      <c r="AH184" s="96"/>
      <c r="AI184" s="96"/>
      <c r="AJ184" s="101"/>
      <c r="AK184" s="84">
        <f t="shared" si="11"/>
        <v>4</v>
      </c>
      <c r="AL184" s="24">
        <f>YEAR(Tableau3[[#This Row],[Date]])</f>
        <v>2020</v>
      </c>
      <c r="AM184" s="92">
        <f>IFERROR(((Tableau3[[#This Row],[QTY Produite]]/1000)*VLOOKUP(Tableau3[[#This Row],[Machine]],Liste!$A:$B,2))/Tableau3[[#This Row],[Heures Macines]],"0")</f>
        <v>0.98000000000000009</v>
      </c>
      <c r="AN184" s="24" t="str">
        <f>VLOOKUP(Tableau3[[#This Row],[Opérateur 1]],Liste!$K$2:$M$68,3,FALSE)</f>
        <v>Déco</v>
      </c>
    </row>
    <row r="185" spans="1:40" s="24" customFormat="1" x14ac:dyDescent="0.25">
      <c r="A185" s="93">
        <v>43941</v>
      </c>
      <c r="B185" s="94" t="s">
        <v>16</v>
      </c>
      <c r="C185" s="16" t="s">
        <v>62</v>
      </c>
      <c r="D185" s="95" t="s">
        <v>27</v>
      </c>
      <c r="E185" s="94" t="s">
        <v>122</v>
      </c>
      <c r="F185" s="96">
        <v>6</v>
      </c>
      <c r="G185" s="94"/>
      <c r="H185" s="96"/>
      <c r="I185" s="91" t="s">
        <v>161</v>
      </c>
      <c r="J185" s="97">
        <v>114414</v>
      </c>
      <c r="K185" s="97">
        <v>6223</v>
      </c>
      <c r="L185" s="97">
        <v>21844</v>
      </c>
      <c r="M18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</v>
      </c>
      <c r="N185" s="97">
        <v>31</v>
      </c>
      <c r="O185" s="20">
        <v>56</v>
      </c>
      <c r="P185" s="98">
        <v>31</v>
      </c>
      <c r="Q185" s="99">
        <f>IFERROR((Tableau3[[#This Row],[QTY Produite]]/1000)*((1000/Tableau3[[#This Row],[Cadence]])/60)/Tableau3[[#This Row],[Heures Macines]],"0")</f>
        <v>0.5576164874551971</v>
      </c>
      <c r="R185" s="100">
        <v>56</v>
      </c>
      <c r="S185" s="96"/>
      <c r="T185" s="18"/>
      <c r="U185" s="101"/>
      <c r="V185" s="96"/>
      <c r="W185" s="96"/>
      <c r="X185" s="101"/>
      <c r="Y185" s="96"/>
      <c r="Z185" s="96"/>
      <c r="AA185" s="101"/>
      <c r="AB185" s="96"/>
      <c r="AC185" s="96"/>
      <c r="AD185" s="101"/>
      <c r="AE185" s="96"/>
      <c r="AF185" s="96"/>
      <c r="AG185" s="101"/>
      <c r="AH185" s="96"/>
      <c r="AI185" s="96"/>
      <c r="AJ185" s="101"/>
      <c r="AK185" s="84">
        <f t="shared" si="11"/>
        <v>4</v>
      </c>
      <c r="AL185" s="24">
        <f>YEAR(Tableau3[[#This Row],[Date]])</f>
        <v>2020</v>
      </c>
      <c r="AM185" s="92">
        <f>IFERROR(((Tableau3[[#This Row],[QTY Produite]]/1000)*VLOOKUP(Tableau3[[#This Row],[Machine]],Liste!$A:$B,2))/Tableau3[[#This Row],[Heures Macines]],"0")</f>
        <v>0.51858333333333329</v>
      </c>
      <c r="AN185" s="24" t="str">
        <f>VLOOKUP(Tableau3[[#This Row],[Opérateur 1]],Liste!$K$2:$M$68,3,FALSE)</f>
        <v>Déco</v>
      </c>
    </row>
    <row r="186" spans="1:40" s="24" customFormat="1" x14ac:dyDescent="0.25">
      <c r="A186" s="93">
        <v>43941</v>
      </c>
      <c r="B186" s="94" t="s">
        <v>16</v>
      </c>
      <c r="C186" s="16" t="s">
        <v>62</v>
      </c>
      <c r="D186" s="95" t="s">
        <v>22</v>
      </c>
      <c r="E186" s="94" t="s">
        <v>136</v>
      </c>
      <c r="F186" s="96">
        <v>8</v>
      </c>
      <c r="G186" s="94"/>
      <c r="H186" s="96"/>
      <c r="I186" s="91">
        <v>25860</v>
      </c>
      <c r="J186" s="97">
        <v>526332</v>
      </c>
      <c r="K186" s="97">
        <v>20160</v>
      </c>
      <c r="L186" s="97">
        <v>221040</v>
      </c>
      <c r="M18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86" s="97">
        <v>1592</v>
      </c>
      <c r="O186" s="20">
        <v>1176</v>
      </c>
      <c r="P186" s="98">
        <v>80</v>
      </c>
      <c r="Q186" s="99">
        <f>IFERROR((Tableau3[[#This Row],[QTY Produite]]/1000)*((1000/Tableau3[[#This Row],[Cadence]])/60)/Tableau3[[#This Row],[Heures Macines]],"0")</f>
        <v>0.52500000000000002</v>
      </c>
      <c r="R186" s="100">
        <v>52</v>
      </c>
      <c r="S186" s="96"/>
      <c r="T186" s="18"/>
      <c r="U186" s="101"/>
      <c r="V186" s="96"/>
      <c r="W186" s="96"/>
      <c r="X186" s="101"/>
      <c r="Y186" s="96"/>
      <c r="Z186" s="96"/>
      <c r="AA186" s="101"/>
      <c r="AB186" s="96"/>
      <c r="AC186" s="96"/>
      <c r="AD186" s="101"/>
      <c r="AE186" s="96"/>
      <c r="AF186" s="96"/>
      <c r="AG186" s="101"/>
      <c r="AH186" s="96"/>
      <c r="AI186" s="96"/>
      <c r="AJ186" s="101"/>
      <c r="AK186" s="84">
        <f t="shared" si="11"/>
        <v>4</v>
      </c>
      <c r="AL186" s="24">
        <f>YEAR(Tableau3[[#This Row],[Date]])</f>
        <v>2020</v>
      </c>
      <c r="AM186" s="92">
        <f>IFERROR(((Tableau3[[#This Row],[QTY Produite]]/1000)*VLOOKUP(Tableau3[[#This Row],[Machine]],Liste!$A:$B,2))/Tableau3[[#This Row],[Heures Macines]],"0")</f>
        <v>0.75600000000000001</v>
      </c>
      <c r="AN186" s="24" t="str">
        <f>VLOOKUP(Tableau3[[#This Row],[Opérateur 1]],Liste!$K$2:$M$68,3,FALSE)</f>
        <v>Multi</v>
      </c>
    </row>
    <row r="187" spans="1:40" s="24" customFormat="1" x14ac:dyDescent="0.25">
      <c r="A187" s="93">
        <v>43941</v>
      </c>
      <c r="B187" s="94" t="s">
        <v>16</v>
      </c>
      <c r="C187" s="16" t="s">
        <v>62</v>
      </c>
      <c r="D187" s="95" t="s">
        <v>14</v>
      </c>
      <c r="E187" s="94" t="s">
        <v>112</v>
      </c>
      <c r="F187" s="96">
        <v>8</v>
      </c>
      <c r="G187" s="94"/>
      <c r="H187" s="96"/>
      <c r="I187" s="91">
        <v>24983</v>
      </c>
      <c r="J187" s="97">
        <v>99524</v>
      </c>
      <c r="K187" s="97">
        <v>13434</v>
      </c>
      <c r="L187" s="97">
        <v>85852</v>
      </c>
      <c r="M18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87" s="97">
        <v>222</v>
      </c>
      <c r="O187" s="20">
        <v>54</v>
      </c>
      <c r="P187" s="98">
        <v>31</v>
      </c>
      <c r="Q187" s="99">
        <f>IFERROR((Tableau3[[#This Row],[QTY Produite]]/1000)*((1000/Tableau3[[#This Row],[Cadence]])/60)/Tableau3[[#This Row],[Heures Macines]],"0")</f>
        <v>0.90282258064516119</v>
      </c>
      <c r="R187" s="100">
        <v>90</v>
      </c>
      <c r="S187" s="96"/>
      <c r="T187" s="18"/>
      <c r="U187" s="101"/>
      <c r="V187" s="96"/>
      <c r="W187" s="96"/>
      <c r="X187" s="101"/>
      <c r="Y187" s="96"/>
      <c r="Z187" s="96"/>
      <c r="AA187" s="101"/>
      <c r="AB187" s="96"/>
      <c r="AC187" s="96"/>
      <c r="AD187" s="101"/>
      <c r="AE187" s="96"/>
      <c r="AF187" s="96"/>
      <c r="AG187" s="101"/>
      <c r="AH187" s="96"/>
      <c r="AI187" s="96"/>
      <c r="AJ187" s="101"/>
      <c r="AK187" s="84">
        <f t="shared" si="11"/>
        <v>4</v>
      </c>
      <c r="AL187" s="24">
        <f>YEAR(Tableau3[[#This Row],[Date]])</f>
        <v>2020</v>
      </c>
      <c r="AM187" s="92">
        <f>IFERROR(((Tableau3[[#This Row],[QTY Produite]]/1000)*VLOOKUP(Tableau3[[#This Row],[Machine]],Liste!$A:$B,2))/Tableau3[[#This Row],[Heures Macines]],"0")</f>
        <v>0.75566250000000001</v>
      </c>
      <c r="AN187" s="24" t="str">
        <f>VLOOKUP(Tableau3[[#This Row],[Opérateur 1]],Liste!$K$2:$M$68,3,FALSE)</f>
        <v>Mono</v>
      </c>
    </row>
    <row r="188" spans="1:40" s="24" customFormat="1" x14ac:dyDescent="0.25">
      <c r="A188" s="93">
        <v>43941</v>
      </c>
      <c r="B188" s="94" t="s">
        <v>16</v>
      </c>
      <c r="C188" s="16" t="s">
        <v>62</v>
      </c>
      <c r="D188" s="95" t="s">
        <v>20</v>
      </c>
      <c r="E188" s="94" t="s">
        <v>124</v>
      </c>
      <c r="F188" s="96">
        <v>8</v>
      </c>
      <c r="G188" s="94"/>
      <c r="H188" s="96"/>
      <c r="I188" s="91">
        <v>25391</v>
      </c>
      <c r="J188" s="97">
        <v>9435</v>
      </c>
      <c r="K188" s="97">
        <v>9604</v>
      </c>
      <c r="L188" s="97">
        <v>9604</v>
      </c>
      <c r="M18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88" s="97">
        <v>694</v>
      </c>
      <c r="O188" s="20">
        <v>550</v>
      </c>
      <c r="P188" s="98">
        <v>54</v>
      </c>
      <c r="Q188" s="99">
        <f>IFERROR((Tableau3[[#This Row],[QTY Produite]]/1000)*((1000/Tableau3[[#This Row],[Cadence]])/60)/Tableau3[[#This Row],[Heures Macines]],"0")</f>
        <v>0.37052469135802463</v>
      </c>
      <c r="R188" s="100">
        <v>37</v>
      </c>
      <c r="S188" s="96"/>
      <c r="T188" s="18"/>
      <c r="U188" s="101"/>
      <c r="V188" s="96"/>
      <c r="W188" s="96"/>
      <c r="X188" s="101"/>
      <c r="Y188" s="96"/>
      <c r="Z188" s="96"/>
      <c r="AA188" s="101"/>
      <c r="AB188" s="96"/>
      <c r="AC188" s="96"/>
      <c r="AD188" s="101"/>
      <c r="AE188" s="96"/>
      <c r="AF188" s="96"/>
      <c r="AG188" s="101"/>
      <c r="AH188" s="96"/>
      <c r="AI188" s="96"/>
      <c r="AJ188" s="101"/>
      <c r="AK188" s="84">
        <f t="shared" si="11"/>
        <v>4</v>
      </c>
      <c r="AL188" s="24">
        <f>YEAR(Tableau3[[#This Row],[Date]])</f>
        <v>2020</v>
      </c>
      <c r="AM188" s="92">
        <f>IFERROR(((Tableau3[[#This Row],[QTY Produite]]/1000)*VLOOKUP(Tableau3[[#This Row],[Machine]],Liste!$A:$B,2))/Tableau3[[#This Row],[Heures Macines]],"0")</f>
        <v>0.43217999999999995</v>
      </c>
      <c r="AN188" s="24" t="str">
        <f>VLOOKUP(Tableau3[[#This Row],[Opérateur 1]],Liste!$K$2:$M$68,3,FALSE)</f>
        <v>Multi</v>
      </c>
    </row>
    <row r="189" spans="1:40" s="24" customFormat="1" x14ac:dyDescent="0.25">
      <c r="A189" s="93">
        <v>43941</v>
      </c>
      <c r="B189" s="94" t="s">
        <v>13</v>
      </c>
      <c r="C189" s="16" t="s">
        <v>102</v>
      </c>
      <c r="D189" s="95" t="s">
        <v>22</v>
      </c>
      <c r="E189" s="94" t="s">
        <v>117</v>
      </c>
      <c r="F189" s="96">
        <v>2.75</v>
      </c>
      <c r="G189" s="94"/>
      <c r="H189" s="96"/>
      <c r="I189" s="91">
        <v>60891</v>
      </c>
      <c r="J189" s="97">
        <v>22000</v>
      </c>
      <c r="K189" s="97">
        <v>0</v>
      </c>
      <c r="L189" s="97">
        <v>0</v>
      </c>
      <c r="M18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2.75</v>
      </c>
      <c r="N189" s="97">
        <v>0</v>
      </c>
      <c r="O189" s="20">
        <v>0</v>
      </c>
      <c r="P189" s="98">
        <v>70</v>
      </c>
      <c r="Q189" s="99">
        <f>IFERROR((Tableau3[[#This Row],[QTY Produite]]/1000)*((1000/Tableau3[[#This Row],[Cadence]])/60)/Tableau3[[#This Row],[Heures Macines]],"0")</f>
        <v>0</v>
      </c>
      <c r="R189" s="100">
        <v>0</v>
      </c>
      <c r="S189" s="96"/>
      <c r="T189" s="18"/>
      <c r="U189" s="101"/>
      <c r="V189" s="96"/>
      <c r="W189" s="96"/>
      <c r="X189" s="101"/>
      <c r="Y189" s="96"/>
      <c r="Z189" s="96"/>
      <c r="AA189" s="101"/>
      <c r="AB189" s="96"/>
      <c r="AC189" s="96"/>
      <c r="AD189" s="101"/>
      <c r="AE189" s="96"/>
      <c r="AF189" s="96"/>
      <c r="AG189" s="101"/>
      <c r="AH189" s="96"/>
      <c r="AI189" s="96"/>
      <c r="AJ189" s="101"/>
      <c r="AK189" s="84">
        <f t="shared" ref="AK189:AK201" si="12">MONTH(A189)</f>
        <v>4</v>
      </c>
      <c r="AL189" s="24">
        <f>YEAR(Tableau3[[#This Row],[Date]])</f>
        <v>2020</v>
      </c>
      <c r="AM189" s="92">
        <f>IFERROR(((Tableau3[[#This Row],[QTY Produite]]/1000)*VLOOKUP(Tableau3[[#This Row],[Machine]],Liste!$A:$B,2))/Tableau3[[#This Row],[Heures Macines]],"0")</f>
        <v>0</v>
      </c>
      <c r="AN189" s="24" t="str">
        <f>VLOOKUP(Tableau3[[#This Row],[Opérateur 1]],Liste!$K$2:$M$68,3,FALSE)</f>
        <v>Multi</v>
      </c>
    </row>
    <row r="190" spans="1:40" s="116" customFormat="1" x14ac:dyDescent="0.25">
      <c r="A190" s="103">
        <v>43941</v>
      </c>
      <c r="B190" s="104" t="s">
        <v>13</v>
      </c>
      <c r="C190" s="105" t="s">
        <v>102</v>
      </c>
      <c r="D190" s="106" t="s">
        <v>20</v>
      </c>
      <c r="E190" s="104" t="s">
        <v>134</v>
      </c>
      <c r="F190" s="107">
        <v>2.25</v>
      </c>
      <c r="G190" s="104"/>
      <c r="H190" s="107"/>
      <c r="I190" s="108">
        <v>25003</v>
      </c>
      <c r="J190" s="109">
        <v>12301</v>
      </c>
      <c r="K190" s="109">
        <v>5488</v>
      </c>
      <c r="L190" s="109">
        <v>13328</v>
      </c>
      <c r="M190" s="11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2.25</v>
      </c>
      <c r="N190" s="109">
        <v>1026</v>
      </c>
      <c r="O190" s="111">
        <v>486</v>
      </c>
      <c r="P190" s="112">
        <v>54</v>
      </c>
      <c r="Q190" s="99">
        <f>IFERROR((Tableau3[[#This Row],[QTY Produite]]/1000)*((1000/Tableau3[[#This Row],[Cadence]])/60)/Tableau3[[#This Row],[Heures Macines]],"0")</f>
        <v>0.75281207133058992</v>
      </c>
      <c r="R190" s="113">
        <v>84</v>
      </c>
      <c r="S190" s="107"/>
      <c r="T190" s="110"/>
      <c r="U190" s="114"/>
      <c r="V190" s="107"/>
      <c r="W190" s="107"/>
      <c r="X190" s="114"/>
      <c r="Y190" s="107"/>
      <c r="Z190" s="107"/>
      <c r="AA190" s="114"/>
      <c r="AB190" s="107"/>
      <c r="AC190" s="107"/>
      <c r="AD190" s="114"/>
      <c r="AE190" s="107"/>
      <c r="AF190" s="107"/>
      <c r="AG190" s="114"/>
      <c r="AH190" s="107"/>
      <c r="AI190" s="107"/>
      <c r="AJ190" s="114"/>
      <c r="AK190" s="115">
        <f t="shared" si="12"/>
        <v>4</v>
      </c>
      <c r="AL190" s="116">
        <f>YEAR(Tableau3[[#This Row],[Date]])</f>
        <v>2020</v>
      </c>
      <c r="AM190" s="131">
        <f>IFERROR(((Tableau3[[#This Row],[QTY Produite]]/1000)*VLOOKUP(Tableau3[[#This Row],[Machine]],Liste!$A:$B,2))/Tableau3[[#This Row],[Heures Macines]],"0")</f>
        <v>0.87808000000000008</v>
      </c>
      <c r="AN190" s="24" t="str">
        <f>VLOOKUP(Tableau3[[#This Row],[Opérateur 1]],Liste!$K$2:$M$68,3,FALSE)</f>
        <v>Multi</v>
      </c>
    </row>
    <row r="191" spans="1:40" s="116" customFormat="1" x14ac:dyDescent="0.25">
      <c r="A191" s="103">
        <v>43941</v>
      </c>
      <c r="B191" s="104" t="s">
        <v>13</v>
      </c>
      <c r="C191" s="105" t="s">
        <v>102</v>
      </c>
      <c r="D191" s="106" t="s">
        <v>32</v>
      </c>
      <c r="E191" s="104" t="s">
        <v>118</v>
      </c>
      <c r="F191" s="107">
        <v>1</v>
      </c>
      <c r="G191" s="104"/>
      <c r="H191" s="107"/>
      <c r="I191" s="108" t="s">
        <v>186</v>
      </c>
      <c r="J191" s="109">
        <v>5500</v>
      </c>
      <c r="K191" s="109">
        <v>784</v>
      </c>
      <c r="L191" s="109">
        <v>0</v>
      </c>
      <c r="M191" s="11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</v>
      </c>
      <c r="N191" s="109">
        <v>0</v>
      </c>
      <c r="O191" s="111">
        <v>0</v>
      </c>
      <c r="P191" s="112">
        <v>0</v>
      </c>
      <c r="Q191" s="99" t="str">
        <f>IFERROR((Tableau3[[#This Row],[QTY Produite]]/1000)*((1000/Tableau3[[#This Row],[Cadence]])/60)/Tableau3[[#This Row],[Heures Macines]],"0")</f>
        <v>0</v>
      </c>
      <c r="R191" s="113">
        <v>0</v>
      </c>
      <c r="S191" s="107"/>
      <c r="T191" s="110"/>
      <c r="U191" s="114"/>
      <c r="V191" s="107"/>
      <c r="W191" s="107"/>
      <c r="X191" s="114"/>
      <c r="Y191" s="107"/>
      <c r="Z191" s="107"/>
      <c r="AA191" s="114"/>
      <c r="AB191" s="107"/>
      <c r="AC191" s="107"/>
      <c r="AD191" s="114"/>
      <c r="AE191" s="107"/>
      <c r="AF191" s="107"/>
      <c r="AG191" s="114"/>
      <c r="AH191" s="107"/>
      <c r="AI191" s="107"/>
      <c r="AJ191" s="114"/>
      <c r="AK191" s="115">
        <f t="shared" si="12"/>
        <v>4</v>
      </c>
      <c r="AL191" s="116">
        <f>YEAR(Tableau3[[#This Row],[Date]])</f>
        <v>2020</v>
      </c>
      <c r="AM191" s="131">
        <f>IFERROR(((Tableau3[[#This Row],[QTY Produite]]/1000)*VLOOKUP(Tableau3[[#This Row],[Machine]],Liste!$A:$B,2))/Tableau3[[#This Row],[Heures Macines]],"0")</f>
        <v>0</v>
      </c>
      <c r="AN191" s="24" t="str">
        <f>VLOOKUP(Tableau3[[#This Row],[Opérateur 1]],Liste!$K$2:$M$68,3,FALSE)</f>
        <v>Imp</v>
      </c>
    </row>
    <row r="192" spans="1:40" s="116" customFormat="1" x14ac:dyDescent="0.25">
      <c r="A192" s="103">
        <v>43941</v>
      </c>
      <c r="B192" s="104" t="s">
        <v>13</v>
      </c>
      <c r="C192" s="105" t="s">
        <v>102</v>
      </c>
      <c r="D192" s="106" t="s">
        <v>32</v>
      </c>
      <c r="E192" s="104" t="s">
        <v>118</v>
      </c>
      <c r="F192" s="107">
        <v>7</v>
      </c>
      <c r="G192" s="104"/>
      <c r="H192" s="107"/>
      <c r="I192" s="108" t="s">
        <v>185</v>
      </c>
      <c r="J192" s="109">
        <v>1100</v>
      </c>
      <c r="K192" s="109">
        <v>1052</v>
      </c>
      <c r="L192" s="109">
        <v>1052</v>
      </c>
      <c r="M192" s="11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</v>
      </c>
      <c r="N192" s="109">
        <v>0</v>
      </c>
      <c r="O192" s="111">
        <v>0</v>
      </c>
      <c r="P192" s="112">
        <v>0</v>
      </c>
      <c r="Q192" s="99" t="str">
        <f>IFERROR((Tableau3[[#This Row],[QTY Produite]]/1000)*((1000/Tableau3[[#This Row],[Cadence]])/60)/Tableau3[[#This Row],[Heures Macines]],"0")</f>
        <v>0</v>
      </c>
      <c r="R192" s="113">
        <v>0</v>
      </c>
      <c r="S192" s="107"/>
      <c r="T192" s="110"/>
      <c r="U192" s="114"/>
      <c r="V192" s="107"/>
      <c r="W192" s="107"/>
      <c r="X192" s="114"/>
      <c r="Y192" s="107"/>
      <c r="Z192" s="107"/>
      <c r="AA192" s="114"/>
      <c r="AB192" s="107"/>
      <c r="AC192" s="107"/>
      <c r="AD192" s="114"/>
      <c r="AE192" s="107"/>
      <c r="AF192" s="107"/>
      <c r="AG192" s="114"/>
      <c r="AH192" s="107"/>
      <c r="AI192" s="107"/>
      <c r="AJ192" s="114"/>
      <c r="AK192" s="115">
        <f t="shared" si="12"/>
        <v>4</v>
      </c>
      <c r="AL192" s="116">
        <f>YEAR(Tableau3[[#This Row],[Date]])</f>
        <v>2020</v>
      </c>
      <c r="AM192" s="131">
        <f>IFERROR(((Tableau3[[#This Row],[QTY Produite]]/1000)*VLOOKUP(Tableau3[[#This Row],[Machine]],Liste!$A:$B,2))/Tableau3[[#This Row],[Heures Macines]],"0")</f>
        <v>0</v>
      </c>
      <c r="AN192" s="24" t="str">
        <f>VLOOKUP(Tableau3[[#This Row],[Opérateur 1]],Liste!$K$2:$M$68,3,FALSE)</f>
        <v>Imp</v>
      </c>
    </row>
    <row r="193" spans="1:40" s="24" customFormat="1" x14ac:dyDescent="0.25">
      <c r="A193" s="93">
        <v>43941</v>
      </c>
      <c r="B193" s="94" t="s">
        <v>13</v>
      </c>
      <c r="C193" s="16" t="s">
        <v>102</v>
      </c>
      <c r="D193" s="95" t="s">
        <v>21</v>
      </c>
      <c r="E193" s="94" t="s">
        <v>110</v>
      </c>
      <c r="F193" s="96">
        <v>8</v>
      </c>
      <c r="G193" s="94"/>
      <c r="H193" s="96"/>
      <c r="I193" s="91" t="s">
        <v>166</v>
      </c>
      <c r="J193" s="97">
        <v>15523</v>
      </c>
      <c r="K193" s="97">
        <v>0</v>
      </c>
      <c r="L193" s="97">
        <v>0</v>
      </c>
      <c r="M19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93" s="97">
        <v>0</v>
      </c>
      <c r="O193" s="20">
        <v>0</v>
      </c>
      <c r="P193" s="98">
        <v>0</v>
      </c>
      <c r="Q193" s="99" t="str">
        <f>IFERROR((Tableau3[[#This Row],[QTY Produite]]/1000)*((1000/Tableau3[[#This Row],[Cadence]])/60)/Tableau3[[#This Row],[Heures Macines]],"0")</f>
        <v>0</v>
      </c>
      <c r="R193" s="100">
        <v>0</v>
      </c>
      <c r="S193" s="96" t="s">
        <v>191</v>
      </c>
      <c r="T193" s="18">
        <v>8</v>
      </c>
      <c r="U193" s="101"/>
      <c r="V193" s="96"/>
      <c r="W193" s="96"/>
      <c r="X193" s="101"/>
      <c r="Y193" s="96"/>
      <c r="Z193" s="96"/>
      <c r="AA193" s="101"/>
      <c r="AB193" s="96"/>
      <c r="AC193" s="96"/>
      <c r="AD193" s="101"/>
      <c r="AE193" s="96"/>
      <c r="AF193" s="96"/>
      <c r="AG193" s="101"/>
      <c r="AH193" s="96"/>
      <c r="AI193" s="96"/>
      <c r="AJ193" s="101"/>
      <c r="AK193" s="84">
        <f t="shared" si="12"/>
        <v>4</v>
      </c>
      <c r="AL193" s="24">
        <f>YEAR(Tableau3[[#This Row],[Date]])</f>
        <v>2020</v>
      </c>
      <c r="AM193" s="92" t="str">
        <f>IFERROR(((Tableau3[[#This Row],[QTY Produite]]/1000)*VLOOKUP(Tableau3[[#This Row],[Machine]],Liste!$A:$B,2))/Tableau3[[#This Row],[Heures Macines]],"0")</f>
        <v>0</v>
      </c>
      <c r="AN193" s="24" t="str">
        <f>VLOOKUP(Tableau3[[#This Row],[Opérateur 1]],Liste!$K$2:$M$68,3,FALSE)</f>
        <v>Déco</v>
      </c>
    </row>
    <row r="194" spans="1:40" s="24" customFormat="1" x14ac:dyDescent="0.25">
      <c r="A194" s="93">
        <v>43941</v>
      </c>
      <c r="B194" s="94" t="s">
        <v>13</v>
      </c>
      <c r="C194" s="16" t="s">
        <v>102</v>
      </c>
      <c r="D194" s="95" t="s">
        <v>23</v>
      </c>
      <c r="E194" s="94" t="s">
        <v>113</v>
      </c>
      <c r="F194" s="96">
        <v>8</v>
      </c>
      <c r="G194" s="94"/>
      <c r="H194" s="96"/>
      <c r="I194" s="91" t="s">
        <v>176</v>
      </c>
      <c r="J194" s="97">
        <v>15750</v>
      </c>
      <c r="K194" s="97">
        <v>11303</v>
      </c>
      <c r="L194" s="97">
        <v>11303</v>
      </c>
      <c r="M19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94" s="97">
        <v>150</v>
      </c>
      <c r="O194" s="20">
        <v>137</v>
      </c>
      <c r="P194" s="98">
        <v>33</v>
      </c>
      <c r="Q194" s="99">
        <f>IFERROR((Tableau3[[#This Row],[QTY Produite]]/1000)*((1000/Tableau3[[#This Row],[Cadence]])/60)/Tableau3[[#This Row],[Heures Macines]],"0")</f>
        <v>0.71357323232323244</v>
      </c>
      <c r="R194" s="100">
        <v>71</v>
      </c>
      <c r="S194" s="96"/>
      <c r="T194" s="18"/>
      <c r="U194" s="101"/>
      <c r="V194" s="96"/>
      <c r="W194" s="96"/>
      <c r="X194" s="101"/>
      <c r="Y194" s="96"/>
      <c r="Z194" s="96"/>
      <c r="AA194" s="101"/>
      <c r="AB194" s="96"/>
      <c r="AC194" s="96"/>
      <c r="AD194" s="101"/>
      <c r="AE194" s="96"/>
      <c r="AF194" s="96"/>
      <c r="AG194" s="101"/>
      <c r="AH194" s="96"/>
      <c r="AI194" s="96"/>
      <c r="AJ194" s="101"/>
      <c r="AK194" s="84">
        <f t="shared" si="12"/>
        <v>4</v>
      </c>
      <c r="AL194" s="24">
        <f>YEAR(Tableau3[[#This Row],[Date]])</f>
        <v>2020</v>
      </c>
      <c r="AM194" s="92">
        <f>IFERROR(((Tableau3[[#This Row],[QTY Produite]]/1000)*VLOOKUP(Tableau3[[#This Row],[Machine]],Liste!$A:$B,2))/Tableau3[[#This Row],[Heures Macines]],"0")</f>
        <v>0.56515000000000004</v>
      </c>
      <c r="AN194" s="24" t="str">
        <f>VLOOKUP(Tableau3[[#This Row],[Opérateur 1]],Liste!$K$2:$M$68,3,FALSE)</f>
        <v>Déco</v>
      </c>
    </row>
    <row r="195" spans="1:40" s="24" customFormat="1" x14ac:dyDescent="0.25">
      <c r="A195" s="93">
        <v>43941</v>
      </c>
      <c r="B195" s="94" t="s">
        <v>13</v>
      </c>
      <c r="C195" s="16" t="s">
        <v>102</v>
      </c>
      <c r="D195" s="95" t="s">
        <v>15</v>
      </c>
      <c r="E195" s="94" t="s">
        <v>109</v>
      </c>
      <c r="F195" s="96">
        <v>3.5</v>
      </c>
      <c r="G195" s="94"/>
      <c r="H195" s="96"/>
      <c r="I195" s="91" t="s">
        <v>184</v>
      </c>
      <c r="J195" s="97">
        <v>16500</v>
      </c>
      <c r="K195" s="97">
        <v>0</v>
      </c>
      <c r="L195" s="97">
        <v>0</v>
      </c>
      <c r="M19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195" s="97">
        <v>0</v>
      </c>
      <c r="O195" s="20">
        <v>0</v>
      </c>
      <c r="P195" s="98">
        <v>0</v>
      </c>
      <c r="Q195" s="99" t="str">
        <f>IFERROR((Tableau3[[#This Row],[QTY Produite]]/1000)*((1000/Tableau3[[#This Row],[Cadence]])/60)/Tableau3[[#This Row],[Heures Macines]],"0")</f>
        <v>0</v>
      </c>
      <c r="R195" s="100">
        <v>0</v>
      </c>
      <c r="S195" s="96" t="s">
        <v>192</v>
      </c>
      <c r="T195" s="18">
        <v>3.5</v>
      </c>
      <c r="U195" s="101"/>
      <c r="V195" s="96"/>
      <c r="W195" s="96"/>
      <c r="X195" s="101"/>
      <c r="Y195" s="96"/>
      <c r="Z195" s="96"/>
      <c r="AA195" s="101"/>
      <c r="AB195" s="96"/>
      <c r="AC195" s="96"/>
      <c r="AD195" s="101"/>
      <c r="AE195" s="96"/>
      <c r="AF195" s="96"/>
      <c r="AG195" s="101"/>
      <c r="AH195" s="96"/>
      <c r="AI195" s="96"/>
      <c r="AJ195" s="101"/>
      <c r="AK195" s="84">
        <f t="shared" si="12"/>
        <v>4</v>
      </c>
      <c r="AL195" s="24">
        <f>YEAR(Tableau3[[#This Row],[Date]])</f>
        <v>2020</v>
      </c>
      <c r="AM195" s="92" t="str">
        <f>IFERROR(((Tableau3[[#This Row],[QTY Produite]]/1000)*VLOOKUP(Tableau3[[#This Row],[Machine]],Liste!$A:$B,2))/Tableau3[[#This Row],[Heures Macines]],"0")</f>
        <v>0</v>
      </c>
      <c r="AN195" s="24" t="str">
        <f>VLOOKUP(Tableau3[[#This Row],[Opérateur 1]],Liste!$K$2:$M$68,3,FALSE)</f>
        <v>Imp</v>
      </c>
    </row>
    <row r="196" spans="1:40" s="24" customFormat="1" x14ac:dyDescent="0.25">
      <c r="A196" s="93">
        <v>43941</v>
      </c>
      <c r="B196" s="94" t="s">
        <v>13</v>
      </c>
      <c r="C196" s="16" t="s">
        <v>102</v>
      </c>
      <c r="D196" s="95" t="s">
        <v>11</v>
      </c>
      <c r="E196" s="94" t="s">
        <v>115</v>
      </c>
      <c r="F196" s="96">
        <v>8</v>
      </c>
      <c r="G196" s="94"/>
      <c r="H196" s="96"/>
      <c r="I196" s="91" t="s">
        <v>169</v>
      </c>
      <c r="J196" s="97">
        <v>171072</v>
      </c>
      <c r="K196" s="97">
        <v>37680</v>
      </c>
      <c r="L196" s="97">
        <v>159120</v>
      </c>
      <c r="M19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96" s="97">
        <v>400</v>
      </c>
      <c r="O196" s="20">
        <v>326</v>
      </c>
      <c r="P196" s="98">
        <v>90</v>
      </c>
      <c r="Q196" s="99">
        <f>IFERROR((Tableau3[[#This Row],[QTY Produite]]/1000)*((1000/Tableau3[[#This Row],[Cadence]])/60)/Tableau3[[#This Row],[Heures Macines]],"0")</f>
        <v>0.87222222222222212</v>
      </c>
      <c r="R196" s="100">
        <v>87</v>
      </c>
      <c r="S196" s="96"/>
      <c r="T196" s="18"/>
      <c r="U196" s="101"/>
      <c r="V196" s="96"/>
      <c r="W196" s="96"/>
      <c r="X196" s="101"/>
      <c r="Y196" s="96"/>
      <c r="Z196" s="96"/>
      <c r="AA196" s="101"/>
      <c r="AB196" s="96"/>
      <c r="AC196" s="96"/>
      <c r="AD196" s="101"/>
      <c r="AE196" s="96"/>
      <c r="AF196" s="96"/>
      <c r="AG196" s="101"/>
      <c r="AH196" s="96"/>
      <c r="AI196" s="96"/>
      <c r="AJ196" s="101"/>
      <c r="AK196" s="84">
        <f t="shared" si="12"/>
        <v>4</v>
      </c>
      <c r="AL196" s="24">
        <f>YEAR(Tableau3[[#This Row],[Date]])</f>
        <v>2020</v>
      </c>
      <c r="AM196" s="92">
        <f>IFERROR(((Tableau3[[#This Row],[QTY Produite]]/1000)*VLOOKUP(Tableau3[[#This Row],[Machine]],Liste!$A:$B,2))/Tableau3[[#This Row],[Heures Macines]],"0")</f>
        <v>1.8840000000000001</v>
      </c>
      <c r="AN196" s="24" t="str">
        <f>VLOOKUP(Tableau3[[#This Row],[Opérateur 1]],Liste!$K$2:$M$68,3,FALSE)</f>
        <v>Imp</v>
      </c>
    </row>
    <row r="197" spans="1:40" s="24" customFormat="1" x14ac:dyDescent="0.25">
      <c r="A197" s="93">
        <v>43941</v>
      </c>
      <c r="B197" s="94" t="s">
        <v>13</v>
      </c>
      <c r="C197" s="16" t="s">
        <v>102</v>
      </c>
      <c r="D197" s="95" t="s">
        <v>20</v>
      </c>
      <c r="E197" s="94" t="s">
        <v>134</v>
      </c>
      <c r="F197" s="96">
        <v>5.75</v>
      </c>
      <c r="G197" s="94"/>
      <c r="H197" s="96"/>
      <c r="I197" s="91">
        <v>25391</v>
      </c>
      <c r="J197" s="97">
        <v>9435</v>
      </c>
      <c r="K197" s="97">
        <v>0</v>
      </c>
      <c r="L197" s="97">
        <v>0</v>
      </c>
      <c r="M19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5.75</v>
      </c>
      <c r="N197" s="97">
        <v>0</v>
      </c>
      <c r="O197" s="20">
        <v>0</v>
      </c>
      <c r="P197" s="98">
        <v>0</v>
      </c>
      <c r="Q197" s="99" t="str">
        <f>IFERROR((Tableau3[[#This Row],[QTY Produite]]/1000)*((1000/Tableau3[[#This Row],[Cadence]])/60)/Tableau3[[#This Row],[Heures Macines]],"0")</f>
        <v>0</v>
      </c>
      <c r="R197" s="100">
        <v>0</v>
      </c>
      <c r="S197" s="96"/>
      <c r="T197" s="18"/>
      <c r="U197" s="101"/>
      <c r="V197" s="96"/>
      <c r="W197" s="96"/>
      <c r="X197" s="101"/>
      <c r="Y197" s="96"/>
      <c r="Z197" s="96"/>
      <c r="AA197" s="101"/>
      <c r="AB197" s="96"/>
      <c r="AC197" s="96"/>
      <c r="AD197" s="101"/>
      <c r="AE197" s="96"/>
      <c r="AF197" s="96"/>
      <c r="AG197" s="101"/>
      <c r="AH197" s="96"/>
      <c r="AI197" s="96"/>
      <c r="AJ197" s="101"/>
      <c r="AK197" s="84">
        <f t="shared" si="12"/>
        <v>4</v>
      </c>
      <c r="AL197" s="24">
        <f>YEAR(Tableau3[[#This Row],[Date]])</f>
        <v>2020</v>
      </c>
      <c r="AM197" s="92">
        <f>IFERROR(((Tableau3[[#This Row],[QTY Produite]]/1000)*VLOOKUP(Tableau3[[#This Row],[Machine]],Liste!$A:$B,2))/Tableau3[[#This Row],[Heures Macines]],"0")</f>
        <v>0</v>
      </c>
      <c r="AN197" s="24" t="str">
        <f>VLOOKUP(Tableau3[[#This Row],[Opérateur 1]],Liste!$K$2:$M$68,3,FALSE)</f>
        <v>Multi</v>
      </c>
    </row>
    <row r="198" spans="1:40" s="24" customFormat="1" x14ac:dyDescent="0.25">
      <c r="A198" s="93">
        <v>43941</v>
      </c>
      <c r="B198" s="94" t="s">
        <v>13</v>
      </c>
      <c r="C198" s="16" t="s">
        <v>102</v>
      </c>
      <c r="D198" s="95" t="s">
        <v>14</v>
      </c>
      <c r="E198" s="94" t="s">
        <v>126</v>
      </c>
      <c r="F198" s="107">
        <v>4.5</v>
      </c>
      <c r="G198" s="94"/>
      <c r="H198" s="96"/>
      <c r="I198" s="91">
        <v>24983</v>
      </c>
      <c r="J198" s="97">
        <v>99524</v>
      </c>
      <c r="K198" s="97">
        <v>5108</v>
      </c>
      <c r="L198" s="97">
        <v>72418</v>
      </c>
      <c r="M19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4.5</v>
      </c>
      <c r="N198" s="97">
        <v>210</v>
      </c>
      <c r="O198" s="20">
        <v>85</v>
      </c>
      <c r="P198" s="98">
        <v>31</v>
      </c>
      <c r="Q198" s="99">
        <f>IFERROR((Tableau3[[#This Row],[QTY Produite]]/1000)*((1000/Tableau3[[#This Row],[Cadence]])/60)/Tableau3[[#This Row],[Heures Macines]],"0")</f>
        <v>0.61027479091995207</v>
      </c>
      <c r="R198" s="100">
        <v>51</v>
      </c>
      <c r="S198" s="96"/>
      <c r="T198" s="18"/>
      <c r="U198" s="101"/>
      <c r="V198" s="96"/>
      <c r="W198" s="96"/>
      <c r="X198" s="101"/>
      <c r="Y198" s="96"/>
      <c r="Z198" s="96"/>
      <c r="AA198" s="101"/>
      <c r="AB198" s="96"/>
      <c r="AC198" s="96"/>
      <c r="AD198" s="101"/>
      <c r="AE198" s="96"/>
      <c r="AF198" s="96"/>
      <c r="AG198" s="101"/>
      <c r="AH198" s="96"/>
      <c r="AI198" s="96"/>
      <c r="AJ198" s="101"/>
      <c r="AK198" s="84">
        <f t="shared" si="12"/>
        <v>4</v>
      </c>
      <c r="AL198" s="24">
        <f>YEAR(Tableau3[[#This Row],[Date]])</f>
        <v>2020</v>
      </c>
      <c r="AM198" s="92">
        <f>IFERROR(((Tableau3[[#This Row],[QTY Produite]]/1000)*VLOOKUP(Tableau3[[#This Row],[Machine]],Liste!$A:$B,2))/Tableau3[[#This Row],[Heures Macines]],"0")</f>
        <v>0.51080000000000003</v>
      </c>
      <c r="AN198" s="24" t="str">
        <f>VLOOKUP(Tableau3[[#This Row],[Opérateur 1]],Liste!$K$2:$M$68,3,FALSE)</f>
        <v>Multi</v>
      </c>
    </row>
    <row r="199" spans="1:40" s="24" customFormat="1" x14ac:dyDescent="0.25">
      <c r="A199" s="93">
        <v>43941</v>
      </c>
      <c r="B199" s="94" t="s">
        <v>13</v>
      </c>
      <c r="C199" s="16" t="s">
        <v>102</v>
      </c>
      <c r="D199" s="95" t="s">
        <v>22</v>
      </c>
      <c r="E199" s="94" t="s">
        <v>126</v>
      </c>
      <c r="F199" s="96">
        <v>3</v>
      </c>
      <c r="G199" s="94" t="s">
        <v>117</v>
      </c>
      <c r="H199" s="96">
        <v>5</v>
      </c>
      <c r="I199" s="91">
        <v>25860</v>
      </c>
      <c r="J199" s="97">
        <v>526332</v>
      </c>
      <c r="K199" s="97">
        <v>25920</v>
      </c>
      <c r="L199" s="97">
        <v>200880</v>
      </c>
      <c r="M19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199" s="97">
        <v>863</v>
      </c>
      <c r="O199" s="20">
        <v>717</v>
      </c>
      <c r="P199" s="98">
        <v>80</v>
      </c>
      <c r="Q199" s="99">
        <f>IFERROR((Tableau3[[#This Row],[QTY Produite]]/1000)*((1000/Tableau3[[#This Row],[Cadence]])/60)/Tableau3[[#This Row],[Heures Macines]],"0")</f>
        <v>0.67500000000000004</v>
      </c>
      <c r="R199" s="100">
        <v>68</v>
      </c>
      <c r="S199" s="96"/>
      <c r="T199" s="18"/>
      <c r="U199" s="101"/>
      <c r="V199" s="96"/>
      <c r="W199" s="96"/>
      <c r="X199" s="101"/>
      <c r="Y199" s="96"/>
      <c r="Z199" s="96"/>
      <c r="AA199" s="101"/>
      <c r="AB199" s="96"/>
      <c r="AC199" s="96"/>
      <c r="AD199" s="101"/>
      <c r="AE199" s="96"/>
      <c r="AF199" s="96"/>
      <c r="AG199" s="101"/>
      <c r="AH199" s="96"/>
      <c r="AI199" s="96"/>
      <c r="AJ199" s="101"/>
      <c r="AK199" s="84">
        <f t="shared" si="12"/>
        <v>4</v>
      </c>
      <c r="AL199" s="24">
        <f>YEAR(Tableau3[[#This Row],[Date]])</f>
        <v>2020</v>
      </c>
      <c r="AM199" s="92">
        <f>IFERROR(((Tableau3[[#This Row],[QTY Produite]]/1000)*VLOOKUP(Tableau3[[#This Row],[Machine]],Liste!$A:$B,2))/Tableau3[[#This Row],[Heures Macines]],"0")</f>
        <v>0.97199999999999998</v>
      </c>
      <c r="AN199" s="24" t="str">
        <f>VLOOKUP(Tableau3[[#This Row],[Opérateur 1]],Liste!$K$2:$M$68,3,FALSE)</f>
        <v>Multi</v>
      </c>
    </row>
    <row r="200" spans="1:40" s="24" customFormat="1" x14ac:dyDescent="0.25">
      <c r="A200" s="93">
        <v>43941</v>
      </c>
      <c r="B200" s="94" t="s">
        <v>13</v>
      </c>
      <c r="C200" s="16" t="s">
        <v>102</v>
      </c>
      <c r="D200" s="95" t="s">
        <v>30</v>
      </c>
      <c r="E200" s="94" t="s">
        <v>130</v>
      </c>
      <c r="F200" s="96">
        <v>4</v>
      </c>
      <c r="G200" s="94" t="s">
        <v>116</v>
      </c>
      <c r="H200" s="96">
        <v>4</v>
      </c>
      <c r="I200" s="91" t="s">
        <v>174</v>
      </c>
      <c r="J200" s="97">
        <v>66000</v>
      </c>
      <c r="K200" s="97">
        <v>27440</v>
      </c>
      <c r="L200" s="97">
        <v>65856</v>
      </c>
      <c r="M20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0" s="97">
        <v>250</v>
      </c>
      <c r="O200" s="20">
        <v>108</v>
      </c>
      <c r="P200" s="98">
        <v>66.7</v>
      </c>
      <c r="Q200" s="99">
        <f>IFERROR((Tableau3[[#This Row],[QTY Produite]]/1000)*((1000/Tableau3[[#This Row],[Cadence]])/60)/Tableau3[[#This Row],[Heures Macines]],"0")</f>
        <v>0.85707146426786607</v>
      </c>
      <c r="R200" s="100">
        <v>88</v>
      </c>
      <c r="S200" s="96"/>
      <c r="T200" s="18"/>
      <c r="U200" s="101"/>
      <c r="V200" s="96"/>
      <c r="W200" s="96"/>
      <c r="X200" s="101"/>
      <c r="Y200" s="96"/>
      <c r="Z200" s="96"/>
      <c r="AA200" s="101"/>
      <c r="AB200" s="96"/>
      <c r="AC200" s="96"/>
      <c r="AD200" s="101"/>
      <c r="AE200" s="96"/>
      <c r="AF200" s="96"/>
      <c r="AG200" s="101"/>
      <c r="AH200" s="96"/>
      <c r="AI200" s="96"/>
      <c r="AJ200" s="101"/>
      <c r="AK200" s="84">
        <f t="shared" si="12"/>
        <v>4</v>
      </c>
      <c r="AL200" s="24">
        <f>YEAR(Tableau3[[#This Row],[Date]])</f>
        <v>2020</v>
      </c>
      <c r="AM200" s="92">
        <f>IFERROR(((Tableau3[[#This Row],[QTY Produite]]/1000)*VLOOKUP(Tableau3[[#This Row],[Machine]],Liste!$A:$B,2))/Tableau3[[#This Row],[Heures Macines]],"0")</f>
        <v>2.0579999999999998</v>
      </c>
      <c r="AN200" s="24" t="str">
        <f>VLOOKUP(Tableau3[[#This Row],[Opérateur 1]],Liste!$K$2:$M$68,3,FALSE)</f>
        <v>Déco</v>
      </c>
    </row>
    <row r="201" spans="1:40" s="24" customFormat="1" x14ac:dyDescent="0.25">
      <c r="A201" s="93">
        <v>43941</v>
      </c>
      <c r="B201" s="94" t="s">
        <v>13</v>
      </c>
      <c r="C201" s="16" t="s">
        <v>102</v>
      </c>
      <c r="D201" s="95" t="s">
        <v>18</v>
      </c>
      <c r="E201" s="94" t="s">
        <v>108</v>
      </c>
      <c r="F201" s="96">
        <v>8</v>
      </c>
      <c r="G201" s="94"/>
      <c r="H201" s="96"/>
      <c r="I201" s="91" t="s">
        <v>149</v>
      </c>
      <c r="J201" s="97">
        <v>214032</v>
      </c>
      <c r="K201" s="97">
        <v>26852</v>
      </c>
      <c r="L201" s="97">
        <v>150724</v>
      </c>
      <c r="M20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1" s="97">
        <v>200</v>
      </c>
      <c r="O201" s="20">
        <v>999</v>
      </c>
      <c r="P201" s="98">
        <v>90</v>
      </c>
      <c r="Q201" s="99">
        <f>IFERROR((Tableau3[[#This Row],[QTY Produite]]/1000)*((1000/Tableau3[[#This Row],[Cadence]])/60)/Tableau3[[#This Row],[Heures Macines]],"0")</f>
        <v>0.62157407407407406</v>
      </c>
      <c r="R201" s="100">
        <v>62</v>
      </c>
      <c r="S201" s="96"/>
      <c r="T201" s="18"/>
      <c r="U201" s="101"/>
      <c r="V201" s="96"/>
      <c r="W201" s="96"/>
      <c r="X201" s="101"/>
      <c r="Y201" s="96"/>
      <c r="Z201" s="96"/>
      <c r="AA201" s="101"/>
      <c r="AB201" s="96"/>
      <c r="AC201" s="96"/>
      <c r="AD201" s="101"/>
      <c r="AE201" s="96"/>
      <c r="AF201" s="96"/>
      <c r="AG201" s="101"/>
      <c r="AH201" s="96"/>
      <c r="AI201" s="96"/>
      <c r="AJ201" s="101"/>
      <c r="AK201" s="84">
        <f t="shared" si="12"/>
        <v>4</v>
      </c>
      <c r="AL201" s="24">
        <f>YEAR(Tableau3[[#This Row],[Date]])</f>
        <v>2020</v>
      </c>
      <c r="AM201" s="92">
        <f>IFERROR(((Tableau3[[#This Row],[QTY Produite]]/1000)*VLOOKUP(Tableau3[[#This Row],[Machine]],Liste!$A:$B,2))/Tableau3[[#This Row],[Heures Macines]],"0")</f>
        <v>1.3426</v>
      </c>
      <c r="AN201" s="24" t="str">
        <f>VLOOKUP(Tableau3[[#This Row],[Opérateur 1]],Liste!$K$2:$M$68,3,FALSE)</f>
        <v>Imp</v>
      </c>
    </row>
    <row r="202" spans="1:40" s="24" customFormat="1" x14ac:dyDescent="0.25">
      <c r="A202" s="93">
        <v>43941</v>
      </c>
      <c r="B202" s="94" t="s">
        <v>19</v>
      </c>
      <c r="C202" s="16" t="s">
        <v>63</v>
      </c>
      <c r="D202" s="95" t="s">
        <v>30</v>
      </c>
      <c r="E202" s="94" t="s">
        <v>130</v>
      </c>
      <c r="F202" s="96">
        <v>8</v>
      </c>
      <c r="G202" s="94"/>
      <c r="H202" s="96"/>
      <c r="I202" s="91" t="s">
        <v>174</v>
      </c>
      <c r="J202" s="97">
        <v>66000</v>
      </c>
      <c r="K202" s="97">
        <v>21953</v>
      </c>
      <c r="L202" s="97">
        <v>38416</v>
      </c>
      <c r="M20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2" s="97">
        <v>588</v>
      </c>
      <c r="O202" s="20">
        <v>103</v>
      </c>
      <c r="P202" s="98">
        <v>66</v>
      </c>
      <c r="Q202" s="99">
        <f>IFERROR((Tableau3[[#This Row],[QTY Produite]]/1000)*((1000/Tableau3[[#This Row],[Cadence]])/60)/Tableau3[[#This Row],[Heures Macines]],"0")</f>
        <v>0.69296085858585865</v>
      </c>
      <c r="R202" s="100">
        <v>69</v>
      </c>
      <c r="S202" s="96"/>
      <c r="T202" s="18"/>
      <c r="U202" s="101"/>
      <c r="V202" s="96"/>
      <c r="W202" s="96"/>
      <c r="X202" s="101"/>
      <c r="Y202" s="96"/>
      <c r="Z202" s="96"/>
      <c r="AA202" s="101"/>
      <c r="AB202" s="96"/>
      <c r="AC202" s="96"/>
      <c r="AD202" s="101"/>
      <c r="AE202" s="96"/>
      <c r="AF202" s="96"/>
      <c r="AG202" s="101"/>
      <c r="AH202" s="96"/>
      <c r="AI202" s="96"/>
      <c r="AJ202" s="101"/>
      <c r="AK202" s="84">
        <f t="shared" ref="AK202:AK212" si="13">MONTH(A202)</f>
        <v>4</v>
      </c>
      <c r="AL202" s="24">
        <f>YEAR(Tableau3[[#This Row],[Date]])</f>
        <v>2020</v>
      </c>
      <c r="AM202" s="92">
        <f>IFERROR(((Tableau3[[#This Row],[QTY Produite]]/1000)*VLOOKUP(Tableau3[[#This Row],[Machine]],Liste!$A:$B,2))/Tableau3[[#This Row],[Heures Macines]],"0")</f>
        <v>1.6464749999999999</v>
      </c>
      <c r="AN202" s="24" t="str">
        <f>VLOOKUP(Tableau3[[#This Row],[Opérateur 1]],Liste!$K$2:$M$68,3,FALSE)</f>
        <v>Déco</v>
      </c>
    </row>
    <row r="203" spans="1:40" s="24" customFormat="1" x14ac:dyDescent="0.25">
      <c r="A203" s="93">
        <v>43941</v>
      </c>
      <c r="B203" s="94" t="s">
        <v>19</v>
      </c>
      <c r="C203" s="16" t="s">
        <v>63</v>
      </c>
      <c r="D203" s="95" t="s">
        <v>23</v>
      </c>
      <c r="E203" s="94" t="s">
        <v>142</v>
      </c>
      <c r="F203" s="96">
        <v>4</v>
      </c>
      <c r="G203" s="94"/>
      <c r="H203" s="96"/>
      <c r="I203" s="91" t="s">
        <v>176</v>
      </c>
      <c r="J203" s="97">
        <v>15750</v>
      </c>
      <c r="K203" s="97">
        <v>0</v>
      </c>
      <c r="L203" s="97">
        <v>0</v>
      </c>
      <c r="M20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203" s="97">
        <v>2</v>
      </c>
      <c r="O203" s="20">
        <v>333</v>
      </c>
      <c r="P203" s="98">
        <v>0</v>
      </c>
      <c r="Q203" s="99" t="str">
        <f>IFERROR((Tableau3[[#This Row],[QTY Produite]]/1000)*((1000/Tableau3[[#This Row],[Cadence]])/60)/Tableau3[[#This Row],[Heures Macines]],"0")</f>
        <v>0</v>
      </c>
      <c r="R203" s="100">
        <v>0</v>
      </c>
      <c r="S203" s="96"/>
      <c r="T203" s="18"/>
      <c r="U203" s="101"/>
      <c r="V203" s="96"/>
      <c r="W203" s="96"/>
      <c r="X203" s="101"/>
      <c r="Y203" s="96"/>
      <c r="Z203" s="96"/>
      <c r="AA203" s="101"/>
      <c r="AB203" s="96"/>
      <c r="AC203" s="96"/>
      <c r="AD203" s="101"/>
      <c r="AE203" s="96"/>
      <c r="AF203" s="96"/>
      <c r="AG203" s="101"/>
      <c r="AH203" s="96"/>
      <c r="AI203" s="96"/>
      <c r="AJ203" s="101"/>
      <c r="AK203" s="84">
        <f t="shared" si="13"/>
        <v>4</v>
      </c>
      <c r="AL203" s="24">
        <f>YEAR(Tableau3[[#This Row],[Date]])</f>
        <v>2020</v>
      </c>
      <c r="AM203" s="92">
        <f>IFERROR(((Tableau3[[#This Row],[QTY Produite]]/1000)*VLOOKUP(Tableau3[[#This Row],[Machine]],Liste!$A:$B,2))/Tableau3[[#This Row],[Heures Macines]],"0")</f>
        <v>0</v>
      </c>
      <c r="AN203" s="24" t="str">
        <f>VLOOKUP(Tableau3[[#This Row],[Opérateur 1]],Liste!$K$2:$M$68,3,FALSE)</f>
        <v>Déco</v>
      </c>
    </row>
    <row r="204" spans="1:40" s="24" customFormat="1" x14ac:dyDescent="0.25">
      <c r="A204" s="93">
        <v>43941</v>
      </c>
      <c r="B204" s="94" t="s">
        <v>19</v>
      </c>
      <c r="C204" s="16" t="s">
        <v>63</v>
      </c>
      <c r="D204" s="95" t="s">
        <v>23</v>
      </c>
      <c r="E204" s="94" t="s">
        <v>142</v>
      </c>
      <c r="F204" s="96">
        <v>4</v>
      </c>
      <c r="G204" s="94"/>
      <c r="H204" s="96"/>
      <c r="I204" s="91" t="s">
        <v>148</v>
      </c>
      <c r="J204" s="97">
        <v>94500</v>
      </c>
      <c r="K204" s="97">
        <v>5080</v>
      </c>
      <c r="L204" s="97">
        <v>94488</v>
      </c>
      <c r="M20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</v>
      </c>
      <c r="N204" s="97">
        <v>20</v>
      </c>
      <c r="O204" s="20">
        <v>0</v>
      </c>
      <c r="P204" s="98">
        <v>35</v>
      </c>
      <c r="Q204" s="99">
        <f>IFERROR((Tableau3[[#This Row],[QTY Produite]]/1000)*((1000/Tableau3[[#This Row],[Cadence]])/60)/Tableau3[[#This Row],[Heures Macines]],"0")</f>
        <v>0.60476190476190483</v>
      </c>
      <c r="R204" s="100">
        <v>49</v>
      </c>
      <c r="S204" s="96"/>
      <c r="T204" s="18"/>
      <c r="U204" s="101"/>
      <c r="V204" s="96"/>
      <c r="W204" s="96"/>
      <c r="X204" s="101"/>
      <c r="Y204" s="96"/>
      <c r="Z204" s="96"/>
      <c r="AA204" s="101"/>
      <c r="AB204" s="96"/>
      <c r="AC204" s="96"/>
      <c r="AD204" s="101"/>
      <c r="AE204" s="96"/>
      <c r="AF204" s="96"/>
      <c r="AG204" s="101"/>
      <c r="AH204" s="96"/>
      <c r="AI204" s="96"/>
      <c r="AJ204" s="101"/>
      <c r="AK204" s="84">
        <f t="shared" si="13"/>
        <v>4</v>
      </c>
      <c r="AL204" s="24">
        <f>YEAR(Tableau3[[#This Row],[Date]])</f>
        <v>2020</v>
      </c>
      <c r="AM204" s="92">
        <f>IFERROR(((Tableau3[[#This Row],[QTY Produite]]/1000)*VLOOKUP(Tableau3[[#This Row],[Machine]],Liste!$A:$B,2))/Tableau3[[#This Row],[Heures Macines]],"0")</f>
        <v>0.50800000000000001</v>
      </c>
      <c r="AN204" s="24" t="str">
        <f>VLOOKUP(Tableau3[[#This Row],[Opérateur 1]],Liste!$K$2:$M$68,3,FALSE)</f>
        <v>Déco</v>
      </c>
    </row>
    <row r="205" spans="1:40" s="24" customFormat="1" x14ac:dyDescent="0.25">
      <c r="A205" s="93">
        <v>43941</v>
      </c>
      <c r="B205" s="94" t="s">
        <v>19</v>
      </c>
      <c r="C205" s="16" t="s">
        <v>63</v>
      </c>
      <c r="D205" s="95" t="s">
        <v>11</v>
      </c>
      <c r="E205" s="94" t="s">
        <v>131</v>
      </c>
      <c r="F205" s="96">
        <v>8</v>
      </c>
      <c r="G205" s="94"/>
      <c r="H205" s="96"/>
      <c r="I205" s="91" t="s">
        <v>169</v>
      </c>
      <c r="J205" s="97">
        <v>171072</v>
      </c>
      <c r="K205" s="97">
        <v>22800</v>
      </c>
      <c r="L205" s="97">
        <v>121440</v>
      </c>
      <c r="M20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5" s="97">
        <v>210</v>
      </c>
      <c r="O205" s="20">
        <v>666</v>
      </c>
      <c r="P205" s="98">
        <v>90</v>
      </c>
      <c r="Q205" s="99">
        <f>IFERROR((Tableau3[[#This Row],[QTY Produite]]/1000)*((1000/Tableau3[[#This Row],[Cadence]])/60)/Tableau3[[#This Row],[Heures Macines]],"0")</f>
        <v>0.52777777777777779</v>
      </c>
      <c r="R205" s="100">
        <v>56</v>
      </c>
      <c r="S205" s="96"/>
      <c r="T205" s="18"/>
      <c r="U205" s="101"/>
      <c r="V205" s="96"/>
      <c r="W205" s="96"/>
      <c r="X205" s="101"/>
      <c r="Y205" s="96"/>
      <c r="Z205" s="96"/>
      <c r="AA205" s="101"/>
      <c r="AB205" s="96"/>
      <c r="AC205" s="96"/>
      <c r="AD205" s="101"/>
      <c r="AE205" s="96"/>
      <c r="AF205" s="96"/>
      <c r="AG205" s="101"/>
      <c r="AH205" s="96"/>
      <c r="AI205" s="96"/>
      <c r="AJ205" s="101"/>
      <c r="AK205" s="84">
        <f t="shared" si="13"/>
        <v>4</v>
      </c>
      <c r="AL205" s="24">
        <f>YEAR(Tableau3[[#This Row],[Date]])</f>
        <v>2020</v>
      </c>
      <c r="AM205" s="92">
        <f>IFERROR(((Tableau3[[#This Row],[QTY Produite]]/1000)*VLOOKUP(Tableau3[[#This Row],[Machine]],Liste!$A:$B,2))/Tableau3[[#This Row],[Heures Macines]],"0")</f>
        <v>1.1400000000000001</v>
      </c>
      <c r="AN205" s="24" t="str">
        <f>VLOOKUP(Tableau3[[#This Row],[Opérateur 1]],Liste!$K$2:$M$68,3,FALSE)</f>
        <v>Déco</v>
      </c>
    </row>
    <row r="206" spans="1:40" s="24" customFormat="1" x14ac:dyDescent="0.25">
      <c r="A206" s="93">
        <v>43941</v>
      </c>
      <c r="B206" s="94" t="s">
        <v>19</v>
      </c>
      <c r="C206" s="16" t="s">
        <v>63</v>
      </c>
      <c r="D206" s="95" t="s">
        <v>28</v>
      </c>
      <c r="E206" s="94" t="s">
        <v>114</v>
      </c>
      <c r="F206" s="96">
        <v>8</v>
      </c>
      <c r="G206" s="94"/>
      <c r="H206" s="96"/>
      <c r="I206" s="91" t="s">
        <v>173</v>
      </c>
      <c r="J206" s="97">
        <v>22000</v>
      </c>
      <c r="K206" s="97">
        <v>18424</v>
      </c>
      <c r="L206" s="97">
        <v>21952</v>
      </c>
      <c r="M20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6" s="97">
        <v>358</v>
      </c>
      <c r="O206" s="20">
        <v>206</v>
      </c>
      <c r="P206" s="98">
        <v>70</v>
      </c>
      <c r="Q206" s="99">
        <f>IFERROR((Tableau3[[#This Row],[QTY Produite]]/1000)*((1000/Tableau3[[#This Row],[Cadence]])/60)/Tableau3[[#This Row],[Heures Macines]],"0")</f>
        <v>0.54833333333333334</v>
      </c>
      <c r="R206" s="100">
        <v>55</v>
      </c>
      <c r="S206" s="96"/>
      <c r="T206" s="18"/>
      <c r="U206" s="101"/>
      <c r="V206" s="96"/>
      <c r="W206" s="96"/>
      <c r="X206" s="101"/>
      <c r="Y206" s="96"/>
      <c r="Z206" s="96"/>
      <c r="AA206" s="101"/>
      <c r="AB206" s="96"/>
      <c r="AC206" s="96"/>
      <c r="AD206" s="101"/>
      <c r="AE206" s="96"/>
      <c r="AF206" s="96"/>
      <c r="AG206" s="101"/>
      <c r="AH206" s="96"/>
      <c r="AI206" s="96"/>
      <c r="AJ206" s="101"/>
      <c r="AK206" s="84">
        <f t="shared" si="13"/>
        <v>4</v>
      </c>
      <c r="AL206" s="24">
        <f>YEAR(Tableau3[[#This Row],[Date]])</f>
        <v>2020</v>
      </c>
      <c r="AM206" s="92">
        <f>IFERROR(((Tableau3[[#This Row],[QTY Produite]]/1000)*VLOOKUP(Tableau3[[#This Row],[Machine]],Liste!$A:$B,2))/Tableau3[[#This Row],[Heures Macines]],"0")</f>
        <v>0.80604999999999993</v>
      </c>
      <c r="AN206" s="24" t="str">
        <f>VLOOKUP(Tableau3[[#This Row],[Opérateur 1]],Liste!$K$2:$M$68,3,FALSE)</f>
        <v>Multi</v>
      </c>
    </row>
    <row r="207" spans="1:40" s="24" customFormat="1" x14ac:dyDescent="0.25">
      <c r="A207" s="93">
        <v>43941</v>
      </c>
      <c r="B207" s="94" t="s">
        <v>19</v>
      </c>
      <c r="C207" s="16" t="s">
        <v>63</v>
      </c>
      <c r="D207" s="95" t="s">
        <v>22</v>
      </c>
      <c r="E207" s="94" t="s">
        <v>125</v>
      </c>
      <c r="F207" s="96">
        <v>8</v>
      </c>
      <c r="G207" s="94"/>
      <c r="H207" s="96"/>
      <c r="I207" s="91">
        <v>25860</v>
      </c>
      <c r="J207" s="97">
        <v>526332</v>
      </c>
      <c r="K207" s="97">
        <v>24960</v>
      </c>
      <c r="L207" s="97">
        <v>174960</v>
      </c>
      <c r="M20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7" s="97">
        <v>1206</v>
      </c>
      <c r="O207" s="20">
        <v>308</v>
      </c>
      <c r="P207" s="98">
        <v>80</v>
      </c>
      <c r="Q207" s="99">
        <f>IFERROR((Tableau3[[#This Row],[QTY Produite]]/1000)*((1000/Tableau3[[#This Row],[Cadence]])/60)/Tableau3[[#This Row],[Heures Macines]],"0")</f>
        <v>0.65</v>
      </c>
      <c r="R207" s="100">
        <v>65</v>
      </c>
      <c r="S207" s="96"/>
      <c r="T207" s="18"/>
      <c r="U207" s="101"/>
      <c r="V207" s="96"/>
      <c r="W207" s="96"/>
      <c r="X207" s="101"/>
      <c r="Y207" s="96"/>
      <c r="Z207" s="96"/>
      <c r="AA207" s="101"/>
      <c r="AB207" s="96"/>
      <c r="AC207" s="96"/>
      <c r="AD207" s="101"/>
      <c r="AE207" s="96"/>
      <c r="AF207" s="96"/>
      <c r="AG207" s="101"/>
      <c r="AH207" s="96"/>
      <c r="AI207" s="96"/>
      <c r="AJ207" s="101"/>
      <c r="AK207" s="84">
        <f t="shared" si="13"/>
        <v>4</v>
      </c>
      <c r="AL207" s="24">
        <f>YEAR(Tableau3[[#This Row],[Date]])</f>
        <v>2020</v>
      </c>
      <c r="AM207" s="92">
        <f>IFERROR(((Tableau3[[#This Row],[QTY Produite]]/1000)*VLOOKUP(Tableau3[[#This Row],[Machine]],Liste!$A:$B,2))/Tableau3[[#This Row],[Heures Macines]],"0")</f>
        <v>0.93599999999999994</v>
      </c>
      <c r="AN207" s="24" t="str">
        <f>VLOOKUP(Tableau3[[#This Row],[Opérateur 1]],Liste!$K$2:$M$68,3,FALSE)</f>
        <v>Multi</v>
      </c>
    </row>
    <row r="208" spans="1:40" s="24" customFormat="1" x14ac:dyDescent="0.25">
      <c r="A208" s="93">
        <v>43941</v>
      </c>
      <c r="B208" s="94" t="s">
        <v>19</v>
      </c>
      <c r="C208" s="16" t="s">
        <v>63</v>
      </c>
      <c r="D208" s="95" t="s">
        <v>20</v>
      </c>
      <c r="E208" s="94" t="s">
        <v>127</v>
      </c>
      <c r="F208" s="96">
        <v>8</v>
      </c>
      <c r="G208" s="94"/>
      <c r="H208" s="96"/>
      <c r="I208" s="91">
        <v>25003</v>
      </c>
      <c r="J208" s="97">
        <v>12301</v>
      </c>
      <c r="K208" s="97">
        <v>7840</v>
      </c>
      <c r="L208" s="97">
        <v>7840</v>
      </c>
      <c r="M20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6.9</v>
      </c>
      <c r="N208" s="97">
        <v>1402</v>
      </c>
      <c r="O208" s="20">
        <v>1252</v>
      </c>
      <c r="P208" s="98">
        <v>55</v>
      </c>
      <c r="Q208" s="99">
        <f>IFERROR((Tableau3[[#This Row],[QTY Produite]]/1000)*((1000/Tableau3[[#This Row],[Cadence]])/60)/Tableau3[[#This Row],[Heures Macines]],"0")</f>
        <v>0.34431269213877913</v>
      </c>
      <c r="R208" s="100">
        <v>30</v>
      </c>
      <c r="S208" s="96" t="s">
        <v>196</v>
      </c>
      <c r="T208" s="18">
        <v>1.1000000000000001</v>
      </c>
      <c r="U208" s="101" t="s">
        <v>195</v>
      </c>
      <c r="V208" s="96"/>
      <c r="W208" s="96"/>
      <c r="X208" s="101"/>
      <c r="Y208" s="96"/>
      <c r="Z208" s="96"/>
      <c r="AA208" s="101"/>
      <c r="AB208" s="96"/>
      <c r="AC208" s="96"/>
      <c r="AD208" s="101"/>
      <c r="AE208" s="96"/>
      <c r="AF208" s="96"/>
      <c r="AG208" s="101"/>
      <c r="AH208" s="96"/>
      <c r="AI208" s="96"/>
      <c r="AJ208" s="101"/>
      <c r="AK208" s="84">
        <f t="shared" si="13"/>
        <v>4</v>
      </c>
      <c r="AL208" s="24">
        <f>YEAR(Tableau3[[#This Row],[Date]])</f>
        <v>2020</v>
      </c>
      <c r="AM208" s="92">
        <f>IFERROR(((Tableau3[[#This Row],[QTY Produite]]/1000)*VLOOKUP(Tableau3[[#This Row],[Machine]],Liste!$A:$B,2))/Tableau3[[#This Row],[Heures Macines]],"0")</f>
        <v>0.40904347826086956</v>
      </c>
      <c r="AN208" s="24" t="str">
        <f>VLOOKUP(Tableau3[[#This Row],[Opérateur 1]],Liste!$K$2:$M$68,3,FALSE)</f>
        <v>Multi</v>
      </c>
    </row>
    <row r="209" spans="1:40" s="24" customFormat="1" x14ac:dyDescent="0.25">
      <c r="A209" s="93">
        <v>43941</v>
      </c>
      <c r="B209" s="94" t="s">
        <v>19</v>
      </c>
      <c r="C209" s="16" t="s">
        <v>63</v>
      </c>
      <c r="D209" s="95" t="s">
        <v>14</v>
      </c>
      <c r="E209" s="94" t="s">
        <v>139</v>
      </c>
      <c r="F209" s="96">
        <v>8</v>
      </c>
      <c r="G209" s="94"/>
      <c r="H209" s="96"/>
      <c r="I209" s="91">
        <v>24983</v>
      </c>
      <c r="J209" s="97">
        <v>99524</v>
      </c>
      <c r="K209" s="97">
        <v>8636</v>
      </c>
      <c r="L209" s="97">
        <v>67310</v>
      </c>
      <c r="M20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09" s="97">
        <v>1217</v>
      </c>
      <c r="O209" s="20">
        <v>172</v>
      </c>
      <c r="P209" s="98">
        <v>30</v>
      </c>
      <c r="Q209" s="99">
        <f>IFERROR((Tableau3[[#This Row],[QTY Produite]]/1000)*((1000/Tableau3[[#This Row],[Cadence]])/60)/Tableau3[[#This Row],[Heures Macines]],"0")</f>
        <v>0.59972222222222216</v>
      </c>
      <c r="R209" s="100">
        <v>60</v>
      </c>
      <c r="S209" s="96"/>
      <c r="T209" s="18"/>
      <c r="U209" s="101"/>
      <c r="V209" s="96"/>
      <c r="W209" s="96"/>
      <c r="X209" s="101"/>
      <c r="Y209" s="96"/>
      <c r="Z209" s="96"/>
      <c r="AA209" s="101"/>
      <c r="AB209" s="96"/>
      <c r="AC209" s="96"/>
      <c r="AD209" s="101"/>
      <c r="AE209" s="96"/>
      <c r="AF209" s="96"/>
      <c r="AG209" s="101"/>
      <c r="AH209" s="96"/>
      <c r="AI209" s="96"/>
      <c r="AJ209" s="101"/>
      <c r="AK209" s="84">
        <f t="shared" si="13"/>
        <v>4</v>
      </c>
      <c r="AL209" s="24">
        <f>YEAR(Tableau3[[#This Row],[Date]])</f>
        <v>2020</v>
      </c>
      <c r="AM209" s="92">
        <f>IFERROR(((Tableau3[[#This Row],[QTY Produite]]/1000)*VLOOKUP(Tableau3[[#This Row],[Machine]],Liste!$A:$B,2))/Tableau3[[#This Row],[Heures Macines]],"0")</f>
        <v>0.48577499999999996</v>
      </c>
      <c r="AN209" s="24" t="str">
        <f>VLOOKUP(Tableau3[[#This Row],[Opérateur 1]],Liste!$K$2:$M$68,3,FALSE)</f>
        <v>Mono</v>
      </c>
    </row>
    <row r="210" spans="1:40" s="24" customFormat="1" x14ac:dyDescent="0.25">
      <c r="A210" s="93">
        <v>43941</v>
      </c>
      <c r="B210" s="94" t="s">
        <v>19</v>
      </c>
      <c r="C210" s="16" t="s">
        <v>63</v>
      </c>
      <c r="D210" s="95" t="s">
        <v>10</v>
      </c>
      <c r="E210" s="94" t="s">
        <v>129</v>
      </c>
      <c r="F210" s="96">
        <v>1.5</v>
      </c>
      <c r="G210" s="94"/>
      <c r="H210" s="96"/>
      <c r="I210" s="91">
        <v>26595</v>
      </c>
      <c r="J210" s="97">
        <v>23295</v>
      </c>
      <c r="K210" s="97">
        <v>0</v>
      </c>
      <c r="L210" s="97">
        <v>0</v>
      </c>
      <c r="M210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210" s="97">
        <v>0</v>
      </c>
      <c r="O210" s="20">
        <v>0</v>
      </c>
      <c r="P210" s="98">
        <v>0</v>
      </c>
      <c r="Q210" s="99" t="str">
        <f>IFERROR((Tableau3[[#This Row],[QTY Produite]]/1000)*((1000/Tableau3[[#This Row],[Cadence]])/60)/Tableau3[[#This Row],[Heures Macines]],"0")</f>
        <v>0</v>
      </c>
      <c r="R210" s="100">
        <v>0</v>
      </c>
      <c r="S210" s="96"/>
      <c r="T210" s="18"/>
      <c r="U210" s="101"/>
      <c r="V210" s="96"/>
      <c r="W210" s="96"/>
      <c r="X210" s="101"/>
      <c r="Y210" s="96"/>
      <c r="Z210" s="96"/>
      <c r="AA210" s="101"/>
      <c r="AB210" s="96"/>
      <c r="AC210" s="96"/>
      <c r="AD210" s="101"/>
      <c r="AE210" s="96"/>
      <c r="AF210" s="96"/>
      <c r="AG210" s="101"/>
      <c r="AH210" s="96"/>
      <c r="AI210" s="96"/>
      <c r="AJ210" s="101"/>
      <c r="AK210" s="84">
        <f t="shared" si="13"/>
        <v>4</v>
      </c>
      <c r="AL210" s="24">
        <f>YEAR(Tableau3[[#This Row],[Date]])</f>
        <v>2020</v>
      </c>
      <c r="AM210" s="92">
        <f>IFERROR(((Tableau3[[#This Row],[QTY Produite]]/1000)*VLOOKUP(Tableau3[[#This Row],[Machine]],Liste!$A:$B,2))/Tableau3[[#This Row],[Heures Macines]],"0")</f>
        <v>0</v>
      </c>
      <c r="AN210" s="24" t="str">
        <f>VLOOKUP(Tableau3[[#This Row],[Opérateur 1]],Liste!$K$2:$M$68,3,FALSE)</f>
        <v>Mono</v>
      </c>
    </row>
    <row r="211" spans="1:40" s="24" customFormat="1" x14ac:dyDescent="0.25">
      <c r="A211" s="93">
        <v>43941</v>
      </c>
      <c r="B211" s="94" t="s">
        <v>19</v>
      </c>
      <c r="C211" s="16" t="s">
        <v>63</v>
      </c>
      <c r="D211" s="95" t="s">
        <v>10</v>
      </c>
      <c r="E211" s="94" t="s">
        <v>129</v>
      </c>
      <c r="F211" s="96">
        <v>6.5</v>
      </c>
      <c r="G211" s="94"/>
      <c r="H211" s="96"/>
      <c r="I211" s="91">
        <v>24252</v>
      </c>
      <c r="J211" s="97">
        <v>102910</v>
      </c>
      <c r="K211" s="97">
        <v>12240</v>
      </c>
      <c r="L211" s="97">
        <v>102960</v>
      </c>
      <c r="M211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211" s="97">
        <v>1097</v>
      </c>
      <c r="O211" s="20">
        <v>384</v>
      </c>
      <c r="P211" s="98">
        <v>52</v>
      </c>
      <c r="Q211" s="99">
        <f>IFERROR((Tableau3[[#This Row],[QTY Produite]]/1000)*((1000/Tableau3[[#This Row],[Cadence]])/60)/Tableau3[[#This Row],[Heures Macines]],"0")</f>
        <v>0.60355029585798814</v>
      </c>
      <c r="R211" s="100">
        <v>60</v>
      </c>
      <c r="S211" s="96"/>
      <c r="T211" s="18"/>
      <c r="U211" s="101"/>
      <c r="V211" s="96"/>
      <c r="W211" s="96"/>
      <c r="X211" s="101"/>
      <c r="Y211" s="96"/>
      <c r="Z211" s="96"/>
      <c r="AA211" s="101"/>
      <c r="AB211" s="96"/>
      <c r="AC211" s="96"/>
      <c r="AD211" s="101"/>
      <c r="AE211" s="96"/>
      <c r="AF211" s="96"/>
      <c r="AG211" s="101"/>
      <c r="AH211" s="96"/>
      <c r="AI211" s="96"/>
      <c r="AJ211" s="101"/>
      <c r="AK211" s="84">
        <f t="shared" si="13"/>
        <v>4</v>
      </c>
      <c r="AL211" s="24">
        <f>YEAR(Tableau3[[#This Row],[Date]])</f>
        <v>2020</v>
      </c>
      <c r="AM211" s="92">
        <f>IFERROR(((Tableau3[[#This Row],[QTY Produite]]/1000)*VLOOKUP(Tableau3[[#This Row],[Machine]],Liste!$A:$B,2))/Tableau3[[#This Row],[Heures Macines]],"0")</f>
        <v>0.8473846153846154</v>
      </c>
      <c r="AN211" s="24" t="str">
        <f>VLOOKUP(Tableau3[[#This Row],[Opérateur 1]],Liste!$K$2:$M$68,3,FALSE)</f>
        <v>Mono</v>
      </c>
    </row>
    <row r="212" spans="1:40" s="24" customFormat="1" x14ac:dyDescent="0.25">
      <c r="A212" s="93">
        <v>43938</v>
      </c>
      <c r="B212" s="94" t="s">
        <v>13</v>
      </c>
      <c r="C212" s="16" t="s">
        <v>102</v>
      </c>
      <c r="D212" s="95" t="s">
        <v>20</v>
      </c>
      <c r="E212" s="94" t="s">
        <v>134</v>
      </c>
      <c r="F212" s="96">
        <v>8</v>
      </c>
      <c r="G212" s="94"/>
      <c r="H212" s="96"/>
      <c r="I212" s="91">
        <v>24550</v>
      </c>
      <c r="J212" s="97">
        <v>144797</v>
      </c>
      <c r="K212" s="97">
        <v>24892</v>
      </c>
      <c r="L212" s="97">
        <v>129752</v>
      </c>
      <c r="M212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2" s="97">
        <v>1740</v>
      </c>
      <c r="O212" s="20">
        <v>0</v>
      </c>
      <c r="P212" s="98">
        <v>54</v>
      </c>
      <c r="Q212" s="99">
        <f>IFERROR((Tableau3[[#This Row],[QTY Produite]]/1000)*((1000/Tableau3[[#This Row],[Cadence]])/60)/Tableau3[[#This Row],[Heures Macines]],"0")</f>
        <v>0.96033950617283947</v>
      </c>
      <c r="R212" s="100">
        <v>96</v>
      </c>
      <c r="S212" s="96"/>
      <c r="T212" s="18"/>
      <c r="U212" s="101"/>
      <c r="V212" s="96"/>
      <c r="W212" s="96"/>
      <c r="X212" s="101"/>
      <c r="Y212" s="96"/>
      <c r="Z212" s="96"/>
      <c r="AA212" s="101"/>
      <c r="AB212" s="96"/>
      <c r="AC212" s="96"/>
      <c r="AD212" s="101"/>
      <c r="AE212" s="96"/>
      <c r="AF212" s="96"/>
      <c r="AG212" s="101"/>
      <c r="AH212" s="96"/>
      <c r="AI212" s="96"/>
      <c r="AJ212" s="101"/>
      <c r="AK212" s="84">
        <f t="shared" si="13"/>
        <v>4</v>
      </c>
      <c r="AL212" s="24">
        <f>YEAR(Tableau3[[#This Row],[Date]])</f>
        <v>2020</v>
      </c>
      <c r="AM212" s="92">
        <f>IFERROR(((Tableau3[[#This Row],[QTY Produite]]/1000)*VLOOKUP(Tableau3[[#This Row],[Machine]],Liste!$A:$B,2))/Tableau3[[#This Row],[Heures Macines]],"0")</f>
        <v>1.1201399999999999</v>
      </c>
      <c r="AN212" s="24" t="str">
        <f>VLOOKUP(Tableau3[[#This Row],[Opérateur 1]],Liste!$K$2:$M$68,3,FALSE)</f>
        <v>Multi</v>
      </c>
    </row>
    <row r="213" spans="1:40" s="24" customFormat="1" x14ac:dyDescent="0.25">
      <c r="A213" s="93">
        <v>43938</v>
      </c>
      <c r="B213" s="94" t="s">
        <v>16</v>
      </c>
      <c r="C213" s="16" t="s">
        <v>62</v>
      </c>
      <c r="D213" s="95" t="s">
        <v>22</v>
      </c>
      <c r="E213" s="94" t="s">
        <v>136</v>
      </c>
      <c r="F213" s="96">
        <v>8</v>
      </c>
      <c r="G213" s="94"/>
      <c r="H213" s="96"/>
      <c r="I213" s="91">
        <v>25860</v>
      </c>
      <c r="J213" s="97">
        <v>526332</v>
      </c>
      <c r="K213" s="97">
        <v>34080</v>
      </c>
      <c r="L213" s="97">
        <v>150000</v>
      </c>
      <c r="M213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3" s="97">
        <v>142</v>
      </c>
      <c r="O213" s="20">
        <v>66</v>
      </c>
      <c r="P213" s="98">
        <v>80</v>
      </c>
      <c r="Q213" s="99">
        <f>IFERROR((Tableau3[[#This Row],[QTY Produite]]/1000)*((1000/Tableau3[[#This Row],[Cadence]])/60)/Tableau3[[#This Row],[Heures Macines]],"0")</f>
        <v>0.88749999999999996</v>
      </c>
      <c r="R213" s="100">
        <v>88</v>
      </c>
      <c r="S213" s="96"/>
      <c r="T213" s="18"/>
      <c r="U213" s="101"/>
      <c r="V213" s="96"/>
      <c r="W213" s="96"/>
      <c r="X213" s="101"/>
      <c r="Y213" s="96"/>
      <c r="Z213" s="96"/>
      <c r="AA213" s="101"/>
      <c r="AB213" s="96"/>
      <c r="AC213" s="96"/>
      <c r="AD213" s="101"/>
      <c r="AE213" s="96"/>
      <c r="AF213" s="96"/>
      <c r="AG213" s="101"/>
      <c r="AH213" s="96"/>
      <c r="AI213" s="96"/>
      <c r="AJ213" s="101"/>
      <c r="AK213" s="84">
        <f t="shared" ref="AK213:AK219" si="14">MONTH(A213)</f>
        <v>4</v>
      </c>
      <c r="AL213" s="24">
        <f>YEAR(Tableau3[[#This Row],[Date]])</f>
        <v>2020</v>
      </c>
      <c r="AM213" s="92">
        <f>IFERROR(((Tableau3[[#This Row],[QTY Produite]]/1000)*VLOOKUP(Tableau3[[#This Row],[Machine]],Liste!$A:$B,2))/Tableau3[[#This Row],[Heures Macines]],"0")</f>
        <v>1.2779999999999998</v>
      </c>
      <c r="AN213" s="24" t="str">
        <f>VLOOKUP(Tableau3[[#This Row],[Opérateur 1]],Liste!$K$2:$M$68,3,FALSE)</f>
        <v>Multi</v>
      </c>
    </row>
    <row r="214" spans="1:40" s="24" customFormat="1" x14ac:dyDescent="0.25">
      <c r="A214" s="93">
        <v>43938</v>
      </c>
      <c r="B214" s="94" t="s">
        <v>16</v>
      </c>
      <c r="C214" s="16" t="s">
        <v>62</v>
      </c>
      <c r="D214" s="95" t="s">
        <v>14</v>
      </c>
      <c r="E214" s="94" t="s">
        <v>112</v>
      </c>
      <c r="F214" s="96">
        <v>8</v>
      </c>
      <c r="G214" s="94"/>
      <c r="H214" s="96"/>
      <c r="I214" s="91">
        <v>24983</v>
      </c>
      <c r="J214" s="97">
        <v>99524</v>
      </c>
      <c r="K214" s="97">
        <v>9652</v>
      </c>
      <c r="L214" s="97">
        <v>58644</v>
      </c>
      <c r="M214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4" s="97">
        <v>204</v>
      </c>
      <c r="O214" s="20">
        <v>54</v>
      </c>
      <c r="P214" s="98">
        <v>31</v>
      </c>
      <c r="Q214" s="99">
        <f>IFERROR((Tableau3[[#This Row],[QTY Produite]]/1000)*((1000/Tableau3[[#This Row],[Cadence]])/60)/Tableau3[[#This Row],[Heures Macines]],"0")</f>
        <v>0.64865591397849454</v>
      </c>
      <c r="R214" s="100">
        <v>70</v>
      </c>
      <c r="S214" s="96"/>
      <c r="T214" s="18"/>
      <c r="U214" s="101"/>
      <c r="V214" s="96"/>
      <c r="W214" s="96"/>
      <c r="X214" s="101"/>
      <c r="Y214" s="96"/>
      <c r="Z214" s="96"/>
      <c r="AA214" s="101"/>
      <c r="AB214" s="96"/>
      <c r="AC214" s="96"/>
      <c r="AD214" s="101"/>
      <c r="AE214" s="96"/>
      <c r="AF214" s="96"/>
      <c r="AG214" s="101"/>
      <c r="AH214" s="96"/>
      <c r="AI214" s="96"/>
      <c r="AJ214" s="101"/>
      <c r="AK214" s="84">
        <f t="shared" si="14"/>
        <v>4</v>
      </c>
      <c r="AL214" s="24">
        <f>YEAR(Tableau3[[#This Row],[Date]])</f>
        <v>2020</v>
      </c>
      <c r="AM214" s="92">
        <f>IFERROR(((Tableau3[[#This Row],[QTY Produite]]/1000)*VLOOKUP(Tableau3[[#This Row],[Machine]],Liste!$A:$B,2))/Tableau3[[#This Row],[Heures Macines]],"0")</f>
        <v>0.54292499999999999</v>
      </c>
      <c r="AN214" s="24" t="str">
        <f>VLOOKUP(Tableau3[[#This Row],[Opérateur 1]],Liste!$K$2:$M$68,3,FALSE)</f>
        <v>Mono</v>
      </c>
    </row>
    <row r="215" spans="1:40" s="24" customFormat="1" x14ac:dyDescent="0.25">
      <c r="A215" s="93">
        <v>43938</v>
      </c>
      <c r="B215" s="94" t="s">
        <v>16</v>
      </c>
      <c r="C215" s="16" t="s">
        <v>62</v>
      </c>
      <c r="D215" s="95" t="s">
        <v>30</v>
      </c>
      <c r="E215" s="94" t="s">
        <v>143</v>
      </c>
      <c r="F215" s="96">
        <v>8</v>
      </c>
      <c r="G215" s="94"/>
      <c r="H215" s="96"/>
      <c r="I215" s="91" t="s">
        <v>174</v>
      </c>
      <c r="J215" s="97">
        <v>66000</v>
      </c>
      <c r="K215" s="97">
        <v>16464</v>
      </c>
      <c r="L215" s="97">
        <v>16464</v>
      </c>
      <c r="M215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5" s="97">
        <v>200</v>
      </c>
      <c r="O215" s="20">
        <v>482</v>
      </c>
      <c r="P215" s="98">
        <v>66</v>
      </c>
      <c r="Q215" s="99">
        <f>IFERROR((Tableau3[[#This Row],[QTY Produite]]/1000)*((1000/Tableau3[[#This Row],[Cadence]])/60)/Tableau3[[#This Row],[Heures Macines]],"0")</f>
        <v>0.51969696969696966</v>
      </c>
      <c r="R215" s="100">
        <v>51</v>
      </c>
      <c r="S215" s="96"/>
      <c r="T215" s="18"/>
      <c r="U215" s="101"/>
      <c r="V215" s="96"/>
      <c r="W215" s="96"/>
      <c r="X215" s="101"/>
      <c r="Y215" s="96"/>
      <c r="Z215" s="96"/>
      <c r="AA215" s="101"/>
      <c r="AB215" s="96"/>
      <c r="AC215" s="96"/>
      <c r="AD215" s="101"/>
      <c r="AE215" s="96"/>
      <c r="AF215" s="96"/>
      <c r="AG215" s="101"/>
      <c r="AH215" s="96"/>
      <c r="AI215" s="96"/>
      <c r="AJ215" s="101"/>
      <c r="AK215" s="84">
        <f t="shared" si="14"/>
        <v>4</v>
      </c>
      <c r="AL215" s="24">
        <f>YEAR(Tableau3[[#This Row],[Date]])</f>
        <v>2020</v>
      </c>
      <c r="AM215" s="92">
        <f>IFERROR(((Tableau3[[#This Row],[QTY Produite]]/1000)*VLOOKUP(Tableau3[[#This Row],[Machine]],Liste!$A:$B,2))/Tableau3[[#This Row],[Heures Macines]],"0")</f>
        <v>1.2347999999999999</v>
      </c>
      <c r="AN215" s="24" t="str">
        <f>VLOOKUP(Tableau3[[#This Row],[Opérateur 1]],Liste!$K$2:$M$68,3,FALSE)</f>
        <v>Déco</v>
      </c>
    </row>
    <row r="216" spans="1:40" s="24" customFormat="1" x14ac:dyDescent="0.25">
      <c r="A216" s="93">
        <v>43938</v>
      </c>
      <c r="B216" s="94" t="s">
        <v>16</v>
      </c>
      <c r="C216" s="16" t="s">
        <v>62</v>
      </c>
      <c r="D216" s="95" t="s">
        <v>23</v>
      </c>
      <c r="E216" s="94" t="s">
        <v>122</v>
      </c>
      <c r="F216" s="96">
        <v>8</v>
      </c>
      <c r="G216" s="94"/>
      <c r="H216" s="96"/>
      <c r="I216" s="91" t="s">
        <v>148</v>
      </c>
      <c r="J216" s="97">
        <v>94500</v>
      </c>
      <c r="K216" s="97">
        <v>10922</v>
      </c>
      <c r="L216" s="97">
        <v>89408</v>
      </c>
      <c r="M216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6" s="97">
        <v>101</v>
      </c>
      <c r="O216" s="20">
        <v>160</v>
      </c>
      <c r="P216" s="98">
        <v>35</v>
      </c>
      <c r="Q216" s="99">
        <f>IFERROR((Tableau3[[#This Row],[QTY Produite]]/1000)*((1000/Tableau3[[#This Row],[Cadence]])/60)/Tableau3[[#This Row],[Heures Macines]],"0")</f>
        <v>0.65011904761904771</v>
      </c>
      <c r="R216" s="100">
        <v>68</v>
      </c>
      <c r="S216" s="96"/>
      <c r="T216" s="18"/>
      <c r="U216" s="101"/>
      <c r="V216" s="96"/>
      <c r="W216" s="96"/>
      <c r="X216" s="101"/>
      <c r="Y216" s="96"/>
      <c r="Z216" s="96"/>
      <c r="AA216" s="101"/>
      <c r="AB216" s="96"/>
      <c r="AC216" s="96"/>
      <c r="AD216" s="101"/>
      <c r="AE216" s="96"/>
      <c r="AF216" s="96"/>
      <c r="AG216" s="101"/>
      <c r="AH216" s="96"/>
      <c r="AI216" s="96"/>
      <c r="AJ216" s="101"/>
      <c r="AK216" s="84">
        <f t="shared" si="14"/>
        <v>4</v>
      </c>
      <c r="AL216" s="24">
        <f>YEAR(Tableau3[[#This Row],[Date]])</f>
        <v>2020</v>
      </c>
      <c r="AM216" s="92">
        <f>IFERROR(((Tableau3[[#This Row],[QTY Produite]]/1000)*VLOOKUP(Tableau3[[#This Row],[Machine]],Liste!$A:$B,2))/Tableau3[[#This Row],[Heures Macines]],"0")</f>
        <v>0.54610000000000003</v>
      </c>
      <c r="AN216" s="24" t="str">
        <f>VLOOKUP(Tableau3[[#This Row],[Opérateur 1]],Liste!$K$2:$M$68,3,FALSE)</f>
        <v>Déco</v>
      </c>
    </row>
    <row r="217" spans="1:40" s="24" customFormat="1" x14ac:dyDescent="0.25">
      <c r="A217" s="93">
        <v>43938</v>
      </c>
      <c r="B217" s="94" t="s">
        <v>16</v>
      </c>
      <c r="C217" s="16" t="s">
        <v>62</v>
      </c>
      <c r="D217" s="95" t="s">
        <v>11</v>
      </c>
      <c r="E217" s="94" t="s">
        <v>141</v>
      </c>
      <c r="F217" s="96">
        <v>8</v>
      </c>
      <c r="G217" s="94"/>
      <c r="H217" s="96"/>
      <c r="I217" s="91" t="s">
        <v>169</v>
      </c>
      <c r="J217" s="97">
        <v>171072</v>
      </c>
      <c r="K217" s="97">
        <v>33360</v>
      </c>
      <c r="L217" s="97">
        <v>98640</v>
      </c>
      <c r="M217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7" s="97">
        <v>350</v>
      </c>
      <c r="O217" s="20">
        <v>584</v>
      </c>
      <c r="P217" s="98">
        <v>95</v>
      </c>
      <c r="Q217" s="99">
        <f>IFERROR((Tableau3[[#This Row],[QTY Produite]]/1000)*((1000/Tableau3[[#This Row],[Cadence]])/60)/Tableau3[[#This Row],[Heures Macines]],"0")</f>
        <v>0.73157894736842111</v>
      </c>
      <c r="R217" s="100">
        <v>73</v>
      </c>
      <c r="S217" s="96"/>
      <c r="T217" s="18"/>
      <c r="U217" s="101"/>
      <c r="V217" s="96"/>
      <c r="W217" s="96"/>
      <c r="X217" s="101"/>
      <c r="Y217" s="96"/>
      <c r="Z217" s="96"/>
      <c r="AA217" s="101"/>
      <c r="AB217" s="96"/>
      <c r="AC217" s="96"/>
      <c r="AD217" s="101"/>
      <c r="AE217" s="96"/>
      <c r="AF217" s="96"/>
      <c r="AG217" s="101"/>
      <c r="AH217" s="96"/>
      <c r="AI217" s="96"/>
      <c r="AJ217" s="101"/>
      <c r="AK217" s="84">
        <f t="shared" si="14"/>
        <v>4</v>
      </c>
      <c r="AL217" s="24">
        <f>YEAR(Tableau3[[#This Row],[Date]])</f>
        <v>2020</v>
      </c>
      <c r="AM217" s="92">
        <f>IFERROR(((Tableau3[[#This Row],[QTY Produite]]/1000)*VLOOKUP(Tableau3[[#This Row],[Machine]],Liste!$A:$B,2))/Tableau3[[#This Row],[Heures Macines]],"0")</f>
        <v>1.6680000000000001</v>
      </c>
      <c r="AN217" s="24" t="str">
        <f>VLOOKUP(Tableau3[[#This Row],[Opérateur 1]],Liste!$K$2:$M$68,3,FALSE)</f>
        <v>Imp</v>
      </c>
    </row>
    <row r="218" spans="1:40" s="24" customFormat="1" x14ac:dyDescent="0.25">
      <c r="A218" s="93">
        <v>43938</v>
      </c>
      <c r="B218" s="94" t="s">
        <v>16</v>
      </c>
      <c r="C218" s="16" t="s">
        <v>62</v>
      </c>
      <c r="D218" s="95" t="s">
        <v>15</v>
      </c>
      <c r="E218" s="94" t="s">
        <v>109</v>
      </c>
      <c r="F218" s="96">
        <v>8</v>
      </c>
      <c r="G218" s="94"/>
      <c r="H218" s="96"/>
      <c r="I218" s="91" t="s">
        <v>170</v>
      </c>
      <c r="J218" s="97">
        <v>11000</v>
      </c>
      <c r="K218" s="97">
        <v>10922</v>
      </c>
      <c r="L218" s="97">
        <v>10922</v>
      </c>
      <c r="M21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18" s="97">
        <v>300</v>
      </c>
      <c r="O218" s="20">
        <v>803</v>
      </c>
      <c r="P218" s="98">
        <v>80</v>
      </c>
      <c r="Q218" s="99">
        <f>IFERROR((Tableau3[[#This Row],[QTY Produite]]/1000)*((1000/Tableau3[[#This Row],[Cadence]])/60)/Tableau3[[#This Row],[Heures Macines]],"0")</f>
        <v>0.28442708333333339</v>
      </c>
      <c r="R218" s="100">
        <v>28</v>
      </c>
      <c r="S218" s="96"/>
      <c r="T218" s="18"/>
      <c r="U218" s="101"/>
      <c r="V218" s="96"/>
      <c r="W218" s="96"/>
      <c r="X218" s="101"/>
      <c r="Y218" s="96"/>
      <c r="Z218" s="96"/>
      <c r="AA218" s="101"/>
      <c r="AB218" s="96"/>
      <c r="AC218" s="96"/>
      <c r="AD218" s="101"/>
      <c r="AE218" s="96"/>
      <c r="AF218" s="96"/>
      <c r="AG218" s="101"/>
      <c r="AH218" s="96"/>
      <c r="AI218" s="96"/>
      <c r="AJ218" s="101"/>
      <c r="AK218" s="84">
        <f t="shared" si="14"/>
        <v>4</v>
      </c>
      <c r="AL218" s="24">
        <f>YEAR(Tableau3[[#This Row],[Date]])</f>
        <v>2020</v>
      </c>
      <c r="AM218" s="92">
        <f>IFERROR(((Tableau3[[#This Row],[QTY Produite]]/1000)*VLOOKUP(Tableau3[[#This Row],[Machine]],Liste!$A:$B,2))/Tableau3[[#This Row],[Heures Macines]],"0")</f>
        <v>0.54610000000000003</v>
      </c>
      <c r="AN218" s="24" t="str">
        <f>VLOOKUP(Tableau3[[#This Row],[Opérateur 1]],Liste!$K$2:$M$68,3,FALSE)</f>
        <v>Imp</v>
      </c>
    </row>
    <row r="219" spans="1:40" s="24" customFormat="1" x14ac:dyDescent="0.25">
      <c r="A219" s="93">
        <v>43938</v>
      </c>
      <c r="B219" s="94" t="s">
        <v>16</v>
      </c>
      <c r="C219" s="16" t="s">
        <v>62</v>
      </c>
      <c r="D219" s="95" t="s">
        <v>20</v>
      </c>
      <c r="E219" s="94" t="s">
        <v>124</v>
      </c>
      <c r="F219" s="96">
        <v>8</v>
      </c>
      <c r="G219" s="94"/>
      <c r="H219" s="96"/>
      <c r="I219" s="91">
        <v>24550</v>
      </c>
      <c r="J219" s="97">
        <v>144797</v>
      </c>
      <c r="K219" s="97">
        <v>15092</v>
      </c>
      <c r="L219" s="97">
        <v>144844</v>
      </c>
      <c r="M21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</v>
      </c>
      <c r="N219" s="97">
        <v>2379</v>
      </c>
      <c r="O219" s="20">
        <v>160</v>
      </c>
      <c r="P219" s="98">
        <v>54</v>
      </c>
      <c r="Q219" s="99">
        <f>IFERROR((Tableau3[[#This Row],[QTY Produite]]/1000)*((1000/Tableau3[[#This Row],[Cadence]])/60)/Tableau3[[#This Row],[Heures Macines]],"0")</f>
        <v>0.66543209876543208</v>
      </c>
      <c r="R219" s="100">
        <v>76</v>
      </c>
      <c r="S219" s="96" t="s">
        <v>144</v>
      </c>
      <c r="T219" s="18">
        <v>1</v>
      </c>
      <c r="U219" s="101" t="s">
        <v>175</v>
      </c>
      <c r="V219" s="96"/>
      <c r="W219" s="96"/>
      <c r="X219" s="101"/>
      <c r="Y219" s="96"/>
      <c r="Z219" s="96"/>
      <c r="AA219" s="101"/>
      <c r="AB219" s="96"/>
      <c r="AC219" s="96"/>
      <c r="AD219" s="101"/>
      <c r="AE219" s="96"/>
      <c r="AF219" s="96"/>
      <c r="AG219" s="101"/>
      <c r="AH219" s="96"/>
      <c r="AI219" s="96"/>
      <c r="AJ219" s="101"/>
      <c r="AK219" s="84">
        <f t="shared" si="14"/>
        <v>4</v>
      </c>
      <c r="AL219" s="24">
        <f>YEAR(Tableau3[[#This Row],[Date]])</f>
        <v>2020</v>
      </c>
      <c r="AM219" s="92">
        <f>IFERROR(((Tableau3[[#This Row],[QTY Produite]]/1000)*VLOOKUP(Tableau3[[#This Row],[Machine]],Liste!$A:$B,2))/Tableau3[[#This Row],[Heures Macines]],"0")</f>
        <v>0.77615999999999996</v>
      </c>
      <c r="AN219" s="24" t="str">
        <f>VLOOKUP(Tableau3[[#This Row],[Opérateur 1]],Liste!$K$2:$M$68,3,FALSE)</f>
        <v>Multi</v>
      </c>
    </row>
    <row r="220" spans="1:40" s="24" customFormat="1" x14ac:dyDescent="0.25">
      <c r="A220" s="93">
        <v>43938</v>
      </c>
      <c r="B220" s="94" t="s">
        <v>13</v>
      </c>
      <c r="C220" s="16" t="s">
        <v>102</v>
      </c>
      <c r="D220" s="95" t="s">
        <v>21</v>
      </c>
      <c r="E220" s="94" t="s">
        <v>110</v>
      </c>
      <c r="F220" s="96">
        <v>8</v>
      </c>
      <c r="G220" s="94"/>
      <c r="H220" s="96"/>
      <c r="I220" s="91" t="s">
        <v>166</v>
      </c>
      <c r="J220" s="97">
        <v>15523</v>
      </c>
      <c r="K220" s="97">
        <v>0</v>
      </c>
      <c r="L220" s="97">
        <v>0</v>
      </c>
      <c r="M22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0" s="97">
        <v>0</v>
      </c>
      <c r="O220" s="20">
        <v>0</v>
      </c>
      <c r="P220" s="98">
        <v>0</v>
      </c>
      <c r="Q220" s="99" t="str">
        <f>IFERROR((Tableau3[[#This Row],[QTY Produite]]/1000)*((1000/Tableau3[[#This Row],[Cadence]])/60)/Tableau3[[#This Row],[Heures Macines]],"0")</f>
        <v>0</v>
      </c>
      <c r="R220" s="100">
        <v>0</v>
      </c>
      <c r="S220" s="96"/>
      <c r="T220" s="18"/>
      <c r="U220" s="101"/>
      <c r="V220" s="96"/>
      <c r="W220" s="96"/>
      <c r="X220" s="101"/>
      <c r="Y220" s="96"/>
      <c r="Z220" s="96"/>
      <c r="AA220" s="101"/>
      <c r="AB220" s="96"/>
      <c r="AC220" s="96"/>
      <c r="AD220" s="101"/>
      <c r="AE220" s="96"/>
      <c r="AF220" s="96"/>
      <c r="AG220" s="101"/>
      <c r="AH220" s="96"/>
      <c r="AI220" s="96"/>
      <c r="AJ220" s="101"/>
      <c r="AK220" s="84">
        <f t="shared" ref="AK220:AK239" si="15">MONTH(A220)</f>
        <v>4</v>
      </c>
      <c r="AL220" s="24">
        <f>YEAR(Tableau3[[#This Row],[Date]])</f>
        <v>2020</v>
      </c>
      <c r="AM220" s="92">
        <f>IFERROR(((Tableau3[[#This Row],[QTY Produite]]/1000)*VLOOKUP(Tableau3[[#This Row],[Machine]],Liste!$A:$B,2))/Tableau3[[#This Row],[Heures Macines]],"0")</f>
        <v>0</v>
      </c>
      <c r="AN220" s="24" t="str">
        <f>VLOOKUP(Tableau3[[#This Row],[Opérateur 1]],Liste!$K$2:$M$68,3,FALSE)</f>
        <v>Déco</v>
      </c>
    </row>
    <row r="221" spans="1:40" s="24" customFormat="1" x14ac:dyDescent="0.25">
      <c r="A221" s="93">
        <v>43938</v>
      </c>
      <c r="B221" s="94" t="s">
        <v>13</v>
      </c>
      <c r="C221" s="16" t="s">
        <v>102</v>
      </c>
      <c r="D221" s="95" t="s">
        <v>28</v>
      </c>
      <c r="E221" s="94" t="s">
        <v>117</v>
      </c>
      <c r="F221" s="96">
        <v>6.5</v>
      </c>
      <c r="G221" s="94"/>
      <c r="H221" s="96"/>
      <c r="I221" s="91" t="s">
        <v>167</v>
      </c>
      <c r="J221" s="97">
        <v>11000</v>
      </c>
      <c r="K221" s="97">
        <v>10976</v>
      </c>
      <c r="L221" s="97">
        <v>10976</v>
      </c>
      <c r="M221" s="102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221" s="97">
        <v>259</v>
      </c>
      <c r="O221" s="20">
        <v>105</v>
      </c>
      <c r="P221" s="98">
        <v>70</v>
      </c>
      <c r="Q221" s="99">
        <f>IFERROR((Tableau3[[#This Row],[QTY Produite]]/1000)*((1000/Tableau3[[#This Row],[Cadence]])/60)/Tableau3[[#This Row],[Heures Macines]],"0")</f>
        <v>0.4020512820512821</v>
      </c>
      <c r="R221" s="100">
        <v>62</v>
      </c>
      <c r="S221" s="96"/>
      <c r="T221" s="18"/>
      <c r="U221" s="101"/>
      <c r="V221" s="96"/>
      <c r="W221" s="96"/>
      <c r="X221" s="101"/>
      <c r="Y221" s="96"/>
      <c r="Z221" s="96"/>
      <c r="AA221" s="101"/>
      <c r="AB221" s="96"/>
      <c r="AC221" s="96"/>
      <c r="AD221" s="101"/>
      <c r="AE221" s="96"/>
      <c r="AF221" s="96"/>
      <c r="AG221" s="101"/>
      <c r="AH221" s="96"/>
      <c r="AI221" s="96"/>
      <c r="AJ221" s="101"/>
      <c r="AK221" s="84">
        <f t="shared" si="15"/>
        <v>4</v>
      </c>
      <c r="AL221" s="24">
        <f>YEAR(Tableau3[[#This Row],[Date]])</f>
        <v>2020</v>
      </c>
      <c r="AM221" s="92">
        <f>IFERROR(((Tableau3[[#This Row],[QTY Produite]]/1000)*VLOOKUP(Tableau3[[#This Row],[Machine]],Liste!$A:$B,2))/Tableau3[[#This Row],[Heures Macines]],"0")</f>
        <v>0.59101538461538461</v>
      </c>
      <c r="AN221" s="24" t="str">
        <f>VLOOKUP(Tableau3[[#This Row],[Opérateur 1]],Liste!$K$2:$M$68,3,FALSE)</f>
        <v>Multi</v>
      </c>
    </row>
    <row r="222" spans="1:40" s="24" customFormat="1" x14ac:dyDescent="0.25">
      <c r="A222" s="93">
        <v>43938</v>
      </c>
      <c r="B222" s="94" t="s">
        <v>13</v>
      </c>
      <c r="C222" s="16" t="s">
        <v>102</v>
      </c>
      <c r="D222" s="95" t="s">
        <v>28</v>
      </c>
      <c r="E222" s="94" t="s">
        <v>117</v>
      </c>
      <c r="F222" s="96">
        <v>1.5</v>
      </c>
      <c r="G222" s="94"/>
      <c r="H222" s="96"/>
      <c r="I222" s="91" t="s">
        <v>173</v>
      </c>
      <c r="J222" s="97">
        <v>22000</v>
      </c>
      <c r="K222" s="97">
        <v>3528</v>
      </c>
      <c r="L222" s="97">
        <v>3528</v>
      </c>
      <c r="M222" s="102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222" s="97">
        <v>124</v>
      </c>
      <c r="O222" s="20">
        <v>101</v>
      </c>
      <c r="P222" s="98">
        <v>70</v>
      </c>
      <c r="Q222" s="99">
        <f>IFERROR((Tableau3[[#This Row],[QTY Produite]]/1000)*((1000/Tableau3[[#This Row],[Cadence]])/60)/Tableau3[[#This Row],[Heures Macines]],"0")</f>
        <v>0.56000000000000005</v>
      </c>
      <c r="R222" s="100">
        <v>56</v>
      </c>
      <c r="S222" s="96"/>
      <c r="T222" s="18"/>
      <c r="U222" s="101"/>
      <c r="V222" s="96"/>
      <c r="W222" s="96"/>
      <c r="X222" s="101"/>
      <c r="Y222" s="96"/>
      <c r="Z222" s="96"/>
      <c r="AA222" s="101"/>
      <c r="AB222" s="96"/>
      <c r="AC222" s="96"/>
      <c r="AD222" s="101"/>
      <c r="AE222" s="96"/>
      <c r="AF222" s="96"/>
      <c r="AG222" s="101"/>
      <c r="AH222" s="96"/>
      <c r="AI222" s="96"/>
      <c r="AJ222" s="101"/>
      <c r="AK222" s="84">
        <f t="shared" si="15"/>
        <v>4</v>
      </c>
      <c r="AL222" s="24">
        <f>YEAR(Tableau3[[#This Row],[Date]])</f>
        <v>2020</v>
      </c>
      <c r="AM222" s="92">
        <f>IFERROR(((Tableau3[[#This Row],[QTY Produite]]/1000)*VLOOKUP(Tableau3[[#This Row],[Machine]],Liste!$A:$B,2))/Tableau3[[#This Row],[Heures Macines]],"0")</f>
        <v>0.82319999999999993</v>
      </c>
      <c r="AN222" s="24" t="str">
        <f>VLOOKUP(Tableau3[[#This Row],[Opérateur 1]],Liste!$K$2:$M$68,3,FALSE)</f>
        <v>Multi</v>
      </c>
    </row>
    <row r="223" spans="1:40" s="24" customFormat="1" x14ac:dyDescent="0.25">
      <c r="A223" s="93">
        <v>43938</v>
      </c>
      <c r="B223" s="94" t="s">
        <v>13</v>
      </c>
      <c r="C223" s="16" t="s">
        <v>102</v>
      </c>
      <c r="D223" s="95" t="s">
        <v>22</v>
      </c>
      <c r="E223" s="94" t="s">
        <v>126</v>
      </c>
      <c r="F223" s="96">
        <v>8</v>
      </c>
      <c r="G223" s="94"/>
      <c r="H223" s="96"/>
      <c r="I223" s="91">
        <v>25860</v>
      </c>
      <c r="J223" s="97">
        <v>526332</v>
      </c>
      <c r="K223" s="97">
        <v>36960</v>
      </c>
      <c r="L223" s="97">
        <v>115920</v>
      </c>
      <c r="M22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3" s="97">
        <v>320</v>
      </c>
      <c r="O223" s="20">
        <v>130</v>
      </c>
      <c r="P223" s="98">
        <v>80</v>
      </c>
      <c r="Q223" s="99">
        <f>IFERROR((Tableau3[[#This Row],[QTY Produite]]/1000)*((1000/Tableau3[[#This Row],[Cadence]])/60)/Tableau3[[#This Row],[Heures Macines]],"0")</f>
        <v>0.96250000000000002</v>
      </c>
      <c r="R223" s="100">
        <v>96</v>
      </c>
      <c r="S223" s="96"/>
      <c r="T223" s="18"/>
      <c r="U223" s="101"/>
      <c r="V223" s="96"/>
      <c r="W223" s="96"/>
      <c r="X223" s="101"/>
      <c r="Y223" s="96"/>
      <c r="Z223" s="96"/>
      <c r="AA223" s="101"/>
      <c r="AB223" s="96"/>
      <c r="AC223" s="96"/>
      <c r="AD223" s="101"/>
      <c r="AE223" s="96"/>
      <c r="AF223" s="96"/>
      <c r="AG223" s="101"/>
      <c r="AH223" s="96"/>
      <c r="AI223" s="96"/>
      <c r="AJ223" s="101"/>
      <c r="AK223" s="84">
        <f t="shared" si="15"/>
        <v>4</v>
      </c>
      <c r="AL223" s="24">
        <f>YEAR(Tableau3[[#This Row],[Date]])</f>
        <v>2020</v>
      </c>
      <c r="AM223" s="92">
        <f>IFERROR(((Tableau3[[#This Row],[QTY Produite]]/1000)*VLOOKUP(Tableau3[[#This Row],[Machine]],Liste!$A:$B,2))/Tableau3[[#This Row],[Heures Macines]],"0")</f>
        <v>1.3859999999999999</v>
      </c>
      <c r="AN223" s="24" t="str">
        <f>VLOOKUP(Tableau3[[#This Row],[Opérateur 1]],Liste!$K$2:$M$68,3,FALSE)</f>
        <v>Multi</v>
      </c>
    </row>
    <row r="224" spans="1:40" s="24" customFormat="1" x14ac:dyDescent="0.25">
      <c r="A224" s="93">
        <v>43938</v>
      </c>
      <c r="B224" s="94" t="s">
        <v>13</v>
      </c>
      <c r="C224" s="16" t="s">
        <v>102</v>
      </c>
      <c r="D224" s="95" t="s">
        <v>23</v>
      </c>
      <c r="E224" s="94" t="s">
        <v>113</v>
      </c>
      <c r="F224" s="96">
        <v>8</v>
      </c>
      <c r="G224" s="94"/>
      <c r="H224" s="96"/>
      <c r="I224" s="91" t="s">
        <v>148</v>
      </c>
      <c r="J224" s="97">
        <v>94500</v>
      </c>
      <c r="K224" s="97">
        <v>9906</v>
      </c>
      <c r="L224" s="97">
        <v>78486</v>
      </c>
      <c r="M22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4" s="97">
        <v>80</v>
      </c>
      <c r="O224" s="20">
        <v>21</v>
      </c>
      <c r="P224" s="98">
        <v>35</v>
      </c>
      <c r="Q224" s="99">
        <f>IFERROR((Tableau3[[#This Row],[QTY Produite]]/1000)*((1000/Tableau3[[#This Row],[Cadence]])/60)/Tableau3[[#This Row],[Heures Macines]],"0")</f>
        <v>0.58964285714285725</v>
      </c>
      <c r="R224" s="100">
        <v>62</v>
      </c>
      <c r="S224" s="96"/>
      <c r="T224" s="18"/>
      <c r="U224" s="101"/>
      <c r="V224" s="96"/>
      <c r="W224" s="96"/>
      <c r="X224" s="101"/>
      <c r="Y224" s="96"/>
      <c r="Z224" s="96"/>
      <c r="AA224" s="101"/>
      <c r="AB224" s="96"/>
      <c r="AC224" s="96"/>
      <c r="AD224" s="101"/>
      <c r="AE224" s="96"/>
      <c r="AF224" s="96"/>
      <c r="AG224" s="101"/>
      <c r="AH224" s="96"/>
      <c r="AI224" s="96"/>
      <c r="AJ224" s="101"/>
      <c r="AK224" s="84">
        <f t="shared" si="15"/>
        <v>4</v>
      </c>
      <c r="AL224" s="24">
        <f>YEAR(Tableau3[[#This Row],[Date]])</f>
        <v>2020</v>
      </c>
      <c r="AM224" s="92">
        <f>IFERROR(((Tableau3[[#This Row],[QTY Produite]]/1000)*VLOOKUP(Tableau3[[#This Row],[Machine]],Liste!$A:$B,2))/Tableau3[[#This Row],[Heures Macines]],"0")</f>
        <v>0.49530000000000007</v>
      </c>
      <c r="AN224" s="24" t="str">
        <f>VLOOKUP(Tableau3[[#This Row],[Opérateur 1]],Liste!$K$2:$M$68,3,FALSE)</f>
        <v>Déco</v>
      </c>
    </row>
    <row r="225" spans="1:40" s="24" customFormat="1" x14ac:dyDescent="0.25">
      <c r="A225" s="93">
        <v>43938</v>
      </c>
      <c r="B225" s="94" t="s">
        <v>13</v>
      </c>
      <c r="C225" s="16" t="s">
        <v>102</v>
      </c>
      <c r="D225" s="95" t="s">
        <v>11</v>
      </c>
      <c r="E225" s="94" t="s">
        <v>115</v>
      </c>
      <c r="F225" s="96">
        <v>8</v>
      </c>
      <c r="G225" s="94"/>
      <c r="H225" s="96"/>
      <c r="I225" s="91" t="s">
        <v>169</v>
      </c>
      <c r="J225" s="97">
        <v>171072</v>
      </c>
      <c r="K225" s="97">
        <v>35280</v>
      </c>
      <c r="L225" s="97">
        <v>65280</v>
      </c>
      <c r="M22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5" s="97">
        <v>150</v>
      </c>
      <c r="O225" s="20">
        <v>826</v>
      </c>
      <c r="P225" s="98">
        <v>90</v>
      </c>
      <c r="Q225" s="99">
        <f>IFERROR((Tableau3[[#This Row],[QTY Produite]]/1000)*((1000/Tableau3[[#This Row],[Cadence]])/60)/Tableau3[[#This Row],[Heures Macines]],"0")</f>
        <v>0.81666666666666665</v>
      </c>
      <c r="R225" s="100">
        <v>82</v>
      </c>
      <c r="S225" s="96"/>
      <c r="T225" s="18"/>
      <c r="U225" s="101"/>
      <c r="V225" s="96"/>
      <c r="W225" s="96"/>
      <c r="X225" s="101"/>
      <c r="Y225" s="96"/>
      <c r="Z225" s="96"/>
      <c r="AA225" s="101"/>
      <c r="AB225" s="96"/>
      <c r="AC225" s="96"/>
      <c r="AD225" s="101"/>
      <c r="AE225" s="96"/>
      <c r="AF225" s="96"/>
      <c r="AG225" s="101"/>
      <c r="AH225" s="96"/>
      <c r="AI225" s="96"/>
      <c r="AJ225" s="101"/>
      <c r="AK225" s="84">
        <f t="shared" si="15"/>
        <v>4</v>
      </c>
      <c r="AL225" s="24">
        <f>YEAR(Tableau3[[#This Row],[Date]])</f>
        <v>2020</v>
      </c>
      <c r="AM225" s="92">
        <f>IFERROR(((Tableau3[[#This Row],[QTY Produite]]/1000)*VLOOKUP(Tableau3[[#This Row],[Machine]],Liste!$A:$B,2))/Tableau3[[#This Row],[Heures Macines]],"0")</f>
        <v>1.7640000000000002</v>
      </c>
      <c r="AN225" s="24" t="str">
        <f>VLOOKUP(Tableau3[[#This Row],[Opérateur 1]],Liste!$K$2:$M$68,3,FALSE)</f>
        <v>Imp</v>
      </c>
    </row>
    <row r="226" spans="1:40" s="24" customFormat="1" x14ac:dyDescent="0.25">
      <c r="A226" s="93">
        <v>43938</v>
      </c>
      <c r="B226" s="94" t="s">
        <v>13</v>
      </c>
      <c r="C226" s="16" t="s">
        <v>102</v>
      </c>
      <c r="D226" s="95" t="s">
        <v>24</v>
      </c>
      <c r="E226" s="94" t="s">
        <v>119</v>
      </c>
      <c r="F226" s="96">
        <v>8</v>
      </c>
      <c r="G226" s="94"/>
      <c r="H226" s="96"/>
      <c r="I226" s="91">
        <v>22010</v>
      </c>
      <c r="J226" s="97">
        <v>152295</v>
      </c>
      <c r="K226" s="97">
        <v>5910</v>
      </c>
      <c r="L226" s="97">
        <v>143110</v>
      </c>
      <c r="M22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6" s="97">
        <v>98</v>
      </c>
      <c r="O226" s="20">
        <v>54</v>
      </c>
      <c r="P226" s="98">
        <v>40</v>
      </c>
      <c r="Q226" s="99">
        <f>IFERROR((Tableau3[[#This Row],[QTY Produite]]/1000)*((1000/Tableau3[[#This Row],[Cadence]])/60)/Tableau3[[#This Row],[Heures Macines]],"0")</f>
        <v>0.30781250000000004</v>
      </c>
      <c r="R226" s="100">
        <v>66</v>
      </c>
      <c r="S226" s="96"/>
      <c r="T226" s="18"/>
      <c r="U226" s="101"/>
      <c r="V226" s="96"/>
      <c r="W226" s="96"/>
      <c r="X226" s="101"/>
      <c r="Y226" s="96"/>
      <c r="Z226" s="96"/>
      <c r="AA226" s="101"/>
      <c r="AB226" s="96"/>
      <c r="AC226" s="96"/>
      <c r="AD226" s="101"/>
      <c r="AE226" s="96"/>
      <c r="AF226" s="96"/>
      <c r="AG226" s="101"/>
      <c r="AH226" s="96"/>
      <c r="AI226" s="96"/>
      <c r="AJ226" s="101"/>
      <c r="AK226" s="84">
        <f t="shared" si="15"/>
        <v>4</v>
      </c>
      <c r="AL226" s="24">
        <f>YEAR(Tableau3[[#This Row],[Date]])</f>
        <v>2020</v>
      </c>
      <c r="AM226" s="92">
        <f>IFERROR(((Tableau3[[#This Row],[QTY Produite]]/1000)*VLOOKUP(Tableau3[[#This Row],[Machine]],Liste!$A:$B,2))/Tableau3[[#This Row],[Heures Macines]],"0")</f>
        <v>0.36937500000000001</v>
      </c>
      <c r="AN226" s="24" t="str">
        <f>VLOOKUP(Tableau3[[#This Row],[Opérateur 1]],Liste!$K$2:$M$68,3,FALSE)</f>
        <v>Multi</v>
      </c>
    </row>
    <row r="227" spans="1:40" s="24" customFormat="1" x14ac:dyDescent="0.25">
      <c r="A227" s="93">
        <v>43938</v>
      </c>
      <c r="B227" s="94" t="s">
        <v>13</v>
      </c>
      <c r="C227" s="16" t="s">
        <v>102</v>
      </c>
      <c r="D227" s="95" t="s">
        <v>18</v>
      </c>
      <c r="E227" s="94" t="s">
        <v>135</v>
      </c>
      <c r="F227" s="96">
        <v>8</v>
      </c>
      <c r="G227" s="94"/>
      <c r="H227" s="96"/>
      <c r="I227" s="91" t="s">
        <v>149</v>
      </c>
      <c r="J227" s="97">
        <v>214032</v>
      </c>
      <c r="K227" s="97">
        <v>5292</v>
      </c>
      <c r="L227" s="97">
        <v>123872</v>
      </c>
      <c r="M22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7" s="97">
        <v>5</v>
      </c>
      <c r="O227" s="20">
        <v>210</v>
      </c>
      <c r="P227" s="98">
        <v>90</v>
      </c>
      <c r="Q227" s="99">
        <f>IFERROR((Tableau3[[#This Row],[QTY Produite]]/1000)*((1000/Tableau3[[#This Row],[Cadence]])/60)/Tableau3[[#This Row],[Heures Macines]],"0")</f>
        <v>0.12249999999999998</v>
      </c>
      <c r="R227" s="100">
        <v>41</v>
      </c>
      <c r="S227" s="96"/>
      <c r="T227" s="18"/>
      <c r="U227" s="101"/>
      <c r="V227" s="96"/>
      <c r="W227" s="96"/>
      <c r="X227" s="101"/>
      <c r="Y227" s="96"/>
      <c r="Z227" s="96"/>
      <c r="AA227" s="101"/>
      <c r="AB227" s="96"/>
      <c r="AC227" s="96"/>
      <c r="AD227" s="101"/>
      <c r="AE227" s="96"/>
      <c r="AF227" s="96"/>
      <c r="AG227" s="101"/>
      <c r="AH227" s="96"/>
      <c r="AI227" s="96"/>
      <c r="AJ227" s="101"/>
      <c r="AK227" s="84">
        <f t="shared" si="15"/>
        <v>4</v>
      </c>
      <c r="AL227" s="24">
        <f>YEAR(Tableau3[[#This Row],[Date]])</f>
        <v>2020</v>
      </c>
      <c r="AM227" s="92">
        <f>IFERROR(((Tableau3[[#This Row],[QTY Produite]]/1000)*VLOOKUP(Tableau3[[#This Row],[Machine]],Liste!$A:$B,2))/Tableau3[[#This Row],[Heures Macines]],"0")</f>
        <v>0.2646</v>
      </c>
      <c r="AN227" s="24" t="str">
        <f>VLOOKUP(Tableau3[[#This Row],[Opérateur 1]],Liste!$K$2:$M$68,3,FALSE)</f>
        <v>Imp</v>
      </c>
    </row>
    <row r="228" spans="1:40" s="24" customFormat="1" x14ac:dyDescent="0.25">
      <c r="A228" s="93">
        <v>43938</v>
      </c>
      <c r="B228" s="94" t="s">
        <v>13</v>
      </c>
      <c r="C228" s="16" t="s">
        <v>102</v>
      </c>
      <c r="D228" s="95" t="s">
        <v>30</v>
      </c>
      <c r="E228" s="94" t="s">
        <v>116</v>
      </c>
      <c r="F228" s="96">
        <v>5.75</v>
      </c>
      <c r="G228" s="94"/>
      <c r="H228" s="96"/>
      <c r="I228" s="91">
        <v>25740</v>
      </c>
      <c r="J228" s="97">
        <v>26548</v>
      </c>
      <c r="K228" s="97">
        <v>14848</v>
      </c>
      <c r="L228" s="97">
        <v>25040</v>
      </c>
      <c r="M228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5.75</v>
      </c>
      <c r="N228" s="97">
        <v>43</v>
      </c>
      <c r="O228" s="20">
        <v>199</v>
      </c>
      <c r="P228" s="98">
        <v>67</v>
      </c>
      <c r="Q228" s="99">
        <f>IFERROR((Tableau3[[#This Row],[QTY Produite]]/1000)*((1000/Tableau3[[#This Row],[Cadence]])/60)/Tableau3[[#This Row],[Heures Macines]],"0")</f>
        <v>0.64235345014060141</v>
      </c>
      <c r="R228" s="100">
        <v>64</v>
      </c>
      <c r="S228" s="96"/>
      <c r="T228" s="18"/>
      <c r="U228" s="101"/>
      <c r="V228" s="96"/>
      <c r="W228" s="96"/>
      <c r="X228" s="101"/>
      <c r="Y228" s="96"/>
      <c r="Z228" s="96"/>
      <c r="AA228" s="101"/>
      <c r="AB228" s="96"/>
      <c r="AC228" s="96"/>
      <c r="AD228" s="101"/>
      <c r="AE228" s="96"/>
      <c r="AF228" s="96"/>
      <c r="AG228" s="101"/>
      <c r="AH228" s="96"/>
      <c r="AI228" s="96"/>
      <c r="AJ228" s="101"/>
      <c r="AK228" s="84">
        <f t="shared" si="15"/>
        <v>4</v>
      </c>
      <c r="AL228" s="24">
        <f>YEAR(Tableau3[[#This Row],[Date]])</f>
        <v>2020</v>
      </c>
      <c r="AM228" s="92">
        <f>IFERROR(((Tableau3[[#This Row],[QTY Produite]]/1000)*VLOOKUP(Tableau3[[#This Row],[Machine]],Liste!$A:$B,2))/Tableau3[[#This Row],[Heures Macines]],"0")</f>
        <v>1.5493565217391303</v>
      </c>
      <c r="AN228" s="24" t="str">
        <f>VLOOKUP(Tableau3[[#This Row],[Opérateur 1]],Liste!$K$2:$M$68,3,FALSE)</f>
        <v>Déco</v>
      </c>
    </row>
    <row r="229" spans="1:40" s="24" customFormat="1" x14ac:dyDescent="0.25">
      <c r="A229" s="93">
        <v>43938</v>
      </c>
      <c r="B229" s="94" t="s">
        <v>19</v>
      </c>
      <c r="C229" s="16" t="s">
        <v>63</v>
      </c>
      <c r="D229" s="95" t="s">
        <v>29</v>
      </c>
      <c r="E229" s="94" t="s">
        <v>130</v>
      </c>
      <c r="F229" s="96">
        <v>8</v>
      </c>
      <c r="G229" s="94"/>
      <c r="H229" s="96"/>
      <c r="I229" s="91" t="s">
        <v>161</v>
      </c>
      <c r="J229" s="97">
        <v>114414</v>
      </c>
      <c r="K229" s="97">
        <v>6985</v>
      </c>
      <c r="L229" s="97">
        <v>15621</v>
      </c>
      <c r="M22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29" s="97">
        <v>0</v>
      </c>
      <c r="O229" s="20">
        <v>156</v>
      </c>
      <c r="P229" s="98">
        <v>33</v>
      </c>
      <c r="Q229" s="99">
        <f>IFERROR((Tableau3[[#This Row],[QTY Produite]]/1000)*((1000/Tableau3[[#This Row],[Cadence]])/60)/Tableau3[[#This Row],[Heures Macines]],"0")</f>
        <v>0.44097222222222227</v>
      </c>
      <c r="R229" s="100">
        <v>44</v>
      </c>
      <c r="S229" s="96"/>
      <c r="T229" s="18"/>
      <c r="U229" s="101"/>
      <c r="V229" s="96"/>
      <c r="W229" s="96"/>
      <c r="X229" s="101"/>
      <c r="Y229" s="96"/>
      <c r="Z229" s="96"/>
      <c r="AA229" s="101"/>
      <c r="AB229" s="96"/>
      <c r="AC229" s="96"/>
      <c r="AD229" s="101"/>
      <c r="AE229" s="96"/>
      <c r="AF229" s="96"/>
      <c r="AG229" s="101"/>
      <c r="AH229" s="96"/>
      <c r="AI229" s="96"/>
      <c r="AJ229" s="101"/>
      <c r="AK229" s="84">
        <f t="shared" si="15"/>
        <v>4</v>
      </c>
      <c r="AL229" s="24">
        <f>YEAR(Tableau3[[#This Row],[Date]])</f>
        <v>2020</v>
      </c>
      <c r="AM229" s="92">
        <f>IFERROR(((Tableau3[[#This Row],[QTY Produite]]/1000)*VLOOKUP(Tableau3[[#This Row],[Machine]],Liste!$A:$B,2))/Tableau3[[#This Row],[Heures Macines]],"0")</f>
        <v>0.78581250000000002</v>
      </c>
      <c r="AN229" s="24" t="str">
        <f>VLOOKUP(Tableau3[[#This Row],[Opérateur 1]],Liste!$K$2:$M$68,3,FALSE)</f>
        <v>Déco</v>
      </c>
    </row>
    <row r="230" spans="1:40" s="24" customFormat="1" x14ac:dyDescent="0.25">
      <c r="A230" s="93">
        <v>43938</v>
      </c>
      <c r="B230" s="94" t="s">
        <v>19</v>
      </c>
      <c r="C230" s="16" t="s">
        <v>63</v>
      </c>
      <c r="D230" s="95" t="s">
        <v>25</v>
      </c>
      <c r="E230" s="94" t="s">
        <v>142</v>
      </c>
      <c r="F230" s="96">
        <v>5.5</v>
      </c>
      <c r="G230" s="94"/>
      <c r="H230" s="96"/>
      <c r="I230" s="91" t="s">
        <v>168</v>
      </c>
      <c r="J230" s="97">
        <v>16500</v>
      </c>
      <c r="K230" s="97">
        <v>8160</v>
      </c>
      <c r="L230" s="97">
        <v>16320</v>
      </c>
      <c r="M23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5.5</v>
      </c>
      <c r="N230" s="97">
        <v>2</v>
      </c>
      <c r="O230" s="20">
        <v>583</v>
      </c>
      <c r="P230" s="98">
        <v>47</v>
      </c>
      <c r="Q230" s="99">
        <f>IFERROR((Tableau3[[#This Row],[QTY Produite]]/1000)*((1000/Tableau3[[#This Row],[Cadence]])/60)/Tableau3[[#This Row],[Heures Macines]],"0")</f>
        <v>0.52611218568665385</v>
      </c>
      <c r="R230" s="100">
        <v>55</v>
      </c>
      <c r="S230" s="96"/>
      <c r="T230" s="18"/>
      <c r="U230" s="101"/>
      <c r="V230" s="96"/>
      <c r="W230" s="96"/>
      <c r="X230" s="101"/>
      <c r="Y230" s="96"/>
      <c r="Z230" s="96"/>
      <c r="AA230" s="101"/>
      <c r="AB230" s="96"/>
      <c r="AC230" s="96"/>
      <c r="AD230" s="101"/>
      <c r="AE230" s="96"/>
      <c r="AF230" s="96"/>
      <c r="AG230" s="101"/>
      <c r="AH230" s="96"/>
      <c r="AI230" s="96"/>
      <c r="AJ230" s="101"/>
      <c r="AK230" s="84">
        <f t="shared" si="15"/>
        <v>4</v>
      </c>
      <c r="AL230" s="24">
        <f>YEAR(Tableau3[[#This Row],[Date]])</f>
        <v>2020</v>
      </c>
      <c r="AM230" s="92">
        <f>IFERROR(((Tableau3[[#This Row],[QTY Produite]]/1000)*VLOOKUP(Tableau3[[#This Row],[Machine]],Liste!$A:$B,2))/Tableau3[[#This Row],[Heures Macines]],"0")</f>
        <v>0.74181818181818182</v>
      </c>
      <c r="AN230" s="24" t="str">
        <f>VLOOKUP(Tableau3[[#This Row],[Opérateur 1]],Liste!$K$2:$M$68,3,FALSE)</f>
        <v>Déco</v>
      </c>
    </row>
    <row r="231" spans="1:40" s="24" customFormat="1" x14ac:dyDescent="0.25">
      <c r="A231" s="93">
        <v>43938</v>
      </c>
      <c r="B231" s="94" t="s">
        <v>19</v>
      </c>
      <c r="C231" s="16" t="s">
        <v>63</v>
      </c>
      <c r="D231" s="95" t="s">
        <v>23</v>
      </c>
      <c r="E231" s="94" t="s">
        <v>142</v>
      </c>
      <c r="F231" s="96">
        <v>2.5</v>
      </c>
      <c r="G231" s="94"/>
      <c r="H231" s="96"/>
      <c r="I231" s="91" t="s">
        <v>171</v>
      </c>
      <c r="J231" s="97">
        <v>94500</v>
      </c>
      <c r="K231" s="97">
        <v>2286</v>
      </c>
      <c r="L231" s="97">
        <v>68580</v>
      </c>
      <c r="M23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2.5</v>
      </c>
      <c r="N231" s="97">
        <v>1</v>
      </c>
      <c r="O231" s="20">
        <v>104</v>
      </c>
      <c r="P231" s="98">
        <v>35</v>
      </c>
      <c r="Q231" s="99">
        <f>IFERROR((Tableau3[[#This Row],[QTY Produite]]/1000)*((1000/Tableau3[[#This Row],[Cadence]])/60)/Tableau3[[#This Row],[Heures Macines]],"0")</f>
        <v>0.4354285714285715</v>
      </c>
      <c r="R231" s="100">
        <v>42</v>
      </c>
      <c r="S231" s="96"/>
      <c r="T231" s="18"/>
      <c r="U231" s="101"/>
      <c r="V231" s="96"/>
      <c r="W231" s="96"/>
      <c r="X231" s="101"/>
      <c r="Y231" s="96"/>
      <c r="Z231" s="96"/>
      <c r="AA231" s="101"/>
      <c r="AB231" s="96"/>
      <c r="AC231" s="96"/>
      <c r="AD231" s="101"/>
      <c r="AE231" s="96"/>
      <c r="AF231" s="96"/>
      <c r="AG231" s="101"/>
      <c r="AH231" s="96"/>
      <c r="AI231" s="96"/>
      <c r="AJ231" s="101"/>
      <c r="AK231" s="84">
        <f t="shared" si="15"/>
        <v>4</v>
      </c>
      <c r="AL231" s="24">
        <f>YEAR(Tableau3[[#This Row],[Date]])</f>
        <v>2020</v>
      </c>
      <c r="AM231" s="92">
        <f>IFERROR(((Tableau3[[#This Row],[QTY Produite]]/1000)*VLOOKUP(Tableau3[[#This Row],[Machine]],Liste!$A:$B,2))/Tableau3[[#This Row],[Heures Macines]],"0")</f>
        <v>0.36576000000000003</v>
      </c>
      <c r="AN231" s="24" t="str">
        <f>VLOOKUP(Tableau3[[#This Row],[Opérateur 1]],Liste!$K$2:$M$68,3,FALSE)</f>
        <v>Déco</v>
      </c>
    </row>
    <row r="232" spans="1:40" s="24" customFormat="1" x14ac:dyDescent="0.25">
      <c r="A232" s="93">
        <v>43938</v>
      </c>
      <c r="B232" s="94" t="s">
        <v>19</v>
      </c>
      <c r="C232" s="16" t="s">
        <v>63</v>
      </c>
      <c r="D232" s="95" t="s">
        <v>15</v>
      </c>
      <c r="E232" s="94" t="s">
        <v>131</v>
      </c>
      <c r="F232" s="96">
        <v>3</v>
      </c>
      <c r="G232" s="94"/>
      <c r="H232" s="96"/>
      <c r="I232" s="91" t="s">
        <v>170</v>
      </c>
      <c r="J232" s="97">
        <v>11000</v>
      </c>
      <c r="K232" s="97">
        <v>0</v>
      </c>
      <c r="L232" s="97">
        <v>0</v>
      </c>
      <c r="M23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232" s="97">
        <v>0</v>
      </c>
      <c r="O232" s="20">
        <v>366</v>
      </c>
      <c r="P232" s="98">
        <v>0</v>
      </c>
      <c r="Q232" s="99" t="str">
        <f>IFERROR((Tableau3[[#This Row],[QTY Produite]]/1000)*((1000/Tableau3[[#This Row],[Cadence]])/60)/Tableau3[[#This Row],[Heures Macines]],"0")</f>
        <v>0</v>
      </c>
      <c r="R232" s="100">
        <v>0</v>
      </c>
      <c r="S232" s="96"/>
      <c r="T232" s="18"/>
      <c r="U232" s="101"/>
      <c r="V232" s="96"/>
      <c r="W232" s="96"/>
      <c r="X232" s="101"/>
      <c r="Y232" s="96"/>
      <c r="Z232" s="96"/>
      <c r="AA232" s="101"/>
      <c r="AB232" s="96"/>
      <c r="AC232" s="96"/>
      <c r="AD232" s="101"/>
      <c r="AE232" s="96"/>
      <c r="AF232" s="96"/>
      <c r="AG232" s="101"/>
      <c r="AH232" s="96"/>
      <c r="AI232" s="96"/>
      <c r="AJ232" s="101"/>
      <c r="AK232" s="84">
        <f t="shared" si="15"/>
        <v>4</v>
      </c>
      <c r="AL232" s="24">
        <f>YEAR(Tableau3[[#This Row],[Date]])</f>
        <v>2020</v>
      </c>
      <c r="AM232" s="92">
        <f>IFERROR(((Tableau3[[#This Row],[QTY Produite]]/1000)*VLOOKUP(Tableau3[[#This Row],[Machine]],Liste!$A:$B,2))/Tableau3[[#This Row],[Heures Macines]],"0")</f>
        <v>0</v>
      </c>
      <c r="AN232" s="24" t="str">
        <f>VLOOKUP(Tableau3[[#This Row],[Opérateur 1]],Liste!$K$2:$M$68,3,FALSE)</f>
        <v>Déco</v>
      </c>
    </row>
    <row r="233" spans="1:40" s="24" customFormat="1" x14ac:dyDescent="0.25">
      <c r="A233" s="93">
        <v>43938</v>
      </c>
      <c r="B233" s="94" t="s">
        <v>19</v>
      </c>
      <c r="C233" s="16" t="s">
        <v>63</v>
      </c>
      <c r="D233" s="95" t="s">
        <v>15</v>
      </c>
      <c r="E233" s="94" t="s">
        <v>131</v>
      </c>
      <c r="F233" s="96">
        <v>1</v>
      </c>
      <c r="G233" s="94"/>
      <c r="H233" s="96"/>
      <c r="I233" s="91" t="s">
        <v>158</v>
      </c>
      <c r="J233" s="97">
        <v>27500</v>
      </c>
      <c r="K233" s="97">
        <v>0</v>
      </c>
      <c r="L233" s="97">
        <v>0</v>
      </c>
      <c r="M23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</v>
      </c>
      <c r="N233" s="97">
        <v>0</v>
      </c>
      <c r="O233" s="20">
        <v>0</v>
      </c>
      <c r="P233" s="98">
        <v>0</v>
      </c>
      <c r="Q233" s="99" t="str">
        <f>IFERROR((Tableau3[[#This Row],[QTY Produite]]/1000)*((1000/Tableau3[[#This Row],[Cadence]])/60)/Tableau3[[#This Row],[Heures Macines]],"0")</f>
        <v>0</v>
      </c>
      <c r="R233" s="100">
        <v>0</v>
      </c>
      <c r="S233" s="96"/>
      <c r="T233" s="18"/>
      <c r="U233" s="101"/>
      <c r="V233" s="96"/>
      <c r="W233" s="96"/>
      <c r="X233" s="101"/>
      <c r="Y233" s="96"/>
      <c r="Z233" s="96"/>
      <c r="AA233" s="101"/>
      <c r="AB233" s="96"/>
      <c r="AC233" s="96"/>
      <c r="AD233" s="101"/>
      <c r="AE233" s="96"/>
      <c r="AF233" s="96"/>
      <c r="AG233" s="101"/>
      <c r="AH233" s="96"/>
      <c r="AI233" s="96"/>
      <c r="AJ233" s="101"/>
      <c r="AK233" s="84">
        <f t="shared" si="15"/>
        <v>4</v>
      </c>
      <c r="AL233" s="24">
        <f>YEAR(Tableau3[[#This Row],[Date]])</f>
        <v>2020</v>
      </c>
      <c r="AM233" s="92">
        <f>IFERROR(((Tableau3[[#This Row],[QTY Produite]]/1000)*VLOOKUP(Tableau3[[#This Row],[Machine]],Liste!$A:$B,2))/Tableau3[[#This Row],[Heures Macines]],"0")</f>
        <v>0</v>
      </c>
      <c r="AN233" s="24" t="str">
        <f>VLOOKUP(Tableau3[[#This Row],[Opérateur 1]],Liste!$K$2:$M$68,3,FALSE)</f>
        <v>Déco</v>
      </c>
    </row>
    <row r="234" spans="1:40" s="24" customFormat="1" x14ac:dyDescent="0.25">
      <c r="A234" s="93">
        <v>43938</v>
      </c>
      <c r="B234" s="94" t="s">
        <v>19</v>
      </c>
      <c r="C234" s="16" t="s">
        <v>63</v>
      </c>
      <c r="D234" s="95" t="s">
        <v>11</v>
      </c>
      <c r="E234" s="94" t="s">
        <v>121</v>
      </c>
      <c r="F234" s="96">
        <v>8</v>
      </c>
      <c r="G234" s="94"/>
      <c r="H234" s="96"/>
      <c r="I234" s="91" t="s">
        <v>169</v>
      </c>
      <c r="J234" s="97">
        <v>171072</v>
      </c>
      <c r="K234" s="97">
        <v>26400</v>
      </c>
      <c r="L234" s="97">
        <v>30000</v>
      </c>
      <c r="M23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4" s="97">
        <v>500</v>
      </c>
      <c r="O234" s="20">
        <v>650</v>
      </c>
      <c r="P234" s="98">
        <v>90</v>
      </c>
      <c r="Q234" s="99">
        <f>IFERROR((Tableau3[[#This Row],[QTY Produite]]/1000)*((1000/Tableau3[[#This Row],[Cadence]])/60)/Tableau3[[#This Row],[Heures Macines]],"0")</f>
        <v>0.61111111111111105</v>
      </c>
      <c r="R234" s="100">
        <v>62</v>
      </c>
      <c r="S234" s="96"/>
      <c r="T234" s="18"/>
      <c r="U234" s="101"/>
      <c r="V234" s="96"/>
      <c r="W234" s="96"/>
      <c r="X234" s="101"/>
      <c r="Y234" s="96"/>
      <c r="Z234" s="96"/>
      <c r="AA234" s="101"/>
      <c r="AB234" s="96"/>
      <c r="AC234" s="96"/>
      <c r="AD234" s="101"/>
      <c r="AE234" s="96"/>
      <c r="AF234" s="96"/>
      <c r="AG234" s="101"/>
      <c r="AH234" s="96"/>
      <c r="AI234" s="96"/>
      <c r="AJ234" s="101"/>
      <c r="AK234" s="84">
        <f t="shared" si="15"/>
        <v>4</v>
      </c>
      <c r="AL234" s="24">
        <f>YEAR(Tableau3[[#This Row],[Date]])</f>
        <v>2020</v>
      </c>
      <c r="AM234" s="92">
        <f>IFERROR(((Tableau3[[#This Row],[QTY Produite]]/1000)*VLOOKUP(Tableau3[[#This Row],[Machine]],Liste!$A:$B,2))/Tableau3[[#This Row],[Heures Macines]],"0")</f>
        <v>1.32</v>
      </c>
      <c r="AN234" s="24" t="str">
        <f>VLOOKUP(Tableau3[[#This Row],[Opérateur 1]],Liste!$K$2:$M$68,3,FALSE)</f>
        <v>Imp</v>
      </c>
    </row>
    <row r="235" spans="1:40" s="24" customFormat="1" x14ac:dyDescent="0.25">
      <c r="A235" s="93">
        <v>43938</v>
      </c>
      <c r="B235" s="94" t="s">
        <v>19</v>
      </c>
      <c r="C235" s="16" t="s">
        <v>63</v>
      </c>
      <c r="D235" s="95" t="s">
        <v>24</v>
      </c>
      <c r="E235" s="94" t="s">
        <v>114</v>
      </c>
      <c r="F235" s="96">
        <v>8</v>
      </c>
      <c r="G235" s="94"/>
      <c r="H235" s="96"/>
      <c r="I235" s="91">
        <v>22010</v>
      </c>
      <c r="J235" s="97">
        <v>152295</v>
      </c>
      <c r="K235" s="97">
        <v>17444</v>
      </c>
      <c r="L235" s="97">
        <v>137200</v>
      </c>
      <c r="M23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5" s="97">
        <v>456</v>
      </c>
      <c r="O235" s="20">
        <v>0</v>
      </c>
      <c r="P235" s="98">
        <v>40</v>
      </c>
      <c r="Q235" s="99">
        <f>IFERROR((Tableau3[[#This Row],[QTY Produite]]/1000)*((1000/Tableau3[[#This Row],[Cadence]])/60)/Tableau3[[#This Row],[Heures Macines]],"0")</f>
        <v>0.90854166666666669</v>
      </c>
      <c r="R235" s="100">
        <v>91</v>
      </c>
      <c r="S235" s="96"/>
      <c r="T235" s="18"/>
      <c r="U235" s="101"/>
      <c r="V235" s="96"/>
      <c r="W235" s="96"/>
      <c r="X235" s="101"/>
      <c r="Y235" s="96"/>
      <c r="Z235" s="96"/>
      <c r="AA235" s="101"/>
      <c r="AB235" s="96"/>
      <c r="AC235" s="96"/>
      <c r="AD235" s="101"/>
      <c r="AE235" s="96"/>
      <c r="AF235" s="96"/>
      <c r="AG235" s="101"/>
      <c r="AH235" s="96"/>
      <c r="AI235" s="96"/>
      <c r="AJ235" s="101"/>
      <c r="AK235" s="84">
        <f t="shared" si="15"/>
        <v>4</v>
      </c>
      <c r="AL235" s="24">
        <f>YEAR(Tableau3[[#This Row],[Date]])</f>
        <v>2020</v>
      </c>
      <c r="AM235" s="92">
        <f>IFERROR(((Tableau3[[#This Row],[QTY Produite]]/1000)*VLOOKUP(Tableau3[[#This Row],[Machine]],Liste!$A:$B,2))/Tableau3[[#This Row],[Heures Macines]],"0")</f>
        <v>1.0902499999999999</v>
      </c>
      <c r="AN235" s="24" t="str">
        <f>VLOOKUP(Tableau3[[#This Row],[Opérateur 1]],Liste!$K$2:$M$68,3,FALSE)</f>
        <v>Multi</v>
      </c>
    </row>
    <row r="236" spans="1:40" s="24" customFormat="1" x14ac:dyDescent="0.25">
      <c r="A236" s="93">
        <v>43938</v>
      </c>
      <c r="B236" s="94" t="s">
        <v>19</v>
      </c>
      <c r="C236" s="16" t="s">
        <v>63</v>
      </c>
      <c r="D236" s="95" t="s">
        <v>22</v>
      </c>
      <c r="E236" s="94" t="s">
        <v>125</v>
      </c>
      <c r="F236" s="96">
        <v>8</v>
      </c>
      <c r="G236" s="94"/>
      <c r="H236" s="96"/>
      <c r="I236" s="91">
        <v>25860</v>
      </c>
      <c r="J236" s="97">
        <v>526331</v>
      </c>
      <c r="K236" s="97">
        <v>29760</v>
      </c>
      <c r="L236" s="97">
        <v>78960</v>
      </c>
      <c r="M23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6" s="97">
        <v>1301</v>
      </c>
      <c r="O236" s="20">
        <v>1422</v>
      </c>
      <c r="P236" s="98">
        <v>80</v>
      </c>
      <c r="Q236" s="99">
        <f>IFERROR((Tableau3[[#This Row],[QTY Produite]]/1000)*((1000/Tableau3[[#This Row],[Cadence]])/60)/Tableau3[[#This Row],[Heures Macines]],"0")</f>
        <v>0.77500000000000002</v>
      </c>
      <c r="R236" s="100">
        <v>78</v>
      </c>
      <c r="S236" s="96"/>
      <c r="T236" s="18"/>
      <c r="U236" s="101"/>
      <c r="V236" s="96"/>
      <c r="W236" s="96"/>
      <c r="X236" s="101"/>
      <c r="Y236" s="96"/>
      <c r="Z236" s="96"/>
      <c r="AA236" s="101"/>
      <c r="AB236" s="96"/>
      <c r="AC236" s="96"/>
      <c r="AD236" s="101"/>
      <c r="AE236" s="96"/>
      <c r="AF236" s="96"/>
      <c r="AG236" s="101"/>
      <c r="AH236" s="96"/>
      <c r="AI236" s="96"/>
      <c r="AJ236" s="101"/>
      <c r="AK236" s="84">
        <f t="shared" si="15"/>
        <v>4</v>
      </c>
      <c r="AL236" s="24">
        <f>YEAR(Tableau3[[#This Row],[Date]])</f>
        <v>2020</v>
      </c>
      <c r="AM236" s="92">
        <f>IFERROR(((Tableau3[[#This Row],[QTY Produite]]/1000)*VLOOKUP(Tableau3[[#This Row],[Machine]],Liste!$A:$B,2))/Tableau3[[#This Row],[Heures Macines]],"0")</f>
        <v>1.1160000000000001</v>
      </c>
      <c r="AN236" s="24" t="str">
        <f>VLOOKUP(Tableau3[[#This Row],[Opérateur 1]],Liste!$K$2:$M$68,3,FALSE)</f>
        <v>Multi</v>
      </c>
    </row>
    <row r="237" spans="1:40" s="24" customFormat="1" x14ac:dyDescent="0.25">
      <c r="A237" s="93">
        <v>43938</v>
      </c>
      <c r="B237" s="94" t="s">
        <v>19</v>
      </c>
      <c r="C237" s="16" t="s">
        <v>63</v>
      </c>
      <c r="D237" s="95" t="s">
        <v>20</v>
      </c>
      <c r="E237" s="94" t="s">
        <v>127</v>
      </c>
      <c r="F237" s="96">
        <v>8</v>
      </c>
      <c r="G237" s="94"/>
      <c r="H237" s="96"/>
      <c r="I237" s="91">
        <v>24550</v>
      </c>
      <c r="J237" s="97">
        <v>144797</v>
      </c>
      <c r="K237" s="97">
        <v>21560</v>
      </c>
      <c r="L237" s="97">
        <v>104860</v>
      </c>
      <c r="M23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7" s="97">
        <v>1261</v>
      </c>
      <c r="O237" s="20">
        <v>85</v>
      </c>
      <c r="P237" s="98">
        <v>54</v>
      </c>
      <c r="Q237" s="99">
        <f>IFERROR((Tableau3[[#This Row],[QTY Produite]]/1000)*((1000/Tableau3[[#This Row],[Cadence]])/60)/Tableau3[[#This Row],[Heures Macines]],"0")</f>
        <v>0.83179012345679004</v>
      </c>
      <c r="R237" s="100">
        <v>83</v>
      </c>
      <c r="S237" s="96"/>
      <c r="T237" s="18"/>
      <c r="U237" s="101"/>
      <c r="V237" s="96"/>
      <c r="W237" s="96"/>
      <c r="X237" s="101"/>
      <c r="Y237" s="96"/>
      <c r="Z237" s="96"/>
      <c r="AA237" s="101"/>
      <c r="AB237" s="96"/>
      <c r="AC237" s="96"/>
      <c r="AD237" s="101"/>
      <c r="AE237" s="96"/>
      <c r="AF237" s="96"/>
      <c r="AG237" s="101"/>
      <c r="AH237" s="96"/>
      <c r="AI237" s="96"/>
      <c r="AJ237" s="101"/>
      <c r="AK237" s="84">
        <f t="shared" si="15"/>
        <v>4</v>
      </c>
      <c r="AL237" s="24">
        <f>YEAR(Tableau3[[#This Row],[Date]])</f>
        <v>2020</v>
      </c>
      <c r="AM237" s="92">
        <f>IFERROR(((Tableau3[[#This Row],[QTY Produite]]/1000)*VLOOKUP(Tableau3[[#This Row],[Machine]],Liste!$A:$B,2))/Tableau3[[#This Row],[Heures Macines]],"0")</f>
        <v>0.97019999999999995</v>
      </c>
      <c r="AN237" s="24" t="str">
        <f>VLOOKUP(Tableau3[[#This Row],[Opérateur 1]],Liste!$K$2:$M$68,3,FALSE)</f>
        <v>Multi</v>
      </c>
    </row>
    <row r="238" spans="1:40" s="24" customFormat="1" x14ac:dyDescent="0.25">
      <c r="A238" s="93">
        <v>43938</v>
      </c>
      <c r="B238" s="94" t="s">
        <v>19</v>
      </c>
      <c r="C238" s="16" t="s">
        <v>63</v>
      </c>
      <c r="D238" s="95" t="s">
        <v>14</v>
      </c>
      <c r="E238" s="94" t="s">
        <v>139</v>
      </c>
      <c r="F238" s="96">
        <v>8</v>
      </c>
      <c r="G238" s="94"/>
      <c r="H238" s="96"/>
      <c r="I238" s="91">
        <v>24983</v>
      </c>
      <c r="J238" s="97">
        <v>99524</v>
      </c>
      <c r="K238" s="97">
        <v>14097</v>
      </c>
      <c r="L238" s="97">
        <v>49022</v>
      </c>
      <c r="M238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38" s="97">
        <v>107</v>
      </c>
      <c r="O238" s="20">
        <v>115</v>
      </c>
      <c r="P238" s="98">
        <v>31</v>
      </c>
      <c r="Q238" s="99">
        <f>IFERROR((Tableau3[[#This Row],[QTY Produite]]/1000)*((1000/Tableau3[[#This Row],[Cadence]])/60)/Tableau3[[#This Row],[Heures Macines]],"0")</f>
        <v>0.94737903225806441</v>
      </c>
      <c r="R238" s="100">
        <v>95</v>
      </c>
      <c r="S238" s="96"/>
      <c r="T238" s="18"/>
      <c r="U238" s="101"/>
      <c r="V238" s="96"/>
      <c r="W238" s="96"/>
      <c r="X238" s="101"/>
      <c r="Y238" s="96"/>
      <c r="Z238" s="96"/>
      <c r="AA238" s="101"/>
      <c r="AB238" s="96"/>
      <c r="AC238" s="96"/>
      <c r="AD238" s="101"/>
      <c r="AE238" s="96"/>
      <c r="AF238" s="96"/>
      <c r="AG238" s="101"/>
      <c r="AH238" s="96"/>
      <c r="AI238" s="96"/>
      <c r="AJ238" s="101"/>
      <c r="AK238" s="84">
        <f t="shared" si="15"/>
        <v>4</v>
      </c>
      <c r="AL238" s="24">
        <f>YEAR(Tableau3[[#This Row],[Date]])</f>
        <v>2020</v>
      </c>
      <c r="AM238" s="92">
        <f>IFERROR(((Tableau3[[#This Row],[QTY Produite]]/1000)*VLOOKUP(Tableau3[[#This Row],[Machine]],Liste!$A:$B,2))/Tableau3[[#This Row],[Heures Macines]],"0")</f>
        <v>0.79295625000000003</v>
      </c>
      <c r="AN238" s="24" t="str">
        <f>VLOOKUP(Tableau3[[#This Row],[Opérateur 1]],Liste!$K$2:$M$68,3,FALSE)</f>
        <v>Mono</v>
      </c>
    </row>
    <row r="239" spans="1:40" s="24" customFormat="1" x14ac:dyDescent="0.25">
      <c r="A239" s="93">
        <v>43938</v>
      </c>
      <c r="B239" s="94" t="s">
        <v>13</v>
      </c>
      <c r="C239" s="16" t="s">
        <v>102</v>
      </c>
      <c r="D239" s="95" t="s">
        <v>30</v>
      </c>
      <c r="E239" s="94" t="s">
        <v>116</v>
      </c>
      <c r="F239" s="96">
        <v>2.25</v>
      </c>
      <c r="G239" s="94"/>
      <c r="H239" s="96"/>
      <c r="I239" s="91" t="s">
        <v>174</v>
      </c>
      <c r="J239" s="97">
        <v>66000</v>
      </c>
      <c r="K239" s="97">
        <v>0</v>
      </c>
      <c r="L239" s="97">
        <v>0</v>
      </c>
      <c r="M239" s="18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2.25</v>
      </c>
      <c r="N239" s="97">
        <v>0</v>
      </c>
      <c r="O239" s="20">
        <v>0</v>
      </c>
      <c r="P239" s="98">
        <v>0</v>
      </c>
      <c r="Q239" s="99" t="str">
        <f>IFERROR((Tableau3[[#This Row],[QTY Produite]]/1000)*((1000/Tableau3[[#This Row],[Cadence]])/60)/Tableau3[[#This Row],[Heures Macines]],"0")</f>
        <v>0</v>
      </c>
      <c r="R239" s="100">
        <v>0</v>
      </c>
      <c r="S239" s="96"/>
      <c r="T239" s="18"/>
      <c r="U239" s="101"/>
      <c r="V239" s="96"/>
      <c r="W239" s="96"/>
      <c r="X239" s="101"/>
      <c r="Y239" s="96"/>
      <c r="Z239" s="96"/>
      <c r="AA239" s="101"/>
      <c r="AB239" s="96"/>
      <c r="AC239" s="96"/>
      <c r="AD239" s="101"/>
      <c r="AE239" s="96"/>
      <c r="AF239" s="96"/>
      <c r="AG239" s="101"/>
      <c r="AH239" s="96"/>
      <c r="AI239" s="96"/>
      <c r="AJ239" s="101"/>
      <c r="AK239" s="84">
        <f t="shared" si="15"/>
        <v>4</v>
      </c>
      <c r="AL239" s="24">
        <f>YEAR(Tableau3[[#This Row],[Date]])</f>
        <v>2020</v>
      </c>
      <c r="AM239" s="92">
        <f>IFERROR(((Tableau3[[#This Row],[QTY Produite]]/1000)*VLOOKUP(Tableau3[[#This Row],[Machine]],Liste!$A:$B,2))/Tableau3[[#This Row],[Heures Macines]],"0")</f>
        <v>0</v>
      </c>
      <c r="AN239" s="24" t="str">
        <f>VLOOKUP(Tableau3[[#This Row],[Opérateur 1]],Liste!$K$2:$M$68,3,FALSE)</f>
        <v>Déco</v>
      </c>
    </row>
    <row r="240" spans="1:40" s="24" customFormat="1" x14ac:dyDescent="0.25">
      <c r="A240" s="93">
        <v>43937</v>
      </c>
      <c r="B240" s="94" t="s">
        <v>19</v>
      </c>
      <c r="C240" s="16" t="s">
        <v>63</v>
      </c>
      <c r="D240" s="95" t="s">
        <v>24</v>
      </c>
      <c r="E240" s="94" t="s">
        <v>114</v>
      </c>
      <c r="F240" s="96">
        <v>8</v>
      </c>
      <c r="G240" s="94"/>
      <c r="H240" s="96"/>
      <c r="I240" s="91">
        <v>22010</v>
      </c>
      <c r="J240" s="97">
        <v>152295</v>
      </c>
      <c r="K240" s="97">
        <v>17444</v>
      </c>
      <c r="L240" s="97">
        <v>137200</v>
      </c>
      <c r="M24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0" s="97">
        <v>388</v>
      </c>
      <c r="O240" s="20">
        <v>-62</v>
      </c>
      <c r="P240" s="98">
        <v>40</v>
      </c>
      <c r="Q240" s="99">
        <f>IFERROR((Tableau3[[#This Row],[QTY Produite]]/1000)*((1000/Tableau3[[#This Row],[Cadence]])/60)/Tableau3[[#This Row],[Heures Macines]],"0")</f>
        <v>0.90854166666666669</v>
      </c>
      <c r="R240" s="100">
        <v>60</v>
      </c>
      <c r="S240" s="96"/>
      <c r="T240" s="18"/>
      <c r="U240" s="101"/>
      <c r="V240" s="96"/>
      <c r="W240" s="96"/>
      <c r="X240" s="101"/>
      <c r="Y240" s="96"/>
      <c r="Z240" s="96"/>
      <c r="AA240" s="101"/>
      <c r="AB240" s="96"/>
      <c r="AC240" s="96"/>
      <c r="AD240" s="101"/>
      <c r="AE240" s="96"/>
      <c r="AF240" s="96"/>
      <c r="AG240" s="101"/>
      <c r="AH240" s="96"/>
      <c r="AI240" s="96"/>
      <c r="AJ240" s="101"/>
      <c r="AK240" s="84">
        <f t="shared" ref="AK240:AK291" si="16">MONTH(A240)</f>
        <v>4</v>
      </c>
      <c r="AL240" s="24">
        <f>YEAR(Tableau3[[#This Row],[Date]])</f>
        <v>2020</v>
      </c>
      <c r="AM240" s="92">
        <f>IFERROR(((Tableau3[[#This Row],[QTY Produite]]/1000)*VLOOKUP(Tableau3[[#This Row],[Machine]],Liste!$A:$B,2))/Tableau3[[#This Row],[Heures Macines]],"0")</f>
        <v>1.0902499999999999</v>
      </c>
      <c r="AN240" s="24" t="str">
        <f>VLOOKUP(Tableau3[[#This Row],[Opérateur 1]],Liste!$K$2:$M$68,3,FALSE)</f>
        <v>Multi</v>
      </c>
    </row>
    <row r="241" spans="1:40" s="24" customFormat="1" x14ac:dyDescent="0.25">
      <c r="A241" s="93">
        <v>43937</v>
      </c>
      <c r="B241" s="94" t="s">
        <v>16</v>
      </c>
      <c r="C241" s="16" t="s">
        <v>62</v>
      </c>
      <c r="D241" s="95" t="s">
        <v>14</v>
      </c>
      <c r="E241" s="94" t="s">
        <v>112</v>
      </c>
      <c r="F241" s="96">
        <v>8</v>
      </c>
      <c r="G241" s="94"/>
      <c r="H241" s="96"/>
      <c r="I241" s="91">
        <v>24983</v>
      </c>
      <c r="J241" s="97">
        <v>99524</v>
      </c>
      <c r="K241" s="97">
        <v>13716</v>
      </c>
      <c r="L241" s="97">
        <v>34925</v>
      </c>
      <c r="M24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1" s="97">
        <v>178</v>
      </c>
      <c r="O241" s="20">
        <v>46</v>
      </c>
      <c r="P241" s="98">
        <v>31</v>
      </c>
      <c r="Q241" s="99">
        <f>IFERROR((Tableau3[[#This Row],[QTY Produite]]/1000)*((1000/Tableau3[[#This Row],[Cadence]])/60)/Tableau3[[#This Row],[Heures Macines]],"0")</f>
        <v>0.92177419354838697</v>
      </c>
      <c r="R241" s="100">
        <v>92</v>
      </c>
      <c r="S241" s="96"/>
      <c r="T241" s="18"/>
      <c r="U241" s="101"/>
      <c r="V241" s="96"/>
      <c r="W241" s="96"/>
      <c r="X241" s="101"/>
      <c r="Y241" s="96"/>
      <c r="Z241" s="96"/>
      <c r="AA241" s="101"/>
      <c r="AB241" s="96"/>
      <c r="AC241" s="96"/>
      <c r="AD241" s="101"/>
      <c r="AE241" s="96"/>
      <c r="AF241" s="96"/>
      <c r="AG241" s="101"/>
      <c r="AH241" s="96"/>
      <c r="AI241" s="96"/>
      <c r="AJ241" s="101"/>
      <c r="AK241" s="84">
        <f t="shared" si="16"/>
        <v>4</v>
      </c>
      <c r="AL241" s="24">
        <f>YEAR(Tableau3[[#This Row],[Date]])</f>
        <v>2020</v>
      </c>
      <c r="AM241" s="92">
        <f>IFERROR(((Tableau3[[#This Row],[QTY Produite]]/1000)*VLOOKUP(Tableau3[[#This Row],[Machine]],Liste!$A:$B,2))/Tableau3[[#This Row],[Heures Macines]],"0")</f>
        <v>0.77152500000000002</v>
      </c>
      <c r="AN241" s="24" t="str">
        <f>VLOOKUP(Tableau3[[#This Row],[Opérateur 1]],Liste!$K$2:$M$68,3,FALSE)</f>
        <v>Mono</v>
      </c>
    </row>
    <row r="242" spans="1:40" s="24" customFormat="1" x14ac:dyDescent="0.25">
      <c r="A242" s="93">
        <v>43937</v>
      </c>
      <c r="B242" s="94" t="s">
        <v>19</v>
      </c>
      <c r="C242" s="16" t="s">
        <v>63</v>
      </c>
      <c r="D242" s="95" t="s">
        <v>22</v>
      </c>
      <c r="E242" s="94" t="s">
        <v>125</v>
      </c>
      <c r="F242" s="96">
        <v>3</v>
      </c>
      <c r="G242" s="94"/>
      <c r="H242" s="96"/>
      <c r="I242" s="91">
        <v>25860</v>
      </c>
      <c r="J242" s="97">
        <v>526332</v>
      </c>
      <c r="K242" s="97">
        <v>0</v>
      </c>
      <c r="L242" s="97">
        <v>0</v>
      </c>
      <c r="M24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242" s="97">
        <v>0</v>
      </c>
      <c r="O242" s="20">
        <v>0</v>
      </c>
      <c r="P242" s="98"/>
      <c r="Q242" s="99" t="str">
        <f>IFERROR((Tableau3[[#This Row],[QTY Produite]]/1000)*((1000/Tableau3[[#This Row],[Cadence]])/60)/Tableau3[[#This Row],[Heures Macines]],"0")</f>
        <v>0</v>
      </c>
      <c r="R242" s="100"/>
      <c r="S242" s="96"/>
      <c r="T242" s="18"/>
      <c r="U242" s="101" t="s">
        <v>157</v>
      </c>
      <c r="V242" s="96"/>
      <c r="W242" s="96"/>
      <c r="X242" s="101"/>
      <c r="Y242" s="96"/>
      <c r="Z242" s="96"/>
      <c r="AA242" s="101"/>
      <c r="AB242" s="96"/>
      <c r="AC242" s="96"/>
      <c r="AD242" s="101"/>
      <c r="AE242" s="96"/>
      <c r="AF242" s="96"/>
      <c r="AG242" s="101"/>
      <c r="AH242" s="96"/>
      <c r="AI242" s="96"/>
      <c r="AJ242" s="101"/>
      <c r="AK242" s="84">
        <f t="shared" si="16"/>
        <v>4</v>
      </c>
      <c r="AL242" s="24">
        <f>YEAR(Tableau3[[#This Row],[Date]])</f>
        <v>2020</v>
      </c>
      <c r="AM242" s="92">
        <f>IFERROR(((Tableau3[[#This Row],[QTY Produite]]/1000)*VLOOKUP(Tableau3[[#This Row],[Machine]],Liste!$A:$B,2))/Tableau3[[#This Row],[Heures Macines]],"0")</f>
        <v>0</v>
      </c>
      <c r="AN242" s="24" t="str">
        <f>VLOOKUP(Tableau3[[#This Row],[Opérateur 1]],Liste!$K$2:$M$68,3,FALSE)</f>
        <v>Multi</v>
      </c>
    </row>
    <row r="243" spans="1:40" s="24" customFormat="1" x14ac:dyDescent="0.25">
      <c r="A243" s="93">
        <v>43937</v>
      </c>
      <c r="B243" s="94" t="s">
        <v>19</v>
      </c>
      <c r="C243" s="16" t="s">
        <v>63</v>
      </c>
      <c r="D243" s="95" t="s">
        <v>22</v>
      </c>
      <c r="E243" s="94" t="s">
        <v>125</v>
      </c>
      <c r="F243" s="96">
        <v>5</v>
      </c>
      <c r="G243" s="94"/>
      <c r="H243" s="96"/>
      <c r="I243" s="91">
        <v>25073</v>
      </c>
      <c r="J243" s="97">
        <v>196505</v>
      </c>
      <c r="K243" s="97">
        <v>20880</v>
      </c>
      <c r="L243" s="97">
        <v>196560</v>
      </c>
      <c r="M24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243" s="97">
        <v>-54</v>
      </c>
      <c r="O243" s="20">
        <v>132</v>
      </c>
      <c r="P243" s="98">
        <v>80</v>
      </c>
      <c r="Q243" s="99">
        <f>IFERROR((Tableau3[[#This Row],[QTY Produite]]/1000)*((1000/Tableau3[[#This Row],[Cadence]])/60)/Tableau3[[#This Row],[Heures Macines]],"0")</f>
        <v>0.86999999999999988</v>
      </c>
      <c r="R243" s="100">
        <v>83</v>
      </c>
      <c r="S243" s="96"/>
      <c r="T243" s="18"/>
      <c r="U243" s="101" t="s">
        <v>156</v>
      </c>
      <c r="V243" s="96"/>
      <c r="W243" s="96"/>
      <c r="X243" s="101"/>
      <c r="Y243" s="96"/>
      <c r="Z243" s="96"/>
      <c r="AA243" s="101"/>
      <c r="AB243" s="96"/>
      <c r="AC243" s="96"/>
      <c r="AD243" s="101"/>
      <c r="AE243" s="96"/>
      <c r="AF243" s="96"/>
      <c r="AG243" s="101"/>
      <c r="AH243" s="96"/>
      <c r="AI243" s="96"/>
      <c r="AJ243" s="101"/>
      <c r="AK243" s="84">
        <f t="shared" si="16"/>
        <v>4</v>
      </c>
      <c r="AL243" s="24">
        <f>YEAR(Tableau3[[#This Row],[Date]])</f>
        <v>2020</v>
      </c>
      <c r="AM243" s="92">
        <f>IFERROR(((Tableau3[[#This Row],[QTY Produite]]/1000)*VLOOKUP(Tableau3[[#This Row],[Machine]],Liste!$A:$B,2))/Tableau3[[#This Row],[Heures Macines]],"0")</f>
        <v>1.2527999999999999</v>
      </c>
      <c r="AN243" s="24" t="str">
        <f>VLOOKUP(Tableau3[[#This Row],[Opérateur 1]],Liste!$K$2:$M$68,3,FALSE)</f>
        <v>Multi</v>
      </c>
    </row>
    <row r="244" spans="1:40" s="24" customFormat="1" x14ac:dyDescent="0.25">
      <c r="A244" s="93">
        <v>43937</v>
      </c>
      <c r="B244" s="94" t="s">
        <v>16</v>
      </c>
      <c r="C244" s="16" t="s">
        <v>62</v>
      </c>
      <c r="D244" s="95" t="s">
        <v>24</v>
      </c>
      <c r="E244" s="94" t="s">
        <v>136</v>
      </c>
      <c r="F244" s="96">
        <v>8</v>
      </c>
      <c r="G244" s="94"/>
      <c r="H244" s="96"/>
      <c r="I244" s="91">
        <v>22010</v>
      </c>
      <c r="J244" s="97">
        <v>152295</v>
      </c>
      <c r="K244" s="97">
        <v>14896</v>
      </c>
      <c r="L244" s="97">
        <v>119756</v>
      </c>
      <c r="M24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4" s="97">
        <v>643</v>
      </c>
      <c r="O244" s="20">
        <v>164</v>
      </c>
      <c r="P244" s="98">
        <v>40</v>
      </c>
      <c r="Q244" s="99">
        <f>IFERROR((Tableau3[[#This Row],[QTY Produite]]/1000)*((1000/Tableau3[[#This Row],[Cadence]])/60)/Tableau3[[#This Row],[Heures Macines]],"0")</f>
        <v>0.77583333333333337</v>
      </c>
      <c r="R244" s="100">
        <v>78</v>
      </c>
      <c r="S244" s="96"/>
      <c r="T244" s="18"/>
      <c r="U244" s="101"/>
      <c r="V244" s="96"/>
      <c r="W244" s="96"/>
      <c r="X244" s="101"/>
      <c r="Y244" s="96"/>
      <c r="Z244" s="96"/>
      <c r="AA244" s="101"/>
      <c r="AB244" s="96"/>
      <c r="AC244" s="96"/>
      <c r="AD244" s="101"/>
      <c r="AE244" s="96"/>
      <c r="AF244" s="96"/>
      <c r="AG244" s="101"/>
      <c r="AH244" s="96"/>
      <c r="AI244" s="96"/>
      <c r="AJ244" s="101"/>
      <c r="AK244" s="84">
        <f t="shared" si="16"/>
        <v>4</v>
      </c>
      <c r="AL244" s="24">
        <f>YEAR(Tableau3[[#This Row],[Date]])</f>
        <v>2020</v>
      </c>
      <c r="AM244" s="92">
        <f>IFERROR(((Tableau3[[#This Row],[QTY Produite]]/1000)*VLOOKUP(Tableau3[[#This Row],[Machine]],Liste!$A:$B,2))/Tableau3[[#This Row],[Heures Macines]],"0")</f>
        <v>0.93100000000000005</v>
      </c>
      <c r="AN244" s="24" t="str">
        <f>VLOOKUP(Tableau3[[#This Row],[Opérateur 1]],Liste!$K$2:$M$68,3,FALSE)</f>
        <v>Multi</v>
      </c>
    </row>
    <row r="245" spans="1:40" s="24" customFormat="1" x14ac:dyDescent="0.25">
      <c r="A245" s="93">
        <v>43937</v>
      </c>
      <c r="B245" s="94" t="s">
        <v>19</v>
      </c>
      <c r="C245" s="16" t="s">
        <v>63</v>
      </c>
      <c r="D245" s="95" t="s">
        <v>14</v>
      </c>
      <c r="E245" s="94" t="s">
        <v>139</v>
      </c>
      <c r="F245" s="96">
        <v>8</v>
      </c>
      <c r="G245" s="94"/>
      <c r="H245" s="96"/>
      <c r="I245" s="91">
        <v>24983</v>
      </c>
      <c r="J245" s="97">
        <v>99524</v>
      </c>
      <c r="K245" s="97">
        <v>13843</v>
      </c>
      <c r="L245" s="97">
        <v>21209</v>
      </c>
      <c r="M24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5" s="97">
        <v>100</v>
      </c>
      <c r="O245" s="20">
        <v>100</v>
      </c>
      <c r="P245" s="98">
        <v>31</v>
      </c>
      <c r="Q245" s="99">
        <f>IFERROR((Tableau3[[#This Row],[QTY Produite]]/1000)*((1000/Tableau3[[#This Row],[Cadence]])/60)/Tableau3[[#This Row],[Heures Macines]],"0")</f>
        <v>0.93030913978494623</v>
      </c>
      <c r="R245" s="100">
        <v>93</v>
      </c>
      <c r="S245" s="96"/>
      <c r="T245" s="18"/>
      <c r="U245" s="101"/>
      <c r="V245" s="96"/>
      <c r="W245" s="96"/>
      <c r="X245" s="101"/>
      <c r="Y245" s="96"/>
      <c r="Z245" s="96"/>
      <c r="AA245" s="101"/>
      <c r="AB245" s="96"/>
      <c r="AC245" s="96"/>
      <c r="AD245" s="101"/>
      <c r="AE245" s="96"/>
      <c r="AF245" s="96"/>
      <c r="AG245" s="101"/>
      <c r="AH245" s="96"/>
      <c r="AI245" s="96"/>
      <c r="AJ245" s="101"/>
      <c r="AK245" s="84">
        <f t="shared" si="16"/>
        <v>4</v>
      </c>
      <c r="AL245" s="24">
        <f>YEAR(Tableau3[[#This Row],[Date]])</f>
        <v>2020</v>
      </c>
      <c r="AM245" s="92">
        <f>IFERROR(((Tableau3[[#This Row],[QTY Produite]]/1000)*VLOOKUP(Tableau3[[#This Row],[Machine]],Liste!$A:$B,2))/Tableau3[[#This Row],[Heures Macines]],"0")</f>
        <v>0.77866875000000002</v>
      </c>
      <c r="AN245" s="24" t="str">
        <f>VLOOKUP(Tableau3[[#This Row],[Opérateur 1]],Liste!$K$2:$M$68,3,FALSE)</f>
        <v>Mono</v>
      </c>
    </row>
    <row r="246" spans="1:40" s="24" customFormat="1" x14ac:dyDescent="0.25">
      <c r="A246" s="93">
        <v>43937</v>
      </c>
      <c r="B246" s="94" t="s">
        <v>16</v>
      </c>
      <c r="C246" s="16" t="s">
        <v>62</v>
      </c>
      <c r="D246" s="95" t="s">
        <v>20</v>
      </c>
      <c r="E246" s="94" t="s">
        <v>124</v>
      </c>
      <c r="F246" s="96">
        <v>8</v>
      </c>
      <c r="G246" s="94"/>
      <c r="H246" s="96"/>
      <c r="I246" s="91">
        <v>24550</v>
      </c>
      <c r="J246" s="97">
        <v>144797</v>
      </c>
      <c r="K246" s="97">
        <v>15876</v>
      </c>
      <c r="L246" s="97">
        <v>83300</v>
      </c>
      <c r="M24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6" s="97">
        <v>2023</v>
      </c>
      <c r="O246" s="20">
        <v>128</v>
      </c>
      <c r="P246" s="98">
        <v>54</v>
      </c>
      <c r="Q246" s="99">
        <f>IFERROR((Tableau3[[#This Row],[QTY Produite]]/1000)*((1000/Tableau3[[#This Row],[Cadence]])/60)/Tableau3[[#This Row],[Heures Macines]],"0")</f>
        <v>0.61249999999999993</v>
      </c>
      <c r="R246" s="100">
        <v>61</v>
      </c>
      <c r="S246" s="96"/>
      <c r="T246" s="18"/>
      <c r="U246" s="101"/>
      <c r="V246" s="96"/>
      <c r="W246" s="96"/>
      <c r="X246" s="101"/>
      <c r="Y246" s="96"/>
      <c r="Z246" s="96"/>
      <c r="AA246" s="101"/>
      <c r="AB246" s="96"/>
      <c r="AC246" s="96"/>
      <c r="AD246" s="101"/>
      <c r="AE246" s="96"/>
      <c r="AF246" s="96"/>
      <c r="AG246" s="101"/>
      <c r="AH246" s="96"/>
      <c r="AI246" s="96"/>
      <c r="AJ246" s="101"/>
      <c r="AK246" s="84">
        <f t="shared" si="16"/>
        <v>4</v>
      </c>
      <c r="AL246" s="24">
        <f>YEAR(Tableau3[[#This Row],[Date]])</f>
        <v>2020</v>
      </c>
      <c r="AM246" s="92">
        <f>IFERROR(((Tableau3[[#This Row],[QTY Produite]]/1000)*VLOOKUP(Tableau3[[#This Row],[Machine]],Liste!$A:$B,2))/Tableau3[[#This Row],[Heures Macines]],"0")</f>
        <v>0.71441999999999994</v>
      </c>
      <c r="AN246" s="24" t="str">
        <f>VLOOKUP(Tableau3[[#This Row],[Opérateur 1]],Liste!$K$2:$M$68,3,FALSE)</f>
        <v>Multi</v>
      </c>
    </row>
    <row r="247" spans="1:40" s="24" customFormat="1" x14ac:dyDescent="0.25">
      <c r="A247" s="93">
        <v>43937</v>
      </c>
      <c r="B247" s="94" t="s">
        <v>16</v>
      </c>
      <c r="C247" s="16" t="s">
        <v>62</v>
      </c>
      <c r="D247" s="95" t="s">
        <v>30</v>
      </c>
      <c r="E247" s="94" t="s">
        <v>143</v>
      </c>
      <c r="F247" s="96">
        <v>8</v>
      </c>
      <c r="G247" s="94"/>
      <c r="H247" s="96"/>
      <c r="I247" s="91">
        <v>25740</v>
      </c>
      <c r="J247" s="97">
        <v>26548</v>
      </c>
      <c r="K247" s="97">
        <v>10192</v>
      </c>
      <c r="L247" s="97">
        <v>10192</v>
      </c>
      <c r="M24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47" s="97">
        <v>600</v>
      </c>
      <c r="O247" s="20">
        <v>421</v>
      </c>
      <c r="P247" s="98">
        <v>66</v>
      </c>
      <c r="Q247" s="99">
        <f>IFERROR((Tableau3[[#This Row],[QTY Produite]]/1000)*((1000/Tableau3[[#This Row],[Cadence]])/60)/Tableau3[[#This Row],[Heures Macines]],"0")</f>
        <v>0.32171717171717173</v>
      </c>
      <c r="R247" s="100">
        <v>32</v>
      </c>
      <c r="S247" s="96"/>
      <c r="T247" s="18"/>
      <c r="U247" s="101"/>
      <c r="V247" s="96"/>
      <c r="W247" s="96"/>
      <c r="X247" s="101"/>
      <c r="Y247" s="96"/>
      <c r="Z247" s="96"/>
      <c r="AA247" s="101"/>
      <c r="AB247" s="96"/>
      <c r="AC247" s="96"/>
      <c r="AD247" s="101"/>
      <c r="AE247" s="96"/>
      <c r="AF247" s="96"/>
      <c r="AG247" s="101"/>
      <c r="AH247" s="96"/>
      <c r="AI247" s="96"/>
      <c r="AJ247" s="101"/>
      <c r="AK247" s="84">
        <f t="shared" si="16"/>
        <v>4</v>
      </c>
      <c r="AL247" s="24">
        <f>YEAR(Tableau3[[#This Row],[Date]])</f>
        <v>2020</v>
      </c>
      <c r="AM247" s="92">
        <f>IFERROR(((Tableau3[[#This Row],[QTY Produite]]/1000)*VLOOKUP(Tableau3[[#This Row],[Machine]],Liste!$A:$B,2))/Tableau3[[#This Row],[Heures Macines]],"0")</f>
        <v>0.76439999999999997</v>
      </c>
      <c r="AN247" s="24" t="str">
        <f>VLOOKUP(Tableau3[[#This Row],[Opérateur 1]],Liste!$K$2:$M$68,3,FALSE)</f>
        <v>Déco</v>
      </c>
    </row>
    <row r="248" spans="1:40" s="24" customFormat="1" x14ac:dyDescent="0.25">
      <c r="A248" s="93">
        <v>43937</v>
      </c>
      <c r="B248" s="94" t="s">
        <v>19</v>
      </c>
      <c r="C248" s="16" t="s">
        <v>63</v>
      </c>
      <c r="D248" s="95" t="s">
        <v>29</v>
      </c>
      <c r="E248" s="94" t="s">
        <v>131</v>
      </c>
      <c r="F248" s="96">
        <v>2</v>
      </c>
      <c r="G248" s="94"/>
      <c r="H248" s="96"/>
      <c r="I248" s="91" t="s">
        <v>161</v>
      </c>
      <c r="J248" s="97">
        <v>114414</v>
      </c>
      <c r="K248" s="97">
        <v>2159</v>
      </c>
      <c r="L248" s="97">
        <v>8636</v>
      </c>
      <c r="M248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</v>
      </c>
      <c r="N248" s="97">
        <v>42</v>
      </c>
      <c r="O248" s="20">
        <v>13</v>
      </c>
      <c r="P248" s="98">
        <v>38</v>
      </c>
      <c r="Q248" s="99">
        <f>IFERROR((Tableau3[[#This Row],[QTY Produite]]/1000)*((1000/Tableau3[[#This Row],[Cadence]])/60)/Tableau3[[#This Row],[Heures Macines]],"0")</f>
        <v>0.4734649122807017</v>
      </c>
      <c r="R248" s="100">
        <v>48</v>
      </c>
      <c r="S248" s="96"/>
      <c r="T248" s="18"/>
      <c r="U248" s="101"/>
      <c r="V248" s="96"/>
      <c r="W248" s="96"/>
      <c r="X248" s="101"/>
      <c r="Y248" s="96"/>
      <c r="Z248" s="96"/>
      <c r="AA248" s="101"/>
      <c r="AB248" s="96"/>
      <c r="AC248" s="96"/>
      <c r="AD248" s="101"/>
      <c r="AE248" s="96"/>
      <c r="AF248" s="96"/>
      <c r="AG248" s="101"/>
      <c r="AH248" s="96"/>
      <c r="AI248" s="96"/>
      <c r="AJ248" s="101"/>
      <c r="AK248" s="84">
        <f t="shared" si="16"/>
        <v>4</v>
      </c>
      <c r="AL248" s="24">
        <f>YEAR(Tableau3[[#This Row],[Date]])</f>
        <v>2020</v>
      </c>
      <c r="AM248" s="92">
        <f>IFERROR(((Tableau3[[#This Row],[QTY Produite]]/1000)*VLOOKUP(Tableau3[[#This Row],[Machine]],Liste!$A:$B,2))/Tableau3[[#This Row],[Heures Macines]],"0")</f>
        <v>0.97154999999999991</v>
      </c>
      <c r="AN248" s="24" t="str">
        <f>VLOOKUP(Tableau3[[#This Row],[Opérateur 1]],Liste!$K$2:$M$68,3,FALSE)</f>
        <v>Déco</v>
      </c>
    </row>
    <row r="249" spans="1:40" s="24" customFormat="1" x14ac:dyDescent="0.25">
      <c r="A249" s="93">
        <v>43937</v>
      </c>
      <c r="B249" s="94" t="s">
        <v>19</v>
      </c>
      <c r="C249" s="16" t="s">
        <v>63</v>
      </c>
      <c r="D249" s="95" t="s">
        <v>15</v>
      </c>
      <c r="E249" s="94" t="s">
        <v>131</v>
      </c>
      <c r="F249" s="96">
        <v>2</v>
      </c>
      <c r="G249" s="94"/>
      <c r="H249" s="96"/>
      <c r="I249" s="91" t="s">
        <v>154</v>
      </c>
      <c r="J249" s="97">
        <v>16500</v>
      </c>
      <c r="K249" s="97">
        <v>0</v>
      </c>
      <c r="L249" s="97">
        <v>0</v>
      </c>
      <c r="M24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</v>
      </c>
      <c r="N249" s="97">
        <v>0</v>
      </c>
      <c r="O249" s="20">
        <v>0</v>
      </c>
      <c r="P249" s="98"/>
      <c r="Q249" s="99" t="str">
        <f>IFERROR((Tableau3[[#This Row],[QTY Produite]]/1000)*((1000/Tableau3[[#This Row],[Cadence]])/60)/Tableau3[[#This Row],[Heures Macines]],"0")</f>
        <v>0</v>
      </c>
      <c r="R249" s="100"/>
      <c r="S249" s="96"/>
      <c r="T249" s="18"/>
      <c r="U249" s="101" t="s">
        <v>156</v>
      </c>
      <c r="V249" s="96"/>
      <c r="W249" s="96"/>
      <c r="X249" s="101"/>
      <c r="Y249" s="96"/>
      <c r="Z249" s="96"/>
      <c r="AA249" s="101"/>
      <c r="AB249" s="96"/>
      <c r="AC249" s="96"/>
      <c r="AD249" s="101"/>
      <c r="AE249" s="96"/>
      <c r="AF249" s="96"/>
      <c r="AG249" s="101"/>
      <c r="AH249" s="96"/>
      <c r="AI249" s="96"/>
      <c r="AJ249" s="101"/>
      <c r="AK249" s="84">
        <f t="shared" si="16"/>
        <v>4</v>
      </c>
      <c r="AL249" s="24">
        <f>YEAR(Tableau3[[#This Row],[Date]])</f>
        <v>2020</v>
      </c>
      <c r="AM249" s="92">
        <f>IFERROR(((Tableau3[[#This Row],[QTY Produite]]/1000)*VLOOKUP(Tableau3[[#This Row],[Machine]],Liste!$A:$B,2))/Tableau3[[#This Row],[Heures Macines]],"0")</f>
        <v>0</v>
      </c>
      <c r="AN249" s="24" t="str">
        <f>VLOOKUP(Tableau3[[#This Row],[Opérateur 1]],Liste!$K$2:$M$68,3,FALSE)</f>
        <v>Déco</v>
      </c>
    </row>
    <row r="250" spans="1:40" s="24" customFormat="1" ht="30" x14ac:dyDescent="0.25">
      <c r="A250" s="93">
        <v>43937</v>
      </c>
      <c r="B250" s="94" t="s">
        <v>19</v>
      </c>
      <c r="C250" s="16" t="s">
        <v>63</v>
      </c>
      <c r="D250" s="95" t="s">
        <v>20</v>
      </c>
      <c r="E250" s="94" t="s">
        <v>127</v>
      </c>
      <c r="F250" s="96">
        <v>8</v>
      </c>
      <c r="G250" s="94"/>
      <c r="H250" s="96"/>
      <c r="I250" s="91">
        <v>24550</v>
      </c>
      <c r="J250" s="97">
        <v>144797</v>
      </c>
      <c r="K250" s="97">
        <v>22931</v>
      </c>
      <c r="L250" s="97">
        <v>46844</v>
      </c>
      <c r="M25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0" s="97">
        <v>64</v>
      </c>
      <c r="O250" s="20">
        <v>423</v>
      </c>
      <c r="P250" s="98">
        <v>53</v>
      </c>
      <c r="Q250" s="99">
        <f>IFERROR((Tableau3[[#This Row],[QTY Produite]]/1000)*((1000/Tableau3[[#This Row],[Cadence]])/60)/Tableau3[[#This Row],[Heures Macines]],"0")</f>
        <v>0.90137578616352221</v>
      </c>
      <c r="R250" s="100">
        <v>90</v>
      </c>
      <c r="S250" s="96"/>
      <c r="T250" s="18"/>
      <c r="U250" s="101" t="s">
        <v>155</v>
      </c>
      <c r="V250" s="96"/>
      <c r="W250" s="96"/>
      <c r="X250" s="101"/>
      <c r="Y250" s="96"/>
      <c r="Z250" s="96"/>
      <c r="AA250" s="101"/>
      <c r="AB250" s="96"/>
      <c r="AC250" s="96"/>
      <c r="AD250" s="101"/>
      <c r="AE250" s="96"/>
      <c r="AF250" s="96"/>
      <c r="AG250" s="101"/>
      <c r="AH250" s="96"/>
      <c r="AI250" s="96"/>
      <c r="AJ250" s="101"/>
      <c r="AK250" s="84">
        <f t="shared" si="16"/>
        <v>4</v>
      </c>
      <c r="AL250" s="24">
        <f>YEAR(Tableau3[[#This Row],[Date]])</f>
        <v>2020</v>
      </c>
      <c r="AM250" s="92">
        <f>IFERROR(((Tableau3[[#This Row],[QTY Produite]]/1000)*VLOOKUP(Tableau3[[#This Row],[Machine]],Liste!$A:$B,2))/Tableau3[[#This Row],[Heures Macines]],"0")</f>
        <v>1.031895</v>
      </c>
      <c r="AN250" s="24" t="str">
        <f>VLOOKUP(Tableau3[[#This Row],[Opérateur 1]],Liste!$K$2:$M$68,3,FALSE)</f>
        <v>Multi</v>
      </c>
    </row>
    <row r="251" spans="1:40" s="24" customFormat="1" x14ac:dyDescent="0.25">
      <c r="A251" s="93">
        <v>43937</v>
      </c>
      <c r="B251" s="94" t="s">
        <v>16</v>
      </c>
      <c r="C251" s="16" t="s">
        <v>62</v>
      </c>
      <c r="D251" s="95" t="s">
        <v>15</v>
      </c>
      <c r="E251" s="94" t="s">
        <v>109</v>
      </c>
      <c r="F251" s="96">
        <v>8</v>
      </c>
      <c r="G251" s="94"/>
      <c r="H251" s="96"/>
      <c r="I251" s="91" t="s">
        <v>158</v>
      </c>
      <c r="J251" s="97">
        <v>27500</v>
      </c>
      <c r="K251" s="97">
        <v>27432</v>
      </c>
      <c r="L251" s="97">
        <v>27432</v>
      </c>
      <c r="M25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1" s="97">
        <v>1200</v>
      </c>
      <c r="O251" s="20">
        <v>886</v>
      </c>
      <c r="P251" s="98">
        <v>80</v>
      </c>
      <c r="Q251" s="99">
        <f>IFERROR((Tableau3[[#This Row],[QTY Produite]]/1000)*((1000/Tableau3[[#This Row],[Cadence]])/60)/Tableau3[[#This Row],[Heures Macines]],"0")</f>
        <v>0.71437499999999998</v>
      </c>
      <c r="R251" s="100">
        <v>71</v>
      </c>
      <c r="S251" s="96"/>
      <c r="T251" s="18"/>
      <c r="U251" s="101"/>
      <c r="V251" s="96"/>
      <c r="W251" s="96"/>
      <c r="X251" s="101"/>
      <c r="Y251" s="96"/>
      <c r="Z251" s="96"/>
      <c r="AA251" s="101"/>
      <c r="AB251" s="96"/>
      <c r="AC251" s="96"/>
      <c r="AD251" s="101"/>
      <c r="AE251" s="96"/>
      <c r="AF251" s="96"/>
      <c r="AG251" s="101"/>
      <c r="AH251" s="96"/>
      <c r="AI251" s="96"/>
      <c r="AJ251" s="101"/>
      <c r="AK251" s="84">
        <f t="shared" si="16"/>
        <v>4</v>
      </c>
      <c r="AL251" s="24">
        <f>YEAR(Tableau3[[#This Row],[Date]])</f>
        <v>2020</v>
      </c>
      <c r="AM251" s="92">
        <f>IFERROR(((Tableau3[[#This Row],[QTY Produite]]/1000)*VLOOKUP(Tableau3[[#This Row],[Machine]],Liste!$A:$B,2))/Tableau3[[#This Row],[Heures Macines]],"0")</f>
        <v>1.3715999999999999</v>
      </c>
      <c r="AN251" s="24" t="str">
        <f>VLOOKUP(Tableau3[[#This Row],[Opérateur 1]],Liste!$K$2:$M$68,3,FALSE)</f>
        <v>Imp</v>
      </c>
    </row>
    <row r="252" spans="1:40" s="24" customFormat="1" x14ac:dyDescent="0.25">
      <c r="A252" s="93">
        <v>43937</v>
      </c>
      <c r="B252" s="94" t="s">
        <v>13</v>
      </c>
      <c r="C252" s="16" t="s">
        <v>102</v>
      </c>
      <c r="D252" s="95" t="s">
        <v>21</v>
      </c>
      <c r="E252" s="94" t="s">
        <v>110</v>
      </c>
      <c r="F252" s="96">
        <v>5</v>
      </c>
      <c r="G252" s="94"/>
      <c r="H252" s="96"/>
      <c r="I252" s="91" t="s">
        <v>147</v>
      </c>
      <c r="J252" s="97">
        <v>55000</v>
      </c>
      <c r="K252" s="97">
        <v>22800</v>
      </c>
      <c r="L252" s="97">
        <v>54960</v>
      </c>
      <c r="M25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252" s="97">
        <v>375</v>
      </c>
      <c r="O252" s="20">
        <v>453</v>
      </c>
      <c r="P252" s="98">
        <v>120</v>
      </c>
      <c r="Q252" s="99">
        <f>IFERROR((Tableau3[[#This Row],[QTY Produite]]/1000)*((1000/Tableau3[[#This Row],[Cadence]])/60)/Tableau3[[#This Row],[Heures Macines]],"0")</f>
        <v>0.63333333333333341</v>
      </c>
      <c r="R252" s="100">
        <v>70</v>
      </c>
      <c r="S252" s="96"/>
      <c r="T252" s="18"/>
      <c r="U252" s="101"/>
      <c r="V252" s="96"/>
      <c r="W252" s="96"/>
      <c r="X252" s="101"/>
      <c r="Y252" s="96"/>
      <c r="Z252" s="96"/>
      <c r="AA252" s="101"/>
      <c r="AB252" s="96"/>
      <c r="AC252" s="96"/>
      <c r="AD252" s="101"/>
      <c r="AE252" s="96"/>
      <c r="AF252" s="96"/>
      <c r="AG252" s="101"/>
      <c r="AH252" s="96"/>
      <c r="AI252" s="96"/>
      <c r="AJ252" s="101"/>
      <c r="AK252" s="84">
        <f t="shared" si="16"/>
        <v>4</v>
      </c>
      <c r="AL252" s="24">
        <f>YEAR(Tableau3[[#This Row],[Date]])</f>
        <v>2020</v>
      </c>
      <c r="AM252" s="92">
        <f>IFERROR(((Tableau3[[#This Row],[QTY Produite]]/1000)*VLOOKUP(Tableau3[[#This Row],[Machine]],Liste!$A:$B,2))/Tableau3[[#This Row],[Heures Macines]],"0")</f>
        <v>2.7359999999999998</v>
      </c>
      <c r="AN252" s="24" t="str">
        <f>VLOOKUP(Tableau3[[#This Row],[Opérateur 1]],Liste!$K$2:$M$68,3,FALSE)</f>
        <v>Déco</v>
      </c>
    </row>
    <row r="253" spans="1:40" s="24" customFormat="1" x14ac:dyDescent="0.25">
      <c r="A253" s="93">
        <v>43937</v>
      </c>
      <c r="B253" s="94" t="s">
        <v>13</v>
      </c>
      <c r="C253" s="16" t="s">
        <v>102</v>
      </c>
      <c r="D253" s="95" t="s">
        <v>21</v>
      </c>
      <c r="E253" s="94" t="s">
        <v>110</v>
      </c>
      <c r="F253" s="96">
        <v>3</v>
      </c>
      <c r="G253" s="94"/>
      <c r="H253" s="96"/>
      <c r="I253" s="91" t="s">
        <v>166</v>
      </c>
      <c r="J253" s="97">
        <v>15523</v>
      </c>
      <c r="K253" s="97">
        <v>0</v>
      </c>
      <c r="L253" s="97">
        <v>0</v>
      </c>
      <c r="M25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253" s="97">
        <v>0</v>
      </c>
      <c r="O253" s="20">
        <v>0</v>
      </c>
      <c r="P253" s="98">
        <v>0</v>
      </c>
      <c r="Q253" s="99" t="str">
        <f>IFERROR((Tableau3[[#This Row],[QTY Produite]]/1000)*((1000/Tableau3[[#This Row],[Cadence]])/60)/Tableau3[[#This Row],[Heures Macines]],"0")</f>
        <v>0</v>
      </c>
      <c r="R253" s="100">
        <v>0</v>
      </c>
      <c r="S253" s="101" t="s">
        <v>172</v>
      </c>
      <c r="T253" s="18">
        <v>3</v>
      </c>
      <c r="U253" s="101"/>
      <c r="V253" s="96"/>
      <c r="W253" s="96"/>
      <c r="X253" s="101"/>
      <c r="Y253" s="96"/>
      <c r="Z253" s="96"/>
      <c r="AA253" s="101"/>
      <c r="AB253" s="96"/>
      <c r="AC253" s="96"/>
      <c r="AD253" s="101"/>
      <c r="AE253" s="96"/>
      <c r="AF253" s="96"/>
      <c r="AG253" s="101"/>
      <c r="AH253" s="96"/>
      <c r="AI253" s="96"/>
      <c r="AJ253" s="101"/>
      <c r="AK253" s="84">
        <f t="shared" si="16"/>
        <v>4</v>
      </c>
      <c r="AL253" s="24">
        <f>YEAR(Tableau3[[#This Row],[Date]])</f>
        <v>2020</v>
      </c>
      <c r="AM253" s="92" t="str">
        <f>IFERROR(((Tableau3[[#This Row],[QTY Produite]]/1000)*VLOOKUP(Tableau3[[#This Row],[Machine]],Liste!$A:$B,2))/Tableau3[[#This Row],[Heures Macines]],"0")</f>
        <v>0</v>
      </c>
      <c r="AN253" s="24" t="str">
        <f>VLOOKUP(Tableau3[[#This Row],[Opérateur 1]],Liste!$K$2:$M$68,3,FALSE)</f>
        <v>Déco</v>
      </c>
    </row>
    <row r="254" spans="1:40" s="24" customFormat="1" x14ac:dyDescent="0.25">
      <c r="A254" s="93">
        <v>43937</v>
      </c>
      <c r="B254" s="94" t="s">
        <v>13</v>
      </c>
      <c r="C254" s="16" t="s">
        <v>102</v>
      </c>
      <c r="D254" s="95" t="s">
        <v>28</v>
      </c>
      <c r="E254" s="94" t="s">
        <v>117</v>
      </c>
      <c r="F254" s="96">
        <v>8</v>
      </c>
      <c r="G254" s="94"/>
      <c r="H254" s="96"/>
      <c r="I254" s="91" t="s">
        <v>167</v>
      </c>
      <c r="J254" s="97">
        <v>11000</v>
      </c>
      <c r="K254" s="97">
        <v>0</v>
      </c>
      <c r="L254" s="97">
        <v>0</v>
      </c>
      <c r="M25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0</v>
      </c>
      <c r="N254" s="97">
        <v>0</v>
      </c>
      <c r="O254" s="20">
        <v>0</v>
      </c>
      <c r="P254" s="98">
        <v>0</v>
      </c>
      <c r="Q254" s="99" t="str">
        <f>IFERROR((Tableau3[[#This Row],[QTY Produite]]/1000)*((1000/Tableau3[[#This Row],[Cadence]])/60)/Tableau3[[#This Row],[Heures Macines]],"0")</f>
        <v>0</v>
      </c>
      <c r="R254" s="100">
        <v>0</v>
      </c>
      <c r="S254" s="96" t="s">
        <v>146</v>
      </c>
      <c r="T254" s="18">
        <v>8</v>
      </c>
      <c r="U254" s="101"/>
      <c r="V254" s="96"/>
      <c r="W254" s="96"/>
      <c r="X254" s="101"/>
      <c r="Y254" s="96"/>
      <c r="Z254" s="96"/>
      <c r="AA254" s="101"/>
      <c r="AB254" s="96"/>
      <c r="AC254" s="96"/>
      <c r="AD254" s="101"/>
      <c r="AE254" s="96"/>
      <c r="AF254" s="96"/>
      <c r="AG254" s="101"/>
      <c r="AH254" s="96"/>
      <c r="AI254" s="96"/>
      <c r="AJ254" s="101"/>
      <c r="AK254" s="84">
        <f t="shared" si="16"/>
        <v>4</v>
      </c>
      <c r="AL254" s="24">
        <f>YEAR(Tableau3[[#This Row],[Date]])</f>
        <v>2020</v>
      </c>
      <c r="AM254" s="92" t="str">
        <f>IFERROR(((Tableau3[[#This Row],[QTY Produite]]/1000)*VLOOKUP(Tableau3[[#This Row],[Machine]],Liste!$A:$B,2))/Tableau3[[#This Row],[Heures Macines]],"0")</f>
        <v>0</v>
      </c>
      <c r="AN254" s="24" t="str">
        <f>VLOOKUP(Tableau3[[#This Row],[Opérateur 1]],Liste!$K$2:$M$68,3,FALSE)</f>
        <v>Multi</v>
      </c>
    </row>
    <row r="255" spans="1:40" s="24" customFormat="1" x14ac:dyDescent="0.25">
      <c r="A255" s="93">
        <v>43937</v>
      </c>
      <c r="B255" s="94" t="s">
        <v>13</v>
      </c>
      <c r="C255" s="16" t="s">
        <v>102</v>
      </c>
      <c r="D255" s="95" t="s">
        <v>22</v>
      </c>
      <c r="E255" s="94" t="s">
        <v>126</v>
      </c>
      <c r="F255" s="96">
        <v>8</v>
      </c>
      <c r="G255" s="94"/>
      <c r="H255" s="96"/>
      <c r="I255" s="91">
        <v>25860</v>
      </c>
      <c r="J255" s="97">
        <v>526331</v>
      </c>
      <c r="K255" s="97">
        <v>22320</v>
      </c>
      <c r="L255" s="97">
        <v>22320</v>
      </c>
      <c r="M25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5" s="97">
        <v>455</v>
      </c>
      <c r="O255" s="20">
        <v>360</v>
      </c>
      <c r="P255" s="98">
        <v>80</v>
      </c>
      <c r="Q255" s="99">
        <f>IFERROR((Tableau3[[#This Row],[QTY Produite]]/1000)*((1000/Tableau3[[#This Row],[Cadence]])/60)/Tableau3[[#This Row],[Heures Macines]],"0")</f>
        <v>0.58125000000000004</v>
      </c>
      <c r="R255" s="100">
        <v>58</v>
      </c>
      <c r="S255" s="96"/>
      <c r="T255" s="18"/>
      <c r="U255" s="101"/>
      <c r="V255" s="96"/>
      <c r="W255" s="96"/>
      <c r="X255" s="101"/>
      <c r="Y255" s="96"/>
      <c r="Z255" s="96"/>
      <c r="AA255" s="101"/>
      <c r="AB255" s="96"/>
      <c r="AC255" s="96"/>
      <c r="AD255" s="101"/>
      <c r="AE255" s="96"/>
      <c r="AF255" s="96"/>
      <c r="AG255" s="101"/>
      <c r="AH255" s="96"/>
      <c r="AI255" s="96"/>
      <c r="AJ255" s="101"/>
      <c r="AK255" s="84">
        <f t="shared" si="16"/>
        <v>4</v>
      </c>
      <c r="AL255" s="24">
        <f>YEAR(Tableau3[[#This Row],[Date]])</f>
        <v>2020</v>
      </c>
      <c r="AM255" s="92">
        <f>IFERROR(((Tableau3[[#This Row],[QTY Produite]]/1000)*VLOOKUP(Tableau3[[#This Row],[Machine]],Liste!$A:$B,2))/Tableau3[[#This Row],[Heures Macines]],"0")</f>
        <v>0.83699999999999997</v>
      </c>
      <c r="AN255" s="24" t="str">
        <f>VLOOKUP(Tableau3[[#This Row],[Opérateur 1]],Liste!$K$2:$M$68,3,FALSE)</f>
        <v>Multi</v>
      </c>
    </row>
    <row r="256" spans="1:40" s="24" customFormat="1" x14ac:dyDescent="0.25">
      <c r="A256" s="93">
        <v>43937</v>
      </c>
      <c r="B256" s="94" t="s">
        <v>13</v>
      </c>
      <c r="C256" s="16" t="s">
        <v>102</v>
      </c>
      <c r="D256" s="95" t="s">
        <v>20</v>
      </c>
      <c r="E256" s="94" t="s">
        <v>134</v>
      </c>
      <c r="F256" s="96">
        <v>8</v>
      </c>
      <c r="G256" s="94"/>
      <c r="H256" s="96"/>
      <c r="I256" s="91">
        <v>24550</v>
      </c>
      <c r="J256" s="97">
        <v>144797</v>
      </c>
      <c r="K256" s="97">
        <v>20580</v>
      </c>
      <c r="L256" s="97">
        <v>67424</v>
      </c>
      <c r="M25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6" s="97">
        <v>940</v>
      </c>
      <c r="O256" s="20">
        <v>80</v>
      </c>
      <c r="P256" s="98">
        <v>54</v>
      </c>
      <c r="Q256" s="99">
        <f>IFERROR((Tableau3[[#This Row],[QTY Produite]]/1000)*((1000/Tableau3[[#This Row],[Cadence]])/60)/Tableau3[[#This Row],[Heures Macines]],"0")</f>
        <v>0.7939814814814814</v>
      </c>
      <c r="R256" s="100">
        <v>79</v>
      </c>
      <c r="S256" s="96"/>
      <c r="T256" s="18"/>
      <c r="U256" s="101"/>
      <c r="V256" s="96"/>
      <c r="W256" s="96"/>
      <c r="X256" s="101"/>
      <c r="Y256" s="96"/>
      <c r="Z256" s="96"/>
      <c r="AA256" s="101"/>
      <c r="AB256" s="96"/>
      <c r="AC256" s="96"/>
      <c r="AD256" s="101"/>
      <c r="AE256" s="96"/>
      <c r="AF256" s="96"/>
      <c r="AG256" s="101"/>
      <c r="AH256" s="96"/>
      <c r="AI256" s="96"/>
      <c r="AJ256" s="101"/>
      <c r="AK256" s="84">
        <f t="shared" si="16"/>
        <v>4</v>
      </c>
      <c r="AL256" s="24">
        <f>YEAR(Tableau3[[#This Row],[Date]])</f>
        <v>2020</v>
      </c>
      <c r="AM256" s="92">
        <f>IFERROR(((Tableau3[[#This Row],[QTY Produite]]/1000)*VLOOKUP(Tableau3[[#This Row],[Machine]],Liste!$A:$B,2))/Tableau3[[#This Row],[Heures Macines]],"0")</f>
        <v>0.92609999999999992</v>
      </c>
      <c r="AN256" s="24" t="str">
        <f>VLOOKUP(Tableau3[[#This Row],[Opérateur 1]],Liste!$K$2:$M$68,3,FALSE)</f>
        <v>Multi</v>
      </c>
    </row>
    <row r="257" spans="1:40" s="24" customFormat="1" x14ac:dyDescent="0.25">
      <c r="A257" s="93">
        <v>43937</v>
      </c>
      <c r="B257" s="94" t="s">
        <v>13</v>
      </c>
      <c r="C257" s="16" t="s">
        <v>102</v>
      </c>
      <c r="D257" s="95" t="s">
        <v>25</v>
      </c>
      <c r="E257" s="94" t="s">
        <v>113</v>
      </c>
      <c r="F257" s="96">
        <v>6.5</v>
      </c>
      <c r="G257" s="94"/>
      <c r="H257" s="96"/>
      <c r="I257" s="91" t="s">
        <v>160</v>
      </c>
      <c r="J257" s="97">
        <v>10500</v>
      </c>
      <c r="K257" s="97">
        <v>9742</v>
      </c>
      <c r="L257" s="97">
        <v>9910</v>
      </c>
      <c r="M25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6.5</v>
      </c>
      <c r="N257" s="97">
        <v>10</v>
      </c>
      <c r="O257" s="20">
        <v>288</v>
      </c>
      <c r="P257" s="98">
        <v>47</v>
      </c>
      <c r="Q257" s="99">
        <f>IFERROR((Tableau3[[#This Row],[QTY Produite]]/1000)*((1000/Tableau3[[#This Row],[Cadence]])/60)/Tableau3[[#This Row],[Heures Macines]],"0")</f>
        <v>0.53147845062738686</v>
      </c>
      <c r="R257" s="100">
        <v>54</v>
      </c>
      <c r="S257" s="96"/>
      <c r="T257" s="18"/>
      <c r="U257" s="101"/>
      <c r="V257" s="96"/>
      <c r="W257" s="96"/>
      <c r="X257" s="101"/>
      <c r="Y257" s="96"/>
      <c r="Z257" s="96"/>
      <c r="AA257" s="101"/>
      <c r="AB257" s="96"/>
      <c r="AC257" s="96"/>
      <c r="AD257" s="101"/>
      <c r="AE257" s="96"/>
      <c r="AF257" s="96"/>
      <c r="AG257" s="101"/>
      <c r="AH257" s="96"/>
      <c r="AI257" s="96"/>
      <c r="AJ257" s="101"/>
      <c r="AK257" s="84">
        <f t="shared" si="16"/>
        <v>4</v>
      </c>
      <c r="AL257" s="24">
        <f>YEAR(Tableau3[[#This Row],[Date]])</f>
        <v>2020</v>
      </c>
      <c r="AM257" s="92">
        <f>IFERROR(((Tableau3[[#This Row],[QTY Produite]]/1000)*VLOOKUP(Tableau3[[#This Row],[Machine]],Liste!$A:$B,2))/Tableau3[[#This Row],[Heures Macines]],"0")</f>
        <v>0.74938461538461543</v>
      </c>
      <c r="AN257" s="24" t="str">
        <f>VLOOKUP(Tableau3[[#This Row],[Opérateur 1]],Liste!$K$2:$M$68,3,FALSE)</f>
        <v>Déco</v>
      </c>
    </row>
    <row r="258" spans="1:40" s="24" customFormat="1" x14ac:dyDescent="0.25">
      <c r="A258" s="93">
        <v>43937</v>
      </c>
      <c r="B258" s="94" t="s">
        <v>13</v>
      </c>
      <c r="C258" s="16" t="s">
        <v>102</v>
      </c>
      <c r="D258" s="95" t="s">
        <v>25</v>
      </c>
      <c r="E258" s="94" t="s">
        <v>113</v>
      </c>
      <c r="F258" s="96">
        <v>1.5</v>
      </c>
      <c r="G258" s="94"/>
      <c r="H258" s="96"/>
      <c r="I258" s="91" t="s">
        <v>168</v>
      </c>
      <c r="J258" s="97">
        <v>16500</v>
      </c>
      <c r="K258" s="97">
        <v>0</v>
      </c>
      <c r="L258" s="97">
        <v>0</v>
      </c>
      <c r="M258" s="20">
        <v>1.5</v>
      </c>
      <c r="N258" s="97">
        <v>0</v>
      </c>
      <c r="O258" s="20">
        <v>0</v>
      </c>
      <c r="P258" s="98">
        <v>0</v>
      </c>
      <c r="Q258" s="99" t="str">
        <f>IFERROR((Tableau3[[#This Row],[QTY Produite]]/1000)*((1000/Tableau3[[#This Row],[Cadence]])/60)/Tableau3[[#This Row],[Heures Macines]],"0")</f>
        <v>0</v>
      </c>
      <c r="R258" s="100">
        <v>0</v>
      </c>
      <c r="S258" s="96"/>
      <c r="T258" s="18"/>
      <c r="U258" s="101"/>
      <c r="V258" s="96"/>
      <c r="W258" s="96"/>
      <c r="X258" s="101"/>
      <c r="Y258" s="96"/>
      <c r="Z258" s="96"/>
      <c r="AA258" s="101"/>
      <c r="AB258" s="96"/>
      <c r="AC258" s="96"/>
      <c r="AD258" s="101"/>
      <c r="AE258" s="96"/>
      <c r="AF258" s="96"/>
      <c r="AG258" s="101"/>
      <c r="AH258" s="96"/>
      <c r="AI258" s="96"/>
      <c r="AJ258" s="101"/>
      <c r="AK258" s="84">
        <f t="shared" si="16"/>
        <v>4</v>
      </c>
      <c r="AL258" s="24">
        <f>YEAR(Tableau3[[#This Row],[Date]])</f>
        <v>2020</v>
      </c>
      <c r="AM258" s="92">
        <f>IFERROR(((Tableau3[[#This Row],[QTY Produite]]/1000)*VLOOKUP(Tableau3[[#This Row],[Machine]],Liste!$A:$B,2))/Tableau3[[#This Row],[Heures Macines]],"0")</f>
        <v>0</v>
      </c>
      <c r="AN258" s="24" t="str">
        <f>VLOOKUP(Tableau3[[#This Row],[Opérateur 1]],Liste!$K$2:$M$68,3,FALSE)</f>
        <v>Déco</v>
      </c>
    </row>
    <row r="259" spans="1:40" s="24" customFormat="1" x14ac:dyDescent="0.25">
      <c r="A259" s="93">
        <v>43937</v>
      </c>
      <c r="B259" s="94" t="s">
        <v>13</v>
      </c>
      <c r="C259" s="16" t="s">
        <v>102</v>
      </c>
      <c r="D259" s="95" t="s">
        <v>18</v>
      </c>
      <c r="E259" s="94" t="s">
        <v>115</v>
      </c>
      <c r="F259" s="96">
        <v>5</v>
      </c>
      <c r="G259" s="94" t="s">
        <v>135</v>
      </c>
      <c r="H259" s="96">
        <v>3</v>
      </c>
      <c r="I259" s="91">
        <v>214032</v>
      </c>
      <c r="J259" s="97">
        <v>214032</v>
      </c>
      <c r="K259" s="97">
        <v>31556</v>
      </c>
      <c r="L259" s="97">
        <v>118580</v>
      </c>
      <c r="M25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59" s="97">
        <v>35</v>
      </c>
      <c r="O259" s="20">
        <v>504</v>
      </c>
      <c r="P259" s="98">
        <v>90</v>
      </c>
      <c r="Q259" s="99">
        <f>IFERROR((Tableau3[[#This Row],[QTY Produite]]/1000)*((1000/Tableau3[[#This Row],[Cadence]])/60)/Tableau3[[#This Row],[Heures Macines]],"0")</f>
        <v>0.73046296296296298</v>
      </c>
      <c r="R259" s="100">
        <v>73</v>
      </c>
      <c r="S259" s="96"/>
      <c r="T259" s="18"/>
      <c r="U259" s="101"/>
      <c r="V259" s="96"/>
      <c r="W259" s="96"/>
      <c r="X259" s="101"/>
      <c r="Y259" s="96"/>
      <c r="Z259" s="96"/>
      <c r="AA259" s="101"/>
      <c r="AB259" s="96"/>
      <c r="AC259" s="96"/>
      <c r="AD259" s="101"/>
      <c r="AE259" s="96"/>
      <c r="AF259" s="96"/>
      <c r="AG259" s="101"/>
      <c r="AH259" s="96"/>
      <c r="AI259" s="96"/>
      <c r="AJ259" s="101"/>
      <c r="AK259" s="84">
        <f t="shared" si="16"/>
        <v>4</v>
      </c>
      <c r="AL259" s="24">
        <f>YEAR(Tableau3[[#This Row],[Date]])</f>
        <v>2020</v>
      </c>
      <c r="AM259" s="92">
        <f>IFERROR(((Tableau3[[#This Row],[QTY Produite]]/1000)*VLOOKUP(Tableau3[[#This Row],[Machine]],Liste!$A:$B,2))/Tableau3[[#This Row],[Heures Macines]],"0")</f>
        <v>1.5778000000000001</v>
      </c>
      <c r="AN259" s="24" t="str">
        <f>VLOOKUP(Tableau3[[#This Row],[Opérateur 1]],Liste!$K$2:$M$68,3,FALSE)</f>
        <v>Imp</v>
      </c>
    </row>
    <row r="260" spans="1:40" s="24" customFormat="1" x14ac:dyDescent="0.25">
      <c r="A260" s="93">
        <v>43937</v>
      </c>
      <c r="B260" s="94" t="s">
        <v>13</v>
      </c>
      <c r="C260" s="16" t="s">
        <v>102</v>
      </c>
      <c r="D260" s="95" t="s">
        <v>24</v>
      </c>
      <c r="E260" s="94" t="s">
        <v>119</v>
      </c>
      <c r="F260" s="96">
        <v>8</v>
      </c>
      <c r="G260" s="94"/>
      <c r="H260" s="96"/>
      <c r="I260" s="91">
        <v>22010</v>
      </c>
      <c r="J260" s="97">
        <v>152295</v>
      </c>
      <c r="K260" s="97">
        <v>14896</v>
      </c>
      <c r="L260" s="97">
        <v>104860</v>
      </c>
      <c r="M26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0" s="97">
        <v>462</v>
      </c>
      <c r="O260" s="20">
        <v>42</v>
      </c>
      <c r="P260" s="98">
        <v>40</v>
      </c>
      <c r="Q260" s="99">
        <f>IFERROR((Tableau3[[#This Row],[QTY Produite]]/1000)*((1000/Tableau3[[#This Row],[Cadence]])/60)/Tableau3[[#This Row],[Heures Macines]],"0")</f>
        <v>0.77583333333333337</v>
      </c>
      <c r="R260" s="100">
        <v>62</v>
      </c>
      <c r="S260" s="96"/>
      <c r="T260" s="18"/>
      <c r="U260" s="101"/>
      <c r="V260" s="96"/>
      <c r="W260" s="96"/>
      <c r="X260" s="101"/>
      <c r="Y260" s="96"/>
      <c r="Z260" s="96"/>
      <c r="AA260" s="101"/>
      <c r="AB260" s="96"/>
      <c r="AC260" s="96"/>
      <c r="AD260" s="101"/>
      <c r="AE260" s="96"/>
      <c r="AF260" s="96"/>
      <c r="AG260" s="101"/>
      <c r="AH260" s="96"/>
      <c r="AI260" s="96"/>
      <c r="AJ260" s="101"/>
      <c r="AK260" s="84">
        <f t="shared" si="16"/>
        <v>4</v>
      </c>
      <c r="AL260" s="24">
        <f>YEAR(Tableau3[[#This Row],[Date]])</f>
        <v>2020</v>
      </c>
      <c r="AM260" s="92">
        <f>IFERROR(((Tableau3[[#This Row],[QTY Produite]]/1000)*VLOOKUP(Tableau3[[#This Row],[Machine]],Liste!$A:$B,2))/Tableau3[[#This Row],[Heures Macines]],"0")</f>
        <v>0.93100000000000005</v>
      </c>
      <c r="AN260" s="24" t="str">
        <f>VLOOKUP(Tableau3[[#This Row],[Opérateur 1]],Liste!$K$2:$M$68,3,FALSE)</f>
        <v>Multi</v>
      </c>
    </row>
    <row r="261" spans="1:40" s="24" customFormat="1" x14ac:dyDescent="0.25">
      <c r="A261" s="93">
        <v>43937</v>
      </c>
      <c r="B261" s="94" t="s">
        <v>13</v>
      </c>
      <c r="C261" s="16" t="s">
        <v>102</v>
      </c>
      <c r="D261" s="95" t="s">
        <v>15</v>
      </c>
      <c r="E261" s="94" t="s">
        <v>135</v>
      </c>
      <c r="F261" s="96">
        <v>5</v>
      </c>
      <c r="G261" s="94"/>
      <c r="H261" s="96"/>
      <c r="I261" s="91" t="s">
        <v>158</v>
      </c>
      <c r="J261" s="97">
        <v>27500</v>
      </c>
      <c r="K261" s="97">
        <v>0</v>
      </c>
      <c r="L261" s="97">
        <v>0</v>
      </c>
      <c r="M26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261" s="97">
        <v>50</v>
      </c>
      <c r="O261" s="20">
        <v>2013</v>
      </c>
      <c r="P261" s="98">
        <v>0</v>
      </c>
      <c r="Q261" s="99" t="str">
        <f>IFERROR((Tableau3[[#This Row],[QTY Produite]]/1000)*((1000/Tableau3[[#This Row],[Cadence]])/60)/Tableau3[[#This Row],[Heures Macines]],"0")</f>
        <v>0</v>
      </c>
      <c r="R261" s="100">
        <v>0</v>
      </c>
      <c r="S261" s="96"/>
      <c r="T261" s="18"/>
      <c r="U261" s="101"/>
      <c r="V261" s="96"/>
      <c r="W261" s="96"/>
      <c r="X261" s="101"/>
      <c r="Y261" s="96"/>
      <c r="Z261" s="96"/>
      <c r="AA261" s="101"/>
      <c r="AB261" s="96"/>
      <c r="AC261" s="96"/>
      <c r="AD261" s="101"/>
      <c r="AE261" s="96"/>
      <c r="AF261" s="96"/>
      <c r="AG261" s="101"/>
      <c r="AH261" s="96"/>
      <c r="AI261" s="96"/>
      <c r="AJ261" s="101"/>
      <c r="AK261" s="84">
        <f t="shared" si="16"/>
        <v>4</v>
      </c>
      <c r="AL261" s="24">
        <f>YEAR(Tableau3[[#This Row],[Date]])</f>
        <v>2020</v>
      </c>
      <c r="AM261" s="92">
        <f>IFERROR(((Tableau3[[#This Row],[QTY Produite]]/1000)*VLOOKUP(Tableau3[[#This Row],[Machine]],Liste!$A:$B,2))/Tableau3[[#This Row],[Heures Macines]],"0")</f>
        <v>0</v>
      </c>
      <c r="AN261" s="24" t="str">
        <f>VLOOKUP(Tableau3[[#This Row],[Opérateur 1]],Liste!$K$2:$M$68,3,FALSE)</f>
        <v>Imp</v>
      </c>
    </row>
    <row r="262" spans="1:40" s="24" customFormat="1" x14ac:dyDescent="0.25">
      <c r="A262" s="93">
        <v>43937</v>
      </c>
      <c r="B262" s="94" t="s">
        <v>13</v>
      </c>
      <c r="C262" s="16" t="s">
        <v>102</v>
      </c>
      <c r="D262" s="95" t="s">
        <v>23</v>
      </c>
      <c r="E262" s="94" t="s">
        <v>116</v>
      </c>
      <c r="F262" s="96">
        <v>8</v>
      </c>
      <c r="G262" s="94"/>
      <c r="H262" s="96"/>
      <c r="I262" s="91" t="s">
        <v>148</v>
      </c>
      <c r="J262" s="97">
        <v>94500</v>
      </c>
      <c r="K262" s="97">
        <v>12700</v>
      </c>
      <c r="L262" s="97">
        <v>66294</v>
      </c>
      <c r="M26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2" s="97">
        <v>175</v>
      </c>
      <c r="O262" s="20">
        <v>205</v>
      </c>
      <c r="P262" s="98">
        <v>33</v>
      </c>
      <c r="Q262" s="99">
        <f>IFERROR((Tableau3[[#This Row],[QTY Produite]]/1000)*((1000/Tableau3[[#This Row],[Cadence]])/60)/Tableau3[[#This Row],[Heures Macines]],"0")</f>
        <v>0.8017676767676768</v>
      </c>
      <c r="R262" s="100">
        <v>79</v>
      </c>
      <c r="S262" s="96"/>
      <c r="T262" s="18"/>
      <c r="U262" s="101"/>
      <c r="V262" s="96"/>
      <c r="W262" s="96"/>
      <c r="X262" s="101"/>
      <c r="Y262" s="96"/>
      <c r="Z262" s="96"/>
      <c r="AA262" s="101"/>
      <c r="AB262" s="96"/>
      <c r="AC262" s="96"/>
      <c r="AD262" s="101"/>
      <c r="AE262" s="96"/>
      <c r="AF262" s="96"/>
      <c r="AG262" s="101"/>
      <c r="AH262" s="96"/>
      <c r="AI262" s="96"/>
      <c r="AJ262" s="101"/>
      <c r="AK262" s="84">
        <f t="shared" si="16"/>
        <v>4</v>
      </c>
      <c r="AL262" s="24">
        <f>YEAR(Tableau3[[#This Row],[Date]])</f>
        <v>2020</v>
      </c>
      <c r="AM262" s="92">
        <f>IFERROR(((Tableau3[[#This Row],[QTY Produite]]/1000)*VLOOKUP(Tableau3[[#This Row],[Machine]],Liste!$A:$B,2))/Tableau3[[#This Row],[Heures Macines]],"0")</f>
        <v>0.63500000000000001</v>
      </c>
      <c r="AN262" s="24" t="str">
        <f>VLOOKUP(Tableau3[[#This Row],[Opérateur 1]],Liste!$K$2:$M$68,3,FALSE)</f>
        <v>Déco</v>
      </c>
    </row>
    <row r="263" spans="1:40" s="24" customFormat="1" x14ac:dyDescent="0.25">
      <c r="A263" s="93">
        <v>43937</v>
      </c>
      <c r="B263" s="94" t="s">
        <v>16</v>
      </c>
      <c r="C263" s="16" t="s">
        <v>62</v>
      </c>
      <c r="D263" s="95" t="s">
        <v>11</v>
      </c>
      <c r="E263" s="94" t="s">
        <v>141</v>
      </c>
      <c r="F263" s="96">
        <v>8</v>
      </c>
      <c r="G263" s="94"/>
      <c r="H263" s="96"/>
      <c r="I263" s="91" t="s">
        <v>169</v>
      </c>
      <c r="J263" s="97">
        <v>171072</v>
      </c>
      <c r="K263" s="97">
        <v>3600</v>
      </c>
      <c r="L263" s="97">
        <v>3600</v>
      </c>
      <c r="M26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3" s="97">
        <v>30</v>
      </c>
      <c r="O263" s="20">
        <v>1993</v>
      </c>
      <c r="P263" s="98">
        <v>75</v>
      </c>
      <c r="Q263" s="99">
        <f>IFERROR((Tableau3[[#This Row],[QTY Produite]]/1000)*((1000/Tableau3[[#This Row],[Cadence]])/60)/Tableau3[[#This Row],[Heures Macines]],"0")</f>
        <v>0.1</v>
      </c>
      <c r="R263" s="100">
        <v>10</v>
      </c>
      <c r="S263" s="96"/>
      <c r="T263" s="18"/>
      <c r="U263" s="101"/>
      <c r="V263" s="96"/>
      <c r="W263" s="96"/>
      <c r="X263" s="101"/>
      <c r="Y263" s="96"/>
      <c r="Z263" s="96"/>
      <c r="AA263" s="101"/>
      <c r="AB263" s="96"/>
      <c r="AC263" s="96"/>
      <c r="AD263" s="101"/>
      <c r="AE263" s="96"/>
      <c r="AF263" s="96"/>
      <c r="AG263" s="101"/>
      <c r="AH263" s="96"/>
      <c r="AI263" s="96"/>
      <c r="AJ263" s="101"/>
      <c r="AK263" s="84">
        <f t="shared" si="16"/>
        <v>4</v>
      </c>
      <c r="AL263" s="24">
        <f>YEAR(Tableau3[[#This Row],[Date]])</f>
        <v>2020</v>
      </c>
      <c r="AM263" s="92">
        <f>IFERROR(((Tableau3[[#This Row],[QTY Produite]]/1000)*VLOOKUP(Tableau3[[#This Row],[Machine]],Liste!$A:$B,2))/Tableau3[[#This Row],[Heures Macines]],"0")</f>
        <v>0.18000000000000002</v>
      </c>
      <c r="AN263" s="24" t="str">
        <f>VLOOKUP(Tableau3[[#This Row],[Opérateur 1]],Liste!$K$2:$M$68,3,FALSE)</f>
        <v>Imp</v>
      </c>
    </row>
    <row r="264" spans="1:40" s="24" customFormat="1" x14ac:dyDescent="0.25">
      <c r="A264" s="93">
        <v>43937</v>
      </c>
      <c r="B264" s="94" t="s">
        <v>19</v>
      </c>
      <c r="C264" s="16" t="s">
        <v>63</v>
      </c>
      <c r="D264" s="95" t="s">
        <v>18</v>
      </c>
      <c r="E264" s="94" t="s">
        <v>121</v>
      </c>
      <c r="F264" s="96">
        <v>8</v>
      </c>
      <c r="G264" s="94"/>
      <c r="H264" s="96"/>
      <c r="I264" s="91" t="s">
        <v>164</v>
      </c>
      <c r="J264" s="97">
        <v>214032</v>
      </c>
      <c r="K264" s="97">
        <v>31164</v>
      </c>
      <c r="L264" s="97">
        <v>87024</v>
      </c>
      <c r="M26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4" s="97">
        <v>200</v>
      </c>
      <c r="O264" s="20">
        <v>434</v>
      </c>
      <c r="P264" s="98">
        <v>90</v>
      </c>
      <c r="Q264" s="99">
        <f>IFERROR((Tableau3[[#This Row],[QTY Produite]]/1000)*((1000/Tableau3[[#This Row],[Cadence]])/60)/Tableau3[[#This Row],[Heures Macines]],"0")</f>
        <v>0.72138888888888886</v>
      </c>
      <c r="R264" s="100">
        <v>72.14</v>
      </c>
      <c r="S264" s="96"/>
      <c r="T264" s="18"/>
      <c r="U264" s="101"/>
      <c r="V264" s="96"/>
      <c r="W264" s="96"/>
      <c r="X264" s="101"/>
      <c r="Y264" s="96"/>
      <c r="Z264" s="96"/>
      <c r="AA264" s="101"/>
      <c r="AB264" s="96"/>
      <c r="AC264" s="96"/>
      <c r="AD264" s="101"/>
      <c r="AE264" s="96"/>
      <c r="AF264" s="96"/>
      <c r="AG264" s="101"/>
      <c r="AH264" s="96"/>
      <c r="AI264" s="96"/>
      <c r="AJ264" s="101"/>
      <c r="AK264" s="84">
        <f t="shared" si="16"/>
        <v>4</v>
      </c>
      <c r="AL264" s="24">
        <f>YEAR(Tableau3[[#This Row],[Date]])</f>
        <v>2020</v>
      </c>
      <c r="AM264" s="92">
        <f>IFERROR(((Tableau3[[#This Row],[QTY Produite]]/1000)*VLOOKUP(Tableau3[[#This Row],[Machine]],Liste!$A:$B,2))/Tableau3[[#This Row],[Heures Macines]],"0")</f>
        <v>1.5582000000000003</v>
      </c>
      <c r="AN264" s="24" t="str">
        <f>VLOOKUP(Tableau3[[#This Row],[Opérateur 1]],Liste!$K$2:$M$68,3,FALSE)</f>
        <v>Imp</v>
      </c>
    </row>
    <row r="265" spans="1:40" s="24" customFormat="1" x14ac:dyDescent="0.25">
      <c r="A265" s="93">
        <v>43937</v>
      </c>
      <c r="B265" s="94" t="s">
        <v>16</v>
      </c>
      <c r="C265" s="16" t="s">
        <v>62</v>
      </c>
      <c r="D265" s="95" t="s">
        <v>22</v>
      </c>
      <c r="E265" s="94" t="s">
        <v>123</v>
      </c>
      <c r="F265" s="96">
        <v>8</v>
      </c>
      <c r="G265" s="94"/>
      <c r="H265" s="96"/>
      <c r="I265" s="91">
        <v>25860</v>
      </c>
      <c r="J265" s="97">
        <v>526332</v>
      </c>
      <c r="K265" s="97">
        <v>26880</v>
      </c>
      <c r="L265" s="97">
        <v>49200</v>
      </c>
      <c r="M26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5" s="97">
        <v>485</v>
      </c>
      <c r="O265" s="20">
        <v>1546</v>
      </c>
      <c r="P265" s="98">
        <v>79</v>
      </c>
      <c r="Q265" s="99">
        <f>IFERROR((Tableau3[[#This Row],[QTY Produite]]/1000)*((1000/Tableau3[[#This Row],[Cadence]])/60)/Tableau3[[#This Row],[Heures Macines]],"0")</f>
        <v>0.70886075949367089</v>
      </c>
      <c r="R265" s="100">
        <v>71</v>
      </c>
      <c r="S265" s="96"/>
      <c r="T265" s="18"/>
      <c r="U265" s="101"/>
      <c r="V265" s="96"/>
      <c r="W265" s="96"/>
      <c r="X265" s="101"/>
      <c r="Y265" s="96"/>
      <c r="Z265" s="96"/>
      <c r="AA265" s="101"/>
      <c r="AB265" s="96"/>
      <c r="AC265" s="96"/>
      <c r="AD265" s="101"/>
      <c r="AE265" s="96"/>
      <c r="AF265" s="96"/>
      <c r="AG265" s="101"/>
      <c r="AH265" s="96"/>
      <c r="AI265" s="96"/>
      <c r="AJ265" s="101"/>
      <c r="AK265" s="84">
        <f t="shared" si="16"/>
        <v>4</v>
      </c>
      <c r="AL265" s="24">
        <f>YEAR(Tableau3[[#This Row],[Date]])</f>
        <v>2020</v>
      </c>
      <c r="AM265" s="92">
        <f>IFERROR(((Tableau3[[#This Row],[QTY Produite]]/1000)*VLOOKUP(Tableau3[[#This Row],[Machine]],Liste!$A:$B,2))/Tableau3[[#This Row],[Heures Macines]],"0")</f>
        <v>1.008</v>
      </c>
      <c r="AN265" s="24" t="str">
        <f>VLOOKUP(Tableau3[[#This Row],[Opérateur 1]],Liste!$K$2:$M$68,3,FALSE)</f>
        <v>Mono</v>
      </c>
    </row>
    <row r="266" spans="1:40" s="24" customFormat="1" x14ac:dyDescent="0.25">
      <c r="A266" s="93">
        <v>43937</v>
      </c>
      <c r="B266" s="94" t="s">
        <v>16</v>
      </c>
      <c r="C266" s="16" t="s">
        <v>62</v>
      </c>
      <c r="D266" s="95" t="s">
        <v>25</v>
      </c>
      <c r="E266" s="94" t="s">
        <v>122</v>
      </c>
      <c r="F266" s="96">
        <v>8</v>
      </c>
      <c r="G266" s="94"/>
      <c r="H266" s="96"/>
      <c r="I266" s="91" t="s">
        <v>168</v>
      </c>
      <c r="J266" s="97">
        <v>16500</v>
      </c>
      <c r="K266" s="97">
        <v>8160</v>
      </c>
      <c r="L266" s="97">
        <v>8160</v>
      </c>
      <c r="M26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66" s="97">
        <v>31</v>
      </c>
      <c r="O266" s="20">
        <v>457</v>
      </c>
      <c r="P266" s="98">
        <v>46</v>
      </c>
      <c r="Q266" s="99">
        <f>IFERROR((Tableau3[[#This Row],[QTY Produite]]/1000)*((1000/Tableau3[[#This Row],[Cadence]])/60)/Tableau3[[#This Row],[Heures Macines]],"0")</f>
        <v>0.36956521739130438</v>
      </c>
      <c r="R266" s="100">
        <v>36</v>
      </c>
      <c r="S266" s="96"/>
      <c r="T266" s="18"/>
      <c r="U266" s="101"/>
      <c r="V266" s="96"/>
      <c r="W266" s="96"/>
      <c r="X266" s="101"/>
      <c r="Y266" s="96"/>
      <c r="Z266" s="96"/>
      <c r="AA266" s="101"/>
      <c r="AB266" s="96"/>
      <c r="AC266" s="96"/>
      <c r="AD266" s="101"/>
      <c r="AE266" s="96"/>
      <c r="AF266" s="96"/>
      <c r="AG266" s="101"/>
      <c r="AH266" s="96"/>
      <c r="AI266" s="96"/>
      <c r="AJ266" s="101"/>
      <c r="AK266" s="84">
        <f t="shared" si="16"/>
        <v>4</v>
      </c>
      <c r="AL266" s="24">
        <f>YEAR(Tableau3[[#This Row],[Date]])</f>
        <v>2020</v>
      </c>
      <c r="AM266" s="92">
        <f>IFERROR(((Tableau3[[#This Row],[QTY Produite]]/1000)*VLOOKUP(Tableau3[[#This Row],[Machine]],Liste!$A:$B,2))/Tableau3[[#This Row],[Heures Macines]],"0")</f>
        <v>0.51</v>
      </c>
      <c r="AN266" s="24" t="str">
        <f>VLOOKUP(Tableau3[[#This Row],[Opérateur 1]],Liste!$K$2:$M$68,3,FALSE)</f>
        <v>Déco</v>
      </c>
    </row>
    <row r="267" spans="1:40" s="24" customFormat="1" x14ac:dyDescent="0.25">
      <c r="A267" s="93">
        <v>43937</v>
      </c>
      <c r="B267" s="94" t="s">
        <v>19</v>
      </c>
      <c r="C267" s="16" t="s">
        <v>63</v>
      </c>
      <c r="D267" s="95" t="s">
        <v>25</v>
      </c>
      <c r="E267" s="94" t="s">
        <v>130</v>
      </c>
      <c r="F267" s="96">
        <v>1</v>
      </c>
      <c r="G267" s="94"/>
      <c r="H267" s="96"/>
      <c r="I267" s="91" t="s">
        <v>160</v>
      </c>
      <c r="J267" s="97">
        <v>10500</v>
      </c>
      <c r="K267" s="97">
        <v>168</v>
      </c>
      <c r="L267" s="97">
        <v>168</v>
      </c>
      <c r="M26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</v>
      </c>
      <c r="N267" s="97">
        <v>348</v>
      </c>
      <c r="O267" s="20">
        <v>180</v>
      </c>
      <c r="P267" s="98">
        <v>47</v>
      </c>
      <c r="Q267" s="99">
        <f>IFERROR((Tableau3[[#This Row],[QTY Produite]]/1000)*((1000/Tableau3[[#This Row],[Cadence]])/60)/Tableau3[[#This Row],[Heures Macines]],"0")</f>
        <v>5.9574468085106386E-2</v>
      </c>
      <c r="R267" s="100">
        <v>6</v>
      </c>
      <c r="S267" s="96"/>
      <c r="T267" s="18"/>
      <c r="U267" s="101"/>
      <c r="V267" s="96"/>
      <c r="W267" s="96"/>
      <c r="X267" s="101"/>
      <c r="Y267" s="96"/>
      <c r="Z267" s="96"/>
      <c r="AA267" s="101"/>
      <c r="AB267" s="96"/>
      <c r="AC267" s="96"/>
      <c r="AD267" s="101"/>
      <c r="AE267" s="96"/>
      <c r="AF267" s="96"/>
      <c r="AG267" s="101"/>
      <c r="AH267" s="96"/>
      <c r="AI267" s="96"/>
      <c r="AJ267" s="101"/>
      <c r="AK267" s="84">
        <f t="shared" si="16"/>
        <v>4</v>
      </c>
      <c r="AL267" s="24">
        <f>YEAR(Tableau3[[#This Row],[Date]])</f>
        <v>2020</v>
      </c>
      <c r="AM267" s="92">
        <f>IFERROR(((Tableau3[[#This Row],[QTY Produite]]/1000)*VLOOKUP(Tableau3[[#This Row],[Machine]],Liste!$A:$B,2))/Tableau3[[#This Row],[Heures Macines]],"0")</f>
        <v>8.4000000000000005E-2</v>
      </c>
      <c r="AN267" s="24" t="str">
        <f>VLOOKUP(Tableau3[[#This Row],[Opérateur 1]],Liste!$K$2:$M$68,3,FALSE)</f>
        <v>Déco</v>
      </c>
    </row>
    <row r="268" spans="1:40" s="24" customFormat="1" x14ac:dyDescent="0.25">
      <c r="A268" s="93">
        <v>43937</v>
      </c>
      <c r="B268" s="94" t="s">
        <v>19</v>
      </c>
      <c r="C268" s="16" t="s">
        <v>63</v>
      </c>
      <c r="D268" s="95" t="s">
        <v>25</v>
      </c>
      <c r="E268" s="94" t="s">
        <v>130</v>
      </c>
      <c r="F268" s="96">
        <v>5.5</v>
      </c>
      <c r="G268" s="94"/>
      <c r="H268" s="96"/>
      <c r="I268" s="91" t="s">
        <v>159</v>
      </c>
      <c r="J268" s="97">
        <v>10500</v>
      </c>
      <c r="K268" s="97">
        <v>10023</v>
      </c>
      <c r="L268" s="97">
        <v>10023</v>
      </c>
      <c r="M268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5.5</v>
      </c>
      <c r="N268" s="97">
        <v>15</v>
      </c>
      <c r="O268" s="20">
        <v>346</v>
      </c>
      <c r="P268" s="98">
        <v>47</v>
      </c>
      <c r="Q268" s="99">
        <f>IFERROR((Tableau3[[#This Row],[QTY Produite]]/1000)*((1000/Tableau3[[#This Row],[Cadence]])/60)/Tableau3[[#This Row],[Heures Macines]],"0")</f>
        <v>0.64622823984526112</v>
      </c>
      <c r="R268" s="100">
        <v>65</v>
      </c>
      <c r="S268" s="96"/>
      <c r="T268" s="18"/>
      <c r="U268" s="101"/>
      <c r="V268" s="96"/>
      <c r="W268" s="96"/>
      <c r="X268" s="101"/>
      <c r="Y268" s="96"/>
      <c r="Z268" s="96"/>
      <c r="AA268" s="101"/>
      <c r="AB268" s="96"/>
      <c r="AC268" s="96"/>
      <c r="AD268" s="101"/>
      <c r="AE268" s="96"/>
      <c r="AF268" s="96"/>
      <c r="AG268" s="101"/>
      <c r="AH268" s="96"/>
      <c r="AI268" s="96"/>
      <c r="AJ268" s="101"/>
      <c r="AK268" s="84">
        <f t="shared" si="16"/>
        <v>4</v>
      </c>
      <c r="AL268" s="24">
        <f>YEAR(Tableau3[[#This Row],[Date]])</f>
        <v>2020</v>
      </c>
      <c r="AM268" s="92">
        <f>IFERROR(((Tableau3[[#This Row],[QTY Produite]]/1000)*VLOOKUP(Tableau3[[#This Row],[Machine]],Liste!$A:$B,2))/Tableau3[[#This Row],[Heures Macines]],"0")</f>
        <v>0.9111818181818182</v>
      </c>
      <c r="AN268" s="24" t="str">
        <f>VLOOKUP(Tableau3[[#This Row],[Opérateur 1]],Liste!$K$2:$M$68,3,FALSE)</f>
        <v>Déco</v>
      </c>
    </row>
    <row r="269" spans="1:40" s="24" customFormat="1" x14ac:dyDescent="0.25">
      <c r="A269" s="93">
        <v>43937</v>
      </c>
      <c r="B269" s="94" t="s">
        <v>19</v>
      </c>
      <c r="C269" s="16" t="s">
        <v>63</v>
      </c>
      <c r="D269" s="95" t="s">
        <v>25</v>
      </c>
      <c r="E269" s="94" t="s">
        <v>130</v>
      </c>
      <c r="F269" s="96">
        <v>1.5</v>
      </c>
      <c r="G269" s="94"/>
      <c r="H269" s="96"/>
      <c r="I269" s="91" t="s">
        <v>153</v>
      </c>
      <c r="J269" s="97">
        <v>10500</v>
      </c>
      <c r="K269" s="97">
        <v>1423</v>
      </c>
      <c r="L269" s="97">
        <v>9343</v>
      </c>
      <c r="M26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1.5</v>
      </c>
      <c r="N269" s="97">
        <v>0</v>
      </c>
      <c r="O269" s="20">
        <v>27</v>
      </c>
      <c r="P269" s="98">
        <v>47</v>
      </c>
      <c r="Q269" s="99">
        <f>IFERROR((Tableau3[[#This Row],[QTY Produite]]/1000)*((1000/Tableau3[[#This Row],[Cadence]])/60)/Tableau3[[#This Row],[Heures Macines]],"0")</f>
        <v>0.33640661938534278</v>
      </c>
      <c r="R269" s="100">
        <v>34</v>
      </c>
      <c r="S269" s="96"/>
      <c r="T269" s="18"/>
      <c r="U269" s="101"/>
      <c r="V269" s="96"/>
      <c r="W269" s="96"/>
      <c r="X269" s="101"/>
      <c r="Y269" s="96"/>
      <c r="Z269" s="96"/>
      <c r="AA269" s="101"/>
      <c r="AB269" s="96"/>
      <c r="AC269" s="96"/>
      <c r="AD269" s="101"/>
      <c r="AE269" s="96"/>
      <c r="AF269" s="96"/>
      <c r="AG269" s="101"/>
      <c r="AH269" s="96"/>
      <c r="AI269" s="96"/>
      <c r="AJ269" s="101"/>
      <c r="AK269" s="84">
        <f t="shared" si="16"/>
        <v>4</v>
      </c>
      <c r="AL269" s="24">
        <f>YEAR(Tableau3[[#This Row],[Date]])</f>
        <v>2020</v>
      </c>
      <c r="AM269" s="92">
        <f>IFERROR(((Tableau3[[#This Row],[QTY Produite]]/1000)*VLOOKUP(Tableau3[[#This Row],[Machine]],Liste!$A:$B,2))/Tableau3[[#This Row],[Heures Macines]],"0")</f>
        <v>0.47433333333333333</v>
      </c>
      <c r="AN269" s="24" t="str">
        <f>VLOOKUP(Tableau3[[#This Row],[Opérateur 1]],Liste!$K$2:$M$68,3,FALSE)</f>
        <v>Déco</v>
      </c>
    </row>
    <row r="270" spans="1:40" s="24" customFormat="1" x14ac:dyDescent="0.25">
      <c r="A270" s="93">
        <v>43937</v>
      </c>
      <c r="B270" s="94" t="s">
        <v>19</v>
      </c>
      <c r="C270" s="16" t="s">
        <v>63</v>
      </c>
      <c r="D270" s="95" t="s">
        <v>23</v>
      </c>
      <c r="E270" s="94" t="s">
        <v>142</v>
      </c>
      <c r="F270" s="96">
        <v>8</v>
      </c>
      <c r="G270" s="94"/>
      <c r="H270" s="96"/>
      <c r="I270" s="91" t="s">
        <v>148</v>
      </c>
      <c r="J270" s="97">
        <v>94500</v>
      </c>
      <c r="K270" s="97">
        <v>12827</v>
      </c>
      <c r="L270" s="97">
        <v>53594</v>
      </c>
      <c r="M27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0" s="97">
        <v>150</v>
      </c>
      <c r="O270" s="20">
        <v>154</v>
      </c>
      <c r="P270" s="98">
        <v>35</v>
      </c>
      <c r="Q270" s="99">
        <f>IFERROR((Tableau3[[#This Row],[QTY Produite]]/1000)*((1000/Tableau3[[#This Row],[Cadence]])/60)/Tableau3[[#This Row],[Heures Macines]],"0")</f>
        <v>0.76351190476190478</v>
      </c>
      <c r="R270" s="100">
        <v>80</v>
      </c>
      <c r="S270" s="96"/>
      <c r="T270" s="18"/>
      <c r="U270" s="101"/>
      <c r="V270" s="96"/>
      <c r="W270" s="96"/>
      <c r="X270" s="101"/>
      <c r="Y270" s="96"/>
      <c r="Z270" s="96"/>
      <c r="AA270" s="101"/>
      <c r="AB270" s="96"/>
      <c r="AC270" s="96"/>
      <c r="AD270" s="101"/>
      <c r="AE270" s="96"/>
      <c r="AF270" s="96"/>
      <c r="AG270" s="101"/>
      <c r="AH270" s="96"/>
      <c r="AI270" s="96"/>
      <c r="AJ270" s="101"/>
      <c r="AK270" s="84">
        <f t="shared" si="16"/>
        <v>4</v>
      </c>
      <c r="AL270" s="24">
        <f>YEAR(Tableau3[[#This Row],[Date]])</f>
        <v>2020</v>
      </c>
      <c r="AM270" s="92">
        <f>IFERROR(((Tableau3[[#This Row],[QTY Produite]]/1000)*VLOOKUP(Tableau3[[#This Row],[Machine]],Liste!$A:$B,2))/Tableau3[[#This Row],[Heures Macines]],"0")</f>
        <v>0.64135000000000009</v>
      </c>
      <c r="AN270" s="24" t="str">
        <f>VLOOKUP(Tableau3[[#This Row],[Opérateur 1]],Liste!$K$2:$M$68,3,FALSE)</f>
        <v>Déco</v>
      </c>
    </row>
    <row r="271" spans="1:40" s="24" customFormat="1" x14ac:dyDescent="0.25">
      <c r="A271" s="93">
        <v>43936</v>
      </c>
      <c r="B271" s="94" t="s">
        <v>19</v>
      </c>
      <c r="C271" s="16" t="s">
        <v>63</v>
      </c>
      <c r="D271" s="95" t="s">
        <v>14</v>
      </c>
      <c r="E271" s="94" t="s">
        <v>139</v>
      </c>
      <c r="F271" s="96">
        <v>2.15</v>
      </c>
      <c r="G271" s="94"/>
      <c r="H271" s="96"/>
      <c r="I271" s="91">
        <v>26481</v>
      </c>
      <c r="J271" s="97">
        <v>14971</v>
      </c>
      <c r="K271" s="97">
        <v>1143</v>
      </c>
      <c r="L271" s="97">
        <v>1143</v>
      </c>
      <c r="M27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2.15</v>
      </c>
      <c r="N271" s="97">
        <v>1989</v>
      </c>
      <c r="O271" s="20">
        <v>277</v>
      </c>
      <c r="P271" s="98">
        <v>30</v>
      </c>
      <c r="Q271" s="99">
        <f>IFERROR((Tableau3[[#This Row],[QTY Produite]]/1000)*((1000/Tableau3[[#This Row],[Cadence]])/60)/Tableau3[[#This Row],[Heures Macines]],"0")</f>
        <v>0.29534883720930233</v>
      </c>
      <c r="R271" s="100">
        <v>21</v>
      </c>
      <c r="S271" s="96"/>
      <c r="T271" s="18"/>
      <c r="U271" s="101"/>
      <c r="V271" s="96"/>
      <c r="W271" s="96"/>
      <c r="X271" s="101"/>
      <c r="Y271" s="96"/>
      <c r="Z271" s="96"/>
      <c r="AA271" s="101"/>
      <c r="AB271" s="96"/>
      <c r="AC271" s="96"/>
      <c r="AD271" s="101"/>
      <c r="AE271" s="96"/>
      <c r="AF271" s="96"/>
      <c r="AG271" s="101"/>
      <c r="AH271" s="96"/>
      <c r="AI271" s="96"/>
      <c r="AJ271" s="101"/>
      <c r="AK271" s="84">
        <f t="shared" si="16"/>
        <v>4</v>
      </c>
      <c r="AL271" s="24">
        <f>YEAR(Tableau3[[#This Row],[Date]])</f>
        <v>2020</v>
      </c>
      <c r="AM271" s="92">
        <f>IFERROR(((Tableau3[[#This Row],[QTY Produite]]/1000)*VLOOKUP(Tableau3[[#This Row],[Machine]],Liste!$A:$B,2))/Tableau3[[#This Row],[Heures Macines]],"0")</f>
        <v>0.23923255813953487</v>
      </c>
      <c r="AN271" s="24" t="str">
        <f>VLOOKUP(Tableau3[[#This Row],[Opérateur 1]],Liste!$K$2:$M$68,3,FALSE)</f>
        <v>Mono</v>
      </c>
    </row>
    <row r="272" spans="1:40" s="24" customFormat="1" x14ac:dyDescent="0.25">
      <c r="A272" s="93">
        <v>43936</v>
      </c>
      <c r="B272" s="94" t="s">
        <v>19</v>
      </c>
      <c r="C272" s="16" t="s">
        <v>63</v>
      </c>
      <c r="D272" s="95" t="s">
        <v>14</v>
      </c>
      <c r="E272" s="94" t="s">
        <v>139</v>
      </c>
      <c r="F272" s="96">
        <v>4.5</v>
      </c>
      <c r="G272" s="94"/>
      <c r="H272" s="96"/>
      <c r="I272" s="91">
        <v>25521</v>
      </c>
      <c r="J272" s="97">
        <v>29746</v>
      </c>
      <c r="K272" s="97">
        <v>601</v>
      </c>
      <c r="L272" s="97">
        <v>59817</v>
      </c>
      <c r="M27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4.5</v>
      </c>
      <c r="N272" s="97">
        <v>1242</v>
      </c>
      <c r="O272" s="20">
        <v>933</v>
      </c>
      <c r="P272" s="98">
        <v>49</v>
      </c>
      <c r="Q272" s="99">
        <f>IFERROR((Tableau3[[#This Row],[QTY Produite]]/1000)*((1000/Tableau3[[#This Row],[Cadence]])/60)/Tableau3[[#This Row],[Heures Macines]],"0")</f>
        <v>4.5427059712773998E-2</v>
      </c>
      <c r="R272" s="100">
        <v>45</v>
      </c>
      <c r="S272" s="96"/>
      <c r="T272" s="18"/>
      <c r="U272" s="101"/>
      <c r="V272" s="96"/>
      <c r="W272" s="96"/>
      <c r="X272" s="101"/>
      <c r="Y272" s="96"/>
      <c r="Z272" s="96"/>
      <c r="AA272" s="101"/>
      <c r="AB272" s="96"/>
      <c r="AC272" s="96"/>
      <c r="AD272" s="101"/>
      <c r="AE272" s="96"/>
      <c r="AF272" s="96"/>
      <c r="AG272" s="101"/>
      <c r="AH272" s="96"/>
      <c r="AI272" s="96"/>
      <c r="AJ272" s="101"/>
      <c r="AK272" s="84">
        <f t="shared" si="16"/>
        <v>4</v>
      </c>
      <c r="AL272" s="24">
        <f>YEAR(Tableau3[[#This Row],[Date]])</f>
        <v>2020</v>
      </c>
      <c r="AM272" s="92">
        <f>IFERROR(((Tableau3[[#This Row],[QTY Produite]]/1000)*VLOOKUP(Tableau3[[#This Row],[Machine]],Liste!$A:$B,2))/Tableau3[[#This Row],[Heures Macines]],"0")</f>
        <v>6.0100000000000008E-2</v>
      </c>
      <c r="AN272" s="24" t="str">
        <f>VLOOKUP(Tableau3[[#This Row],[Opérateur 1]],Liste!$K$2:$M$68,3,FALSE)</f>
        <v>Mono</v>
      </c>
    </row>
    <row r="273" spans="1:40" s="24" customFormat="1" x14ac:dyDescent="0.25">
      <c r="A273" s="93">
        <v>43936</v>
      </c>
      <c r="B273" s="94" t="s">
        <v>19</v>
      </c>
      <c r="C273" s="16" t="s">
        <v>63</v>
      </c>
      <c r="D273" s="95" t="s">
        <v>28</v>
      </c>
      <c r="E273" s="94" t="s">
        <v>114</v>
      </c>
      <c r="F273" s="96">
        <v>8</v>
      </c>
      <c r="G273" s="94"/>
      <c r="H273" s="96"/>
      <c r="I273" s="91" t="s">
        <v>163</v>
      </c>
      <c r="J273" s="97"/>
      <c r="K273" s="97">
        <v>11557</v>
      </c>
      <c r="L273" s="97">
        <v>28332</v>
      </c>
      <c r="M27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3" s="97">
        <v>789</v>
      </c>
      <c r="O273" s="20"/>
      <c r="P273" s="98">
        <v>60</v>
      </c>
      <c r="Q273" s="99">
        <f>IFERROR((Tableau3[[#This Row],[QTY Produite]]/1000)*((1000/Tableau3[[#This Row],[Cadence]])/60)/Tableau3[[#This Row],[Heures Macines]],"0")</f>
        <v>0.40128472222222228</v>
      </c>
      <c r="R273" s="100">
        <v>41</v>
      </c>
      <c r="S273" s="96"/>
      <c r="T273" s="18"/>
      <c r="U273" s="101"/>
      <c r="V273" s="96"/>
      <c r="W273" s="96"/>
      <c r="X273" s="101"/>
      <c r="Y273" s="96"/>
      <c r="Z273" s="96"/>
      <c r="AA273" s="101"/>
      <c r="AB273" s="96"/>
      <c r="AC273" s="96"/>
      <c r="AD273" s="101"/>
      <c r="AE273" s="96"/>
      <c r="AF273" s="96"/>
      <c r="AG273" s="101"/>
      <c r="AH273" s="96"/>
      <c r="AI273" s="96"/>
      <c r="AJ273" s="101"/>
      <c r="AK273" s="84">
        <f t="shared" si="16"/>
        <v>4</v>
      </c>
      <c r="AL273" s="24">
        <f>YEAR(Tableau3[[#This Row],[Date]])</f>
        <v>2020</v>
      </c>
      <c r="AM273" s="92">
        <f>IFERROR(((Tableau3[[#This Row],[QTY Produite]]/1000)*VLOOKUP(Tableau3[[#This Row],[Machine]],Liste!$A:$B,2))/Tableau3[[#This Row],[Heures Macines]],"0")</f>
        <v>0.50561875000000001</v>
      </c>
      <c r="AN273" s="24" t="str">
        <f>VLOOKUP(Tableau3[[#This Row],[Opérateur 1]],Liste!$K$2:$M$68,3,FALSE)</f>
        <v>Multi</v>
      </c>
    </row>
    <row r="274" spans="1:40" s="24" customFormat="1" x14ac:dyDescent="0.25">
      <c r="A274" s="93">
        <v>43936</v>
      </c>
      <c r="B274" s="94" t="s">
        <v>19</v>
      </c>
      <c r="C274" s="16" t="s">
        <v>63</v>
      </c>
      <c r="D274" s="95" t="s">
        <v>15</v>
      </c>
      <c r="E274" s="94" t="s">
        <v>121</v>
      </c>
      <c r="F274" s="96">
        <v>5</v>
      </c>
      <c r="G274" s="94"/>
      <c r="H274" s="96"/>
      <c r="I274" s="91" t="s">
        <v>150</v>
      </c>
      <c r="J274" s="97">
        <v>23100</v>
      </c>
      <c r="K274" s="97">
        <v>18288</v>
      </c>
      <c r="L274" s="97"/>
      <c r="M27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274" s="97">
        <v>782</v>
      </c>
      <c r="O274" s="20"/>
      <c r="P274" s="98">
        <v>85</v>
      </c>
      <c r="Q274" s="99">
        <f>IFERROR((Tableau3[[#This Row],[QTY Produite]]/1000)*((1000/Tableau3[[#This Row],[Cadence]])/60)/Tableau3[[#This Row],[Heures Macines]],"0")</f>
        <v>0.71717647058823542</v>
      </c>
      <c r="R274" s="100">
        <v>71</v>
      </c>
      <c r="S274" s="96"/>
      <c r="T274" s="18"/>
      <c r="U274" s="101"/>
      <c r="V274" s="96"/>
      <c r="W274" s="96"/>
      <c r="X274" s="101"/>
      <c r="Y274" s="96"/>
      <c r="Z274" s="96"/>
      <c r="AA274" s="101"/>
      <c r="AB274" s="96"/>
      <c r="AC274" s="96"/>
      <c r="AD274" s="101"/>
      <c r="AE274" s="96"/>
      <c r="AF274" s="96"/>
      <c r="AG274" s="101"/>
      <c r="AH274" s="96"/>
      <c r="AI274" s="96"/>
      <c r="AJ274" s="101"/>
      <c r="AK274" s="84">
        <f t="shared" si="16"/>
        <v>4</v>
      </c>
      <c r="AL274" s="24">
        <f>YEAR(Tableau3[[#This Row],[Date]])</f>
        <v>2020</v>
      </c>
      <c r="AM274" s="92">
        <f>IFERROR(((Tableau3[[#This Row],[QTY Produite]]/1000)*VLOOKUP(Tableau3[[#This Row],[Machine]],Liste!$A:$B,2))/Tableau3[[#This Row],[Heures Macines]],"0")</f>
        <v>1.4630400000000001</v>
      </c>
      <c r="AN274" s="24" t="str">
        <f>VLOOKUP(Tableau3[[#This Row],[Opérateur 1]],Liste!$K$2:$M$68,3,FALSE)</f>
        <v>Imp</v>
      </c>
    </row>
    <row r="275" spans="1:40" s="24" customFormat="1" x14ac:dyDescent="0.25">
      <c r="A275" s="93">
        <v>43936</v>
      </c>
      <c r="B275" s="94" t="s">
        <v>19</v>
      </c>
      <c r="C275" s="16" t="s">
        <v>63</v>
      </c>
      <c r="D275" s="95" t="s">
        <v>15</v>
      </c>
      <c r="E275" s="94" t="s">
        <v>121</v>
      </c>
      <c r="F275" s="96">
        <v>3</v>
      </c>
      <c r="G275" s="94"/>
      <c r="H275" s="96"/>
      <c r="I275" s="91" t="s">
        <v>162</v>
      </c>
      <c r="J275" s="97">
        <v>11000</v>
      </c>
      <c r="K275" s="97">
        <v>3048</v>
      </c>
      <c r="L275" s="97">
        <v>10922</v>
      </c>
      <c r="M27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275" s="97">
        <v>11</v>
      </c>
      <c r="O275" s="20"/>
      <c r="P275" s="98">
        <v>80</v>
      </c>
      <c r="Q275" s="99">
        <f>IFERROR((Tableau3[[#This Row],[QTY Produite]]/1000)*((1000/Tableau3[[#This Row],[Cadence]])/60)/Tableau3[[#This Row],[Heures Macines]],"0")</f>
        <v>0.21166666666666667</v>
      </c>
      <c r="R275" s="100">
        <v>21</v>
      </c>
      <c r="S275" s="96"/>
      <c r="T275" s="18"/>
      <c r="U275" s="101"/>
      <c r="V275" s="96"/>
      <c r="W275" s="96"/>
      <c r="X275" s="101"/>
      <c r="Y275" s="96"/>
      <c r="Z275" s="96"/>
      <c r="AA275" s="101"/>
      <c r="AB275" s="96"/>
      <c r="AC275" s="96"/>
      <c r="AD275" s="101"/>
      <c r="AE275" s="96"/>
      <c r="AF275" s="96"/>
      <c r="AG275" s="101"/>
      <c r="AH275" s="96"/>
      <c r="AI275" s="96"/>
      <c r="AJ275" s="101"/>
      <c r="AK275" s="84">
        <f t="shared" si="16"/>
        <v>4</v>
      </c>
      <c r="AL275" s="24">
        <f>YEAR(Tableau3[[#This Row],[Date]])</f>
        <v>2020</v>
      </c>
      <c r="AM275" s="92">
        <f>IFERROR(((Tableau3[[#This Row],[QTY Produite]]/1000)*VLOOKUP(Tableau3[[#This Row],[Machine]],Liste!$A:$B,2))/Tableau3[[#This Row],[Heures Macines]],"0")</f>
        <v>0.40640000000000004</v>
      </c>
      <c r="AN275" s="24" t="str">
        <f>VLOOKUP(Tableau3[[#This Row],[Opérateur 1]],Liste!$K$2:$M$68,3,FALSE)</f>
        <v>Imp</v>
      </c>
    </row>
    <row r="276" spans="1:40" s="24" customFormat="1" x14ac:dyDescent="0.25">
      <c r="A276" s="93">
        <v>43936</v>
      </c>
      <c r="B276" s="94" t="s">
        <v>19</v>
      </c>
      <c r="C276" s="16" t="s">
        <v>63</v>
      </c>
      <c r="D276" s="95" t="s">
        <v>22</v>
      </c>
      <c r="E276" s="94" t="s">
        <v>127</v>
      </c>
      <c r="F276" s="96">
        <v>3</v>
      </c>
      <c r="G276" s="94" t="s">
        <v>125</v>
      </c>
      <c r="H276" s="96">
        <v>5</v>
      </c>
      <c r="I276" s="91">
        <v>25073</v>
      </c>
      <c r="J276" s="97">
        <v>196505</v>
      </c>
      <c r="K276" s="97">
        <v>19680</v>
      </c>
      <c r="L276" s="97">
        <v>103440</v>
      </c>
      <c r="M27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6" s="97">
        <v>1792</v>
      </c>
      <c r="O276" s="20"/>
      <c r="P276" s="98">
        <v>80</v>
      </c>
      <c r="Q276" s="99">
        <f>IFERROR((Tableau3[[#This Row],[QTY Produite]]/1000)*((1000/Tableau3[[#This Row],[Cadence]])/60)/Tableau3[[#This Row],[Heures Macines]],"0")</f>
        <v>0.51250000000000007</v>
      </c>
      <c r="R276" s="100">
        <v>51</v>
      </c>
      <c r="S276" s="96"/>
      <c r="T276" s="18"/>
      <c r="U276" s="101"/>
      <c r="V276" s="96"/>
      <c r="W276" s="96"/>
      <c r="X276" s="101"/>
      <c r="Y276" s="96"/>
      <c r="Z276" s="96"/>
      <c r="AA276" s="101"/>
      <c r="AB276" s="96"/>
      <c r="AC276" s="96"/>
      <c r="AD276" s="101"/>
      <c r="AE276" s="96"/>
      <c r="AF276" s="96"/>
      <c r="AG276" s="101"/>
      <c r="AH276" s="96"/>
      <c r="AI276" s="96"/>
      <c r="AJ276" s="101"/>
      <c r="AK276" s="84">
        <f t="shared" si="16"/>
        <v>4</v>
      </c>
      <c r="AL276" s="24">
        <f>YEAR(Tableau3[[#This Row],[Date]])</f>
        <v>2020</v>
      </c>
      <c r="AM276" s="92">
        <f>IFERROR(((Tableau3[[#This Row],[QTY Produite]]/1000)*VLOOKUP(Tableau3[[#This Row],[Machine]],Liste!$A:$B,2))/Tableau3[[#This Row],[Heures Macines]],"0")</f>
        <v>0.73799999999999999</v>
      </c>
      <c r="AN276" s="24" t="str">
        <f>VLOOKUP(Tableau3[[#This Row],[Opérateur 1]],Liste!$K$2:$M$68,3,FALSE)</f>
        <v>Multi</v>
      </c>
    </row>
    <row r="277" spans="1:40" s="24" customFormat="1" x14ac:dyDescent="0.25">
      <c r="A277" s="93">
        <v>43936</v>
      </c>
      <c r="B277" s="94" t="s">
        <v>16</v>
      </c>
      <c r="C277" s="16" t="s">
        <v>62</v>
      </c>
      <c r="D277" s="95" t="s">
        <v>15</v>
      </c>
      <c r="E277" s="94" t="s">
        <v>109</v>
      </c>
      <c r="F277" s="96">
        <v>8</v>
      </c>
      <c r="G277" s="94"/>
      <c r="H277" s="96"/>
      <c r="I277" s="91" t="s">
        <v>154</v>
      </c>
      <c r="J277" s="97">
        <v>16500</v>
      </c>
      <c r="K277" s="97">
        <v>16383</v>
      </c>
      <c r="L277" s="97">
        <v>16383</v>
      </c>
      <c r="M27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7" s="97">
        <v>1600</v>
      </c>
      <c r="O277" s="20">
        <v>2246</v>
      </c>
      <c r="P277" s="98">
        <v>80</v>
      </c>
      <c r="Q277" s="99">
        <f>IFERROR((Tableau3[[#This Row],[QTY Produite]]/1000)*((1000/Tableau3[[#This Row],[Cadence]])/60)/Tableau3[[#This Row],[Heures Macines]],"0")</f>
        <v>0.426640625</v>
      </c>
      <c r="R277" s="100">
        <v>43</v>
      </c>
      <c r="S277" s="96"/>
      <c r="T277" s="18"/>
      <c r="U277" s="101"/>
      <c r="V277" s="96"/>
      <c r="W277" s="96"/>
      <c r="X277" s="101"/>
      <c r="Y277" s="96"/>
      <c r="Z277" s="96"/>
      <c r="AA277" s="101"/>
      <c r="AB277" s="96"/>
      <c r="AC277" s="96"/>
      <c r="AD277" s="101"/>
      <c r="AE277" s="96"/>
      <c r="AF277" s="96"/>
      <c r="AG277" s="101"/>
      <c r="AH277" s="96"/>
      <c r="AI277" s="96"/>
      <c r="AJ277" s="101"/>
      <c r="AK277" s="84">
        <f t="shared" si="16"/>
        <v>4</v>
      </c>
      <c r="AL277" s="24">
        <f>YEAR(Tableau3[[#This Row],[Date]])</f>
        <v>2020</v>
      </c>
      <c r="AM277" s="92">
        <f>IFERROR(((Tableau3[[#This Row],[QTY Produite]]/1000)*VLOOKUP(Tableau3[[#This Row],[Machine]],Liste!$A:$B,2))/Tableau3[[#This Row],[Heures Macines]],"0")</f>
        <v>0.81915000000000004</v>
      </c>
      <c r="AN277" s="24" t="str">
        <f>VLOOKUP(Tableau3[[#This Row],[Opérateur 1]],Liste!$K$2:$M$68,3,FALSE)</f>
        <v>Imp</v>
      </c>
    </row>
    <row r="278" spans="1:40" s="24" customFormat="1" x14ac:dyDescent="0.25">
      <c r="A278" s="93">
        <v>43936</v>
      </c>
      <c r="B278" s="94" t="s">
        <v>16</v>
      </c>
      <c r="C278" s="16" t="s">
        <v>62</v>
      </c>
      <c r="D278" s="95" t="s">
        <v>18</v>
      </c>
      <c r="E278" s="94" t="s">
        <v>141</v>
      </c>
      <c r="F278" s="96">
        <v>8</v>
      </c>
      <c r="G278" s="94"/>
      <c r="H278" s="96"/>
      <c r="I278" s="91" t="s">
        <v>149</v>
      </c>
      <c r="J278" s="97">
        <v>214032</v>
      </c>
      <c r="K278" s="97">
        <v>25284</v>
      </c>
      <c r="L278" s="97">
        <v>55860</v>
      </c>
      <c r="M278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8" s="97">
        <v>225</v>
      </c>
      <c r="O278" s="20">
        <v>511</v>
      </c>
      <c r="P278" s="98">
        <v>90</v>
      </c>
      <c r="Q278" s="99">
        <f>IFERROR((Tableau3[[#This Row],[QTY Produite]]/1000)*((1000/Tableau3[[#This Row],[Cadence]])/60)/Tableau3[[#This Row],[Heures Macines]],"0")</f>
        <v>0.58527777777777767</v>
      </c>
      <c r="R278" s="100">
        <v>59</v>
      </c>
      <c r="S278" s="96"/>
      <c r="T278" s="18"/>
      <c r="U278" s="101"/>
      <c r="V278" s="96"/>
      <c r="W278" s="96"/>
      <c r="X278" s="101"/>
      <c r="Y278" s="96"/>
      <c r="Z278" s="96"/>
      <c r="AA278" s="101"/>
      <c r="AB278" s="96"/>
      <c r="AC278" s="96"/>
      <c r="AD278" s="101"/>
      <c r="AE278" s="96"/>
      <c r="AF278" s="96"/>
      <c r="AG278" s="101"/>
      <c r="AH278" s="96"/>
      <c r="AI278" s="96"/>
      <c r="AJ278" s="101"/>
      <c r="AK278" s="84">
        <f t="shared" si="16"/>
        <v>4</v>
      </c>
      <c r="AL278" s="24">
        <f>YEAR(Tableau3[[#This Row],[Date]])</f>
        <v>2020</v>
      </c>
      <c r="AM278" s="92">
        <f>IFERROR(((Tableau3[[#This Row],[QTY Produite]]/1000)*VLOOKUP(Tableau3[[#This Row],[Machine]],Liste!$A:$B,2))/Tableau3[[#This Row],[Heures Macines]],"0")</f>
        <v>1.2642</v>
      </c>
      <c r="AN278" s="24" t="str">
        <f>VLOOKUP(Tableau3[[#This Row],[Opérateur 1]],Liste!$K$2:$M$68,3,FALSE)</f>
        <v>Imp</v>
      </c>
    </row>
    <row r="279" spans="1:40" s="24" customFormat="1" x14ac:dyDescent="0.25">
      <c r="A279" s="93">
        <v>43936</v>
      </c>
      <c r="B279" s="94" t="s">
        <v>16</v>
      </c>
      <c r="C279" s="16" t="s">
        <v>62</v>
      </c>
      <c r="D279" s="95" t="s">
        <v>25</v>
      </c>
      <c r="E279" s="94" t="s">
        <v>122</v>
      </c>
      <c r="F279" s="96">
        <v>8</v>
      </c>
      <c r="G279" s="94"/>
      <c r="H279" s="96"/>
      <c r="I279" s="91" t="s">
        <v>153</v>
      </c>
      <c r="J279" s="97">
        <v>10500</v>
      </c>
      <c r="K279" s="97">
        <v>7920</v>
      </c>
      <c r="L279" s="97">
        <v>7920</v>
      </c>
      <c r="M27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79" s="97">
        <v>25</v>
      </c>
      <c r="O279" s="20">
        <v>599</v>
      </c>
      <c r="P279" s="98">
        <v>46</v>
      </c>
      <c r="Q279" s="99">
        <f>IFERROR((Tableau3[[#This Row],[QTY Produite]]/1000)*((1000/Tableau3[[#This Row],[Cadence]])/60)/Tableau3[[#This Row],[Heures Macines]],"0")</f>
        <v>0.35869565217391303</v>
      </c>
      <c r="R279" s="100">
        <v>35</v>
      </c>
      <c r="S279" s="96"/>
      <c r="T279" s="18"/>
      <c r="U279" s="101"/>
      <c r="V279" s="96"/>
      <c r="W279" s="96"/>
      <c r="X279" s="101"/>
      <c r="Y279" s="96"/>
      <c r="Z279" s="96"/>
      <c r="AA279" s="101"/>
      <c r="AB279" s="96"/>
      <c r="AC279" s="96"/>
      <c r="AD279" s="101"/>
      <c r="AE279" s="96"/>
      <c r="AF279" s="96"/>
      <c r="AG279" s="101"/>
      <c r="AH279" s="96"/>
      <c r="AI279" s="96"/>
      <c r="AJ279" s="101"/>
      <c r="AK279" s="84">
        <f t="shared" si="16"/>
        <v>4</v>
      </c>
      <c r="AL279" s="24">
        <f>YEAR(Tableau3[[#This Row],[Date]])</f>
        <v>2020</v>
      </c>
      <c r="AM279" s="92">
        <f>IFERROR(((Tableau3[[#This Row],[QTY Produite]]/1000)*VLOOKUP(Tableau3[[#This Row],[Machine]],Liste!$A:$B,2))/Tableau3[[#This Row],[Heures Macines]],"0")</f>
        <v>0.495</v>
      </c>
      <c r="AN279" s="24" t="str">
        <f>VLOOKUP(Tableau3[[#This Row],[Opérateur 1]],Liste!$K$2:$M$68,3,FALSE)</f>
        <v>Déco</v>
      </c>
    </row>
    <row r="280" spans="1:40" s="24" customFormat="1" x14ac:dyDescent="0.25">
      <c r="A280" s="93">
        <v>43936</v>
      </c>
      <c r="B280" s="94" t="s">
        <v>16</v>
      </c>
      <c r="C280" s="16" t="s">
        <v>62</v>
      </c>
      <c r="D280" s="95" t="s">
        <v>20</v>
      </c>
      <c r="E280" s="94" t="s">
        <v>124</v>
      </c>
      <c r="F280" s="96">
        <v>8</v>
      </c>
      <c r="G280" s="94"/>
      <c r="H280" s="96"/>
      <c r="I280" s="91">
        <v>24550</v>
      </c>
      <c r="J280" s="97">
        <v>144797</v>
      </c>
      <c r="K280" s="97">
        <v>21168</v>
      </c>
      <c r="L280" s="97">
        <v>23913</v>
      </c>
      <c r="M28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0" s="97">
        <v>795</v>
      </c>
      <c r="O280" s="20">
        <v>496</v>
      </c>
      <c r="P280" s="98">
        <v>53</v>
      </c>
      <c r="Q280" s="99">
        <f>IFERROR((Tableau3[[#This Row],[QTY Produite]]/1000)*((1000/Tableau3[[#This Row],[Cadence]])/60)/Tableau3[[#This Row],[Heures Macines]],"0")</f>
        <v>0.83207547169811324</v>
      </c>
      <c r="R280" s="100">
        <v>83</v>
      </c>
      <c r="S280" s="96"/>
      <c r="T280" s="18"/>
      <c r="U280" s="101"/>
      <c r="V280" s="96"/>
      <c r="W280" s="96"/>
      <c r="X280" s="101"/>
      <c r="Y280" s="96"/>
      <c r="Z280" s="96"/>
      <c r="AA280" s="101"/>
      <c r="AB280" s="96"/>
      <c r="AC280" s="96"/>
      <c r="AD280" s="101"/>
      <c r="AE280" s="96"/>
      <c r="AF280" s="96"/>
      <c r="AG280" s="101"/>
      <c r="AH280" s="96"/>
      <c r="AI280" s="96"/>
      <c r="AJ280" s="101"/>
      <c r="AK280" s="84">
        <f t="shared" si="16"/>
        <v>4</v>
      </c>
      <c r="AL280" s="24">
        <f>YEAR(Tableau3[[#This Row],[Date]])</f>
        <v>2020</v>
      </c>
      <c r="AM280" s="92">
        <f>IFERROR(((Tableau3[[#This Row],[QTY Produite]]/1000)*VLOOKUP(Tableau3[[#This Row],[Machine]],Liste!$A:$B,2))/Tableau3[[#This Row],[Heures Macines]],"0")</f>
        <v>0.95255999999999996</v>
      </c>
      <c r="AN280" s="24" t="str">
        <f>VLOOKUP(Tableau3[[#This Row],[Opérateur 1]],Liste!$K$2:$M$68,3,FALSE)</f>
        <v>Multi</v>
      </c>
    </row>
    <row r="281" spans="1:40" s="24" customFormat="1" x14ac:dyDescent="0.25">
      <c r="A281" s="93">
        <v>43936</v>
      </c>
      <c r="B281" s="94" t="s">
        <v>16</v>
      </c>
      <c r="C281" s="16" t="s">
        <v>62</v>
      </c>
      <c r="D281" s="95" t="s">
        <v>22</v>
      </c>
      <c r="E281" s="94" t="s">
        <v>123</v>
      </c>
      <c r="F281" s="96">
        <v>8</v>
      </c>
      <c r="G281" s="94"/>
      <c r="H281" s="96"/>
      <c r="I281" s="91">
        <v>25073</v>
      </c>
      <c r="J281" s="97">
        <v>196505</v>
      </c>
      <c r="K281" s="97">
        <v>34800</v>
      </c>
      <c r="L281" s="97">
        <v>175680</v>
      </c>
      <c r="M28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1" s="97">
        <v>1080</v>
      </c>
      <c r="O281" s="20">
        <v>680</v>
      </c>
      <c r="P281" s="98">
        <v>80</v>
      </c>
      <c r="Q281" s="99">
        <f>IFERROR((Tableau3[[#This Row],[QTY Produite]]/1000)*((1000/Tableau3[[#This Row],[Cadence]])/60)/Tableau3[[#This Row],[Heures Macines]],"0")</f>
        <v>0.90625</v>
      </c>
      <c r="R281" s="100">
        <v>91</v>
      </c>
      <c r="S281" s="96"/>
      <c r="T281" s="18"/>
      <c r="U281" s="101"/>
      <c r="V281" s="96"/>
      <c r="W281" s="96"/>
      <c r="X281" s="101"/>
      <c r="Y281" s="96"/>
      <c r="Z281" s="96"/>
      <c r="AA281" s="101"/>
      <c r="AB281" s="96"/>
      <c r="AC281" s="96"/>
      <c r="AD281" s="101"/>
      <c r="AE281" s="96"/>
      <c r="AF281" s="96"/>
      <c r="AG281" s="101"/>
      <c r="AH281" s="96"/>
      <c r="AI281" s="96"/>
      <c r="AJ281" s="101"/>
      <c r="AK281" s="84">
        <f t="shared" si="16"/>
        <v>4</v>
      </c>
      <c r="AL281" s="24">
        <f>YEAR(Tableau3[[#This Row],[Date]])</f>
        <v>2020</v>
      </c>
      <c r="AM281" s="92">
        <f>IFERROR(((Tableau3[[#This Row],[QTY Produite]]/1000)*VLOOKUP(Tableau3[[#This Row],[Machine]],Liste!$A:$B,2))/Tableau3[[#This Row],[Heures Macines]],"0")</f>
        <v>1.3049999999999999</v>
      </c>
      <c r="AN281" s="24" t="str">
        <f>VLOOKUP(Tableau3[[#This Row],[Opérateur 1]],Liste!$K$2:$M$68,3,FALSE)</f>
        <v>Mono</v>
      </c>
    </row>
    <row r="282" spans="1:40" s="24" customFormat="1" x14ac:dyDescent="0.25">
      <c r="A282" s="93">
        <v>43936</v>
      </c>
      <c r="B282" s="94" t="s">
        <v>16</v>
      </c>
      <c r="C282" s="16" t="s">
        <v>62</v>
      </c>
      <c r="D282" s="95" t="s">
        <v>14</v>
      </c>
      <c r="E282" s="94" t="s">
        <v>112</v>
      </c>
      <c r="F282" s="96">
        <v>5.75</v>
      </c>
      <c r="G282" s="94"/>
      <c r="H282" s="96"/>
      <c r="I282" s="91">
        <v>24983</v>
      </c>
      <c r="J282" s="97">
        <v>99524</v>
      </c>
      <c r="K282" s="97">
        <v>7366</v>
      </c>
      <c r="L282" s="97">
        <v>7366</v>
      </c>
      <c r="M28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5.75</v>
      </c>
      <c r="N282" s="97">
        <v>126</v>
      </c>
      <c r="O282" s="20">
        <v>28</v>
      </c>
      <c r="P282" s="98">
        <v>31</v>
      </c>
      <c r="Q282" s="99">
        <f>IFERROR((Tableau3[[#This Row],[QTY Produite]]/1000)*((1000/Tableau3[[#This Row],[Cadence]])/60)/Tableau3[[#This Row],[Heures Macines]],"0")</f>
        <v>0.68873305282842445</v>
      </c>
      <c r="R282" s="100">
        <v>69</v>
      </c>
      <c r="S282" s="96"/>
      <c r="T282" s="18"/>
      <c r="U282" s="101"/>
      <c r="V282" s="96"/>
      <c r="W282" s="96"/>
      <c r="X282" s="101"/>
      <c r="Y282" s="96"/>
      <c r="Z282" s="96"/>
      <c r="AA282" s="101"/>
      <c r="AB282" s="96"/>
      <c r="AC282" s="96"/>
      <c r="AD282" s="101"/>
      <c r="AE282" s="96"/>
      <c r="AF282" s="96"/>
      <c r="AG282" s="101"/>
      <c r="AH282" s="96"/>
      <c r="AI282" s="96"/>
      <c r="AJ282" s="101"/>
      <c r="AK282" s="84">
        <f t="shared" si="16"/>
        <v>4</v>
      </c>
      <c r="AL282" s="24">
        <f>YEAR(Tableau3[[#This Row],[Date]])</f>
        <v>2020</v>
      </c>
      <c r="AM282" s="92">
        <f>IFERROR(((Tableau3[[#This Row],[QTY Produite]]/1000)*VLOOKUP(Tableau3[[#This Row],[Machine]],Liste!$A:$B,2))/Tableau3[[#This Row],[Heures Macines]],"0")</f>
        <v>0.57646956521739123</v>
      </c>
      <c r="AN282" s="24" t="str">
        <f>VLOOKUP(Tableau3[[#This Row],[Opérateur 1]],Liste!$K$2:$M$68,3,FALSE)</f>
        <v>Mono</v>
      </c>
    </row>
    <row r="283" spans="1:40" s="24" customFormat="1" x14ac:dyDescent="0.25">
      <c r="A283" s="93">
        <v>43936</v>
      </c>
      <c r="B283" s="94" t="s">
        <v>16</v>
      </c>
      <c r="C283" s="16" t="s">
        <v>62</v>
      </c>
      <c r="D283" s="95" t="s">
        <v>14</v>
      </c>
      <c r="E283" s="94" t="s">
        <v>112</v>
      </c>
      <c r="F283" s="96">
        <v>2.25</v>
      </c>
      <c r="G283" s="94"/>
      <c r="H283" s="96"/>
      <c r="I283" s="91">
        <v>26481</v>
      </c>
      <c r="J283" s="97">
        <v>14972</v>
      </c>
      <c r="K283" s="97">
        <v>3455</v>
      </c>
      <c r="L283" s="97">
        <v>14986</v>
      </c>
      <c r="M28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2.25</v>
      </c>
      <c r="N283" s="97">
        <v>30</v>
      </c>
      <c r="O283" s="20">
        <v>13</v>
      </c>
      <c r="P283" s="98">
        <v>31</v>
      </c>
      <c r="Q283" s="99">
        <f>IFERROR((Tableau3[[#This Row],[QTY Produite]]/1000)*((1000/Tableau3[[#This Row],[Cadence]])/60)/Tableau3[[#This Row],[Heures Macines]],"0")</f>
        <v>0.82556750298685777</v>
      </c>
      <c r="R283" s="100">
        <v>83</v>
      </c>
      <c r="S283" s="96"/>
      <c r="T283" s="18"/>
      <c r="U283" s="101"/>
      <c r="V283" s="96"/>
      <c r="W283" s="96"/>
      <c r="X283" s="101"/>
      <c r="Y283" s="96"/>
      <c r="Z283" s="96"/>
      <c r="AA283" s="101"/>
      <c r="AB283" s="96"/>
      <c r="AC283" s="96"/>
      <c r="AD283" s="101"/>
      <c r="AE283" s="96"/>
      <c r="AF283" s="96"/>
      <c r="AG283" s="101"/>
      <c r="AH283" s="96"/>
      <c r="AI283" s="96"/>
      <c r="AJ283" s="101"/>
      <c r="AK283" s="84">
        <f t="shared" si="16"/>
        <v>4</v>
      </c>
      <c r="AL283" s="24">
        <f>YEAR(Tableau3[[#This Row],[Date]])</f>
        <v>2020</v>
      </c>
      <c r="AM283" s="92">
        <f>IFERROR(((Tableau3[[#This Row],[QTY Produite]]/1000)*VLOOKUP(Tableau3[[#This Row],[Machine]],Liste!$A:$B,2))/Tableau3[[#This Row],[Heures Macines]],"0")</f>
        <v>0.69100000000000006</v>
      </c>
      <c r="AN283" s="24" t="str">
        <f>VLOOKUP(Tableau3[[#This Row],[Opérateur 1]],Liste!$K$2:$M$68,3,FALSE)</f>
        <v>Mono</v>
      </c>
    </row>
    <row r="284" spans="1:40" s="24" customFormat="1" x14ac:dyDescent="0.25">
      <c r="A284" s="93">
        <v>43936</v>
      </c>
      <c r="B284" s="94" t="s">
        <v>16</v>
      </c>
      <c r="C284" s="16" t="s">
        <v>62</v>
      </c>
      <c r="D284" s="95" t="s">
        <v>30</v>
      </c>
      <c r="E284" s="94" t="s">
        <v>143</v>
      </c>
      <c r="F284" s="96">
        <v>5</v>
      </c>
      <c r="G284" s="94"/>
      <c r="H284" s="96"/>
      <c r="I284" s="91" t="s">
        <v>152</v>
      </c>
      <c r="J284" s="97">
        <v>16500</v>
      </c>
      <c r="K284" s="97">
        <v>12348</v>
      </c>
      <c r="L284" s="97">
        <v>12348</v>
      </c>
      <c r="M28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</v>
      </c>
      <c r="N284" s="97">
        <v>40</v>
      </c>
      <c r="O284" s="20">
        <v>213</v>
      </c>
      <c r="P284" s="98">
        <v>66</v>
      </c>
      <c r="Q284" s="99">
        <f>IFERROR((Tableau3[[#This Row],[QTY Produite]]/1000)*((1000/Tableau3[[#This Row],[Cadence]])/60)/Tableau3[[#This Row],[Heures Macines]],"0")</f>
        <v>0.62363636363636377</v>
      </c>
      <c r="R284" s="100">
        <v>62</v>
      </c>
      <c r="S284" s="96"/>
      <c r="T284" s="18"/>
      <c r="U284" s="101"/>
      <c r="V284" s="96"/>
      <c r="W284" s="96"/>
      <c r="X284" s="101"/>
      <c r="Y284" s="96"/>
      <c r="Z284" s="96"/>
      <c r="AA284" s="101"/>
      <c r="AB284" s="96"/>
      <c r="AC284" s="96"/>
      <c r="AD284" s="101"/>
      <c r="AE284" s="96"/>
      <c r="AF284" s="96"/>
      <c r="AG284" s="101"/>
      <c r="AH284" s="96"/>
      <c r="AI284" s="96"/>
      <c r="AJ284" s="101"/>
      <c r="AK284" s="84">
        <f t="shared" si="16"/>
        <v>4</v>
      </c>
      <c r="AL284" s="24">
        <f>YEAR(Tableau3[[#This Row],[Date]])</f>
        <v>2020</v>
      </c>
      <c r="AM284" s="92">
        <f>IFERROR(((Tableau3[[#This Row],[QTY Produite]]/1000)*VLOOKUP(Tableau3[[#This Row],[Machine]],Liste!$A:$B,2))/Tableau3[[#This Row],[Heures Macines]],"0")</f>
        <v>1.48176</v>
      </c>
      <c r="AN284" s="24" t="str">
        <f>VLOOKUP(Tableau3[[#This Row],[Opérateur 1]],Liste!$K$2:$M$68,3,FALSE)</f>
        <v>Déco</v>
      </c>
    </row>
    <row r="285" spans="1:40" s="24" customFormat="1" x14ac:dyDescent="0.25">
      <c r="A285" s="93">
        <v>43936</v>
      </c>
      <c r="B285" s="94" t="s">
        <v>16</v>
      </c>
      <c r="C285" s="16" t="s">
        <v>62</v>
      </c>
      <c r="D285" s="95" t="s">
        <v>30</v>
      </c>
      <c r="E285" s="94" t="s">
        <v>143</v>
      </c>
      <c r="F285" s="96">
        <v>3</v>
      </c>
      <c r="G285" s="94"/>
      <c r="H285" s="96"/>
      <c r="I285" s="91" t="s">
        <v>151</v>
      </c>
      <c r="J285" s="97">
        <v>16500</v>
      </c>
      <c r="K285" s="97">
        <v>6272</v>
      </c>
      <c r="L285" s="97">
        <v>16072</v>
      </c>
      <c r="M28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285" s="97">
        <v>40</v>
      </c>
      <c r="O285" s="20">
        <v>173</v>
      </c>
      <c r="P285" s="98">
        <v>63</v>
      </c>
      <c r="Q285" s="99">
        <f>IFERROR((Tableau3[[#This Row],[QTY Produite]]/1000)*((1000/Tableau3[[#This Row],[Cadence]])/60)/Tableau3[[#This Row],[Heures Macines]],"0")</f>
        <v>0.55308641975308637</v>
      </c>
      <c r="R285" s="100">
        <v>55</v>
      </c>
      <c r="S285" s="96"/>
      <c r="T285" s="18"/>
      <c r="U285" s="101"/>
      <c r="V285" s="96"/>
      <c r="W285" s="96"/>
      <c r="X285" s="101"/>
      <c r="Y285" s="96"/>
      <c r="Z285" s="96"/>
      <c r="AA285" s="101"/>
      <c r="AB285" s="96"/>
      <c r="AC285" s="96"/>
      <c r="AD285" s="101"/>
      <c r="AE285" s="96"/>
      <c r="AF285" s="96"/>
      <c r="AG285" s="101"/>
      <c r="AH285" s="96"/>
      <c r="AI285" s="96"/>
      <c r="AJ285" s="101"/>
      <c r="AK285" s="84">
        <f t="shared" si="16"/>
        <v>4</v>
      </c>
      <c r="AL285" s="24">
        <f>YEAR(Tableau3[[#This Row],[Date]])</f>
        <v>2020</v>
      </c>
      <c r="AM285" s="92">
        <f>IFERROR(((Tableau3[[#This Row],[QTY Produite]]/1000)*VLOOKUP(Tableau3[[#This Row],[Machine]],Liste!$A:$B,2))/Tableau3[[#This Row],[Heures Macines]],"0")</f>
        <v>1.2544</v>
      </c>
      <c r="AN285" s="24" t="str">
        <f>VLOOKUP(Tableau3[[#This Row],[Opérateur 1]],Liste!$K$2:$M$68,3,FALSE)</f>
        <v>Déco</v>
      </c>
    </row>
    <row r="286" spans="1:40" s="24" customFormat="1" x14ac:dyDescent="0.25">
      <c r="A286" s="93">
        <v>43936</v>
      </c>
      <c r="B286" s="94" t="s">
        <v>16</v>
      </c>
      <c r="C286" s="16" t="s">
        <v>62</v>
      </c>
      <c r="D286" s="95" t="s">
        <v>24</v>
      </c>
      <c r="E286" s="94" t="s">
        <v>136</v>
      </c>
      <c r="F286" s="96">
        <v>8</v>
      </c>
      <c r="G286" s="94"/>
      <c r="H286" s="96"/>
      <c r="I286" s="91">
        <v>22010</v>
      </c>
      <c r="J286" s="97">
        <v>152295</v>
      </c>
      <c r="K286" s="97">
        <v>10584</v>
      </c>
      <c r="L286" s="97">
        <v>78400</v>
      </c>
      <c r="M286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6" s="97">
        <v>918</v>
      </c>
      <c r="O286" s="20">
        <v>406</v>
      </c>
      <c r="P286" s="98">
        <v>40</v>
      </c>
      <c r="Q286" s="99">
        <f>IFERROR((Tableau3[[#This Row],[QTY Produite]]/1000)*((1000/Tableau3[[#This Row],[Cadence]])/60)/Tableau3[[#This Row],[Heures Macines]],"0")</f>
        <v>0.55125000000000002</v>
      </c>
      <c r="R286" s="100">
        <v>55</v>
      </c>
      <c r="S286" s="96"/>
      <c r="T286" s="18"/>
      <c r="U286" s="101"/>
      <c r="V286" s="96"/>
      <c r="W286" s="96"/>
      <c r="X286" s="101"/>
      <c r="Y286" s="96"/>
      <c r="Z286" s="96"/>
      <c r="AA286" s="101"/>
      <c r="AB286" s="96"/>
      <c r="AC286" s="96"/>
      <c r="AD286" s="101"/>
      <c r="AE286" s="96"/>
      <c r="AF286" s="96"/>
      <c r="AG286" s="101"/>
      <c r="AH286" s="96"/>
      <c r="AI286" s="96"/>
      <c r="AJ286" s="101"/>
      <c r="AK286" s="84">
        <f t="shared" si="16"/>
        <v>4</v>
      </c>
      <c r="AL286" s="24">
        <f>YEAR(Tableau3[[#This Row],[Date]])</f>
        <v>2020</v>
      </c>
      <c r="AM286" s="92">
        <f>IFERROR(((Tableau3[[#This Row],[QTY Produite]]/1000)*VLOOKUP(Tableau3[[#This Row],[Machine]],Liste!$A:$B,2))/Tableau3[[#This Row],[Heures Macines]],"0")</f>
        <v>0.66149999999999998</v>
      </c>
      <c r="AN286" s="24" t="str">
        <f>VLOOKUP(Tableau3[[#This Row],[Opérateur 1]],Liste!$K$2:$M$68,3,FALSE)</f>
        <v>Multi</v>
      </c>
    </row>
    <row r="287" spans="1:40" s="24" customFormat="1" x14ac:dyDescent="0.25">
      <c r="A287" s="93">
        <v>43936</v>
      </c>
      <c r="B287" s="94" t="s">
        <v>13</v>
      </c>
      <c r="C287" s="16" t="s">
        <v>102</v>
      </c>
      <c r="D287" s="95" t="s">
        <v>15</v>
      </c>
      <c r="E287" s="94" t="s">
        <v>135</v>
      </c>
      <c r="F287" s="96">
        <v>3</v>
      </c>
      <c r="G287" s="94"/>
      <c r="H287" s="96"/>
      <c r="I287" s="91" t="s">
        <v>150</v>
      </c>
      <c r="J287" s="97">
        <v>23100</v>
      </c>
      <c r="K287" s="97">
        <v>4953</v>
      </c>
      <c r="L287" s="97">
        <v>23241</v>
      </c>
      <c r="M287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3</v>
      </c>
      <c r="N287" s="97">
        <v>60</v>
      </c>
      <c r="O287" s="20">
        <v>638</v>
      </c>
      <c r="P287" s="98">
        <v>90</v>
      </c>
      <c r="Q287" s="99">
        <f>IFERROR((Tableau3[[#This Row],[QTY Produite]]/1000)*((1000/Tableau3[[#This Row],[Cadence]])/60)/Tableau3[[#This Row],[Heures Macines]],"0")</f>
        <v>0.30574074074074076</v>
      </c>
      <c r="R287" s="100">
        <v>31</v>
      </c>
      <c r="S287" s="96"/>
      <c r="T287" s="18"/>
      <c r="U287" s="101"/>
      <c r="V287" s="96"/>
      <c r="W287" s="96"/>
      <c r="X287" s="101"/>
      <c r="Y287" s="96"/>
      <c r="Z287" s="96"/>
      <c r="AA287" s="101"/>
      <c r="AB287" s="96"/>
      <c r="AC287" s="96"/>
      <c r="AD287" s="101"/>
      <c r="AE287" s="96"/>
      <c r="AF287" s="96"/>
      <c r="AG287" s="101"/>
      <c r="AH287" s="96"/>
      <c r="AI287" s="96"/>
      <c r="AJ287" s="101"/>
      <c r="AK287" s="84">
        <f t="shared" si="16"/>
        <v>4</v>
      </c>
      <c r="AL287" s="24">
        <f>YEAR(Tableau3[[#This Row],[Date]])</f>
        <v>2020</v>
      </c>
      <c r="AM287" s="92">
        <f>IFERROR(((Tableau3[[#This Row],[QTY Produite]]/1000)*VLOOKUP(Tableau3[[#This Row],[Machine]],Liste!$A:$B,2))/Tableau3[[#This Row],[Heures Macines]],"0")</f>
        <v>0.6604000000000001</v>
      </c>
      <c r="AN287" s="24" t="str">
        <f>VLOOKUP(Tableau3[[#This Row],[Opérateur 1]],Liste!$K$2:$M$68,3,FALSE)</f>
        <v>Imp</v>
      </c>
    </row>
    <row r="288" spans="1:40" s="24" customFormat="1" x14ac:dyDescent="0.25">
      <c r="A288" s="93">
        <v>43936</v>
      </c>
      <c r="B288" s="94" t="s">
        <v>13</v>
      </c>
      <c r="C288" s="16" t="s">
        <v>102</v>
      </c>
      <c r="D288" s="95" t="s">
        <v>18</v>
      </c>
      <c r="E288" s="94" t="s">
        <v>115</v>
      </c>
      <c r="F288" s="96">
        <v>8</v>
      </c>
      <c r="G288" s="94"/>
      <c r="H288" s="96"/>
      <c r="I288" s="91" t="s">
        <v>149</v>
      </c>
      <c r="J288" s="97">
        <v>214032</v>
      </c>
      <c r="K288" s="97">
        <v>22344</v>
      </c>
      <c r="L288" s="97">
        <v>30576</v>
      </c>
      <c r="M288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8" s="97">
        <v>125</v>
      </c>
      <c r="O288" s="20">
        <v>542</v>
      </c>
      <c r="P288" s="98">
        <v>80</v>
      </c>
      <c r="Q288" s="99">
        <f>IFERROR((Tableau3[[#This Row],[QTY Produite]]/1000)*((1000/Tableau3[[#This Row],[Cadence]])/60)/Tableau3[[#This Row],[Heures Macines]],"0")</f>
        <v>0.58187500000000003</v>
      </c>
      <c r="R288" s="100">
        <v>58</v>
      </c>
      <c r="S288" s="96"/>
      <c r="T288" s="18"/>
      <c r="U288" s="101"/>
      <c r="V288" s="96"/>
      <c r="W288" s="96"/>
      <c r="X288" s="101"/>
      <c r="Y288" s="96"/>
      <c r="Z288" s="96"/>
      <c r="AA288" s="101"/>
      <c r="AB288" s="96"/>
      <c r="AC288" s="96"/>
      <c r="AD288" s="101"/>
      <c r="AE288" s="96"/>
      <c r="AF288" s="96"/>
      <c r="AG288" s="101"/>
      <c r="AH288" s="96"/>
      <c r="AI288" s="96"/>
      <c r="AJ288" s="101"/>
      <c r="AK288" s="84">
        <f t="shared" si="16"/>
        <v>4</v>
      </c>
      <c r="AL288" s="24">
        <f>YEAR(Tableau3[[#This Row],[Date]])</f>
        <v>2020</v>
      </c>
      <c r="AM288" s="92">
        <f>IFERROR(((Tableau3[[#This Row],[QTY Produite]]/1000)*VLOOKUP(Tableau3[[#This Row],[Machine]],Liste!$A:$B,2))/Tableau3[[#This Row],[Heures Macines]],"0")</f>
        <v>1.1172000000000002</v>
      </c>
      <c r="AN288" s="24" t="str">
        <f>VLOOKUP(Tableau3[[#This Row],[Opérateur 1]],Liste!$K$2:$M$68,3,FALSE)</f>
        <v>Imp</v>
      </c>
    </row>
    <row r="289" spans="1:40" s="24" customFormat="1" x14ac:dyDescent="0.25">
      <c r="A289" s="93">
        <v>43936</v>
      </c>
      <c r="B289" s="94" t="s">
        <v>13</v>
      </c>
      <c r="C289" s="16" t="s">
        <v>102</v>
      </c>
      <c r="D289" s="95" t="s">
        <v>23</v>
      </c>
      <c r="E289" s="94" t="s">
        <v>116</v>
      </c>
      <c r="F289" s="96">
        <v>8</v>
      </c>
      <c r="G289" s="94"/>
      <c r="H289" s="96"/>
      <c r="I289" s="91" t="s">
        <v>148</v>
      </c>
      <c r="J289" s="97">
        <v>94500</v>
      </c>
      <c r="K289" s="97">
        <v>11557</v>
      </c>
      <c r="L289" s="97">
        <v>40767</v>
      </c>
      <c r="M289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89" s="97">
        <v>165</v>
      </c>
      <c r="O289" s="20">
        <v>372</v>
      </c>
      <c r="P289" s="98">
        <v>33</v>
      </c>
      <c r="Q289" s="99">
        <f>IFERROR((Tableau3[[#This Row],[QTY Produite]]/1000)*((1000/Tableau3[[#This Row],[Cadence]])/60)/Tableau3[[#This Row],[Heures Macines]],"0")</f>
        <v>0.7296085858585859</v>
      </c>
      <c r="R289" s="100">
        <v>72</v>
      </c>
      <c r="S289" s="96"/>
      <c r="T289" s="18"/>
      <c r="U289" s="101"/>
      <c r="V289" s="96"/>
      <c r="W289" s="96"/>
      <c r="X289" s="101"/>
      <c r="Y289" s="96"/>
      <c r="Z289" s="96"/>
      <c r="AA289" s="101"/>
      <c r="AB289" s="96"/>
      <c r="AC289" s="96"/>
      <c r="AD289" s="101"/>
      <c r="AE289" s="96"/>
      <c r="AF289" s="96"/>
      <c r="AG289" s="101"/>
      <c r="AH289" s="96"/>
      <c r="AI289" s="96"/>
      <c r="AJ289" s="101"/>
      <c r="AK289" s="84">
        <f t="shared" si="16"/>
        <v>4</v>
      </c>
      <c r="AL289" s="24">
        <f>YEAR(Tableau3[[#This Row],[Date]])</f>
        <v>2020</v>
      </c>
      <c r="AM289" s="92">
        <f>IFERROR(((Tableau3[[#This Row],[QTY Produite]]/1000)*VLOOKUP(Tableau3[[#This Row],[Machine]],Liste!$A:$B,2))/Tableau3[[#This Row],[Heures Macines]],"0")</f>
        <v>0.57785000000000009</v>
      </c>
      <c r="AN289" s="24" t="str">
        <f>VLOOKUP(Tableau3[[#This Row],[Opérateur 1]],Liste!$K$2:$M$68,3,FALSE)</f>
        <v>Déco</v>
      </c>
    </row>
    <row r="290" spans="1:40" s="24" customFormat="1" x14ac:dyDescent="0.25">
      <c r="A290" s="93">
        <v>43936</v>
      </c>
      <c r="B290" s="94" t="s">
        <v>13</v>
      </c>
      <c r="C290" s="16" t="s">
        <v>102</v>
      </c>
      <c r="D290" s="95" t="s">
        <v>21</v>
      </c>
      <c r="E290" s="94" t="s">
        <v>110</v>
      </c>
      <c r="F290" s="96">
        <v>8</v>
      </c>
      <c r="G290" s="94"/>
      <c r="H290" s="96"/>
      <c r="I290" s="91" t="s">
        <v>147</v>
      </c>
      <c r="J290" s="97">
        <v>55000</v>
      </c>
      <c r="K290" s="97">
        <v>32160</v>
      </c>
      <c r="L290" s="97">
        <v>32160</v>
      </c>
      <c r="M290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90" s="97">
        <v>575</v>
      </c>
      <c r="O290" s="20">
        <v>1232</v>
      </c>
      <c r="P290" s="98">
        <v>120</v>
      </c>
      <c r="Q290" s="99">
        <f>IFERROR((Tableau3[[#This Row],[QTY Produite]]/1000)*((1000/Tableau3[[#This Row],[Cadence]])/60)/Tableau3[[#This Row],[Heures Macines]],"0")</f>
        <v>0.55833333333333335</v>
      </c>
      <c r="R290" s="100">
        <v>59</v>
      </c>
      <c r="S290" s="96"/>
      <c r="T290" s="18"/>
      <c r="U290" s="101"/>
      <c r="V290" s="96"/>
      <c r="W290" s="96"/>
      <c r="X290" s="101"/>
      <c r="Y290" s="96"/>
      <c r="Z290" s="96"/>
      <c r="AA290" s="101"/>
      <c r="AB290" s="96"/>
      <c r="AC290" s="96"/>
      <c r="AD290" s="101"/>
      <c r="AE290" s="96"/>
      <c r="AF290" s="96"/>
      <c r="AG290" s="101"/>
      <c r="AH290" s="96"/>
      <c r="AI290" s="96"/>
      <c r="AJ290" s="101"/>
      <c r="AK290" s="84">
        <f t="shared" si="16"/>
        <v>4</v>
      </c>
      <c r="AL290" s="24">
        <f>YEAR(Tableau3[[#This Row],[Date]])</f>
        <v>2020</v>
      </c>
      <c r="AM290" s="92">
        <f>IFERROR(((Tableau3[[#This Row],[QTY Produite]]/1000)*VLOOKUP(Tableau3[[#This Row],[Machine]],Liste!$A:$B,2))/Tableau3[[#This Row],[Heures Macines]],"0")</f>
        <v>2.4119999999999995</v>
      </c>
      <c r="AN290" s="24" t="str">
        <f>VLOOKUP(Tableau3[[#This Row],[Opérateur 1]],Liste!$K$2:$M$68,3,FALSE)</f>
        <v>Déco</v>
      </c>
    </row>
    <row r="291" spans="1:40" s="24" customFormat="1" x14ac:dyDescent="0.25">
      <c r="A291" s="93">
        <v>43936</v>
      </c>
      <c r="B291" s="94" t="s">
        <v>13</v>
      </c>
      <c r="C291" s="16" t="s">
        <v>102</v>
      </c>
      <c r="D291" s="95" t="s">
        <v>22</v>
      </c>
      <c r="E291" s="94" t="s">
        <v>119</v>
      </c>
      <c r="F291" s="96">
        <v>8</v>
      </c>
      <c r="G291" s="94"/>
      <c r="H291" s="96"/>
      <c r="I291" s="91">
        <v>25073</v>
      </c>
      <c r="J291" s="97">
        <v>196505</v>
      </c>
      <c r="K291" s="97">
        <v>37440</v>
      </c>
      <c r="L291" s="97">
        <v>140880</v>
      </c>
      <c r="M291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91" s="97">
        <v>460</v>
      </c>
      <c r="O291" s="20">
        <v>210</v>
      </c>
      <c r="P291" s="98">
        <v>80</v>
      </c>
      <c r="Q291" s="99">
        <f>IFERROR((Tableau3[[#This Row],[QTY Produite]]/1000)*((1000/Tableau3[[#This Row],[Cadence]])/60)/Tableau3[[#This Row],[Heures Macines]],"0")</f>
        <v>0.97499999999999998</v>
      </c>
      <c r="R291" s="100">
        <v>98</v>
      </c>
      <c r="S291" s="96"/>
      <c r="T291" s="18"/>
      <c r="U291" s="101"/>
      <c r="V291" s="96"/>
      <c r="W291" s="96"/>
      <c r="X291" s="101"/>
      <c r="Y291" s="96"/>
      <c r="Z291" s="96"/>
      <c r="AA291" s="101"/>
      <c r="AB291" s="96"/>
      <c r="AC291" s="96"/>
      <c r="AD291" s="101"/>
      <c r="AE291" s="96"/>
      <c r="AF291" s="96"/>
      <c r="AG291" s="101"/>
      <c r="AH291" s="96"/>
      <c r="AI291" s="96"/>
      <c r="AJ291" s="101"/>
      <c r="AK291" s="84">
        <f t="shared" si="16"/>
        <v>4</v>
      </c>
      <c r="AL291" s="24">
        <f>YEAR(Tableau3[[#This Row],[Date]])</f>
        <v>2020</v>
      </c>
      <c r="AM291" s="92">
        <f>IFERROR(((Tableau3[[#This Row],[QTY Produite]]/1000)*VLOOKUP(Tableau3[[#This Row],[Machine]],Liste!$A:$B,2))/Tableau3[[#This Row],[Heures Macines]],"0")</f>
        <v>1.4039999999999999</v>
      </c>
      <c r="AN291" s="24" t="str">
        <f>VLOOKUP(Tableau3[[#This Row],[Opérateur 1]],Liste!$K$2:$M$68,3,FALSE)</f>
        <v>Multi</v>
      </c>
    </row>
    <row r="292" spans="1:40" s="24" customFormat="1" x14ac:dyDescent="0.25">
      <c r="A292" s="93">
        <v>43936</v>
      </c>
      <c r="B292" s="94" t="s">
        <v>13</v>
      </c>
      <c r="C292" s="16" t="s">
        <v>102</v>
      </c>
      <c r="D292" s="95" t="s">
        <v>14</v>
      </c>
      <c r="E292" s="94" t="s">
        <v>134</v>
      </c>
      <c r="F292" s="96">
        <v>7.5</v>
      </c>
      <c r="G292" s="94"/>
      <c r="H292" s="96"/>
      <c r="I292" s="91">
        <v>26481</v>
      </c>
      <c r="J292" s="97">
        <v>14972</v>
      </c>
      <c r="K292" s="97">
        <v>10414</v>
      </c>
      <c r="L292" s="97">
        <v>11557</v>
      </c>
      <c r="M292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7.5</v>
      </c>
      <c r="N292" s="97">
        <v>295</v>
      </c>
      <c r="O292" s="20">
        <v>130</v>
      </c>
      <c r="P292" s="98">
        <v>31</v>
      </c>
      <c r="Q292" s="99">
        <f>IFERROR((Tableau3[[#This Row],[QTY Produite]]/1000)*((1000/Tableau3[[#This Row],[Cadence]])/60)/Tableau3[[#This Row],[Heures Macines]],"0")</f>
        <v>0.74652329749103941</v>
      </c>
      <c r="R292" s="100">
        <v>62</v>
      </c>
      <c r="S292" s="96"/>
      <c r="T292" s="18"/>
      <c r="U292" s="101"/>
      <c r="V292" s="96"/>
      <c r="W292" s="96"/>
      <c r="X292" s="101"/>
      <c r="Y292" s="96"/>
      <c r="Z292" s="96"/>
      <c r="AA292" s="101"/>
      <c r="AB292" s="96"/>
      <c r="AC292" s="96"/>
      <c r="AD292" s="101"/>
      <c r="AE292" s="96"/>
      <c r="AF292" s="96"/>
      <c r="AG292" s="101"/>
      <c r="AH292" s="96"/>
      <c r="AI292" s="96"/>
      <c r="AJ292" s="101"/>
      <c r="AK292" s="84">
        <f t="shared" ref="AK292:AK295" si="17">MONTH(A292)</f>
        <v>4</v>
      </c>
      <c r="AL292" s="24">
        <f>YEAR(Tableau3[[#This Row],[Date]])</f>
        <v>2020</v>
      </c>
      <c r="AM292" s="92">
        <f>IFERROR(((Tableau3[[#This Row],[QTY Produite]]/1000)*VLOOKUP(Tableau3[[#This Row],[Machine]],Liste!$A:$B,2))/Tableau3[[#This Row],[Heures Macines]],"0")</f>
        <v>0.62484000000000006</v>
      </c>
      <c r="AN292" s="24" t="str">
        <f>VLOOKUP(Tableau3[[#This Row],[Opérateur 1]],Liste!$K$2:$M$68,3,FALSE)</f>
        <v>Multi</v>
      </c>
    </row>
    <row r="293" spans="1:40" s="24" customFormat="1" x14ac:dyDescent="0.25">
      <c r="A293" s="93">
        <v>43936</v>
      </c>
      <c r="B293" s="94" t="s">
        <v>13</v>
      </c>
      <c r="C293" s="16" t="s">
        <v>102</v>
      </c>
      <c r="D293" s="95" t="s">
        <v>20</v>
      </c>
      <c r="E293" s="94" t="s">
        <v>134</v>
      </c>
      <c r="F293" s="96">
        <v>5.5</v>
      </c>
      <c r="G293" s="94"/>
      <c r="H293" s="96"/>
      <c r="I293" s="91">
        <v>24550</v>
      </c>
      <c r="J293" s="97">
        <v>144797</v>
      </c>
      <c r="K293" s="97">
        <v>2744</v>
      </c>
      <c r="L293" s="97">
        <v>2744</v>
      </c>
      <c r="M293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5.5</v>
      </c>
      <c r="N293" s="97">
        <v>800</v>
      </c>
      <c r="O293" s="20">
        <v>56</v>
      </c>
      <c r="P293" s="98">
        <v>53</v>
      </c>
      <c r="Q293" s="99">
        <f>IFERROR((Tableau3[[#This Row],[QTY Produite]]/1000)*((1000/Tableau3[[#This Row],[Cadence]])/60)/Tableau3[[#This Row],[Heures Macines]],"0")</f>
        <v>0.1568896512292739</v>
      </c>
      <c r="R293" s="100">
        <v>57</v>
      </c>
      <c r="S293" s="96"/>
      <c r="T293" s="18"/>
      <c r="U293" s="101"/>
      <c r="V293" s="96"/>
      <c r="W293" s="96"/>
      <c r="X293" s="101"/>
      <c r="Y293" s="96"/>
      <c r="Z293" s="96"/>
      <c r="AA293" s="101"/>
      <c r="AB293" s="96"/>
      <c r="AC293" s="96"/>
      <c r="AD293" s="101"/>
      <c r="AE293" s="96"/>
      <c r="AF293" s="96"/>
      <c r="AG293" s="101"/>
      <c r="AH293" s="96"/>
      <c r="AI293" s="96"/>
      <c r="AJ293" s="101"/>
      <c r="AK293" s="84">
        <f t="shared" si="17"/>
        <v>4</v>
      </c>
      <c r="AL293" s="24">
        <f>YEAR(Tableau3[[#This Row],[Date]])</f>
        <v>2020</v>
      </c>
      <c r="AM293" s="92">
        <f>IFERROR(((Tableau3[[#This Row],[QTY Produite]]/1000)*VLOOKUP(Tableau3[[#This Row],[Machine]],Liste!$A:$B,2))/Tableau3[[#This Row],[Heures Macines]],"0")</f>
        <v>0.17960727272727273</v>
      </c>
      <c r="AN293" s="24" t="str">
        <f>VLOOKUP(Tableau3[[#This Row],[Opérateur 1]],Liste!$K$2:$M$68,3,FALSE)</f>
        <v>Multi</v>
      </c>
    </row>
    <row r="294" spans="1:40" s="24" customFormat="1" x14ac:dyDescent="0.25">
      <c r="A294" s="93">
        <v>43936</v>
      </c>
      <c r="B294" s="94" t="s">
        <v>13</v>
      </c>
      <c r="C294" s="16" t="s">
        <v>102</v>
      </c>
      <c r="D294" s="95" t="s">
        <v>20</v>
      </c>
      <c r="E294" s="94" t="s">
        <v>134</v>
      </c>
      <c r="F294" s="96">
        <v>2.5</v>
      </c>
      <c r="G294" s="94"/>
      <c r="H294" s="96"/>
      <c r="I294" s="91">
        <v>26642</v>
      </c>
      <c r="J294" s="97">
        <v>34422</v>
      </c>
      <c r="K294" s="97">
        <v>7252</v>
      </c>
      <c r="L294" s="97">
        <v>34496</v>
      </c>
      <c r="M294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2.5</v>
      </c>
      <c r="N294" s="97">
        <v>50</v>
      </c>
      <c r="O294" s="20">
        <v>0</v>
      </c>
      <c r="P294" s="98">
        <v>54</v>
      </c>
      <c r="Q294" s="99">
        <f>IFERROR((Tableau3[[#This Row],[QTY Produite]]/1000)*((1000/Tableau3[[#This Row],[Cadence]])/60)/Tableau3[[#This Row],[Heures Macines]],"0")</f>
        <v>0.89530864197530868</v>
      </c>
      <c r="R294" s="100">
        <v>89</v>
      </c>
      <c r="S294" s="96"/>
      <c r="T294" s="18"/>
      <c r="U294" s="101"/>
      <c r="V294" s="96"/>
      <c r="W294" s="96"/>
      <c r="X294" s="101"/>
      <c r="Y294" s="96"/>
      <c r="Z294" s="96"/>
      <c r="AA294" s="101"/>
      <c r="AB294" s="96"/>
      <c r="AC294" s="96"/>
      <c r="AD294" s="101"/>
      <c r="AE294" s="96"/>
      <c r="AF294" s="96"/>
      <c r="AG294" s="101"/>
      <c r="AH294" s="96"/>
      <c r="AI294" s="96"/>
      <c r="AJ294" s="101"/>
      <c r="AK294" s="84">
        <f t="shared" si="17"/>
        <v>4</v>
      </c>
      <c r="AL294" s="24">
        <f>YEAR(Tableau3[[#This Row],[Date]])</f>
        <v>2020</v>
      </c>
      <c r="AM294" s="92">
        <f>IFERROR(((Tableau3[[#This Row],[QTY Produite]]/1000)*VLOOKUP(Tableau3[[#This Row],[Machine]],Liste!$A:$B,2))/Tableau3[[#This Row],[Heures Macines]],"0")</f>
        <v>1.0442879999999999</v>
      </c>
      <c r="AN294" s="24" t="str">
        <f>VLOOKUP(Tableau3[[#This Row],[Opérateur 1]],Liste!$K$2:$M$68,3,FALSE)</f>
        <v>Multi</v>
      </c>
    </row>
    <row r="295" spans="1:40" s="24" customFormat="1" x14ac:dyDescent="0.25">
      <c r="A295" s="93">
        <v>43936</v>
      </c>
      <c r="B295" s="94" t="s">
        <v>13</v>
      </c>
      <c r="C295" s="16" t="s">
        <v>102</v>
      </c>
      <c r="D295" s="95" t="s">
        <v>28</v>
      </c>
      <c r="E295" s="94" t="s">
        <v>117</v>
      </c>
      <c r="F295" s="96">
        <v>8</v>
      </c>
      <c r="G295" s="94"/>
      <c r="H295" s="96"/>
      <c r="I295" s="91">
        <v>60865</v>
      </c>
      <c r="J295" s="97">
        <v>36750</v>
      </c>
      <c r="K295" s="97">
        <v>8509</v>
      </c>
      <c r="L295" s="97">
        <v>36830</v>
      </c>
      <c r="M295" s="20">
        <f>(Tableau3[[#This Row],[Temps Opé 1]]+Tableau3[[#This Row],[Temps Opé 2]])-(Tableau3[[#This Row],[Temps arrêt 1]]+Tableau3[[#This Row],[Temps arrêt 2]]+Tableau3[[#This Row],[Temps arrêt 3]]+Tableau3[[#This Row],[Temps arrêt 4]]+Tableau3[[#This Row],[Temps arrêt 5]]+Tableau3[[#This Row],[Temps arrêt 6]])</f>
        <v>8</v>
      </c>
      <c r="N295" s="97">
        <v>501</v>
      </c>
      <c r="O295" s="20">
        <v>118</v>
      </c>
      <c r="P295" s="98">
        <v>55</v>
      </c>
      <c r="Q295" s="99">
        <f>IFERROR((Tableau3[[#This Row],[QTY Produite]]/1000)*((1000/Tableau3[[#This Row],[Cadence]])/60)/Tableau3[[#This Row],[Heures Macines]],"0")</f>
        <v>0.32231060606060608</v>
      </c>
      <c r="R295" s="100">
        <v>29.5</v>
      </c>
      <c r="S295" s="96"/>
      <c r="T295" s="18"/>
      <c r="U295" s="101"/>
      <c r="V295" s="96"/>
      <c r="W295" s="96"/>
      <c r="X295" s="101"/>
      <c r="Y295" s="96"/>
      <c r="Z295" s="96"/>
      <c r="AA295" s="101"/>
      <c r="AB295" s="96"/>
      <c r="AC295" s="96"/>
      <c r="AD295" s="101"/>
      <c r="AE295" s="96"/>
      <c r="AF295" s="96"/>
      <c r="AG295" s="101"/>
      <c r="AH295" s="96"/>
      <c r="AI295" s="96"/>
      <c r="AJ295" s="101"/>
      <c r="AK295" s="84">
        <f t="shared" si="17"/>
        <v>4</v>
      </c>
      <c r="AL295" s="24">
        <f>YEAR(Tableau3[[#This Row],[Date]])</f>
        <v>2020</v>
      </c>
      <c r="AM295" s="92">
        <f>IFERROR(((Tableau3[[#This Row],[QTY Produite]]/1000)*VLOOKUP(Tableau3[[#This Row],[Machine]],Liste!$A:$B,2))/Tableau3[[#This Row],[Heures Macines]],"0")</f>
        <v>0.37226874999999998</v>
      </c>
      <c r="AN295" s="24" t="str">
        <f>VLOOKUP(Tableau3[[#This Row],[Opérateur 1]],Liste!$K$2:$M$68,3,FALSE)</f>
        <v>Multi</v>
      </c>
    </row>
  </sheetData>
  <phoneticPr fontId="5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3"/>
  <sheetViews>
    <sheetView workbookViewId="0">
      <selection activeCell="J24" sqref="J24"/>
    </sheetView>
  </sheetViews>
  <sheetFormatPr baseColWidth="10" defaultRowHeight="15" x14ac:dyDescent="0.25"/>
  <cols>
    <col min="1" max="1" width="15" style="7" customWidth="1"/>
    <col min="2" max="2" width="16.28515625" bestFit="1" customWidth="1"/>
    <col min="3" max="4" width="16.42578125" bestFit="1" customWidth="1"/>
    <col min="5" max="5" width="16.28515625" bestFit="1" customWidth="1"/>
    <col min="6" max="6" width="17.42578125" bestFit="1" customWidth="1"/>
    <col min="7" max="8" width="16.42578125" bestFit="1" customWidth="1"/>
    <col min="9" max="9" width="30.5703125" customWidth="1"/>
    <col min="11" max="11" width="16.42578125" bestFit="1" customWidth="1"/>
    <col min="12" max="12" width="15" customWidth="1"/>
    <col min="13" max="14" width="8.28515625" bestFit="1" customWidth="1"/>
    <col min="15" max="15" width="16.42578125" bestFit="1" customWidth="1"/>
  </cols>
  <sheetData>
    <row r="1" spans="1:11" x14ac:dyDescent="0.25">
      <c r="A1" s="7" t="s">
        <v>33</v>
      </c>
      <c r="B1" s="90" t="s">
        <v>198</v>
      </c>
      <c r="C1" s="90" t="s">
        <v>199</v>
      </c>
      <c r="D1" s="90" t="s">
        <v>200</v>
      </c>
      <c r="E1" s="90" t="s">
        <v>201</v>
      </c>
      <c r="F1" s="90" t="s">
        <v>202</v>
      </c>
      <c r="G1" s="90" t="s">
        <v>203</v>
      </c>
      <c r="H1" s="90" t="s">
        <v>204</v>
      </c>
      <c r="I1" s="6" t="s">
        <v>64</v>
      </c>
      <c r="J1" s="6" t="s">
        <v>100</v>
      </c>
      <c r="K1" s="6" t="s">
        <v>101</v>
      </c>
    </row>
    <row r="2" spans="1:11" s="6" customFormat="1" x14ac:dyDescent="0.25">
      <c r="A2" s="7">
        <v>43948</v>
      </c>
      <c r="B2" s="90">
        <v>123</v>
      </c>
      <c r="C2" s="90">
        <v>74</v>
      </c>
      <c r="D2" s="90">
        <v>152</v>
      </c>
      <c r="E2" s="90">
        <v>45.5</v>
      </c>
      <c r="F2" s="6">
        <v>72</v>
      </c>
      <c r="G2" s="6">
        <v>5</v>
      </c>
      <c r="H2" s="6">
        <v>54</v>
      </c>
      <c r="J2" s="6">
        <f>MONTH(Tableau2[[#This Row],[Date]])</f>
        <v>4</v>
      </c>
      <c r="K2" s="6">
        <f>YEAR(Tableau2[[#This Row],[Date]])</f>
        <v>2020</v>
      </c>
    </row>
    <row r="3" spans="1:11" s="6" customFormat="1" x14ac:dyDescent="0.25">
      <c r="A3" s="7">
        <v>43945</v>
      </c>
      <c r="B3" s="90">
        <v>57</v>
      </c>
      <c r="C3" s="90">
        <v>86.5</v>
      </c>
      <c r="D3" s="90">
        <v>132</v>
      </c>
      <c r="E3" s="90">
        <v>71.5</v>
      </c>
      <c r="G3" s="6">
        <v>9</v>
      </c>
      <c r="H3" s="6">
        <v>85.5</v>
      </c>
      <c r="J3" s="6">
        <f>MONTH(Tableau2[[#This Row],[Date]])</f>
        <v>4</v>
      </c>
      <c r="K3" s="6">
        <f>YEAR(Tableau2[[#This Row],[Date]])</f>
        <v>2020</v>
      </c>
    </row>
    <row r="4" spans="1:11" s="6" customFormat="1" x14ac:dyDescent="0.25">
      <c r="A4" s="7">
        <v>43944</v>
      </c>
      <c r="B4" s="90">
        <v>4</v>
      </c>
      <c r="C4" s="90">
        <v>148.5</v>
      </c>
      <c r="D4" s="90">
        <v>130</v>
      </c>
      <c r="E4" s="90">
        <v>70</v>
      </c>
      <c r="F4" s="6">
        <v>52</v>
      </c>
      <c r="G4" s="6">
        <v>6.5</v>
      </c>
      <c r="H4" s="6">
        <v>105.5</v>
      </c>
      <c r="J4" s="6">
        <f>MONTH(Tableau2[[#This Row],[Date]])</f>
        <v>4</v>
      </c>
      <c r="K4" s="6">
        <f>YEAR(Tableau2[[#This Row],[Date]])</f>
        <v>2020</v>
      </c>
    </row>
    <row r="5" spans="1:11" s="6" customFormat="1" x14ac:dyDescent="0.25">
      <c r="A5" s="7">
        <v>43943</v>
      </c>
      <c r="B5" s="90">
        <v>6.5</v>
      </c>
      <c r="C5" s="90">
        <v>122.5</v>
      </c>
      <c r="D5" s="90">
        <v>98</v>
      </c>
      <c r="E5" s="90">
        <v>85.5</v>
      </c>
      <c r="F5" s="6">
        <v>68</v>
      </c>
      <c r="G5" s="6">
        <v>7</v>
      </c>
      <c r="H5" s="6">
        <v>92.5</v>
      </c>
      <c r="J5" s="6">
        <f>MONTH(Tableau2[[#This Row],[Date]])</f>
        <v>4</v>
      </c>
      <c r="K5" s="6">
        <f>YEAR(Tableau2[[#This Row],[Date]])</f>
        <v>2020</v>
      </c>
    </row>
    <row r="6" spans="1:11" s="6" customFormat="1" x14ac:dyDescent="0.25">
      <c r="A6" s="7">
        <v>43942</v>
      </c>
      <c r="B6" s="90">
        <v>54.5</v>
      </c>
      <c r="C6" s="90">
        <v>80.5</v>
      </c>
      <c r="D6" s="90">
        <v>84</v>
      </c>
      <c r="E6" s="90">
        <v>52.5</v>
      </c>
      <c r="G6" s="6">
        <v>1</v>
      </c>
      <c r="H6" s="6">
        <v>126</v>
      </c>
      <c r="J6" s="6">
        <f>MONTH(Tableau2[[#This Row],[Date]])</f>
        <v>4</v>
      </c>
      <c r="K6" s="6">
        <f>YEAR(Tableau2[[#This Row],[Date]])</f>
        <v>2020</v>
      </c>
    </row>
    <row r="7" spans="1:11" s="6" customFormat="1" x14ac:dyDescent="0.25">
      <c r="A7" s="7">
        <v>43924</v>
      </c>
      <c r="B7" s="90"/>
      <c r="C7" s="90"/>
      <c r="D7" s="90"/>
      <c r="E7" s="90"/>
      <c r="F7" s="90"/>
      <c r="G7" s="90"/>
      <c r="H7" s="90">
        <v>100</v>
      </c>
      <c r="I7" s="6" t="s">
        <v>205</v>
      </c>
      <c r="J7" s="6">
        <f>MONTH(Tableau2[[#This Row],[Date]])</f>
        <v>4</v>
      </c>
      <c r="K7" s="6">
        <f>YEAR(Tableau2[[#This Row],[Date]])</f>
        <v>2020</v>
      </c>
    </row>
    <row r="8" spans="1:11" s="6" customFormat="1" x14ac:dyDescent="0.25">
      <c r="A8" s="7">
        <v>43923</v>
      </c>
      <c r="B8" s="90"/>
      <c r="C8" s="90"/>
      <c r="D8" s="90"/>
      <c r="E8" s="90"/>
      <c r="F8" s="90"/>
      <c r="G8" s="90"/>
      <c r="H8" s="90">
        <v>222</v>
      </c>
      <c r="I8" s="6" t="s">
        <v>205</v>
      </c>
      <c r="J8" s="6">
        <f>MONTH(Tableau2[[#This Row],[Date]])</f>
        <v>4</v>
      </c>
      <c r="K8" s="6">
        <f>YEAR(Tableau2[[#This Row],[Date]])</f>
        <v>2020</v>
      </c>
    </row>
    <row r="9" spans="1:11" s="6" customFormat="1" x14ac:dyDescent="0.25">
      <c r="A9" s="7">
        <v>43922</v>
      </c>
      <c r="B9" s="90"/>
      <c r="C9" s="90"/>
      <c r="D9" s="90"/>
      <c r="E9" s="90"/>
      <c r="F9" s="90"/>
      <c r="G9" s="90"/>
      <c r="H9" s="90">
        <v>434</v>
      </c>
      <c r="I9" s="6" t="s">
        <v>205</v>
      </c>
      <c r="J9" s="6">
        <f>MONTH(Tableau2[[#This Row],[Date]])</f>
        <v>4</v>
      </c>
      <c r="K9" s="6">
        <f>YEAR(Tableau2[[#This Row],[Date]])</f>
        <v>2020</v>
      </c>
    </row>
    <row r="10" spans="1:11" s="6" customFormat="1" x14ac:dyDescent="0.25">
      <c r="A10" s="7">
        <v>43934</v>
      </c>
      <c r="B10" s="90">
        <v>22.5</v>
      </c>
      <c r="C10" s="90">
        <v>139</v>
      </c>
      <c r="D10" s="90">
        <v>5</v>
      </c>
      <c r="E10" s="90"/>
      <c r="F10" s="90"/>
      <c r="G10" s="90">
        <v>177</v>
      </c>
      <c r="H10" s="90">
        <v>97.5</v>
      </c>
      <c r="J10" s="6">
        <f>MONTH(Tableau2[[#This Row],[Date]])</f>
        <v>4</v>
      </c>
      <c r="K10" s="6">
        <f>YEAR(Tableau2[[#This Row],[Date]])</f>
        <v>2020</v>
      </c>
    </row>
    <row r="11" spans="1:11" s="6" customFormat="1" x14ac:dyDescent="0.25">
      <c r="A11" s="7">
        <v>43934</v>
      </c>
      <c r="B11" s="90">
        <v>80.5</v>
      </c>
      <c r="C11" s="90">
        <v>60</v>
      </c>
      <c r="D11" s="90">
        <v>196</v>
      </c>
      <c r="E11" s="90">
        <v>51.5</v>
      </c>
      <c r="F11" s="90"/>
      <c r="G11" s="90">
        <v>176.5</v>
      </c>
      <c r="H11" s="90">
        <v>113</v>
      </c>
      <c r="J11" s="6">
        <f>MONTH(Tableau2[[#This Row],[Date]])</f>
        <v>4</v>
      </c>
      <c r="K11" s="6">
        <f>YEAR(Tableau2[[#This Row],[Date]])</f>
        <v>2020</v>
      </c>
    </row>
    <row r="12" spans="1:11" s="6" customFormat="1" x14ac:dyDescent="0.25">
      <c r="A12" s="7">
        <v>43930</v>
      </c>
      <c r="B12" s="90">
        <v>31</v>
      </c>
      <c r="C12" s="90">
        <v>75</v>
      </c>
      <c r="D12" s="90">
        <v>1</v>
      </c>
      <c r="E12" s="90">
        <v>51</v>
      </c>
      <c r="F12" s="90">
        <v>86</v>
      </c>
      <c r="G12" s="90">
        <v>25</v>
      </c>
      <c r="H12" s="90">
        <v>78</v>
      </c>
      <c r="J12" s="6">
        <f>MONTH(Tableau2[[#This Row],[Date]])</f>
        <v>4</v>
      </c>
      <c r="K12" s="6">
        <f>YEAR(Tableau2[[#This Row],[Date]])</f>
        <v>2020</v>
      </c>
    </row>
    <row r="13" spans="1:11" s="6" customFormat="1" x14ac:dyDescent="0.25">
      <c r="A13" s="7">
        <v>43930</v>
      </c>
      <c r="B13" s="90">
        <v>7</v>
      </c>
      <c r="C13" s="90">
        <v>110.5</v>
      </c>
      <c r="D13" s="90">
        <v>33</v>
      </c>
      <c r="E13" s="90">
        <v>68</v>
      </c>
      <c r="F13" s="90"/>
      <c r="G13" s="90"/>
      <c r="H13" s="90">
        <v>80</v>
      </c>
      <c r="J13" s="6">
        <f>MONTH(Tableau2[[#This Row],[Date]])</f>
        <v>4</v>
      </c>
      <c r="K13" s="6">
        <f>YEAR(Tableau2[[#This Row],[Date]])</f>
        <v>2020</v>
      </c>
    </row>
    <row r="14" spans="1:11" s="6" customFormat="1" x14ac:dyDescent="0.25">
      <c r="A14" s="7">
        <v>43929</v>
      </c>
      <c r="B14" s="90">
        <v>8.5</v>
      </c>
      <c r="C14" s="90">
        <v>64</v>
      </c>
      <c r="D14" s="90">
        <v>46</v>
      </c>
      <c r="E14" s="90"/>
      <c r="F14" s="90"/>
      <c r="G14" s="90">
        <v>5</v>
      </c>
      <c r="H14" s="90">
        <v>144.5</v>
      </c>
      <c r="J14" s="6">
        <f>MONTH(Tableau2[[#This Row],[Date]])</f>
        <v>4</v>
      </c>
      <c r="K14" s="6">
        <f>YEAR(Tableau2[[#This Row],[Date]])</f>
        <v>2020</v>
      </c>
    </row>
    <row r="15" spans="1:11" s="6" customFormat="1" x14ac:dyDescent="0.25">
      <c r="A15" s="7">
        <v>43929</v>
      </c>
      <c r="B15" s="90">
        <v>52</v>
      </c>
      <c r="C15" s="90">
        <v>74.5</v>
      </c>
      <c r="D15" s="90">
        <v>25</v>
      </c>
      <c r="E15" s="90">
        <v>73</v>
      </c>
      <c r="F15" s="90"/>
      <c r="G15" s="90"/>
      <c r="H15" s="90">
        <v>79.5</v>
      </c>
      <c r="J15" s="6">
        <f>MONTH(Tableau2[[#This Row],[Date]])</f>
        <v>4</v>
      </c>
      <c r="K15" s="6">
        <f>YEAR(Tableau2[[#This Row],[Date]])</f>
        <v>2020</v>
      </c>
    </row>
    <row r="16" spans="1:11" s="6" customFormat="1" x14ac:dyDescent="0.25">
      <c r="A16" s="7">
        <v>43928</v>
      </c>
      <c r="B16" s="90">
        <v>12.5</v>
      </c>
      <c r="C16" s="90">
        <v>58.5</v>
      </c>
      <c r="D16" s="90">
        <v>4.5</v>
      </c>
      <c r="E16" s="90">
        <v>18</v>
      </c>
      <c r="F16" s="90"/>
      <c r="G16" s="90"/>
      <c r="H16" s="90">
        <v>60</v>
      </c>
      <c r="J16" s="6">
        <f>MONTH(Tableau2[[#This Row],[Date]])</f>
        <v>4</v>
      </c>
      <c r="K16" s="6">
        <f>YEAR(Tableau2[[#This Row],[Date]])</f>
        <v>2020</v>
      </c>
    </row>
    <row r="17" spans="1:13" s="6" customFormat="1" x14ac:dyDescent="0.25">
      <c r="A17" s="7">
        <v>43928</v>
      </c>
      <c r="B17" s="90">
        <v>0.5</v>
      </c>
      <c r="C17" s="90">
        <v>2</v>
      </c>
      <c r="D17" s="90">
        <v>50.5</v>
      </c>
      <c r="E17" s="90">
        <v>119</v>
      </c>
      <c r="F17" s="90"/>
      <c r="G17" s="90">
        <v>3.5</v>
      </c>
      <c r="H17" s="90">
        <v>91</v>
      </c>
      <c r="J17" s="6">
        <f>MONTH(Tableau2[[#This Row],[Date]])</f>
        <v>4</v>
      </c>
      <c r="K17" s="6">
        <f>YEAR(Tableau2[[#This Row],[Date]])</f>
        <v>2020</v>
      </c>
    </row>
    <row r="18" spans="1:13" s="6" customFormat="1" x14ac:dyDescent="0.25">
      <c r="A18" s="7">
        <v>43927</v>
      </c>
      <c r="B18" s="90">
        <v>107</v>
      </c>
      <c r="C18" s="90">
        <v>193.5</v>
      </c>
      <c r="D18" s="90">
        <v>64</v>
      </c>
      <c r="E18" s="90">
        <v>16</v>
      </c>
      <c r="F18" s="90"/>
      <c r="G18" s="90">
        <v>17</v>
      </c>
      <c r="H18" s="90">
        <v>109</v>
      </c>
      <c r="J18" s="6">
        <f>MONTH(Tableau2[[#This Row],[Date]])</f>
        <v>4</v>
      </c>
      <c r="K18" s="6">
        <f>YEAR(Tableau2[[#This Row],[Date]])</f>
        <v>2020</v>
      </c>
    </row>
    <row r="19" spans="1:13" s="6" customFormat="1" x14ac:dyDescent="0.25">
      <c r="A19" s="7">
        <v>43927</v>
      </c>
      <c r="B19" s="90">
        <v>63</v>
      </c>
      <c r="C19" s="90">
        <v>155</v>
      </c>
      <c r="D19" s="90">
        <v>86.5</v>
      </c>
      <c r="E19" s="90">
        <v>48</v>
      </c>
      <c r="F19" s="90"/>
      <c r="G19" s="90">
        <v>3</v>
      </c>
      <c r="H19" s="90">
        <v>90</v>
      </c>
      <c r="J19" s="6">
        <f>MONTH(Tableau2[[#This Row],[Date]])</f>
        <v>4</v>
      </c>
      <c r="K19" s="6">
        <f>YEAR(Tableau2[[#This Row],[Date]])</f>
        <v>2020</v>
      </c>
    </row>
    <row r="20" spans="1:13" s="6" customFormat="1" x14ac:dyDescent="0.25">
      <c r="A20" s="7"/>
      <c r="B20" s="90"/>
      <c r="C20" s="90"/>
      <c r="D20" s="90"/>
      <c r="E20" s="90"/>
      <c r="F20" s="90"/>
      <c r="G20" s="90"/>
      <c r="H20" s="90"/>
    </row>
    <row r="21" spans="1:13" s="6" customFormat="1" x14ac:dyDescent="0.25">
      <c r="A21" s="7"/>
      <c r="B21"/>
      <c r="C21"/>
      <c r="D21"/>
      <c r="H21"/>
      <c r="K21"/>
    </row>
    <row r="22" spans="1:13" s="6" customFormat="1" x14ac:dyDescent="0.25">
      <c r="A22" s="7"/>
      <c r="B22"/>
      <c r="C22"/>
      <c r="D22"/>
      <c r="E22"/>
      <c r="F22"/>
      <c r="H22"/>
      <c r="K22"/>
      <c r="L22"/>
      <c r="M22"/>
    </row>
    <row r="23" spans="1:13" x14ac:dyDescent="0.25">
      <c r="G23" s="6"/>
      <c r="I23" s="6"/>
      <c r="J23" s="6"/>
    </row>
  </sheetData>
  <sheetProtection algorithmName="SHA-512" hashValue="0Zb5lLPOgp+0NCuJF4E3/cH7M27THhcRXabp1323EHZK2w2+zAmh6vsPYpNJKyYPIlCIZpCM7K9WPnYZQwa7yA==" saltValue="YaaIoy//dAqTqBqenXRr1A==" spinCount="100000" sheet="1" objects="1" scenarios="1"/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F1:R20"/>
  <sheetViews>
    <sheetView tabSelected="1" workbookViewId="0">
      <selection activeCell="I3" sqref="I3:I5"/>
    </sheetView>
  </sheetViews>
  <sheetFormatPr baseColWidth="10" defaultColWidth="11.42578125" defaultRowHeight="15" x14ac:dyDescent="0.25"/>
  <cols>
    <col min="1" max="6" width="11.42578125" style="117"/>
    <col min="7" max="7" width="15.85546875" style="117" customWidth="1"/>
    <col min="8" max="8" width="11.42578125" style="117"/>
    <col min="9" max="9" width="22.7109375" style="117" customWidth="1"/>
    <col min="10" max="10" width="11.42578125" style="117"/>
    <col min="11" max="11" width="21.7109375" style="117" bestFit="1" customWidth="1"/>
    <col min="12" max="13" width="11.42578125" style="117"/>
    <col min="14" max="14" width="14.85546875" style="117" customWidth="1"/>
    <col min="15" max="15" width="11.42578125" style="117"/>
    <col min="16" max="16" width="11.28515625" style="117" bestFit="1" customWidth="1"/>
    <col min="17" max="17" width="12.85546875" style="117" customWidth="1"/>
    <col min="18" max="18" width="12.28515625" style="117" bestFit="1" customWidth="1"/>
    <col min="19" max="16384" width="11.42578125" style="117"/>
  </cols>
  <sheetData>
    <row r="1" spans="6:18" x14ac:dyDescent="0.25"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</row>
    <row r="2" spans="6:18" x14ac:dyDescent="0.25">
      <c r="F2" s="130"/>
      <c r="G2" s="130" t="s">
        <v>177</v>
      </c>
      <c r="H2" s="130" t="s">
        <v>165</v>
      </c>
      <c r="I2" s="130" t="s">
        <v>12</v>
      </c>
      <c r="J2" s="130" t="s">
        <v>69</v>
      </c>
      <c r="K2" s="130" t="s">
        <v>178</v>
      </c>
      <c r="L2" s="130" t="s">
        <v>179</v>
      </c>
      <c r="M2" s="130" t="s">
        <v>9</v>
      </c>
      <c r="N2" s="130" t="s">
        <v>250</v>
      </c>
      <c r="O2" s="130"/>
      <c r="P2" s="130"/>
      <c r="Q2" s="130"/>
    </row>
    <row r="3" spans="6:18" x14ac:dyDescent="0.25">
      <c r="F3" s="130"/>
      <c r="G3" s="130" t="s">
        <v>180</v>
      </c>
      <c r="H3" s="159">
        <f>IFERROR(IF($J$3="",AVERAGEIFS(Tableau3[TRORéel],Tableau3[Opérateur 1],$I3,Tableau3[Date],"&gt;="&amp;$K$3,Tableau3[Date],"&lt;="&amp;$L$3),AVERAGEIFS(Tableau3[TRORéel],Tableau3[Opérateur 1],$I3,Tableau3[Machine],$J$3,Tableau3[Date],"&gt;="&amp;$K$3,Tableau3[Date],"&lt;="&amp;$L$3)),"N/A")</f>
        <v>0.54487197897389983</v>
      </c>
      <c r="I3" s="130" t="s">
        <v>126</v>
      </c>
      <c r="J3" s="130" t="s">
        <v>14</v>
      </c>
      <c r="K3" s="130" t="s">
        <v>254</v>
      </c>
      <c r="L3" s="130" t="s">
        <v>253</v>
      </c>
      <c r="M3" s="130" t="s">
        <v>251</v>
      </c>
      <c r="N3" s="130" t="s">
        <v>251</v>
      </c>
      <c r="O3" s="130"/>
      <c r="P3" s="130"/>
      <c r="Q3" s="130"/>
    </row>
    <row r="4" spans="6:18" x14ac:dyDescent="0.25">
      <c r="F4" s="130"/>
      <c r="G4" s="130" t="s">
        <v>181</v>
      </c>
      <c r="H4" s="159">
        <f>IFERROR(IF($J$3="",AVERAGEIFS(Tableau3[TRORéel],Tableau3[Opérateur 1],$I4,Tableau3[Date],"&gt;="&amp;$K$3,Tableau3[Date],"&lt;="&amp;$L$3),AVERAGEIFS(Tableau3[TRORéel],Tableau3[Opérateur 1],$I4,Tableau3[Machine],J3,Tableau3[Date],"&gt;="&amp;$K$3,Tableau3[Date],"&lt;="&amp;$L$3)),"N/A")</f>
        <v>0.84722672830771306</v>
      </c>
      <c r="I4" s="130" t="s">
        <v>112</v>
      </c>
      <c r="J4" s="130"/>
      <c r="K4" s="130"/>
      <c r="L4" s="130"/>
      <c r="M4" s="130"/>
      <c r="N4" s="130"/>
      <c r="O4" s="130"/>
      <c r="P4" s="130"/>
      <c r="Q4" s="130"/>
    </row>
    <row r="5" spans="6:18" x14ac:dyDescent="0.25">
      <c r="F5" s="130"/>
      <c r="G5" s="130" t="s">
        <v>182</v>
      </c>
      <c r="H5" s="159" t="str">
        <f>IFERROR(IF($J$3="",AVERAGEIFS(Tableau3[TRORéel],Tableau3[Opérateur 1],$I5,Tableau3[Date],"&gt;="&amp;$K$3,Tableau3[Date],"&lt;="&amp;$L$3),AVERAGEIFS(Tableau3[TRORéel],Tableau3[Opérateur 1],$I5,Tableau3[Machine],J3,Tableau3[Date],"&gt;="&amp;$K$3,Tableau3[Date],"&lt;="&amp;$L$3)),"N/A")</f>
        <v>N/A</v>
      </c>
      <c r="I5" s="130" t="s">
        <v>111</v>
      </c>
      <c r="J5" s="130"/>
      <c r="K5" s="130"/>
      <c r="L5" s="130"/>
      <c r="M5" s="130"/>
      <c r="N5" s="130"/>
      <c r="O5" s="130"/>
      <c r="P5" s="130"/>
      <c r="Q5" s="130"/>
    </row>
    <row r="6" spans="6:18" x14ac:dyDescent="0.25">
      <c r="F6" s="130"/>
      <c r="G6" s="130" t="s">
        <v>183</v>
      </c>
      <c r="H6" s="159" t="str">
        <f>IFERROR(IF($J$3="",AVERAGEIFS(Tableau3[TRORéel],Tableau3[Date],"&gt;="&amp;$K$3,Tableau3[Date],"&lt;="&amp;$L$3),AVERAGEIFS(Tableau3[TRORéel],Tableau3[Machine],$J$3,Tableau3[Date],"&gt;="&amp;$K$3,Tableau3[Date],"&lt;="&amp;$L$3,Tableau3[Quart],$M$3,Tableau3[Département/Opé],N3)),"N/A")</f>
        <v>N/A</v>
      </c>
      <c r="I6" s="130"/>
      <c r="J6" s="130"/>
      <c r="K6" s="130"/>
      <c r="L6" s="130"/>
      <c r="M6" s="130"/>
      <c r="N6" s="130"/>
      <c r="O6" s="130"/>
      <c r="P6" s="130"/>
      <c r="Q6" s="130"/>
    </row>
    <row r="7" spans="6:18" x14ac:dyDescent="0.25"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</row>
    <row r="8" spans="6:18" x14ac:dyDescent="0.25">
      <c r="F8" s="130"/>
      <c r="G8" s="130"/>
      <c r="H8" s="130"/>
      <c r="I8" s="130"/>
      <c r="J8" s="130"/>
      <c r="K8" s="130"/>
      <c r="L8" s="130"/>
      <c r="M8" s="130"/>
      <c r="N8" s="130"/>
      <c r="O8" s="130"/>
      <c r="P8" s="130"/>
      <c r="Q8" s="130"/>
    </row>
    <row r="9" spans="6:18" x14ac:dyDescent="0.25">
      <c r="F9" s="130"/>
      <c r="G9" s="130"/>
      <c r="H9" s="130"/>
      <c r="I9" s="130"/>
      <c r="J9" s="130"/>
      <c r="K9" s="130"/>
      <c r="L9" s="130"/>
      <c r="M9" s="130"/>
      <c r="N9" s="130"/>
      <c r="O9" s="130"/>
      <c r="P9" s="130"/>
      <c r="Q9" s="130"/>
    </row>
    <row r="10" spans="6:18" x14ac:dyDescent="0.25">
      <c r="F10" s="130"/>
      <c r="G10" s="130"/>
      <c r="H10" s="130"/>
      <c r="I10" s="159"/>
      <c r="J10" s="130"/>
      <c r="K10" s="130"/>
      <c r="L10" s="130"/>
      <c r="M10" s="130"/>
      <c r="N10" s="130"/>
      <c r="O10" s="130"/>
      <c r="P10" s="130"/>
      <c r="Q10" s="130"/>
    </row>
    <row r="11" spans="6:18" x14ac:dyDescent="0.25">
      <c r="F11" s="130"/>
      <c r="G11" s="130"/>
      <c r="H11" s="130"/>
      <c r="I11" s="130"/>
      <c r="J11" s="130"/>
      <c r="K11" s="130"/>
      <c r="L11" s="130"/>
      <c r="M11" s="130"/>
      <c r="N11" s="130"/>
      <c r="O11" s="130"/>
      <c r="P11" s="130"/>
      <c r="Q11" s="130"/>
    </row>
    <row r="12" spans="6:18" x14ac:dyDescent="0.25"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/>
      <c r="Q12" s="130"/>
    </row>
    <row r="13" spans="6:18" x14ac:dyDescent="0.25"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</row>
    <row r="14" spans="6:18" x14ac:dyDescent="0.25">
      <c r="G14" s="125"/>
      <c r="H14" s="125"/>
      <c r="I14" s="125"/>
      <c r="J14" s="125"/>
      <c r="K14" s="125"/>
      <c r="L14" s="125"/>
      <c r="M14" s="130"/>
      <c r="N14" s="130"/>
      <c r="O14" s="130"/>
      <c r="P14" s="130"/>
      <c r="Q14" s="130"/>
    </row>
    <row r="15" spans="6:18" x14ac:dyDescent="0.25">
      <c r="G15" s="126"/>
      <c r="H15" s="126"/>
      <c r="I15" s="126"/>
      <c r="J15" s="126"/>
      <c r="K15" s="126"/>
      <c r="L15" s="126"/>
      <c r="M15" s="158"/>
      <c r="N15" s="158"/>
      <c r="O15" s="158"/>
      <c r="P15" s="158"/>
      <c r="Q15" s="158"/>
      <c r="R15" s="119"/>
    </row>
    <row r="16" spans="6:18" x14ac:dyDescent="0.25">
      <c r="G16" s="126"/>
      <c r="H16" s="126"/>
      <c r="I16" s="126"/>
      <c r="J16" s="126"/>
      <c r="K16" s="126"/>
      <c r="L16" s="126"/>
      <c r="M16" s="118"/>
      <c r="N16" s="118"/>
      <c r="O16" s="118"/>
      <c r="P16" s="119"/>
      <c r="Q16" s="119"/>
      <c r="R16" s="119"/>
    </row>
    <row r="17" spans="7:18" x14ac:dyDescent="0.25">
      <c r="G17" s="118"/>
      <c r="H17" s="118"/>
      <c r="I17" s="118"/>
      <c r="J17" s="118"/>
      <c r="K17" s="118"/>
      <c r="L17" s="118"/>
      <c r="M17" s="118"/>
      <c r="N17" s="118"/>
      <c r="O17" s="118"/>
      <c r="P17" s="119"/>
      <c r="Q17" s="119"/>
      <c r="R17" s="119"/>
    </row>
    <row r="18" spans="7:18" x14ac:dyDescent="0.25">
      <c r="G18" s="118"/>
      <c r="H18" s="120"/>
      <c r="I18" s="118"/>
      <c r="J18" s="118"/>
      <c r="K18" s="121"/>
      <c r="L18" s="118"/>
      <c r="M18" s="121"/>
      <c r="N18" s="118"/>
      <c r="O18" s="122"/>
      <c r="P18" s="123"/>
      <c r="Q18" s="123"/>
      <c r="R18" s="119"/>
    </row>
    <row r="19" spans="7:18" x14ac:dyDescent="0.25"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19"/>
      <c r="R19" s="119"/>
    </row>
    <row r="20" spans="7:18" x14ac:dyDescent="0.25"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19"/>
      <c r="R20" s="119"/>
    </row>
  </sheetData>
  <sheetProtection algorithmName="SHA-512" hashValue="DLR3FlYvI6IzseXC+dUR0MWS2e2NJhixeLO6aR2zm0GQPa1nrPK+v31opS+DOioOrvxznmtzbHO4TxMhyFUIGA==" saltValue="k0t1b24HFQC2IRppV+JQkQ==" spinCount="100000" sheet="1" objects="1" scenarios="1" selectLockedCells="1"/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TRO_EMPLOYE">
          <controlPr locked="0" defaultSize="0" autoLine="0" r:id="rId5">
            <anchor moveWithCells="1">
              <from>
                <xdr:col>2</xdr:col>
                <xdr:colOff>19050</xdr:colOff>
                <xdr:row>2</xdr:row>
                <xdr:rowOff>0</xdr:rowOff>
              </from>
              <to>
                <xdr:col>5</xdr:col>
                <xdr:colOff>9525</xdr:colOff>
                <xdr:row>4</xdr:row>
                <xdr:rowOff>180975</xdr:rowOff>
              </to>
            </anchor>
          </controlPr>
        </control>
      </mc:Choice>
      <mc:Fallback>
        <control shapeId="2050" r:id="rId4" name="TRO_EMPLOYE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87"/>
  <sheetViews>
    <sheetView topLeftCell="B1" workbookViewId="0">
      <selection activeCell="P8" sqref="P8"/>
    </sheetView>
  </sheetViews>
  <sheetFormatPr baseColWidth="10" defaultRowHeight="15" x14ac:dyDescent="0.25"/>
  <cols>
    <col min="1" max="1" width="10.85546875" bestFit="1" customWidth="1"/>
    <col min="2" max="2" width="12.140625" style="25" bestFit="1" customWidth="1"/>
    <col min="3" max="3" width="16.85546875" style="13" bestFit="1" customWidth="1"/>
    <col min="4" max="4" width="23.28515625" bestFit="1" customWidth="1"/>
    <col min="5" max="5" width="15.85546875" bestFit="1" customWidth="1"/>
    <col min="6" max="6" width="7.42578125" bestFit="1" customWidth="1"/>
    <col min="7" max="7" width="10.7109375" style="10"/>
    <col min="9" max="9" width="10.7109375" style="6"/>
    <col min="11" max="11" width="29.85546875" bestFit="1" customWidth="1"/>
  </cols>
  <sheetData>
    <row r="1" spans="1:14" ht="26.25" x14ac:dyDescent="0.25">
      <c r="A1" s="26" t="s">
        <v>6</v>
      </c>
      <c r="B1" s="28" t="s">
        <v>38</v>
      </c>
      <c r="C1" s="29" t="s">
        <v>0</v>
      </c>
      <c r="D1" s="27" t="s">
        <v>7</v>
      </c>
      <c r="E1" s="40" t="s">
        <v>8</v>
      </c>
      <c r="F1" s="26" t="s">
        <v>9</v>
      </c>
      <c r="G1" s="82" t="s">
        <v>13</v>
      </c>
      <c r="H1" s="43" t="s">
        <v>66</v>
      </c>
      <c r="I1" s="43" t="s">
        <v>97</v>
      </c>
      <c r="J1" s="43" t="s">
        <v>65</v>
      </c>
      <c r="K1" s="26" t="s">
        <v>12</v>
      </c>
      <c r="L1" s="155" t="s">
        <v>244</v>
      </c>
      <c r="M1" s="156" t="s">
        <v>245</v>
      </c>
      <c r="N1" s="154" t="s">
        <v>250</v>
      </c>
    </row>
    <row r="2" spans="1:14" x14ac:dyDescent="0.25">
      <c r="A2" s="30" t="s">
        <v>10</v>
      </c>
      <c r="B2" s="32">
        <v>0.45</v>
      </c>
      <c r="C2" s="33">
        <f t="shared" ref="C2:C19" si="0">1000/(60*B2)</f>
        <v>37.037037037037038</v>
      </c>
      <c r="D2" s="34" t="s">
        <v>144</v>
      </c>
      <c r="E2" s="41" t="s">
        <v>102</v>
      </c>
      <c r="F2" s="153" t="s">
        <v>13</v>
      </c>
      <c r="G2" s="83">
        <v>1</v>
      </c>
      <c r="H2" s="38" t="s">
        <v>85</v>
      </c>
      <c r="I2" s="38">
        <v>1</v>
      </c>
      <c r="J2">
        <v>2019</v>
      </c>
      <c r="K2" s="41" t="s">
        <v>107</v>
      </c>
      <c r="L2" s="38" t="s">
        <v>13</v>
      </c>
      <c r="M2" s="38" t="s">
        <v>248</v>
      </c>
      <c r="N2" s="137" t="s">
        <v>248</v>
      </c>
    </row>
    <row r="3" spans="1:14" x14ac:dyDescent="0.25">
      <c r="A3" s="30" t="s">
        <v>14</v>
      </c>
      <c r="B3" s="35">
        <v>0.45</v>
      </c>
      <c r="C3" s="36">
        <f t="shared" si="0"/>
        <v>37.037037037037038</v>
      </c>
      <c r="D3" s="31" t="s">
        <v>145</v>
      </c>
      <c r="E3" s="41" t="s">
        <v>62</v>
      </c>
      <c r="F3" s="153" t="s">
        <v>16</v>
      </c>
      <c r="G3" s="83">
        <v>2</v>
      </c>
      <c r="H3" s="38" t="s">
        <v>86</v>
      </c>
      <c r="I3" s="38">
        <v>2</v>
      </c>
      <c r="J3" s="38">
        <v>2020</v>
      </c>
      <c r="K3" s="41" t="s">
        <v>108</v>
      </c>
      <c r="L3" s="38" t="s">
        <v>13</v>
      </c>
      <c r="M3" s="38" t="s">
        <v>249</v>
      </c>
      <c r="N3" s="137" t="s">
        <v>249</v>
      </c>
    </row>
    <row r="4" spans="1:14" x14ac:dyDescent="0.25">
      <c r="A4" s="30" t="s">
        <v>17</v>
      </c>
      <c r="B4" s="35">
        <v>0.45</v>
      </c>
      <c r="C4" s="36">
        <f t="shared" si="0"/>
        <v>37.037037037037038</v>
      </c>
      <c r="D4" s="31" t="s">
        <v>146</v>
      </c>
      <c r="E4" s="41" t="s">
        <v>63</v>
      </c>
      <c r="F4" s="153" t="s">
        <v>19</v>
      </c>
      <c r="G4" s="83">
        <v>3</v>
      </c>
      <c r="H4" s="38" t="s">
        <v>87</v>
      </c>
      <c r="I4" s="38">
        <v>3</v>
      </c>
      <c r="J4" s="38">
        <v>2021</v>
      </c>
      <c r="K4" s="41" t="s">
        <v>109</v>
      </c>
      <c r="L4" s="38" t="s">
        <v>16</v>
      </c>
      <c r="M4" s="38" t="s">
        <v>249</v>
      </c>
      <c r="N4" s="137" t="s">
        <v>246</v>
      </c>
    </row>
    <row r="5" spans="1:14" x14ac:dyDescent="0.25">
      <c r="A5" s="30" t="s">
        <v>20</v>
      </c>
      <c r="B5" s="35">
        <v>0.36</v>
      </c>
      <c r="C5" s="36">
        <f t="shared" si="0"/>
        <v>46.296296296296298</v>
      </c>
      <c r="D5" s="31" t="s">
        <v>243</v>
      </c>
      <c r="E5" s="42"/>
      <c r="F5" s="5" t="s">
        <v>34</v>
      </c>
      <c r="G5" s="83">
        <v>4</v>
      </c>
      <c r="H5" s="38" t="s">
        <v>88</v>
      </c>
      <c r="I5" s="38">
        <v>4</v>
      </c>
      <c r="J5" s="38">
        <v>2022</v>
      </c>
      <c r="K5" s="41" t="s">
        <v>110</v>
      </c>
      <c r="L5" s="38" t="s">
        <v>13</v>
      </c>
      <c r="M5" s="38" t="s">
        <v>248</v>
      </c>
      <c r="N5" s="137" t="s">
        <v>247</v>
      </c>
    </row>
    <row r="6" spans="1:14" x14ac:dyDescent="0.25">
      <c r="A6" s="30" t="s">
        <v>22</v>
      </c>
      <c r="B6" s="35">
        <v>0.3</v>
      </c>
      <c r="C6" s="36">
        <f t="shared" si="0"/>
        <v>55.555555555555557</v>
      </c>
      <c r="D6" s="34" t="s">
        <v>242</v>
      </c>
      <c r="E6" s="42"/>
      <c r="F6" s="5" t="s">
        <v>35</v>
      </c>
      <c r="G6" s="83">
        <v>5</v>
      </c>
      <c r="H6" s="38" t="s">
        <v>89</v>
      </c>
      <c r="I6" s="38">
        <v>5</v>
      </c>
      <c r="J6" s="38">
        <v>2023</v>
      </c>
      <c r="K6" s="41" t="s">
        <v>111</v>
      </c>
      <c r="L6" s="38" t="s">
        <v>13</v>
      </c>
      <c r="M6" s="38" t="s">
        <v>246</v>
      </c>
    </row>
    <row r="7" spans="1:14" x14ac:dyDescent="0.25">
      <c r="A7" s="30" t="s">
        <v>24</v>
      </c>
      <c r="B7" s="35">
        <v>0.5</v>
      </c>
      <c r="C7" s="36">
        <f t="shared" si="0"/>
        <v>33.333333333333336</v>
      </c>
      <c r="D7" s="31" t="s">
        <v>37</v>
      </c>
      <c r="E7" s="41"/>
      <c r="F7" s="30" t="s">
        <v>36</v>
      </c>
      <c r="G7" s="83">
        <v>6</v>
      </c>
      <c r="H7" s="38" t="s">
        <v>90</v>
      </c>
      <c r="I7" s="38">
        <v>6</v>
      </c>
      <c r="J7" s="38">
        <v>2024</v>
      </c>
      <c r="K7" s="41" t="s">
        <v>112</v>
      </c>
      <c r="L7" s="38" t="s">
        <v>16</v>
      </c>
      <c r="M7" s="38" t="s">
        <v>246</v>
      </c>
    </row>
    <row r="8" spans="1:14" x14ac:dyDescent="0.25">
      <c r="A8" s="30" t="s">
        <v>26</v>
      </c>
      <c r="B8" s="35">
        <v>0.5</v>
      </c>
      <c r="C8" s="36">
        <f t="shared" si="0"/>
        <v>33.333333333333336</v>
      </c>
      <c r="D8" s="124" t="s">
        <v>194</v>
      </c>
      <c r="E8" s="42"/>
      <c r="F8" s="5"/>
      <c r="G8" s="83">
        <v>7</v>
      </c>
      <c r="H8" s="38" t="s">
        <v>91</v>
      </c>
      <c r="I8" s="38">
        <v>7</v>
      </c>
      <c r="J8" s="38">
        <v>2025</v>
      </c>
      <c r="K8" s="41" t="s">
        <v>113</v>
      </c>
      <c r="L8" s="38" t="s">
        <v>13</v>
      </c>
      <c r="M8" s="38" t="s">
        <v>248</v>
      </c>
    </row>
    <row r="9" spans="1:14" x14ac:dyDescent="0.25">
      <c r="A9" s="30" t="s">
        <v>28</v>
      </c>
      <c r="B9" s="35">
        <v>0.35</v>
      </c>
      <c r="C9" s="36">
        <f t="shared" si="0"/>
        <v>47.61904761904762</v>
      </c>
      <c r="D9" s="34" t="s">
        <v>197</v>
      </c>
      <c r="E9" s="41"/>
      <c r="F9" s="5"/>
      <c r="G9" s="83">
        <v>8</v>
      </c>
      <c r="H9" s="38" t="s">
        <v>92</v>
      </c>
      <c r="I9" s="38">
        <v>8</v>
      </c>
      <c r="J9" s="38">
        <v>2026</v>
      </c>
      <c r="K9" s="41" t="s">
        <v>114</v>
      </c>
      <c r="L9" s="38" t="s">
        <v>19</v>
      </c>
      <c r="M9" s="38" t="s">
        <v>247</v>
      </c>
    </row>
    <row r="10" spans="1:14" x14ac:dyDescent="0.25">
      <c r="A10" s="30" t="s">
        <v>31</v>
      </c>
      <c r="B10" s="35">
        <v>0.4</v>
      </c>
      <c r="C10" s="36">
        <f t="shared" si="0"/>
        <v>41.666666666666664</v>
      </c>
      <c r="D10" s="37"/>
      <c r="E10" s="41"/>
      <c r="F10" s="5"/>
      <c r="G10" s="83">
        <v>9</v>
      </c>
      <c r="H10" s="38" t="s">
        <v>93</v>
      </c>
      <c r="I10" s="38">
        <v>9</v>
      </c>
      <c r="J10" s="38">
        <v>2027</v>
      </c>
      <c r="K10" s="41" t="s">
        <v>115</v>
      </c>
      <c r="L10" s="38" t="s">
        <v>13</v>
      </c>
      <c r="M10" s="38" t="s">
        <v>249</v>
      </c>
    </row>
    <row r="11" spans="1:14" x14ac:dyDescent="0.25">
      <c r="A11" s="30" t="s">
        <v>11</v>
      </c>
      <c r="B11" s="35">
        <v>0.4</v>
      </c>
      <c r="C11" s="36">
        <f t="shared" si="0"/>
        <v>41.666666666666664</v>
      </c>
      <c r="D11" s="37"/>
      <c r="E11" s="41"/>
      <c r="F11" s="5"/>
      <c r="G11" s="83">
        <v>10</v>
      </c>
      <c r="H11" s="38" t="s">
        <v>94</v>
      </c>
      <c r="I11" s="38">
        <v>10</v>
      </c>
      <c r="J11" s="38">
        <v>2028</v>
      </c>
      <c r="K11" s="41" t="s">
        <v>116</v>
      </c>
      <c r="L11" s="38" t="s">
        <v>16</v>
      </c>
      <c r="M11" s="38" t="s">
        <v>248</v>
      </c>
    </row>
    <row r="12" spans="1:14" x14ac:dyDescent="0.25">
      <c r="A12" s="30" t="s">
        <v>15</v>
      </c>
      <c r="B12" s="35">
        <v>0.4</v>
      </c>
      <c r="C12" s="36">
        <f t="shared" si="0"/>
        <v>41.666666666666664</v>
      </c>
      <c r="D12" s="5"/>
      <c r="E12" s="41"/>
      <c r="F12" s="5"/>
      <c r="G12" s="83">
        <v>11</v>
      </c>
      <c r="H12" s="38" t="s">
        <v>95</v>
      </c>
      <c r="I12" s="38">
        <v>11</v>
      </c>
      <c r="J12" s="38">
        <v>2029</v>
      </c>
      <c r="K12" s="41" t="s">
        <v>117</v>
      </c>
      <c r="L12" s="38" t="s">
        <v>13</v>
      </c>
      <c r="M12" s="38" t="s">
        <v>247</v>
      </c>
    </row>
    <row r="13" spans="1:14" x14ac:dyDescent="0.25">
      <c r="A13" s="30" t="s">
        <v>18</v>
      </c>
      <c r="B13" s="35">
        <v>0.4</v>
      </c>
      <c r="C13" s="36">
        <f t="shared" si="0"/>
        <v>41.666666666666664</v>
      </c>
      <c r="D13" s="5"/>
      <c r="E13" s="41"/>
      <c r="F13" s="5"/>
      <c r="G13" s="83">
        <v>12</v>
      </c>
      <c r="H13" s="38" t="s">
        <v>96</v>
      </c>
      <c r="I13" s="38">
        <v>12</v>
      </c>
      <c r="J13" s="38">
        <v>2030</v>
      </c>
      <c r="K13" s="41" t="s">
        <v>118</v>
      </c>
      <c r="L13" s="38" t="s">
        <v>16</v>
      </c>
      <c r="M13" s="38" t="s">
        <v>249</v>
      </c>
    </row>
    <row r="14" spans="1:14" x14ac:dyDescent="0.25">
      <c r="A14" s="5" t="s">
        <v>21</v>
      </c>
      <c r="B14" s="35">
        <v>0.3</v>
      </c>
      <c r="C14" s="36">
        <f t="shared" si="0"/>
        <v>55.555555555555557</v>
      </c>
      <c r="D14" s="5"/>
      <c r="E14" s="41"/>
      <c r="F14" s="5"/>
      <c r="G14" s="83">
        <v>13</v>
      </c>
      <c r="H14" s="38"/>
      <c r="I14" s="38"/>
      <c r="J14" s="38"/>
      <c r="K14" s="41" t="s">
        <v>119</v>
      </c>
      <c r="L14" s="38" t="s">
        <v>13</v>
      </c>
      <c r="M14" s="38" t="s">
        <v>247</v>
      </c>
    </row>
    <row r="15" spans="1:14" x14ac:dyDescent="0.25">
      <c r="A15" s="30" t="s">
        <v>23</v>
      </c>
      <c r="B15" s="35">
        <v>0.6</v>
      </c>
      <c r="C15" s="36">
        <f t="shared" si="0"/>
        <v>27.777777777777779</v>
      </c>
      <c r="D15" s="5"/>
      <c r="E15" s="41"/>
      <c r="F15" s="5"/>
      <c r="G15" s="83">
        <v>14</v>
      </c>
      <c r="H15" s="38"/>
      <c r="I15" s="38"/>
      <c r="J15" s="38"/>
      <c r="K15" s="41" t="s">
        <v>120</v>
      </c>
      <c r="L15" s="38" t="s">
        <v>13</v>
      </c>
      <c r="M15" s="38" t="s">
        <v>249</v>
      </c>
    </row>
    <row r="16" spans="1:14" x14ac:dyDescent="0.25">
      <c r="A16" s="30" t="s">
        <v>25</v>
      </c>
      <c r="B16" s="35">
        <v>0.5</v>
      </c>
      <c r="C16" s="36">
        <f t="shared" si="0"/>
        <v>33.333333333333336</v>
      </c>
      <c r="D16" s="5"/>
      <c r="E16" s="41"/>
      <c r="F16" s="38"/>
      <c r="G16" s="83">
        <v>15</v>
      </c>
      <c r="H16" s="38"/>
      <c r="I16" s="38"/>
      <c r="J16" s="38"/>
      <c r="K16" s="41" t="s">
        <v>121</v>
      </c>
      <c r="L16" s="38" t="s">
        <v>19</v>
      </c>
      <c r="M16" s="38" t="s">
        <v>249</v>
      </c>
    </row>
    <row r="17" spans="1:13" x14ac:dyDescent="0.25">
      <c r="A17" s="30" t="s">
        <v>27</v>
      </c>
      <c r="B17" s="35">
        <v>0.5</v>
      </c>
      <c r="C17" s="36">
        <f t="shared" si="0"/>
        <v>33.333333333333336</v>
      </c>
      <c r="D17" s="31"/>
      <c r="E17" s="41"/>
      <c r="F17" s="38"/>
      <c r="G17" s="83">
        <v>16</v>
      </c>
      <c r="H17" s="38"/>
      <c r="I17" s="38"/>
      <c r="J17" s="38"/>
      <c r="K17" s="41" t="s">
        <v>122</v>
      </c>
      <c r="L17" s="38" t="s">
        <v>16</v>
      </c>
      <c r="M17" s="38" t="s">
        <v>248</v>
      </c>
    </row>
    <row r="18" spans="1:13" x14ac:dyDescent="0.25">
      <c r="A18" s="30" t="s">
        <v>29</v>
      </c>
      <c r="B18" s="35">
        <v>0.9</v>
      </c>
      <c r="C18" s="36">
        <f t="shared" si="0"/>
        <v>18.518518518518519</v>
      </c>
      <c r="D18" s="31"/>
      <c r="E18" s="41"/>
      <c r="F18" s="38"/>
      <c r="G18" s="83">
        <v>17</v>
      </c>
      <c r="H18" s="38"/>
      <c r="I18" s="38"/>
      <c r="J18" s="38"/>
      <c r="K18" s="41" t="s">
        <v>123</v>
      </c>
      <c r="L18" s="38" t="s">
        <v>16</v>
      </c>
      <c r="M18" s="38" t="s">
        <v>246</v>
      </c>
    </row>
    <row r="19" spans="1:13" x14ac:dyDescent="0.25">
      <c r="A19" s="30" t="s">
        <v>30</v>
      </c>
      <c r="B19" s="35">
        <v>0.6</v>
      </c>
      <c r="C19" s="36">
        <f t="shared" si="0"/>
        <v>27.777777777777779</v>
      </c>
      <c r="D19" s="31"/>
      <c r="E19" s="41"/>
      <c r="F19" s="38"/>
      <c r="G19" s="83">
        <v>18</v>
      </c>
      <c r="H19" s="38"/>
      <c r="I19" s="38"/>
      <c r="J19" s="38"/>
      <c r="K19" s="41" t="s">
        <v>124</v>
      </c>
      <c r="L19" s="38" t="s">
        <v>16</v>
      </c>
      <c r="M19" s="38" t="s">
        <v>247</v>
      </c>
    </row>
    <row r="20" spans="1:13" x14ac:dyDescent="0.25">
      <c r="A20" s="30" t="s">
        <v>32</v>
      </c>
      <c r="B20" s="39"/>
      <c r="C20" s="14"/>
      <c r="D20" s="31"/>
      <c r="E20" s="41"/>
      <c r="F20" s="38"/>
      <c r="G20" s="83">
        <v>19</v>
      </c>
      <c r="H20" s="38"/>
      <c r="I20" s="38"/>
      <c r="J20" s="38"/>
      <c r="K20" s="41" t="s">
        <v>125</v>
      </c>
      <c r="L20" s="38" t="s">
        <v>19</v>
      </c>
      <c r="M20" s="38" t="s">
        <v>247</v>
      </c>
    </row>
    <row r="21" spans="1:13" x14ac:dyDescent="0.25">
      <c r="D21" s="147"/>
      <c r="E21" s="4"/>
      <c r="F21" s="1"/>
      <c r="G21" s="83">
        <v>20</v>
      </c>
      <c r="K21" s="41" t="s">
        <v>126</v>
      </c>
      <c r="L21" s="38" t="s">
        <v>13</v>
      </c>
      <c r="M21" s="38" t="s">
        <v>247</v>
      </c>
    </row>
    <row r="22" spans="1:13" x14ac:dyDescent="0.25">
      <c r="A22" s="4"/>
      <c r="D22" s="3"/>
      <c r="E22" s="4"/>
      <c r="F22" s="1"/>
      <c r="G22" s="83">
        <v>21</v>
      </c>
      <c r="K22" s="41" t="s">
        <v>127</v>
      </c>
      <c r="L22" s="38" t="s">
        <v>19</v>
      </c>
      <c r="M22" s="38" t="s">
        <v>247</v>
      </c>
    </row>
    <row r="23" spans="1:13" x14ac:dyDescent="0.25">
      <c r="A23" s="4"/>
      <c r="D23" s="3"/>
      <c r="E23" s="4"/>
      <c r="F23" s="1"/>
      <c r="G23" s="83">
        <v>22</v>
      </c>
      <c r="K23" s="41" t="s">
        <v>128</v>
      </c>
      <c r="L23" s="38" t="s">
        <v>13</v>
      </c>
      <c r="M23" s="38" t="s">
        <v>248</v>
      </c>
    </row>
    <row r="24" spans="1:13" x14ac:dyDescent="0.25">
      <c r="A24" s="4"/>
      <c r="D24" s="3"/>
      <c r="E24" s="4"/>
      <c r="F24" s="1"/>
      <c r="G24" s="83">
        <v>23</v>
      </c>
      <c r="K24" s="41" t="s">
        <v>129</v>
      </c>
      <c r="L24" s="38" t="s">
        <v>19</v>
      </c>
      <c r="M24" s="38" t="s">
        <v>246</v>
      </c>
    </row>
    <row r="25" spans="1:13" x14ac:dyDescent="0.25">
      <c r="A25" s="4"/>
      <c r="D25" s="3"/>
      <c r="E25" s="4"/>
      <c r="F25" s="1"/>
      <c r="G25" s="83">
        <v>24</v>
      </c>
      <c r="K25" s="41" t="s">
        <v>130</v>
      </c>
      <c r="L25" s="38" t="s">
        <v>19</v>
      </c>
      <c r="M25" s="38" t="s">
        <v>248</v>
      </c>
    </row>
    <row r="26" spans="1:13" x14ac:dyDescent="0.25">
      <c r="A26" s="4"/>
      <c r="D26" s="3"/>
      <c r="E26" s="4"/>
      <c r="F26" s="1"/>
      <c r="G26" s="83">
        <v>25</v>
      </c>
      <c r="K26" s="41" t="s">
        <v>131</v>
      </c>
      <c r="L26" s="38" t="s">
        <v>19</v>
      </c>
      <c r="M26" s="38" t="s">
        <v>248</v>
      </c>
    </row>
    <row r="27" spans="1:13" x14ac:dyDescent="0.25">
      <c r="A27" s="4"/>
      <c r="D27" s="3"/>
      <c r="E27" s="4"/>
      <c r="F27" s="1"/>
      <c r="G27" s="83">
        <v>26</v>
      </c>
      <c r="K27" s="41" t="s">
        <v>132</v>
      </c>
      <c r="L27" s="38" t="s">
        <v>13</v>
      </c>
      <c r="M27" s="38" t="s">
        <v>247</v>
      </c>
    </row>
    <row r="28" spans="1:13" x14ac:dyDescent="0.25">
      <c r="A28" s="4"/>
      <c r="D28" s="3"/>
      <c r="E28" s="4"/>
      <c r="F28" s="1"/>
      <c r="G28" s="83">
        <v>27</v>
      </c>
      <c r="K28" s="41" t="s">
        <v>133</v>
      </c>
      <c r="L28" s="38" t="s">
        <v>19</v>
      </c>
      <c r="M28" s="38" t="s">
        <v>248</v>
      </c>
    </row>
    <row r="29" spans="1:13" x14ac:dyDescent="0.25">
      <c r="A29" s="4"/>
      <c r="D29" s="3"/>
      <c r="E29" s="4"/>
      <c r="F29" s="1"/>
      <c r="G29" s="83">
        <v>28</v>
      </c>
      <c r="K29" s="41" t="s">
        <v>134</v>
      </c>
      <c r="L29" s="38" t="s">
        <v>13</v>
      </c>
      <c r="M29" s="38" t="s">
        <v>247</v>
      </c>
    </row>
    <row r="30" spans="1:13" x14ac:dyDescent="0.25">
      <c r="A30" s="4"/>
      <c r="D30" s="3"/>
      <c r="E30" s="4"/>
      <c r="F30" s="1"/>
      <c r="G30" s="83">
        <v>29</v>
      </c>
      <c r="K30" s="41" t="s">
        <v>135</v>
      </c>
      <c r="L30" s="38" t="s">
        <v>13</v>
      </c>
      <c r="M30" s="38" t="s">
        <v>249</v>
      </c>
    </row>
    <row r="31" spans="1:13" x14ac:dyDescent="0.25">
      <c r="A31" s="4"/>
      <c r="D31" s="3"/>
      <c r="E31" s="4"/>
      <c r="F31" s="1"/>
      <c r="G31" s="83">
        <v>30</v>
      </c>
      <c r="K31" s="41" t="s">
        <v>136</v>
      </c>
      <c r="L31" s="38" t="s">
        <v>16</v>
      </c>
      <c r="M31" s="38" t="s">
        <v>247</v>
      </c>
    </row>
    <row r="32" spans="1:13" x14ac:dyDescent="0.25">
      <c r="A32" s="4"/>
      <c r="D32" s="3"/>
      <c r="E32" s="4"/>
      <c r="G32" s="83">
        <v>31</v>
      </c>
      <c r="K32" s="41" t="s">
        <v>137</v>
      </c>
      <c r="L32" s="38" t="s">
        <v>13</v>
      </c>
      <c r="M32" s="38" t="s">
        <v>248</v>
      </c>
    </row>
    <row r="33" spans="1:13" x14ac:dyDescent="0.25">
      <c r="A33" s="4"/>
      <c r="D33" s="3"/>
      <c r="E33" s="4"/>
      <c r="K33" s="41" t="s">
        <v>138</v>
      </c>
      <c r="L33" s="38" t="s">
        <v>16</v>
      </c>
      <c r="M33" s="38" t="s">
        <v>248</v>
      </c>
    </row>
    <row r="34" spans="1:13" x14ac:dyDescent="0.25">
      <c r="A34" s="4"/>
      <c r="D34" s="3"/>
      <c r="E34" s="4"/>
      <c r="K34" s="41" t="s">
        <v>139</v>
      </c>
      <c r="L34" s="38" t="s">
        <v>19</v>
      </c>
      <c r="M34" s="38" t="s">
        <v>246</v>
      </c>
    </row>
    <row r="35" spans="1:13" x14ac:dyDescent="0.25">
      <c r="A35" s="4"/>
      <c r="D35" s="3"/>
      <c r="E35" s="4"/>
      <c r="K35" s="41" t="s">
        <v>140</v>
      </c>
      <c r="L35" s="38" t="s">
        <v>19</v>
      </c>
      <c r="M35" s="38" t="s">
        <v>249</v>
      </c>
    </row>
    <row r="36" spans="1:13" x14ac:dyDescent="0.25">
      <c r="A36" s="4"/>
      <c r="D36" s="3"/>
      <c r="E36" s="4"/>
      <c r="K36" s="41" t="s">
        <v>141</v>
      </c>
      <c r="L36" s="38" t="s">
        <v>16</v>
      </c>
      <c r="M36" s="38" t="s">
        <v>249</v>
      </c>
    </row>
    <row r="37" spans="1:13" x14ac:dyDescent="0.25">
      <c r="A37" s="4"/>
      <c r="D37" s="3"/>
      <c r="E37" s="4"/>
      <c r="K37" s="41" t="s">
        <v>142</v>
      </c>
      <c r="L37" s="38" t="s">
        <v>19</v>
      </c>
      <c r="M37" s="38" t="s">
        <v>248</v>
      </c>
    </row>
    <row r="38" spans="1:13" x14ac:dyDescent="0.25">
      <c r="A38" s="4"/>
      <c r="D38" s="3"/>
      <c r="E38" s="4"/>
      <c r="K38" s="41" t="s">
        <v>143</v>
      </c>
      <c r="L38" s="38" t="s">
        <v>19</v>
      </c>
      <c r="M38" s="38" t="s">
        <v>248</v>
      </c>
    </row>
    <row r="39" spans="1:13" x14ac:dyDescent="0.25">
      <c r="A39" s="4"/>
      <c r="D39" s="3"/>
      <c r="E39" s="4"/>
      <c r="K39" s="157"/>
      <c r="L39" s="38"/>
      <c r="M39" s="38"/>
    </row>
    <row r="40" spans="1:13" x14ac:dyDescent="0.25">
      <c r="A40" s="4"/>
      <c r="D40" s="3"/>
      <c r="E40" s="4"/>
      <c r="K40" s="157"/>
      <c r="L40" s="38"/>
      <c r="M40" s="38"/>
    </row>
    <row r="41" spans="1:13" x14ac:dyDescent="0.25">
      <c r="A41" s="4"/>
      <c r="D41" s="3"/>
      <c r="E41" s="4"/>
      <c r="K41" s="157"/>
      <c r="L41" s="38"/>
      <c r="M41" s="38"/>
    </row>
    <row r="42" spans="1:13" x14ac:dyDescent="0.25">
      <c r="A42" s="4"/>
      <c r="D42" s="3"/>
      <c r="E42" s="4"/>
      <c r="K42" s="157"/>
      <c r="L42" s="38"/>
      <c r="M42" s="38"/>
    </row>
    <row r="43" spans="1:13" x14ac:dyDescent="0.25">
      <c r="A43" s="4"/>
      <c r="D43" s="3"/>
      <c r="E43" s="4"/>
      <c r="K43" s="157"/>
      <c r="L43" s="38"/>
      <c r="M43" s="38"/>
    </row>
    <row r="44" spans="1:13" x14ac:dyDescent="0.25">
      <c r="A44" s="4"/>
      <c r="D44" s="3"/>
      <c r="E44" s="4"/>
      <c r="K44" s="157"/>
      <c r="L44" s="38"/>
      <c r="M44" s="38"/>
    </row>
    <row r="45" spans="1:13" x14ac:dyDescent="0.25">
      <c r="A45" s="4"/>
      <c r="D45" s="3"/>
      <c r="E45" s="4"/>
      <c r="K45" s="157"/>
      <c r="L45" s="38"/>
      <c r="M45" s="38"/>
    </row>
    <row r="46" spans="1:13" x14ac:dyDescent="0.25">
      <c r="A46" s="4"/>
      <c r="D46" s="3"/>
      <c r="E46" s="4"/>
      <c r="K46" s="157"/>
      <c r="L46" s="38"/>
      <c r="M46" s="38"/>
    </row>
    <row r="47" spans="1:13" x14ac:dyDescent="0.25">
      <c r="A47" s="4"/>
      <c r="D47" s="3"/>
      <c r="E47" s="4"/>
      <c r="K47" s="157"/>
      <c r="L47" s="38"/>
      <c r="M47" s="38"/>
    </row>
    <row r="48" spans="1:13" x14ac:dyDescent="0.25">
      <c r="A48" s="4"/>
      <c r="D48" s="3"/>
      <c r="E48" s="4"/>
      <c r="K48" s="157"/>
      <c r="L48" s="38"/>
      <c r="M48" s="38"/>
    </row>
    <row r="49" spans="1:13" x14ac:dyDescent="0.25">
      <c r="A49" s="4"/>
      <c r="D49" s="3"/>
      <c r="E49" s="4"/>
      <c r="K49" s="157"/>
      <c r="L49" s="38"/>
      <c r="M49" s="38"/>
    </row>
    <row r="50" spans="1:13" x14ac:dyDescent="0.25">
      <c r="A50" s="4"/>
      <c r="D50" s="3"/>
      <c r="E50" s="4"/>
      <c r="K50" s="157"/>
      <c r="L50" s="38"/>
      <c r="M50" s="38"/>
    </row>
    <row r="51" spans="1:13" x14ac:dyDescent="0.25">
      <c r="A51" s="4"/>
      <c r="D51" s="3"/>
      <c r="E51" s="4"/>
      <c r="K51" s="157"/>
      <c r="L51" s="38"/>
      <c r="M51" s="38"/>
    </row>
    <row r="52" spans="1:13" x14ac:dyDescent="0.25">
      <c r="A52" s="4"/>
      <c r="D52" s="3"/>
      <c r="E52" s="4"/>
      <c r="K52" s="157"/>
      <c r="L52" s="38"/>
      <c r="M52" s="38"/>
    </row>
    <row r="53" spans="1:13" x14ac:dyDescent="0.25">
      <c r="A53" s="4"/>
      <c r="D53" s="3"/>
      <c r="E53" s="4"/>
      <c r="K53" s="157"/>
      <c r="L53" s="38"/>
      <c r="M53" s="38"/>
    </row>
    <row r="54" spans="1:13" x14ac:dyDescent="0.25">
      <c r="A54" s="4"/>
      <c r="D54" s="3"/>
      <c r="E54" s="4"/>
      <c r="K54" s="157"/>
      <c r="L54" s="38"/>
      <c r="M54" s="38"/>
    </row>
    <row r="55" spans="1:13" x14ac:dyDescent="0.25">
      <c r="A55" s="4"/>
      <c r="D55" s="3"/>
      <c r="E55" s="4"/>
      <c r="K55" s="157"/>
      <c r="L55" s="38"/>
      <c r="M55" s="38"/>
    </row>
    <row r="56" spans="1:13" x14ac:dyDescent="0.25">
      <c r="A56" s="4"/>
      <c r="D56" s="3"/>
      <c r="E56" s="4"/>
      <c r="K56" s="157"/>
      <c r="L56" s="38"/>
      <c r="M56" s="38"/>
    </row>
    <row r="57" spans="1:13" x14ac:dyDescent="0.25">
      <c r="A57" s="4"/>
      <c r="D57" s="3"/>
      <c r="E57" s="4"/>
      <c r="K57" s="157"/>
      <c r="L57" s="38"/>
      <c r="M57" s="38"/>
    </row>
    <row r="58" spans="1:13" x14ac:dyDescent="0.25">
      <c r="A58" s="4"/>
      <c r="D58" s="3"/>
      <c r="E58" s="4"/>
      <c r="K58" s="157"/>
      <c r="L58" s="38"/>
      <c r="M58" s="38"/>
    </row>
    <row r="59" spans="1:13" x14ac:dyDescent="0.25">
      <c r="A59" s="4"/>
      <c r="D59" s="3"/>
      <c r="E59" s="4"/>
      <c r="K59" s="157"/>
      <c r="L59" s="38"/>
      <c r="M59" s="38"/>
    </row>
    <row r="60" spans="1:13" x14ac:dyDescent="0.25">
      <c r="A60" s="4"/>
      <c r="D60" s="3"/>
      <c r="E60" s="4"/>
      <c r="K60" s="157"/>
      <c r="L60" s="38"/>
      <c r="M60" s="38"/>
    </row>
    <row r="61" spans="1:13" x14ac:dyDescent="0.25">
      <c r="A61" s="4"/>
      <c r="D61" s="3"/>
      <c r="E61" s="4"/>
      <c r="K61" s="157"/>
      <c r="L61" s="38"/>
      <c r="M61" s="38"/>
    </row>
    <row r="62" spans="1:13" x14ac:dyDescent="0.25">
      <c r="A62" s="4"/>
      <c r="D62" s="3"/>
      <c r="E62" s="4"/>
      <c r="K62" s="157"/>
      <c r="L62" s="38"/>
      <c r="M62" s="38"/>
    </row>
    <row r="63" spans="1:13" x14ac:dyDescent="0.25">
      <c r="A63" s="4"/>
      <c r="D63" s="3"/>
      <c r="E63" s="4"/>
      <c r="K63" s="157"/>
      <c r="L63" s="38"/>
      <c r="M63" s="38"/>
    </row>
    <row r="64" spans="1:13" x14ac:dyDescent="0.25">
      <c r="A64" s="4"/>
      <c r="D64" s="3"/>
      <c r="E64" s="4"/>
      <c r="K64" s="157"/>
      <c r="L64" s="38"/>
      <c r="M64" s="38"/>
    </row>
    <row r="65" spans="1:13" x14ac:dyDescent="0.25">
      <c r="A65" s="4"/>
      <c r="E65" s="4"/>
      <c r="K65" s="157"/>
      <c r="L65" s="38"/>
      <c r="M65" s="38"/>
    </row>
    <row r="66" spans="1:13" x14ac:dyDescent="0.25">
      <c r="A66" s="4"/>
      <c r="E66" s="4"/>
      <c r="K66" s="157"/>
      <c r="L66" s="38"/>
      <c r="M66" s="38"/>
    </row>
    <row r="67" spans="1:13" x14ac:dyDescent="0.25">
      <c r="A67" s="4"/>
      <c r="E67" s="4"/>
      <c r="K67" s="157"/>
      <c r="L67" s="38"/>
      <c r="M67" s="38"/>
    </row>
    <row r="68" spans="1:13" x14ac:dyDescent="0.25">
      <c r="A68" s="4"/>
      <c r="E68" s="4"/>
      <c r="K68" s="157"/>
      <c r="L68" s="38"/>
      <c r="M68" s="38"/>
    </row>
    <row r="69" spans="1:13" x14ac:dyDescent="0.25">
      <c r="A69" s="4"/>
      <c r="E69" s="4"/>
    </row>
    <row r="70" spans="1:13" x14ac:dyDescent="0.25">
      <c r="A70" s="4"/>
      <c r="E70" s="4"/>
    </row>
    <row r="71" spans="1:13" x14ac:dyDescent="0.25">
      <c r="A71" s="4"/>
      <c r="E71" s="4"/>
    </row>
    <row r="72" spans="1:13" x14ac:dyDescent="0.25">
      <c r="A72" s="4"/>
      <c r="E72" s="4"/>
    </row>
    <row r="73" spans="1:13" x14ac:dyDescent="0.25">
      <c r="A73" s="4"/>
      <c r="E73" s="4"/>
    </row>
    <row r="74" spans="1:13" x14ac:dyDescent="0.25">
      <c r="A74" s="4"/>
      <c r="E74" s="4"/>
    </row>
    <row r="75" spans="1:13" x14ac:dyDescent="0.25">
      <c r="A75" s="4"/>
      <c r="E75" s="4"/>
    </row>
    <row r="76" spans="1:13" x14ac:dyDescent="0.25">
      <c r="A76" s="4"/>
      <c r="E76" s="4"/>
    </row>
    <row r="77" spans="1:13" x14ac:dyDescent="0.25">
      <c r="A77" s="4"/>
      <c r="E77" s="4"/>
    </row>
    <row r="78" spans="1:13" x14ac:dyDescent="0.25">
      <c r="A78" s="4"/>
      <c r="E78" s="4"/>
    </row>
    <row r="79" spans="1:13" x14ac:dyDescent="0.25">
      <c r="A79" s="4"/>
      <c r="E79" s="4"/>
    </row>
    <row r="80" spans="1:13" x14ac:dyDescent="0.25">
      <c r="A80" s="4"/>
      <c r="E80" s="4"/>
    </row>
    <row r="81" spans="1:5" x14ac:dyDescent="0.25">
      <c r="A81" s="4"/>
      <c r="E81" s="4"/>
    </row>
    <row r="82" spans="1:5" x14ac:dyDescent="0.25">
      <c r="A82" s="4"/>
      <c r="E82" s="4"/>
    </row>
    <row r="83" spans="1:5" x14ac:dyDescent="0.25">
      <c r="A83" s="4"/>
      <c r="E83" s="4"/>
    </row>
    <row r="84" spans="1:5" x14ac:dyDescent="0.25">
      <c r="A84" s="4"/>
      <c r="E84" s="4"/>
    </row>
    <row r="85" spans="1:5" x14ac:dyDescent="0.25">
      <c r="A85" s="4"/>
      <c r="E85" s="4"/>
    </row>
    <row r="86" spans="1:5" x14ac:dyDescent="0.25">
      <c r="A86" s="4"/>
      <c r="E86" s="4"/>
    </row>
    <row r="87" spans="1:5" x14ac:dyDescent="0.25">
      <c r="A87" s="4"/>
      <c r="E87" s="4"/>
    </row>
  </sheetData>
  <sheetProtection algorithmName="SHA-512" hashValue="1/rxf2sdVISPYDxXBuFCKYf0r7pqmIIqPnb6wL1yga408H1EWivC6R5q/FD+ATxEvJSfE6qlWTCtHIEkfa2WVw==" saltValue="DXThH+q16z/2WV022R30CQ==" spinCount="100000" sheet="1" objects="1" scenarios="1"/>
  <sortState ref="N2:N5">
    <sortCondition ref="N2"/>
  </sortState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5"/>
  <sheetViews>
    <sheetView workbookViewId="0">
      <selection activeCell="D10" sqref="D10"/>
    </sheetView>
  </sheetViews>
  <sheetFormatPr baseColWidth="10" defaultRowHeight="15" x14ac:dyDescent="0.25"/>
  <cols>
    <col min="1" max="1" width="16.85546875" style="127" customWidth="1"/>
    <col min="2" max="2" width="36" style="127" customWidth="1"/>
    <col min="3" max="3" width="11.42578125" style="127"/>
    <col min="4" max="4" width="107.5703125" customWidth="1"/>
  </cols>
  <sheetData>
    <row r="1" spans="1:4" x14ac:dyDescent="0.25">
      <c r="A1" s="136" t="s">
        <v>221</v>
      </c>
      <c r="B1" s="136" t="s">
        <v>222</v>
      </c>
      <c r="C1" s="136" t="s">
        <v>224</v>
      </c>
      <c r="D1" s="135" t="s">
        <v>226</v>
      </c>
    </row>
    <row r="2" spans="1:4" x14ac:dyDescent="0.25">
      <c r="A2" s="128">
        <v>43941</v>
      </c>
      <c r="B2" s="129" t="s">
        <v>223</v>
      </c>
      <c r="C2" s="39">
        <v>0.6</v>
      </c>
      <c r="D2" s="38" t="s">
        <v>227</v>
      </c>
    </row>
    <row r="3" spans="1:4" x14ac:dyDescent="0.25">
      <c r="A3" s="128">
        <v>43948</v>
      </c>
      <c r="B3" s="129" t="s">
        <v>228</v>
      </c>
      <c r="C3" s="39">
        <v>0.7</v>
      </c>
      <c r="D3" s="38" t="s">
        <v>230</v>
      </c>
    </row>
    <row r="4" spans="1:4" x14ac:dyDescent="0.25">
      <c r="A4" s="128">
        <v>43948</v>
      </c>
      <c r="B4" s="129" t="s">
        <v>229</v>
      </c>
      <c r="C4" s="39">
        <v>0.5</v>
      </c>
      <c r="D4" s="38" t="s">
        <v>230</v>
      </c>
    </row>
    <row r="5" spans="1:4" x14ac:dyDescent="0.25">
      <c r="A5" s="128">
        <v>43948</v>
      </c>
      <c r="B5" s="129" t="s">
        <v>231</v>
      </c>
      <c r="C5" s="129"/>
      <c r="D5" s="137" t="s">
        <v>232</v>
      </c>
    </row>
  </sheetData>
  <sheetProtection algorithmName="SHA-512" hashValue="8aSbI8BeQHqS8dLwp1ASkYQxY3jkbSy7dkt1M0SFTdVK8P8RYYXQ5v8zb8Kl+Vr2psN9O9ur+OxnxfBM+Fabdg==" saltValue="TYv4IPwNaCxZkzuY+9a+ag==" spinCount="100000" sheet="1" objects="1" scenarios="1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DF5851-0859-4992-8A43-6CB7C5A038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Formulaire</vt:lpstr>
      <vt:lpstr>Rapport</vt:lpstr>
      <vt:lpstr>BD Prod</vt:lpstr>
      <vt:lpstr>BD Expédition</vt:lpstr>
      <vt:lpstr>TRO</vt:lpstr>
      <vt:lpstr>Liste</vt:lpstr>
      <vt:lpstr>Révision</vt:lpstr>
      <vt:lpstr>_21_C1</vt:lpstr>
      <vt:lpstr>_22_C8</vt:lpstr>
      <vt:lpstr>Bouchons</vt:lpstr>
      <vt:lpstr>CadenceMin</vt:lpstr>
      <vt:lpstr>Granulateur</vt:lpstr>
      <vt:lpstr>Machine</vt:lpstr>
      <vt:lpstr>Operateur</vt:lpstr>
      <vt:lpstr>Purge_32_C7</vt:lpstr>
      <vt:lpstr>Quart</vt:lpstr>
      <vt:lpstr>Sleeve_32_C7</vt:lpstr>
      <vt:lpstr>StandardProd</vt:lpstr>
      <vt:lpstr>Superviseur</vt:lpstr>
      <vt:lpstr>Tube_Imprimés</vt:lpstr>
      <vt:lpstr>TypeArret</vt:lpstr>
      <vt:lpstr>Rapport!Zone_d_impression</vt:lpstr>
    </vt:vector>
  </TitlesOfParts>
  <Company>Plastube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Poirier</dc:creator>
  <cp:lastModifiedBy>Maxime Poirier</cp:lastModifiedBy>
  <cp:lastPrinted>2020-04-29T19:34:32Z</cp:lastPrinted>
  <dcterms:created xsi:type="dcterms:W3CDTF">2020-04-09T14:53:55Z</dcterms:created>
  <dcterms:modified xsi:type="dcterms:W3CDTF">2020-04-30T21:45:37Z</dcterms:modified>
</cp:coreProperties>
</file>