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codeName="ThisWorkbook" hidePivotFieldList="1"/>
  <mc:AlternateContent xmlns:mc="http://schemas.openxmlformats.org/markup-compatibility/2006">
    <mc:Choice Requires="x15">
      <x15ac:absPath xmlns:x15ac="http://schemas.microsoft.com/office/spreadsheetml/2010/11/ac" url="C:\Users\Cayole\Desktop\"/>
    </mc:Choice>
  </mc:AlternateContent>
  <xr:revisionPtr revIDLastSave="0" documentId="13_ncr:1_{7F4FF075-7A6C-4B17-86D6-B1B1CA130B9E}" xr6:coauthVersionLast="45" xr6:coauthVersionMax="45" xr10:uidLastSave="{00000000-0000-0000-0000-000000000000}"/>
  <bookViews>
    <workbookView xWindow="-108" yWindow="-108" windowWidth="23256" windowHeight="12576" tabRatio="686" firstSheet="7" activeTab="13" xr2:uid="{00000000-000D-0000-FFFF-FFFF00000000}"/>
  </bookViews>
  <sheets>
    <sheet name="Feuil1" sheetId="26" r:id="rId1"/>
    <sheet name="Janvier" sheetId="4" r:id="rId2"/>
    <sheet name="Février" sheetId="5" r:id="rId3"/>
    <sheet name="Mars" sheetId="17" r:id="rId4"/>
    <sheet name="Avril" sheetId="18" r:id="rId5"/>
    <sheet name="Mai" sheetId="19" r:id="rId6"/>
    <sheet name="Juin" sheetId="20" r:id="rId7"/>
    <sheet name="Juillet" sheetId="21" r:id="rId8"/>
    <sheet name="Août" sheetId="22" r:id="rId9"/>
    <sheet name="Septembre" sheetId="23" r:id="rId10"/>
    <sheet name="Octobre" sheetId="24" r:id="rId11"/>
    <sheet name="Novembre" sheetId="25" r:id="rId12"/>
    <sheet name="Décembre" sheetId="15" r:id="rId13"/>
    <sheet name="Noms des employés" sheetId="16" r:id="rId14"/>
  </sheets>
  <definedNames>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8">Août!$4:$6</definedName>
    <definedName name="_xlnm.Print_Titles" localSheetId="4">Avril!$4:$6</definedName>
    <definedName name="_xlnm.Print_Titles" localSheetId="12">Décembre!$4:$6</definedName>
    <definedName name="_xlnm.Print_Titles" localSheetId="2">Février!$4:$6</definedName>
    <definedName name="_xlnm.Print_Titles" localSheetId="1">Janvier!$4:$6</definedName>
    <definedName name="_xlnm.Print_Titles" localSheetId="7">Juillet!$4:$6</definedName>
    <definedName name="_xlnm.Print_Titles" localSheetId="6">Juin!$4:$6</definedName>
    <definedName name="_xlnm.Print_Titles" localSheetId="5">Mai!$4:$6</definedName>
    <definedName name="_xlnm.Print_Titles" localSheetId="3">Mars!$4:$6</definedName>
    <definedName name="_xlnm.Print_Titles" localSheetId="11">Novembre!$4:$6</definedName>
    <definedName name="_xlnm.Print_Titles" localSheetId="10">Octobre!$4:$6</definedName>
    <definedName name="_xlnm.Print_Titles" localSheetId="9">Septembre!$4:$6</definedName>
    <definedName name="Nom_clé">Janvier!$B$2</definedName>
    <definedName name="NomMois" localSheetId="8">Août!$B$4</definedName>
    <definedName name="NomMois" localSheetId="4">Avril!$B$4</definedName>
    <definedName name="NomMois" localSheetId="12">Décembre!$B$4</definedName>
    <definedName name="NomMois" localSheetId="2">Février!$B$4</definedName>
    <definedName name="NomMois" localSheetId="1">Janvier!$B$4</definedName>
    <definedName name="NomMois" localSheetId="7">Juillet!$B$4</definedName>
    <definedName name="NomMois" localSheetId="6">Juin!$B$4</definedName>
    <definedName name="NomMois" localSheetId="5">Mai!$B$4</definedName>
    <definedName name="NomMois" localSheetId="3">Mars!$B$4</definedName>
    <definedName name="NomMois" localSheetId="11">Novembre!$B$4</definedName>
    <definedName name="NomMois" localSheetId="10">Octobre!$B$4</definedName>
    <definedName name="NomMois" localSheetId="9">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81029"/>
  <pivotCaches>
    <pivotCache cacheId="0" r:id="rId15"/>
  </pivotCache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27" i="4" l="1"/>
  <c r="D27" i="4"/>
  <c r="E27" i="4"/>
  <c r="F27" i="4"/>
  <c r="G27" i="4"/>
  <c r="H27" i="4"/>
  <c r="I27" i="4"/>
  <c r="J27" i="4"/>
  <c r="K27" i="4"/>
  <c r="L27" i="4"/>
  <c r="M27" i="4"/>
  <c r="N27" i="4"/>
  <c r="O27" i="4"/>
  <c r="P27" i="4"/>
  <c r="Q27" i="4"/>
  <c r="R27" i="4"/>
  <c r="S27" i="4"/>
  <c r="T27" i="4"/>
  <c r="U27" i="4"/>
  <c r="V27" i="4"/>
  <c r="W27" i="4"/>
  <c r="X27" i="4"/>
  <c r="Y27" i="4"/>
  <c r="Z27" i="4"/>
  <c r="AA27" i="4"/>
  <c r="AB27" i="4"/>
  <c r="AC27" i="4"/>
  <c r="AD27" i="4"/>
  <c r="AE27" i="4"/>
  <c r="AF27" i="4"/>
  <c r="AG27" i="4"/>
  <c r="AH20" i="4"/>
  <c r="AH21" i="4"/>
  <c r="AH22" i="4"/>
  <c r="AH23" i="4"/>
  <c r="AH24" i="4"/>
  <c r="AH25" i="4"/>
  <c r="AH26" i="4"/>
  <c r="AH16" i="4"/>
  <c r="AH17" i="4"/>
  <c r="AH18" i="4"/>
  <c r="AH19" i="4"/>
  <c r="AH12" i="4"/>
  <c r="AH13" i="4"/>
  <c r="AH14" i="4"/>
  <c r="AH15" i="4"/>
  <c r="AH12" i="21" l="1"/>
  <c r="AH13" i="21"/>
  <c r="B1" i="15" l="1"/>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4" i="21"/>
  <c r="AG14" i="21"/>
  <c r="AF12" i="20"/>
  <c r="AG12" i="20"/>
  <c r="AF12" i="19"/>
  <c r="AG12" i="19"/>
  <c r="AG12" i="18"/>
  <c r="AF12" i="18"/>
  <c r="AF12" i="17"/>
  <c r="AG12" i="17"/>
  <c r="AH9" i="4" l="1"/>
  <c r="AH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B14" i="21"/>
  <c r="AH11" i="21"/>
  <c r="AH10" i="21"/>
  <c r="AH9" i="21"/>
  <c r="AH8" i="21"/>
  <c r="AH7"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5"/>
  <c r="AH12" i="17" l="1"/>
  <c r="AH14" i="21"/>
  <c r="AH12" i="22"/>
  <c r="AH12" i="25"/>
  <c r="AH12" i="20"/>
  <c r="AH12" i="19"/>
  <c r="AH12" i="24"/>
  <c r="AH4" i="5" l="1"/>
  <c r="AH4" i="15" l="1"/>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27" i="4"/>
  <c r="AH11" i="5" l="1"/>
  <c r="AH10" i="5"/>
  <c r="AH9" i="5"/>
  <c r="AH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7" i="4"/>
  <c r="AH8" i="4"/>
  <c r="AH27" i="4" l="1"/>
</calcChain>
</file>

<file path=xl/sharedStrings.xml><?xml version="1.0" encoding="utf-8"?>
<sst xmlns="http://schemas.openxmlformats.org/spreadsheetml/2006/main" count="700" uniqueCount="103">
  <si>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</si>
  <si>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</si>
  <si>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</si>
  <si>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</si>
  <si>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</si>
  <si>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</si>
  <si>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</si>
  <si>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</si>
  <si>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</si>
  <si>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</si>
  <si>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</si>
  <si>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</si>
  <si>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</si>
  <si>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</si>
  <si>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</si>
  <si>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</si>
  <si>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</si>
  <si>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</si>
  <si>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</si>
  <si>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</si>
  <si>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</si>
  <si>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</si>
  <si>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</si>
  <si>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</si>
  <si>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</si>
  <si>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</si>
  <si>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</si>
  <si>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</si>
  <si>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</si>
  <si>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</si>
  <si>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</si>
  <si>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</si>
  <si>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</si>
  <si>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</si>
  <si>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</si>
  <si>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</si>
  <si>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</si>
  <si>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</si>
  <si>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</si>
  <si>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</si>
  <si>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</si>
  <si>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</si>
  <si>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</si>
  <si>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</si>
  <si>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</si>
  <si>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</si>
  <si>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</si>
  <si>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</si>
  <si>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</si>
  <si>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</si>
  <si>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</si>
  <si>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</si>
  <si>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</si>
  <si>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</si>
  <si>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</si>
  <si>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</si>
  <si>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</si>
  <si>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</si>
  <si>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</si>
  <si>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</si>
  <si>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</si>
  <si>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</si>
  <si>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</si>
  <si>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</si>
  <si>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</si>
  <si>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Valérie ASTESANO</t>
  </si>
  <si>
    <t>Frédéric BRUSCHI</t>
  </si>
  <si>
    <t>Stéphanie LE LOUARN</t>
  </si>
  <si>
    <t>Magali MARTIN</t>
  </si>
  <si>
    <t>Marjorie LEVY</t>
  </si>
  <si>
    <t>Florence FARCY</t>
  </si>
  <si>
    <t>Valérie CROSTA</t>
  </si>
  <si>
    <t>Véronique PARIS</t>
  </si>
  <si>
    <t>Nathalie LAURENT</t>
  </si>
  <si>
    <t>Marie-Liesse GIORGI</t>
  </si>
  <si>
    <t>Jean-Luc MARQUET</t>
  </si>
  <si>
    <t>Bernadette GONGORA</t>
  </si>
  <si>
    <t>Fathia SAHLI</t>
  </si>
  <si>
    <t>Christine RAITERI</t>
  </si>
  <si>
    <t>R</t>
  </si>
  <si>
    <t>Récupération</t>
  </si>
  <si>
    <t>ASA</t>
  </si>
  <si>
    <t>F</t>
  </si>
  <si>
    <t>Formation</t>
  </si>
  <si>
    <t>Jérome GOMEZ</t>
  </si>
  <si>
    <t>Étiquettes de lignes</t>
  </si>
  <si>
    <t>Total général</t>
  </si>
  <si>
    <t>(vide)</t>
  </si>
  <si>
    <t>Employé 6</t>
  </si>
  <si>
    <t>Employé 7</t>
  </si>
  <si>
    <t>Employé 8</t>
  </si>
  <si>
    <t>Employé 9</t>
  </si>
  <si>
    <t>Employé 10</t>
  </si>
  <si>
    <t>Employé 11</t>
  </si>
  <si>
    <t>Employé 12</t>
  </si>
  <si>
    <t>Employé 13</t>
  </si>
  <si>
    <t>Employé 14</t>
  </si>
  <si>
    <t>Employé 15</t>
  </si>
  <si>
    <t>Employé 16</t>
  </si>
  <si>
    <t>Employé 17</t>
  </si>
  <si>
    <t>Employé 18</t>
  </si>
  <si>
    <t>Employé 19</t>
  </si>
  <si>
    <t>Employé 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</si>
</sst>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1">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1" fillId="0" borderId="0" xfId="26" applyNumberFormat="1" applyFill="1" applyProtection="1">
      <alignment horizontal="left" vertical="center" wrapText="1" indent="2"/>
    </xf>
    <xf numFmtId="0" fontId="0" fillId="0" borderId="0" xfId="26" applyFont="1">
      <alignment horizontal="left" vertical="center" wrapText="1" indent="2"/>
    </xf>
    <xf numFmtId="0" fontId="0" fillId="0" borderId="0" xfId="0" pivotButton="1">
      <alignment horizontal="left" vertical="center"/>
    </xf>
    <xf numFmtId="0" fontId="0" fillId="0" borderId="0" xfId="0" applyAlignment="1">
      <alignment horizontal="left" vertical="center"/>
    </xf>
    <xf numFmtId="0" fontId="0" fillId="0" borderId="0" xfId="0" applyAlignment="1">
      <alignment horizontal="left" vertical="center" indent="1"/>
    </xf>
    <xf numFmtId="0" fontId="5" fillId="2" borderId="0" xfId="3" applyProtection="1">
      <alignment horizontal="center"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3">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2"/>
      <tableStyleElement type="headerRow" dxfId="901"/>
      <tableStyleElement type="totalRow" dxfId="900"/>
      <tableStyleElement type="firstColumn" dxfId="899"/>
      <tableStyleElement type="lastColumn" dxfId="898"/>
      <tableStyleElement type="firstRowStripe" dxfId="897"/>
      <tableStyleElement type="secondRowStripe" dxfId="896"/>
      <tableStyleElement type="firstColumnStripe" dxfId="895"/>
      <tableStyleElement type="secondColumnStripe" dxfId="894"/>
      <tableStyleElement type="firstHeaderCell" dxfId="893"/>
      <tableStyleElement type="lastHeaderCell" dxfId="892"/>
      <tableStyleElement type="firstTotalCell" dxfId="891"/>
      <tableStyleElement type="lastTotalCell" dxfId="89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List" dx="26" noThreeD="1" sel="0"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152400</xdr:colOff>
          <xdr:row>21</xdr:row>
          <xdr:rowOff>76200</xdr:rowOff>
        </xdr:from>
        <xdr:to>
          <xdr:col>10</xdr:col>
          <xdr:colOff>106680</xdr:colOff>
          <xdr:row>23</xdr:row>
          <xdr:rowOff>251460</xdr:rowOff>
        </xdr:to>
        <xdr:sp macro="" textlink="">
          <xdr:nvSpPr>
            <xdr:cNvPr id="3076" name="List Box 4" hidden="1">
              <a:extLst>
                <a:ext uri="{63B3BB69-23CF-44E3-9099-C40C66FF867C}">
                  <a14:compatExt spid="_x0000_s3076"/>
                </a:ext>
                <a:ext uri="{FF2B5EF4-FFF2-40B4-BE49-F238E27FC236}">
                  <a16:creationId xmlns:a16="http://schemas.microsoft.com/office/drawing/2014/main" id="{00000000-0008-0000-07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yole" refreshedDate="43943.527964814813" createdVersion="6" refreshedVersion="6" minRefreshableVersion="3" recordCount="20" xr:uid="{B5AAFB6E-D9A6-4258-94A5-9B52BDCDA96F}">
  <cacheSource type="worksheet">
    <worksheetSource name="Janvier"/>
  </cacheSource>
  <cacheFields count="33">
    <cacheField name="Nom de l’employé" numFmtId="0">
      <sharedItems count="20">
        <s v="Employé 1"/>
        <s v="Employé 2"/>
        <s v="Employé 3"/>
        <s v="Employé 4"/>
        <s v="Employé 5"/>
        <s v="Employé 6"/>
        <s v="Employé 7"/>
        <s v="Employé 8"/>
        <s v="Employé 9"/>
        <s v="Employé 10"/>
        <s v="Employé 11"/>
        <s v="Employé 12"/>
        <s v="Employé 13"/>
        <s v="Employé 14"/>
        <s v="Employé 15"/>
        <s v="Employé 16"/>
        <s v="Employé 17"/>
        <s v="Employé 18"/>
        <s v="Employé 19"/>
        <s v="Employé 20"/>
      </sharedItems>
    </cacheField>
    <cacheField name="1" numFmtId="0">
      <sharedItems containsNonDate="0" containsString="0" containsBlank="1" count="1">
        <m/>
      </sharedItems>
    </cacheField>
    <cacheField name="2" numFmtId="0">
      <sharedItems containsNonDate="0" containsString="0" containsBlank="1"/>
    </cacheField>
    <cacheField name="3" numFmtId="0">
      <sharedItems containsNonDate="0" containsString="0" containsBlank="1"/>
    </cacheField>
    <cacheField name="4" numFmtId="0">
      <sharedItems containsNonDate="0" containsString="0" containsBlank="1"/>
    </cacheField>
    <cacheField name="5" numFmtId="0">
      <sharedItems containsNonDate="0" containsString="0" containsBlank="1"/>
    </cacheField>
    <cacheField name="6" numFmtId="0">
      <sharedItems containsNonDate="0" containsString="0" containsBlank="1"/>
    </cacheField>
    <cacheField name="7" numFmtId="0">
      <sharedItems containsNonDate="0" containsString="0" containsBlank="1"/>
    </cacheField>
    <cacheField name="8" numFmtId="0">
      <sharedItems containsNonDate="0" containsString="0" containsBlank="1"/>
    </cacheField>
    <cacheField name="9" numFmtId="0">
      <sharedItems containsNonDate="0" containsString="0" containsBlank="1"/>
    </cacheField>
    <cacheField name="10" numFmtId="0">
      <sharedItems containsNonDate="0" containsString="0" containsBlank="1"/>
    </cacheField>
    <cacheField name="11" numFmtId="0">
      <sharedItems containsNonDate="0" containsString="0" containsBlank="1"/>
    </cacheField>
    <cacheField name="12" numFmtId="0">
      <sharedItems containsNonDate="0" containsString="0" containsBlank="1"/>
    </cacheField>
    <cacheField name="13" numFmtId="0">
      <sharedItems containsNonDate="0" containsString="0" containsBlank="1"/>
    </cacheField>
    <cacheField name="14" numFmtId="0">
      <sharedItems containsNonDate="0" containsString="0" containsBlank="1"/>
    </cacheField>
    <cacheField name="15" numFmtId="0">
      <sharedItems containsNonDate="0" containsString="0" containsBlank="1"/>
    </cacheField>
    <cacheField name="16" numFmtId="0">
      <sharedItems containsNonDate="0" containsString="0" containsBlank="1"/>
    </cacheField>
    <cacheField name="17" numFmtId="0">
      <sharedItems containsNonDate="0" containsString="0" containsBlank="1"/>
    </cacheField>
    <cacheField name="18" numFmtId="0">
      <sharedItems containsNonDate="0" containsString="0" containsBlank="1"/>
    </cacheField>
    <cacheField name="19" numFmtId="0">
      <sharedItems containsNonDate="0" containsString="0" containsBlank="1"/>
    </cacheField>
    <cacheField name="20" numFmtId="0">
      <sharedItems containsNonDate="0" containsString="0" containsBlank="1"/>
    </cacheField>
    <cacheField name="21" numFmtId="0">
      <sharedItems containsNonDate="0" containsString="0" containsBlank="1"/>
    </cacheField>
    <cacheField name="22" numFmtId="0">
      <sharedItems containsNonDate="0" containsString="0" containsBlank="1"/>
    </cacheField>
    <cacheField name="23" numFmtId="0">
      <sharedItems containsNonDate="0" containsString="0" containsBlank="1"/>
    </cacheField>
    <cacheField name="24" numFmtId="0">
      <sharedItems containsNonDate="0" containsString="0" containsBlank="1"/>
    </cacheField>
    <cacheField name="25" numFmtId="0">
      <sharedItems containsNonDate="0" containsString="0" containsBlank="1"/>
    </cacheField>
    <cacheField name="26" numFmtId="0">
      <sharedItems containsNonDate="0" containsString="0" containsBlank="1"/>
    </cacheField>
    <cacheField name="27" numFmtId="0">
      <sharedItems containsNonDate="0" containsString="0" containsBlank="1"/>
    </cacheField>
    <cacheField name="28" numFmtId="0">
      <sharedItems containsNonDate="0" containsString="0" containsBlank="1"/>
    </cacheField>
    <cacheField name="29" numFmtId="0">
      <sharedItems containsNonDate="0" containsString="0" containsBlank="1"/>
    </cacheField>
    <cacheField name="30" numFmtId="0">
      <sharedItems containsNonDate="0" containsString="0" containsBlank="1"/>
    </cacheField>
    <cacheField name="31" numFmtId="0">
      <sharedItems containsNonDate="0" containsString="0" containsBlank="1"/>
    </cacheField>
    <cacheField name="Total des jours" numFmtId="0">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0">
  <r>
    <x v="0"/>
    <x v="0"/>
    <m/>
    <m/>
    <m/>
    <m/>
    <m/>
    <m/>
    <m/>
    <m/>
    <m/>
    <m/>
    <m/>
    <m/>
    <m/>
    <m/>
    <m/>
    <m/>
    <m/>
    <m/>
    <m/>
    <m/>
    <m/>
    <m/>
    <m/>
    <m/>
    <m/>
    <m/>
    <m/>
    <m/>
    <m/>
    <m/>
    <n v="0"/>
  </r>
  <r>
    <x v="1"/>
    <x v="0"/>
    <m/>
    <m/>
    <m/>
    <m/>
    <m/>
    <m/>
    <m/>
    <m/>
    <m/>
    <m/>
    <m/>
    <m/>
    <m/>
    <m/>
    <m/>
    <m/>
    <m/>
    <m/>
    <m/>
    <m/>
    <m/>
    <m/>
    <m/>
    <m/>
    <m/>
    <m/>
    <m/>
    <m/>
    <m/>
    <m/>
    <n v="0"/>
  </r>
  <r>
    <x v="2"/>
    <x v="0"/>
    <m/>
    <m/>
    <m/>
    <m/>
    <m/>
    <m/>
    <m/>
    <m/>
    <m/>
    <m/>
    <m/>
    <m/>
    <m/>
    <m/>
    <m/>
    <m/>
    <m/>
    <m/>
    <m/>
    <m/>
    <m/>
    <m/>
    <m/>
    <m/>
    <m/>
    <m/>
    <m/>
    <m/>
    <m/>
    <m/>
    <n v="0"/>
  </r>
  <r>
    <x v="3"/>
    <x v="0"/>
    <m/>
    <m/>
    <m/>
    <m/>
    <m/>
    <m/>
    <m/>
    <m/>
    <m/>
    <m/>
    <m/>
    <m/>
    <m/>
    <m/>
    <m/>
    <m/>
    <m/>
    <m/>
    <m/>
    <m/>
    <m/>
    <m/>
    <m/>
    <m/>
    <m/>
    <m/>
    <m/>
    <m/>
    <m/>
    <m/>
    <n v="0"/>
  </r>
  <r>
    <x v="4"/>
    <x v="0"/>
    <m/>
    <m/>
    <m/>
    <m/>
    <m/>
    <m/>
    <m/>
    <m/>
    <m/>
    <m/>
    <m/>
    <m/>
    <m/>
    <m/>
    <m/>
    <m/>
    <m/>
    <m/>
    <m/>
    <m/>
    <m/>
    <m/>
    <m/>
    <m/>
    <m/>
    <m/>
    <m/>
    <m/>
    <m/>
    <m/>
    <n v="0"/>
  </r>
  <r>
    <x v="5"/>
    <x v="0"/>
    <m/>
    <m/>
    <m/>
    <m/>
    <m/>
    <m/>
    <m/>
    <m/>
    <m/>
    <m/>
    <m/>
    <m/>
    <m/>
    <m/>
    <m/>
    <m/>
    <m/>
    <m/>
    <m/>
    <m/>
    <m/>
    <m/>
    <m/>
    <m/>
    <m/>
    <m/>
    <m/>
    <m/>
    <m/>
    <m/>
    <n v="0"/>
  </r>
  <r>
    <x v="6"/>
    <x v="0"/>
    <m/>
    <m/>
    <m/>
    <m/>
    <m/>
    <m/>
    <m/>
    <m/>
    <m/>
    <m/>
    <m/>
    <m/>
    <m/>
    <m/>
    <m/>
    <m/>
    <m/>
    <m/>
    <m/>
    <m/>
    <m/>
    <m/>
    <m/>
    <m/>
    <m/>
    <m/>
    <m/>
    <m/>
    <m/>
    <m/>
    <n v="0"/>
  </r>
  <r>
    <x v="7"/>
    <x v="0"/>
    <m/>
    <m/>
    <m/>
    <m/>
    <m/>
    <m/>
    <m/>
    <m/>
    <m/>
    <m/>
    <m/>
    <m/>
    <m/>
    <m/>
    <m/>
    <m/>
    <m/>
    <m/>
    <m/>
    <m/>
    <m/>
    <m/>
    <m/>
    <m/>
    <m/>
    <m/>
    <m/>
    <m/>
    <m/>
    <m/>
    <n v="0"/>
  </r>
  <r>
    <x v="8"/>
    <x v="0"/>
    <m/>
    <m/>
    <m/>
    <m/>
    <m/>
    <m/>
    <m/>
    <m/>
    <m/>
    <m/>
    <m/>
    <m/>
    <m/>
    <m/>
    <m/>
    <m/>
    <m/>
    <m/>
    <m/>
    <m/>
    <m/>
    <m/>
    <m/>
    <m/>
    <m/>
    <m/>
    <m/>
    <m/>
    <m/>
    <m/>
    <n v="0"/>
  </r>
  <r>
    <x v="9"/>
    <x v="0"/>
    <m/>
    <m/>
    <m/>
    <m/>
    <m/>
    <m/>
    <m/>
    <m/>
    <m/>
    <m/>
    <m/>
    <m/>
    <m/>
    <m/>
    <m/>
    <m/>
    <m/>
    <m/>
    <m/>
    <m/>
    <m/>
    <m/>
    <m/>
    <m/>
    <m/>
    <m/>
    <m/>
    <m/>
    <m/>
    <m/>
    <n v="0"/>
  </r>
  <r>
    <x v="10"/>
    <x v="0"/>
    <m/>
    <m/>
    <m/>
    <m/>
    <m/>
    <m/>
    <m/>
    <m/>
    <m/>
    <m/>
    <m/>
    <m/>
    <m/>
    <m/>
    <m/>
    <m/>
    <m/>
    <m/>
    <m/>
    <m/>
    <m/>
    <m/>
    <m/>
    <m/>
    <m/>
    <m/>
    <m/>
    <m/>
    <m/>
    <m/>
    <n v="0"/>
  </r>
  <r>
    <x v="11"/>
    <x v="0"/>
    <m/>
    <m/>
    <m/>
    <m/>
    <m/>
    <m/>
    <m/>
    <m/>
    <m/>
    <m/>
    <m/>
    <m/>
    <m/>
    <m/>
    <m/>
    <m/>
    <m/>
    <m/>
    <m/>
    <m/>
    <m/>
    <m/>
    <m/>
    <m/>
    <m/>
    <m/>
    <m/>
    <m/>
    <m/>
    <m/>
    <n v="0"/>
  </r>
  <r>
    <x v="12"/>
    <x v="0"/>
    <m/>
    <m/>
    <m/>
    <m/>
    <m/>
    <m/>
    <m/>
    <m/>
    <m/>
    <m/>
    <m/>
    <m/>
    <m/>
    <m/>
    <m/>
    <m/>
    <m/>
    <m/>
    <m/>
    <m/>
    <m/>
    <m/>
    <m/>
    <m/>
    <m/>
    <m/>
    <m/>
    <m/>
    <m/>
    <m/>
    <n v="0"/>
  </r>
  <r>
    <x v="13"/>
    <x v="0"/>
    <m/>
    <m/>
    <m/>
    <m/>
    <m/>
    <m/>
    <m/>
    <m/>
    <m/>
    <m/>
    <m/>
    <m/>
    <m/>
    <m/>
    <m/>
    <m/>
    <m/>
    <m/>
    <m/>
    <m/>
    <m/>
    <m/>
    <m/>
    <m/>
    <m/>
    <m/>
    <m/>
    <m/>
    <m/>
    <m/>
    <n v="0"/>
  </r>
  <r>
    <x v="14"/>
    <x v="0"/>
    <m/>
    <m/>
    <m/>
    <m/>
    <m/>
    <m/>
    <m/>
    <m/>
    <m/>
    <m/>
    <m/>
    <m/>
    <m/>
    <m/>
    <m/>
    <m/>
    <m/>
    <m/>
    <m/>
    <m/>
    <m/>
    <m/>
    <m/>
    <m/>
    <m/>
    <m/>
    <m/>
    <m/>
    <m/>
    <m/>
    <n v="0"/>
  </r>
  <r>
    <x v="15"/>
    <x v="0"/>
    <m/>
    <m/>
    <m/>
    <m/>
    <m/>
    <m/>
    <m/>
    <m/>
    <m/>
    <m/>
    <m/>
    <m/>
    <m/>
    <m/>
    <m/>
    <m/>
    <m/>
    <m/>
    <m/>
    <m/>
    <m/>
    <m/>
    <m/>
    <m/>
    <m/>
    <m/>
    <m/>
    <m/>
    <m/>
    <m/>
    <n v="0"/>
  </r>
  <r>
    <x v="16"/>
    <x v="0"/>
    <m/>
    <m/>
    <m/>
    <m/>
    <m/>
    <m/>
    <m/>
    <m/>
    <m/>
    <m/>
    <m/>
    <m/>
    <m/>
    <m/>
    <m/>
    <m/>
    <m/>
    <m/>
    <m/>
    <m/>
    <m/>
    <m/>
    <m/>
    <m/>
    <m/>
    <m/>
    <m/>
    <m/>
    <m/>
    <m/>
    <n v="0"/>
  </r>
  <r>
    <x v="17"/>
    <x v="0"/>
    <m/>
    <m/>
    <m/>
    <m/>
    <m/>
    <m/>
    <m/>
    <m/>
    <m/>
    <m/>
    <m/>
    <m/>
    <m/>
    <m/>
    <m/>
    <m/>
    <m/>
    <m/>
    <m/>
    <m/>
    <m/>
    <m/>
    <m/>
    <m/>
    <m/>
    <m/>
    <m/>
    <m/>
    <m/>
    <m/>
    <n v="0"/>
  </r>
  <r>
    <x v="18"/>
    <x v="0"/>
    <m/>
    <m/>
    <m/>
    <m/>
    <m/>
    <m/>
    <m/>
    <m/>
    <m/>
    <m/>
    <m/>
    <m/>
    <m/>
    <m/>
    <m/>
    <m/>
    <m/>
    <m/>
    <m/>
    <m/>
    <m/>
    <m/>
    <m/>
    <m/>
    <m/>
    <m/>
    <m/>
    <m/>
    <m/>
    <m/>
    <n v="0"/>
  </r>
  <r>
    <x v="19"/>
    <x v="0"/>
    <m/>
    <m/>
    <m/>
    <m/>
    <m/>
    <m/>
    <m/>
    <m/>
    <m/>
    <m/>
    <m/>
    <m/>
    <m/>
    <m/>
    <m/>
    <m/>
    <m/>
    <m/>
    <m/>
    <m/>
    <m/>
    <m/>
    <m/>
    <m/>
    <m/>
    <m/>
    <m/>
    <m/>
    <m/>
    <m/>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0C81917-BF84-4936-9408-345E973F0253}" name="Tableau croisé dynamique3"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A44" firstHeaderRow="1" firstDataRow="1" firstDataCol="1"/>
  <pivotFields count="33">
    <pivotField axis="axisRow" showAll="0">
      <items count="21">
        <item x="0"/>
        <item x="1"/>
        <item x="2"/>
        <item x="3"/>
        <item x="4"/>
        <item x="5"/>
        <item x="6"/>
        <item x="7"/>
        <item x="8"/>
        <item x="9"/>
        <item x="10"/>
        <item x="11"/>
        <item x="12"/>
        <item x="13"/>
        <item x="14"/>
        <item x="15"/>
        <item x="16"/>
        <item x="17"/>
        <item x="18"/>
        <item x="19"/>
        <item t="default"/>
      </items>
    </pivotField>
    <pivotField axis="axisRow" showAll="0">
      <items count="2">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numFmtId="1" showAll="0"/>
  </pivotFields>
  <rowFields count="2">
    <field x="0"/>
    <field x="1"/>
  </rowFields>
  <rowItems count="41">
    <i>
      <x/>
    </i>
    <i r="1">
      <x/>
    </i>
    <i>
      <x v="1"/>
    </i>
    <i r="1">
      <x/>
    </i>
    <i>
      <x v="2"/>
    </i>
    <i r="1">
      <x/>
    </i>
    <i>
      <x v="3"/>
    </i>
    <i r="1">
      <x/>
    </i>
    <i>
      <x v="4"/>
    </i>
    <i r="1">
      <x/>
    </i>
    <i>
      <x v="5"/>
    </i>
    <i r="1">
      <x/>
    </i>
    <i>
      <x v="6"/>
    </i>
    <i r="1">
      <x/>
    </i>
    <i>
      <x v="7"/>
    </i>
    <i r="1">
      <x/>
    </i>
    <i>
      <x v="8"/>
    </i>
    <i r="1">
      <x/>
    </i>
    <i>
      <x v="9"/>
    </i>
    <i r="1">
      <x/>
    </i>
    <i>
      <x v="10"/>
    </i>
    <i r="1">
      <x/>
    </i>
    <i>
      <x v="11"/>
    </i>
    <i r="1">
      <x/>
    </i>
    <i>
      <x v="12"/>
    </i>
    <i r="1">
      <x/>
    </i>
    <i>
      <x v="13"/>
    </i>
    <i r="1">
      <x/>
    </i>
    <i>
      <x v="14"/>
    </i>
    <i r="1">
      <x/>
    </i>
    <i>
      <x v="15"/>
    </i>
    <i r="1">
      <x/>
    </i>
    <i>
      <x v="16"/>
    </i>
    <i r="1">
      <x/>
    </i>
    <i>
      <x v="17"/>
    </i>
    <i r="1">
      <x/>
    </i>
    <i>
      <x v="18"/>
    </i>
    <i r="1">
      <x/>
    </i>
    <i>
      <x v="19"/>
    </i>
    <i r="1">
      <x/>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27" totalsRowCount="1" headerRowDxfId="889" dataDxfId="888" totalsRowDxfId="887">
  <autoFilter ref="B6:AH2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86" totalsRowDxfId="885" dataCellStyle="Employé">
      <totalsRowFormula>NomMois&amp;" Total"</totalsRowFormula>
    </tableColumn>
    <tableColumn id="2" xr3:uid="{00000000-0010-0000-0000-000002000000}" name="1" totalsRowFunction="custom" dataDxfId="884" totalsRowDxfId="883">
      <totalsRowFormula>SUBTOTAL(103,Janvier!$C$7:$C$26)</totalsRowFormula>
    </tableColumn>
    <tableColumn id="3" xr3:uid="{00000000-0010-0000-0000-000003000000}" name="2" totalsRowFunction="custom" dataDxfId="882" totalsRowDxfId="881">
      <totalsRowFormula>SUBTOTAL(103,Janvier!$D$7:$D$26)</totalsRowFormula>
    </tableColumn>
    <tableColumn id="4" xr3:uid="{00000000-0010-0000-0000-000004000000}" name="3" totalsRowFunction="custom" dataDxfId="880" totalsRowDxfId="879">
      <totalsRowFormula>SUBTOTAL(103,Janvier!$E$7:$E$26)</totalsRowFormula>
    </tableColumn>
    <tableColumn id="5" xr3:uid="{00000000-0010-0000-0000-000005000000}" name="4" totalsRowFunction="custom" dataDxfId="878" totalsRowDxfId="877">
      <totalsRowFormula>SUBTOTAL(103,Janvier!$F$7:$F$26)</totalsRowFormula>
    </tableColumn>
    <tableColumn id="6" xr3:uid="{00000000-0010-0000-0000-000006000000}" name="5" totalsRowFunction="custom" totalsRowDxfId="876">
      <totalsRowFormula>SUBTOTAL(103,Janvier!$G$7:$G$26)</totalsRowFormula>
    </tableColumn>
    <tableColumn id="7" xr3:uid="{00000000-0010-0000-0000-000007000000}" name="6" totalsRowFunction="custom" dataDxfId="875" totalsRowDxfId="874">
      <totalsRowFormula>SUBTOTAL(103,Janvier!$H$7:$H$26)</totalsRowFormula>
    </tableColumn>
    <tableColumn id="8" xr3:uid="{00000000-0010-0000-0000-000008000000}" name="7" totalsRowFunction="custom" dataDxfId="873" totalsRowDxfId="872">
      <totalsRowFormula>SUBTOTAL(103,Janvier!$I$7:$I$26)</totalsRowFormula>
    </tableColumn>
    <tableColumn id="9" xr3:uid="{00000000-0010-0000-0000-000009000000}" name="8" totalsRowFunction="custom" dataDxfId="871" totalsRowDxfId="870">
      <totalsRowFormula>SUBTOTAL(103,Janvier!$J$7:$J$26)</totalsRowFormula>
    </tableColumn>
    <tableColumn id="10" xr3:uid="{00000000-0010-0000-0000-00000A000000}" name="9" totalsRowFunction="custom" dataDxfId="869" totalsRowDxfId="868">
      <totalsRowFormula>SUBTOTAL(103,Janvier!$K$7:$K$26)</totalsRowFormula>
    </tableColumn>
    <tableColumn id="11" xr3:uid="{00000000-0010-0000-0000-00000B000000}" name="10" totalsRowFunction="custom" dataDxfId="867" totalsRowDxfId="866">
      <totalsRowFormula>SUBTOTAL(103,Janvier!$L$7:$L$26)</totalsRowFormula>
    </tableColumn>
    <tableColumn id="12" xr3:uid="{00000000-0010-0000-0000-00000C000000}" name="11" totalsRowFunction="custom" dataDxfId="865" totalsRowDxfId="864">
      <totalsRowFormula>SUBTOTAL(103,Janvier!$M$7:$M$26)</totalsRowFormula>
    </tableColumn>
    <tableColumn id="13" xr3:uid="{00000000-0010-0000-0000-00000D000000}" name="12" totalsRowFunction="custom" dataDxfId="863" totalsRowDxfId="862">
      <totalsRowFormula>SUBTOTAL(103,Janvier!$N$7:$N$26)</totalsRowFormula>
    </tableColumn>
    <tableColumn id="14" xr3:uid="{00000000-0010-0000-0000-00000E000000}" name="13" totalsRowFunction="custom" dataDxfId="861" totalsRowDxfId="860">
      <totalsRowFormula>SUBTOTAL(103,Janvier!$O$7:$O$26)</totalsRowFormula>
    </tableColumn>
    <tableColumn id="15" xr3:uid="{00000000-0010-0000-0000-00000F000000}" name="14" totalsRowFunction="custom" dataDxfId="859" totalsRowDxfId="858">
      <totalsRowFormula>SUBTOTAL(103,Janvier!$P$7:$P$26)</totalsRowFormula>
    </tableColumn>
    <tableColumn id="16" xr3:uid="{00000000-0010-0000-0000-000010000000}" name="15" totalsRowFunction="custom" dataDxfId="857" totalsRowDxfId="856">
      <totalsRowFormula>SUBTOTAL(103,Janvier!$Q$7:$Q$26)</totalsRowFormula>
    </tableColumn>
    <tableColumn id="17" xr3:uid="{00000000-0010-0000-0000-000011000000}" name="16" totalsRowFunction="custom" dataDxfId="855" totalsRowDxfId="854">
      <totalsRowFormula>SUBTOTAL(103,Janvier!$R$7:$R$26)</totalsRowFormula>
    </tableColumn>
    <tableColumn id="18" xr3:uid="{00000000-0010-0000-0000-000012000000}" name="17" totalsRowFunction="custom" dataDxfId="853" totalsRowDxfId="852">
      <totalsRowFormula>SUBTOTAL(103,Janvier!$S$7:$S$26)</totalsRowFormula>
    </tableColumn>
    <tableColumn id="19" xr3:uid="{00000000-0010-0000-0000-000013000000}" name="18" totalsRowFunction="custom" dataDxfId="851" totalsRowDxfId="850">
      <totalsRowFormula>SUBTOTAL(103,Janvier!$T$7:$T$26)</totalsRowFormula>
    </tableColumn>
    <tableColumn id="20" xr3:uid="{00000000-0010-0000-0000-000014000000}" name="19" totalsRowFunction="custom" dataDxfId="849" totalsRowDxfId="848">
      <totalsRowFormula>SUBTOTAL(103,Janvier!$U$7:$U$26)</totalsRowFormula>
    </tableColumn>
    <tableColumn id="21" xr3:uid="{00000000-0010-0000-0000-000015000000}" name="20" totalsRowFunction="custom" dataDxfId="847" totalsRowDxfId="846">
      <totalsRowFormula>SUBTOTAL(103,Janvier!$V$7:$V$26)</totalsRowFormula>
    </tableColumn>
    <tableColumn id="22" xr3:uid="{00000000-0010-0000-0000-000016000000}" name="21" totalsRowFunction="custom" dataDxfId="845" totalsRowDxfId="844">
      <totalsRowFormula>SUBTOTAL(103,Janvier!$W$7:$W$26)</totalsRowFormula>
    </tableColumn>
    <tableColumn id="23" xr3:uid="{00000000-0010-0000-0000-000017000000}" name="22" totalsRowFunction="custom" dataDxfId="843" totalsRowDxfId="842">
      <totalsRowFormula>SUBTOTAL(103,Janvier!$X$7:$X$26)</totalsRowFormula>
    </tableColumn>
    <tableColumn id="24" xr3:uid="{00000000-0010-0000-0000-000018000000}" name="23" totalsRowFunction="custom" dataDxfId="841" totalsRowDxfId="840">
      <totalsRowFormula>SUBTOTAL(103,Janvier!$Y$7:$Y$26)</totalsRowFormula>
    </tableColumn>
    <tableColumn id="25" xr3:uid="{00000000-0010-0000-0000-000019000000}" name="24" totalsRowFunction="custom" dataDxfId="839" totalsRowDxfId="838">
      <totalsRowFormula>SUBTOTAL(103,Janvier!$Z$7:$Z$26)</totalsRowFormula>
    </tableColumn>
    <tableColumn id="26" xr3:uid="{00000000-0010-0000-0000-00001A000000}" name="25" totalsRowFunction="custom" dataDxfId="837" totalsRowDxfId="836">
      <totalsRowFormula>SUBTOTAL(103,Janvier!$AA$7:$AA$26)</totalsRowFormula>
    </tableColumn>
    <tableColumn id="27" xr3:uid="{00000000-0010-0000-0000-00001B000000}" name="26" totalsRowFunction="custom" dataDxfId="835" totalsRowDxfId="834">
      <totalsRowFormula>SUBTOTAL(103,Janvier!$AB$7:$AB$26)</totalsRowFormula>
    </tableColumn>
    <tableColumn id="28" xr3:uid="{00000000-0010-0000-0000-00001C000000}" name="27" totalsRowFunction="custom" dataDxfId="833" totalsRowDxfId="832">
      <totalsRowFormula>SUBTOTAL(103,Janvier!$AC$7:$AC$26)</totalsRowFormula>
    </tableColumn>
    <tableColumn id="29" xr3:uid="{00000000-0010-0000-0000-00001D000000}" name="28" totalsRowFunction="custom" dataDxfId="831" totalsRowDxfId="830">
      <totalsRowFormula>SUBTOTAL(103,Janvier!$AD$7:$AD$26)</totalsRowFormula>
    </tableColumn>
    <tableColumn id="30" xr3:uid="{00000000-0010-0000-0000-00001E000000}" name="29" totalsRowFunction="custom" dataDxfId="829" totalsRowDxfId="828">
      <totalsRowFormula>SUBTOTAL(103,Janvier!$AE$7:$AE$26)</totalsRowFormula>
    </tableColumn>
    <tableColumn id="31" xr3:uid="{00000000-0010-0000-0000-00001F000000}" name="30" totalsRowFunction="custom" dataDxfId="827" totalsRowDxfId="826">
      <totalsRowFormula>SUBTOTAL(103,Janvier!$AF$7:$AF$26)</totalsRowFormula>
    </tableColumn>
    <tableColumn id="32" xr3:uid="{00000000-0010-0000-0000-000020000000}" name="31" totalsRowFunction="custom" dataDxfId="825" totalsRowDxfId="824">
      <totalsRowFormula>SUBTOTAL(103,Janvier!$AG$7:$AG$26)</totalsRowFormula>
    </tableColumn>
    <tableColumn id="33" xr3:uid="{00000000-0010-0000-0000-000021000000}" name="Total des jours" totalsRowFunction="sum" dataDxfId="823" totalsRowDxfId="822">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21" dataDxfId="820" totalsRowDxfId="819">
  <tableColumns count="33">
    <tableColumn id="1" xr3:uid="{00000000-0010-0000-0100-000001000000}" name="Nom de l’employé" totalsRowFunction="custom" dataDxfId="818" totalsRowDxfId="817" dataCellStyle="Employé">
      <totalsRowFormula>NomMois&amp;" Total"</totalsRowFormula>
    </tableColumn>
    <tableColumn id="2" xr3:uid="{00000000-0010-0000-0100-000002000000}" name="1" totalsRowFunction="count" dataDxfId="816" totalsRowDxfId="815"/>
    <tableColumn id="3" xr3:uid="{00000000-0010-0000-0100-000003000000}" name="2" totalsRowFunction="count" dataDxfId="814" totalsRowDxfId="813"/>
    <tableColumn id="4" xr3:uid="{00000000-0010-0000-0100-000004000000}" name="3" totalsRowFunction="count" dataDxfId="812" totalsRowDxfId="811"/>
    <tableColumn id="5" xr3:uid="{00000000-0010-0000-0100-000005000000}" name="4" totalsRowFunction="count" dataDxfId="810" totalsRowDxfId="809"/>
    <tableColumn id="6" xr3:uid="{00000000-0010-0000-0100-000006000000}" name="5" totalsRowFunction="count" dataDxfId="808" totalsRowDxfId="807"/>
    <tableColumn id="7" xr3:uid="{00000000-0010-0000-0100-000007000000}" name="6" totalsRowFunction="count" dataDxfId="806" totalsRowDxfId="805"/>
    <tableColumn id="8" xr3:uid="{00000000-0010-0000-0100-000008000000}" name="7" totalsRowFunction="count" dataDxfId="804" totalsRowDxfId="803"/>
    <tableColumn id="9" xr3:uid="{00000000-0010-0000-0100-000009000000}" name="8" totalsRowFunction="count" dataDxfId="802" totalsRowDxfId="801"/>
    <tableColumn id="10" xr3:uid="{00000000-0010-0000-0100-00000A000000}" name="9" totalsRowFunction="count" dataDxfId="800" totalsRowDxfId="799"/>
    <tableColumn id="11" xr3:uid="{00000000-0010-0000-0100-00000B000000}" name="10" totalsRowFunction="count" dataDxfId="798" totalsRowDxfId="797"/>
    <tableColumn id="12" xr3:uid="{00000000-0010-0000-0100-00000C000000}" name="11" totalsRowFunction="count" dataDxfId="796" totalsRowDxfId="795"/>
    <tableColumn id="13" xr3:uid="{00000000-0010-0000-0100-00000D000000}" name="12" totalsRowFunction="count" dataDxfId="794" totalsRowDxfId="793"/>
    <tableColumn id="14" xr3:uid="{00000000-0010-0000-0100-00000E000000}" name="13" totalsRowFunction="count" dataDxfId="792" totalsRowDxfId="791"/>
    <tableColumn id="15" xr3:uid="{00000000-0010-0000-0100-00000F000000}" name="14" totalsRowFunction="count" dataDxfId="790" totalsRowDxfId="789"/>
    <tableColumn id="16" xr3:uid="{00000000-0010-0000-0100-000010000000}" name="15" totalsRowFunction="count" dataDxfId="788" totalsRowDxfId="787"/>
    <tableColumn id="17" xr3:uid="{00000000-0010-0000-0100-000011000000}" name="16" totalsRowFunction="count" dataDxfId="786" totalsRowDxfId="785"/>
    <tableColumn id="18" xr3:uid="{00000000-0010-0000-0100-000012000000}" name="17" totalsRowFunction="count" dataDxfId="784" totalsRowDxfId="783"/>
    <tableColumn id="19" xr3:uid="{00000000-0010-0000-0100-000013000000}" name="18" totalsRowFunction="count" dataDxfId="782" totalsRowDxfId="781"/>
    <tableColumn id="20" xr3:uid="{00000000-0010-0000-0100-000014000000}" name="19" totalsRowFunction="count" dataDxfId="780" totalsRowDxfId="779"/>
    <tableColumn id="21" xr3:uid="{00000000-0010-0000-0100-000015000000}" name="20" totalsRowFunction="count" dataDxfId="778" totalsRowDxfId="777"/>
    <tableColumn id="22" xr3:uid="{00000000-0010-0000-0100-000016000000}" name="21" totalsRowFunction="count" dataDxfId="776" totalsRowDxfId="775"/>
    <tableColumn id="23" xr3:uid="{00000000-0010-0000-0100-000017000000}" name="22" totalsRowFunction="count" dataDxfId="774" totalsRowDxfId="773"/>
    <tableColumn id="24" xr3:uid="{00000000-0010-0000-0100-000018000000}" name="23" totalsRowFunction="count" dataDxfId="772" totalsRowDxfId="771"/>
    <tableColumn id="25" xr3:uid="{00000000-0010-0000-0100-000019000000}" name="24" totalsRowFunction="count" dataDxfId="770" totalsRowDxfId="769"/>
    <tableColumn id="26" xr3:uid="{00000000-0010-0000-0100-00001A000000}" name="25" totalsRowFunction="count" dataDxfId="768" totalsRowDxfId="767"/>
    <tableColumn id="27" xr3:uid="{00000000-0010-0000-0100-00001B000000}" name="26" totalsRowFunction="count" dataDxfId="766" totalsRowDxfId="765"/>
    <tableColumn id="28" xr3:uid="{00000000-0010-0000-0100-00001C000000}" name="27" totalsRowFunction="count" dataDxfId="764" totalsRowDxfId="763"/>
    <tableColumn id="29" xr3:uid="{00000000-0010-0000-0100-00001D000000}" name="28" totalsRowFunction="count" dataDxfId="762" totalsRowDxfId="761"/>
    <tableColumn id="30" xr3:uid="{00000000-0010-0000-0100-00001E000000}" name="29" totalsRowFunction="count" dataDxfId="760" totalsRowDxfId="759"/>
    <tableColumn id="31" xr3:uid="{00000000-0010-0000-0100-00001F000000}" name=" " dataDxfId="758" totalsRowDxfId="757"/>
    <tableColumn id="32" xr3:uid="{00000000-0010-0000-0100-000020000000}" name="  " dataDxfId="756" totalsRowDxfId="755"/>
    <tableColumn id="33" xr3:uid="{00000000-0010-0000-0100-000021000000}" name="Total des jours" totalsRowFunction="sum" dataDxfId="754" totalsRowDxfId="753">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752" dataDxfId="751" totalsRowDxfId="750">
  <tableColumns count="33">
    <tableColumn id="1" xr3:uid="{00000000-0010-0000-0200-000001000000}" name="Nom de l’employé" totalsRowFunction="custom" dataDxfId="749" totalsRowDxfId="748" dataCellStyle="Employé">
      <totalsRowFormula>NomMois&amp;" Total"</totalsRowFormula>
    </tableColumn>
    <tableColumn id="2" xr3:uid="{00000000-0010-0000-0200-000002000000}" name="1" totalsRowFunction="count" dataDxfId="747" totalsRowDxfId="746"/>
    <tableColumn id="3" xr3:uid="{00000000-0010-0000-0200-000003000000}" name="2" totalsRowFunction="count" dataDxfId="745" totalsRowDxfId="744"/>
    <tableColumn id="4" xr3:uid="{00000000-0010-0000-0200-000004000000}" name="3" totalsRowFunction="count" dataDxfId="743" totalsRowDxfId="742"/>
    <tableColumn id="5" xr3:uid="{00000000-0010-0000-0200-000005000000}" name="4" totalsRowFunction="count" dataDxfId="741" totalsRowDxfId="740"/>
    <tableColumn id="6" xr3:uid="{00000000-0010-0000-0200-000006000000}" name="5" totalsRowFunction="count" dataDxfId="739" totalsRowDxfId="738"/>
    <tableColumn id="7" xr3:uid="{00000000-0010-0000-0200-000007000000}" name="6" totalsRowFunction="count" dataDxfId="737" totalsRowDxfId="736"/>
    <tableColumn id="8" xr3:uid="{00000000-0010-0000-0200-000008000000}" name="7" totalsRowFunction="count" dataDxfId="735" totalsRowDxfId="734"/>
    <tableColumn id="9" xr3:uid="{00000000-0010-0000-0200-000009000000}" name="8" totalsRowFunction="count" dataDxfId="733" totalsRowDxfId="732"/>
    <tableColumn id="10" xr3:uid="{00000000-0010-0000-0200-00000A000000}" name="9" totalsRowFunction="count" dataDxfId="731" totalsRowDxfId="730"/>
    <tableColumn id="11" xr3:uid="{00000000-0010-0000-0200-00000B000000}" name="10" totalsRowFunction="count" dataDxfId="729" totalsRowDxfId="728"/>
    <tableColumn id="12" xr3:uid="{00000000-0010-0000-0200-00000C000000}" name="11" totalsRowFunction="count" dataDxfId="727" totalsRowDxfId="726"/>
    <tableColumn id="13" xr3:uid="{00000000-0010-0000-0200-00000D000000}" name="12" totalsRowFunction="count" dataDxfId="725" totalsRowDxfId="724"/>
    <tableColumn id="14" xr3:uid="{00000000-0010-0000-0200-00000E000000}" name="13" totalsRowFunction="count" dataDxfId="723" totalsRowDxfId="722"/>
    <tableColumn id="15" xr3:uid="{00000000-0010-0000-0200-00000F000000}" name="14" totalsRowFunction="count" dataDxfId="721" totalsRowDxfId="720"/>
    <tableColumn id="16" xr3:uid="{00000000-0010-0000-0200-000010000000}" name="15" totalsRowFunction="count" dataDxfId="719" totalsRowDxfId="718"/>
    <tableColumn id="17" xr3:uid="{00000000-0010-0000-0200-000011000000}" name="16" totalsRowFunction="count" dataDxfId="717" totalsRowDxfId="716"/>
    <tableColumn id="18" xr3:uid="{00000000-0010-0000-0200-000012000000}" name="17" totalsRowFunction="count" dataDxfId="715" totalsRowDxfId="714"/>
    <tableColumn id="19" xr3:uid="{00000000-0010-0000-0200-000013000000}" name="18" totalsRowFunction="count" dataDxfId="713" totalsRowDxfId="712"/>
    <tableColumn id="20" xr3:uid="{00000000-0010-0000-0200-000014000000}" name="19" totalsRowFunction="count" dataDxfId="711" totalsRowDxfId="710"/>
    <tableColumn id="21" xr3:uid="{00000000-0010-0000-0200-000015000000}" name="20" totalsRowFunction="count" dataDxfId="709" totalsRowDxfId="708"/>
    <tableColumn id="22" xr3:uid="{00000000-0010-0000-0200-000016000000}" name="21" totalsRowFunction="count" dataDxfId="707" totalsRowDxfId="706"/>
    <tableColumn id="23" xr3:uid="{00000000-0010-0000-0200-000017000000}" name="22" totalsRowFunction="count" dataDxfId="705" totalsRowDxfId="704"/>
    <tableColumn id="24" xr3:uid="{00000000-0010-0000-0200-000018000000}" name="23" totalsRowFunction="count" dataDxfId="703" totalsRowDxfId="702"/>
    <tableColumn id="25" xr3:uid="{00000000-0010-0000-0200-000019000000}" name="24" totalsRowFunction="count" dataDxfId="701" totalsRowDxfId="700"/>
    <tableColumn id="26" xr3:uid="{00000000-0010-0000-0200-00001A000000}" name="25" totalsRowFunction="count" dataDxfId="699" totalsRowDxfId="698"/>
    <tableColumn id="27" xr3:uid="{00000000-0010-0000-0200-00001B000000}" name="26" totalsRowFunction="count" dataDxfId="697" totalsRowDxfId="696"/>
    <tableColumn id="28" xr3:uid="{00000000-0010-0000-0200-00001C000000}" name="27" totalsRowFunction="count" dataDxfId="695" totalsRowDxfId="694"/>
    <tableColumn id="29" xr3:uid="{00000000-0010-0000-0200-00001D000000}" name="28" totalsRowFunction="count" dataDxfId="693" totalsRowDxfId="692"/>
    <tableColumn id="30" xr3:uid="{00000000-0010-0000-0200-00001E000000}" name="29" totalsRowFunction="count" dataDxfId="691" totalsRowDxfId="690"/>
    <tableColumn id="31" xr3:uid="{00000000-0010-0000-0200-00001F000000}" name="30" totalsRowFunction="count" dataDxfId="689" totalsRowDxfId="688"/>
    <tableColumn id="32" xr3:uid="{00000000-0010-0000-0200-000020000000}" name="31" totalsRowFunction="count" dataDxfId="687" totalsRowDxfId="686"/>
    <tableColumn id="33" xr3:uid="{00000000-0010-0000-0200-000021000000}" name="Total des jours" totalsRowFunction="sum" dataDxfId="685" totalsRowDxfId="684">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683" dataDxfId="682" totalsRowDxfId="681">
  <tableColumns count="33">
    <tableColumn id="1" xr3:uid="{00000000-0010-0000-0300-000001000000}" name="Nom de l’employé" totalsRowFunction="custom" dataDxfId="680" totalsRowDxfId="679" dataCellStyle="Employé">
      <totalsRowFormula>NomMois&amp;" Total"</totalsRowFormula>
    </tableColumn>
    <tableColumn id="2" xr3:uid="{00000000-0010-0000-0300-000002000000}" name="1" totalsRowFunction="count" dataDxfId="678" totalsRowDxfId="677"/>
    <tableColumn id="3" xr3:uid="{00000000-0010-0000-0300-000003000000}" name="2" totalsRowFunction="count" dataDxfId="676" totalsRowDxfId="675"/>
    <tableColumn id="4" xr3:uid="{00000000-0010-0000-0300-000004000000}" name="3" totalsRowFunction="count" dataDxfId="674" totalsRowDxfId="673"/>
    <tableColumn id="5" xr3:uid="{00000000-0010-0000-0300-000005000000}" name="4" totalsRowFunction="count" dataDxfId="672" totalsRowDxfId="671"/>
    <tableColumn id="6" xr3:uid="{00000000-0010-0000-0300-000006000000}" name="5" totalsRowFunction="count" dataDxfId="670" totalsRowDxfId="669"/>
    <tableColumn id="7" xr3:uid="{00000000-0010-0000-0300-000007000000}" name="6" totalsRowFunction="count" dataDxfId="668" totalsRowDxfId="667"/>
    <tableColumn id="8" xr3:uid="{00000000-0010-0000-0300-000008000000}" name="7" totalsRowFunction="count" dataDxfId="666" totalsRowDxfId="665"/>
    <tableColumn id="9" xr3:uid="{00000000-0010-0000-0300-000009000000}" name="8" totalsRowFunction="count" dataDxfId="664" totalsRowDxfId="663"/>
    <tableColumn id="10" xr3:uid="{00000000-0010-0000-0300-00000A000000}" name="9" totalsRowFunction="count" dataDxfId="662" totalsRowDxfId="661"/>
    <tableColumn id="11" xr3:uid="{00000000-0010-0000-0300-00000B000000}" name="10" totalsRowFunction="count" dataDxfId="660" totalsRowDxfId="659"/>
    <tableColumn id="12" xr3:uid="{00000000-0010-0000-0300-00000C000000}" name="11" totalsRowFunction="count" dataDxfId="658" totalsRowDxfId="657"/>
    <tableColumn id="13" xr3:uid="{00000000-0010-0000-0300-00000D000000}" name="12" totalsRowFunction="count" dataDxfId="656" totalsRowDxfId="655"/>
    <tableColumn id="14" xr3:uid="{00000000-0010-0000-0300-00000E000000}" name="13" totalsRowFunction="count" dataDxfId="654" totalsRowDxfId="653"/>
    <tableColumn id="15" xr3:uid="{00000000-0010-0000-0300-00000F000000}" name="14" totalsRowFunction="count" dataDxfId="652" totalsRowDxfId="651"/>
    <tableColumn id="16" xr3:uid="{00000000-0010-0000-0300-000010000000}" name="15" totalsRowFunction="count" dataDxfId="650" totalsRowDxfId="649"/>
    <tableColumn id="17" xr3:uid="{00000000-0010-0000-0300-000011000000}" name="16" totalsRowFunction="count" dataDxfId="648" totalsRowDxfId="647"/>
    <tableColumn id="18" xr3:uid="{00000000-0010-0000-0300-000012000000}" name="17" totalsRowFunction="count" dataDxfId="646" totalsRowDxfId="645"/>
    <tableColumn id="19" xr3:uid="{00000000-0010-0000-0300-000013000000}" name="18" totalsRowFunction="count" dataDxfId="644" totalsRowDxfId="643"/>
    <tableColumn id="20" xr3:uid="{00000000-0010-0000-0300-000014000000}" name="19" totalsRowFunction="count" dataDxfId="642" totalsRowDxfId="641"/>
    <tableColumn id="21" xr3:uid="{00000000-0010-0000-0300-000015000000}" name="20" totalsRowFunction="count" dataDxfId="640" totalsRowDxfId="639"/>
    <tableColumn id="22" xr3:uid="{00000000-0010-0000-0300-000016000000}" name="21" totalsRowFunction="count" dataDxfId="638" totalsRowDxfId="637"/>
    <tableColumn id="23" xr3:uid="{00000000-0010-0000-0300-000017000000}" name="22" totalsRowFunction="count" dataDxfId="636" totalsRowDxfId="635"/>
    <tableColumn id="24" xr3:uid="{00000000-0010-0000-0300-000018000000}" name="23" totalsRowFunction="count" dataDxfId="634" totalsRowDxfId="633"/>
    <tableColumn id="25" xr3:uid="{00000000-0010-0000-0300-000019000000}" name="24" totalsRowFunction="count" dataDxfId="632" totalsRowDxfId="631"/>
    <tableColumn id="26" xr3:uid="{00000000-0010-0000-0300-00001A000000}" name="25" totalsRowFunction="count" dataDxfId="630" totalsRowDxfId="629"/>
    <tableColumn id="27" xr3:uid="{00000000-0010-0000-0300-00001B000000}" name="26" totalsRowFunction="count" dataDxfId="628" totalsRowDxfId="627"/>
    <tableColumn id="28" xr3:uid="{00000000-0010-0000-0300-00001C000000}" name="27" totalsRowFunction="count" dataDxfId="626" totalsRowDxfId="625"/>
    <tableColumn id="29" xr3:uid="{00000000-0010-0000-0300-00001D000000}" name="28" totalsRowFunction="count" dataDxfId="624" totalsRowDxfId="623"/>
    <tableColumn id="30" xr3:uid="{00000000-0010-0000-0300-00001E000000}" name="29" totalsRowFunction="count" dataDxfId="622" totalsRowDxfId="621"/>
    <tableColumn id="31" xr3:uid="{00000000-0010-0000-0300-00001F000000}" name="30" totalsRowFunction="count" dataDxfId="620" totalsRowDxfId="619"/>
    <tableColumn id="32" xr3:uid="{00000000-0010-0000-0300-000020000000}" name=" " totalsRowFunction="custom" dataDxfId="618" totalsRowDxfId="617">
      <totalsRowFormula>SUBTOTAL(103,Avril[30])</totalsRowFormula>
    </tableColumn>
    <tableColumn id="33" xr3:uid="{00000000-0010-0000-0300-000021000000}" name="Total des jours" totalsRowFunction="sum" dataDxfId="616" totalsRowDxfId="615">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614" dataDxfId="613" totalsRowDxfId="612">
  <tableColumns count="33">
    <tableColumn id="1" xr3:uid="{00000000-0010-0000-0400-000001000000}" name="Nom de l’employé" totalsRowFunction="custom" dataDxfId="611" totalsRowDxfId="610" dataCellStyle="Employé">
      <totalsRowFormula>NomMois&amp;" Total"</totalsRowFormula>
    </tableColumn>
    <tableColumn id="2" xr3:uid="{00000000-0010-0000-0400-000002000000}" name="1" totalsRowFunction="count" dataDxfId="609" totalsRowDxfId="608"/>
    <tableColumn id="3" xr3:uid="{00000000-0010-0000-0400-000003000000}" name="2" totalsRowFunction="count" dataDxfId="607" totalsRowDxfId="606"/>
    <tableColumn id="4" xr3:uid="{00000000-0010-0000-0400-000004000000}" name="3" totalsRowFunction="count" dataDxfId="605" totalsRowDxfId="604"/>
    <tableColumn id="5" xr3:uid="{00000000-0010-0000-0400-000005000000}" name="4" totalsRowFunction="count" dataDxfId="603" totalsRowDxfId="602"/>
    <tableColumn id="6" xr3:uid="{00000000-0010-0000-0400-000006000000}" name="5" totalsRowFunction="count" dataDxfId="601" totalsRowDxfId="600"/>
    <tableColumn id="7" xr3:uid="{00000000-0010-0000-0400-000007000000}" name="6" totalsRowFunction="count" dataDxfId="599" totalsRowDxfId="598"/>
    <tableColumn id="8" xr3:uid="{00000000-0010-0000-0400-000008000000}" name="7" totalsRowFunction="count" dataDxfId="597" totalsRowDxfId="596"/>
    <tableColumn id="9" xr3:uid="{00000000-0010-0000-0400-000009000000}" name="8" totalsRowFunction="count" dataDxfId="595" totalsRowDxfId="594"/>
    <tableColumn id="10" xr3:uid="{00000000-0010-0000-0400-00000A000000}" name="9" totalsRowFunction="count" dataDxfId="593" totalsRowDxfId="592"/>
    <tableColumn id="11" xr3:uid="{00000000-0010-0000-0400-00000B000000}" name="10" totalsRowFunction="count" dataDxfId="591" totalsRowDxfId="590"/>
    <tableColumn id="12" xr3:uid="{00000000-0010-0000-0400-00000C000000}" name="11" totalsRowFunction="count" dataDxfId="589" totalsRowDxfId="588"/>
    <tableColumn id="13" xr3:uid="{00000000-0010-0000-0400-00000D000000}" name="12" totalsRowFunction="count" dataDxfId="587" totalsRowDxfId="586"/>
    <tableColumn id="14" xr3:uid="{00000000-0010-0000-0400-00000E000000}" name="13" totalsRowFunction="count" dataDxfId="585" totalsRowDxfId="584"/>
    <tableColumn id="15" xr3:uid="{00000000-0010-0000-0400-00000F000000}" name="14" totalsRowFunction="count" dataDxfId="583" totalsRowDxfId="582"/>
    <tableColumn id="16" xr3:uid="{00000000-0010-0000-0400-000010000000}" name="15" totalsRowFunction="count" dataDxfId="581" totalsRowDxfId="580"/>
    <tableColumn id="17" xr3:uid="{00000000-0010-0000-0400-000011000000}" name="16" totalsRowFunction="count" dataDxfId="579" totalsRowDxfId="578"/>
    <tableColumn id="18" xr3:uid="{00000000-0010-0000-0400-000012000000}" name="17" totalsRowFunction="count" dataDxfId="577" totalsRowDxfId="576"/>
    <tableColumn id="19" xr3:uid="{00000000-0010-0000-0400-000013000000}" name="18" totalsRowFunction="count" dataDxfId="575" totalsRowDxfId="574"/>
    <tableColumn id="20" xr3:uid="{00000000-0010-0000-0400-000014000000}" name="19" totalsRowFunction="count" dataDxfId="573" totalsRowDxfId="572"/>
    <tableColumn id="21" xr3:uid="{00000000-0010-0000-0400-000015000000}" name="20" totalsRowFunction="count" dataDxfId="571" totalsRowDxfId="570"/>
    <tableColumn id="22" xr3:uid="{00000000-0010-0000-0400-000016000000}" name="21" totalsRowFunction="count" dataDxfId="569" totalsRowDxfId="568"/>
    <tableColumn id="23" xr3:uid="{00000000-0010-0000-0400-000017000000}" name="22" totalsRowFunction="count" dataDxfId="567" totalsRowDxfId="566"/>
    <tableColumn id="24" xr3:uid="{00000000-0010-0000-0400-000018000000}" name="23" totalsRowFunction="count" dataDxfId="565" totalsRowDxfId="564"/>
    <tableColumn id="25" xr3:uid="{00000000-0010-0000-0400-000019000000}" name="24" totalsRowFunction="count" dataDxfId="563" totalsRowDxfId="562"/>
    <tableColumn id="26" xr3:uid="{00000000-0010-0000-0400-00001A000000}" name="25" totalsRowFunction="count" dataDxfId="561" totalsRowDxfId="560"/>
    <tableColumn id="27" xr3:uid="{00000000-0010-0000-0400-00001B000000}" name="26" totalsRowFunction="count" dataDxfId="559" totalsRowDxfId="558"/>
    <tableColumn id="28" xr3:uid="{00000000-0010-0000-0400-00001C000000}" name="27" totalsRowFunction="count" dataDxfId="557" totalsRowDxfId="556"/>
    <tableColumn id="29" xr3:uid="{00000000-0010-0000-0400-00001D000000}" name="28" totalsRowFunction="count" dataDxfId="555" totalsRowDxfId="554"/>
    <tableColumn id="30" xr3:uid="{00000000-0010-0000-0400-00001E000000}" name="29" totalsRowFunction="count" dataDxfId="553" totalsRowDxfId="552"/>
    <tableColumn id="31" xr3:uid="{00000000-0010-0000-0400-00001F000000}" name="30" totalsRowFunction="count" dataDxfId="551" totalsRowDxfId="550"/>
    <tableColumn id="32" xr3:uid="{00000000-0010-0000-0400-000020000000}" name="31" totalsRowFunction="count" dataDxfId="549" totalsRowDxfId="548"/>
    <tableColumn id="33" xr3:uid="{00000000-0010-0000-0400-000021000000}" name="Total des jours" totalsRowFunction="sum" dataDxfId="547" totalsRowDxfId="546">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545" dataDxfId="544" totalsRowDxfId="543">
  <tableColumns count="33">
    <tableColumn id="1" xr3:uid="{00000000-0010-0000-0500-000001000000}" name="Nom de l’employé" totalsRowFunction="custom" dataDxfId="542" totalsRowDxfId="541" dataCellStyle="Employé">
      <totalsRowFormula>NomMois&amp;" Total"</totalsRowFormula>
    </tableColumn>
    <tableColumn id="2" xr3:uid="{00000000-0010-0000-0500-000002000000}" name="1" totalsRowFunction="count" dataDxfId="540" totalsRowDxfId="539"/>
    <tableColumn id="3" xr3:uid="{00000000-0010-0000-0500-000003000000}" name="2" totalsRowFunction="count" dataDxfId="538" totalsRowDxfId="537"/>
    <tableColumn id="4" xr3:uid="{00000000-0010-0000-0500-000004000000}" name="3" totalsRowFunction="count" dataDxfId="536" totalsRowDxfId="535"/>
    <tableColumn id="5" xr3:uid="{00000000-0010-0000-0500-000005000000}" name="4" totalsRowFunction="count" dataDxfId="534" totalsRowDxfId="533"/>
    <tableColumn id="6" xr3:uid="{00000000-0010-0000-0500-000006000000}" name="5" totalsRowFunction="count" dataDxfId="532" totalsRowDxfId="531"/>
    <tableColumn id="7" xr3:uid="{00000000-0010-0000-0500-000007000000}" name="6" totalsRowFunction="count" dataDxfId="530" totalsRowDxfId="529"/>
    <tableColumn id="8" xr3:uid="{00000000-0010-0000-0500-000008000000}" name="7" totalsRowFunction="count" dataDxfId="528" totalsRowDxfId="527"/>
    <tableColumn id="9" xr3:uid="{00000000-0010-0000-0500-000009000000}" name="8" totalsRowFunction="count" dataDxfId="526" totalsRowDxfId="525"/>
    <tableColumn id="10" xr3:uid="{00000000-0010-0000-0500-00000A000000}" name="9" totalsRowFunction="count" dataDxfId="524" totalsRowDxfId="523"/>
    <tableColumn id="11" xr3:uid="{00000000-0010-0000-0500-00000B000000}" name="10" totalsRowFunction="count" dataDxfId="522" totalsRowDxfId="521"/>
    <tableColumn id="12" xr3:uid="{00000000-0010-0000-0500-00000C000000}" name="11" totalsRowFunction="count" dataDxfId="520" totalsRowDxfId="519"/>
    <tableColumn id="13" xr3:uid="{00000000-0010-0000-0500-00000D000000}" name="12" totalsRowFunction="count" dataDxfId="518" totalsRowDxfId="517"/>
    <tableColumn id="14" xr3:uid="{00000000-0010-0000-0500-00000E000000}" name="13" totalsRowFunction="count" dataDxfId="516" totalsRowDxfId="515"/>
    <tableColumn id="15" xr3:uid="{00000000-0010-0000-0500-00000F000000}" name="14" totalsRowFunction="count" dataDxfId="514" totalsRowDxfId="513"/>
    <tableColumn id="16" xr3:uid="{00000000-0010-0000-0500-000010000000}" name="15" totalsRowFunction="count" dataDxfId="512" totalsRowDxfId="511"/>
    <tableColumn id="17" xr3:uid="{00000000-0010-0000-0500-000011000000}" name="16" totalsRowFunction="count" dataDxfId="510" totalsRowDxfId="509"/>
    <tableColumn id="18" xr3:uid="{00000000-0010-0000-0500-000012000000}" name="17" totalsRowFunction="count" dataDxfId="508" totalsRowDxfId="507"/>
    <tableColumn id="19" xr3:uid="{00000000-0010-0000-0500-000013000000}" name="18" totalsRowFunction="count" dataDxfId="506" totalsRowDxfId="505"/>
    <tableColumn id="20" xr3:uid="{00000000-0010-0000-0500-000014000000}" name="19" totalsRowFunction="count" dataDxfId="504" totalsRowDxfId="503"/>
    <tableColumn id="21" xr3:uid="{00000000-0010-0000-0500-000015000000}" name="20" totalsRowFunction="count" dataDxfId="502" totalsRowDxfId="501"/>
    <tableColumn id="22" xr3:uid="{00000000-0010-0000-0500-000016000000}" name="21" totalsRowFunction="count" dataDxfId="500" totalsRowDxfId="499"/>
    <tableColumn id="23" xr3:uid="{00000000-0010-0000-0500-000017000000}" name="22" totalsRowFunction="count" dataDxfId="498" totalsRowDxfId="497"/>
    <tableColumn id="24" xr3:uid="{00000000-0010-0000-0500-000018000000}" name="23" totalsRowFunction="count" dataDxfId="496" totalsRowDxfId="495"/>
    <tableColumn id="25" xr3:uid="{00000000-0010-0000-0500-000019000000}" name="24" totalsRowFunction="count" dataDxfId="494" totalsRowDxfId="493"/>
    <tableColumn id="26" xr3:uid="{00000000-0010-0000-0500-00001A000000}" name="25" totalsRowFunction="count" dataDxfId="492" totalsRowDxfId="491"/>
    <tableColumn id="27" xr3:uid="{00000000-0010-0000-0500-00001B000000}" name="26" totalsRowFunction="count" dataDxfId="490" totalsRowDxfId="489"/>
    <tableColumn id="28" xr3:uid="{00000000-0010-0000-0500-00001C000000}" name="27" totalsRowFunction="count" dataDxfId="488" totalsRowDxfId="487"/>
    <tableColumn id="29" xr3:uid="{00000000-0010-0000-0500-00001D000000}" name="28" totalsRowFunction="count" dataDxfId="486" totalsRowDxfId="485"/>
    <tableColumn id="30" xr3:uid="{00000000-0010-0000-0500-00001E000000}" name="29" totalsRowFunction="count" dataDxfId="484" totalsRowDxfId="483"/>
    <tableColumn id="31" xr3:uid="{00000000-0010-0000-0500-00001F000000}" name="30" totalsRowFunction="count" dataDxfId="482" totalsRowDxfId="481"/>
    <tableColumn id="32" xr3:uid="{00000000-0010-0000-0500-000020000000}" name=" " totalsRowFunction="count" dataDxfId="480" totalsRowDxfId="479"/>
    <tableColumn id="33" xr3:uid="{00000000-0010-0000-0500-000021000000}" name="Total des jours" totalsRowFunction="sum" dataDxfId="478" totalsRowDxfId="477">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4" totalsRowCount="1" headerRowDxfId="476" dataDxfId="475" totalsRowDxfId="474">
  <tableColumns count="33">
    <tableColumn id="1" xr3:uid="{00000000-0010-0000-0600-000001000000}" name="Nom de l’employé" totalsRowFunction="custom" dataDxfId="473" totalsRowDxfId="472" dataCellStyle="Employé">
      <totalsRowFormula>NomMois&amp;" Total"</totalsRowFormula>
    </tableColumn>
    <tableColumn id="2" xr3:uid="{00000000-0010-0000-0600-000002000000}" name="1" totalsRowFunction="count" dataDxfId="471" totalsRowDxfId="470"/>
    <tableColumn id="3" xr3:uid="{00000000-0010-0000-0600-000003000000}" name="2" totalsRowFunction="count" dataDxfId="469" totalsRowDxfId="468"/>
    <tableColumn id="4" xr3:uid="{00000000-0010-0000-0600-000004000000}" name="3" totalsRowFunction="count" dataDxfId="467" totalsRowDxfId="466"/>
    <tableColumn id="5" xr3:uid="{00000000-0010-0000-0600-000005000000}" name="4" totalsRowFunction="count" dataDxfId="465" totalsRowDxfId="464"/>
    <tableColumn id="6" xr3:uid="{00000000-0010-0000-0600-000006000000}" name="5" totalsRowFunction="count" dataDxfId="463" totalsRowDxfId="462"/>
    <tableColumn id="7" xr3:uid="{00000000-0010-0000-0600-000007000000}" name="6" totalsRowFunction="count" dataDxfId="461" totalsRowDxfId="460"/>
    <tableColumn id="8" xr3:uid="{00000000-0010-0000-0600-000008000000}" name="7" totalsRowFunction="count" dataDxfId="459" totalsRowDxfId="458"/>
    <tableColumn id="9" xr3:uid="{00000000-0010-0000-0600-000009000000}" name="8" totalsRowFunction="count" dataDxfId="457" totalsRowDxfId="456"/>
    <tableColumn id="10" xr3:uid="{00000000-0010-0000-0600-00000A000000}" name="9" totalsRowFunction="count" dataDxfId="455" totalsRowDxfId="454"/>
    <tableColumn id="11" xr3:uid="{00000000-0010-0000-0600-00000B000000}" name="10" totalsRowFunction="count" dataDxfId="453" totalsRowDxfId="452"/>
    <tableColumn id="12" xr3:uid="{00000000-0010-0000-0600-00000C000000}" name="11" totalsRowFunction="count" dataDxfId="451" totalsRowDxfId="450"/>
    <tableColumn id="13" xr3:uid="{00000000-0010-0000-0600-00000D000000}" name="12" totalsRowFunction="count" dataDxfId="449" totalsRowDxfId="448"/>
    <tableColumn id="14" xr3:uid="{00000000-0010-0000-0600-00000E000000}" name="13" totalsRowFunction="count" dataDxfId="447" totalsRowDxfId="446"/>
    <tableColumn id="15" xr3:uid="{00000000-0010-0000-0600-00000F000000}" name="14" totalsRowFunction="count" dataDxfId="445" totalsRowDxfId="444"/>
    <tableColumn id="16" xr3:uid="{00000000-0010-0000-0600-000010000000}" name="15" totalsRowFunction="count" dataDxfId="443" totalsRowDxfId="442"/>
    <tableColumn id="17" xr3:uid="{00000000-0010-0000-0600-000011000000}" name="16" totalsRowFunction="count" dataDxfId="441" totalsRowDxfId="440"/>
    <tableColumn id="18" xr3:uid="{00000000-0010-0000-0600-000012000000}" name="17" totalsRowFunction="count" dataDxfId="439" totalsRowDxfId="438"/>
    <tableColumn id="19" xr3:uid="{00000000-0010-0000-0600-000013000000}" name="18" totalsRowFunction="count" dataDxfId="437" totalsRowDxfId="436"/>
    <tableColumn id="20" xr3:uid="{00000000-0010-0000-0600-000014000000}" name="19" totalsRowFunction="count" dataDxfId="435" totalsRowDxfId="434"/>
    <tableColumn id="21" xr3:uid="{00000000-0010-0000-0600-000015000000}" name="20" totalsRowFunction="count" dataDxfId="433" totalsRowDxfId="432"/>
    <tableColumn id="22" xr3:uid="{00000000-0010-0000-0600-000016000000}" name="21" totalsRowFunction="count" dataDxfId="431" totalsRowDxfId="430"/>
    <tableColumn id="23" xr3:uid="{00000000-0010-0000-0600-000017000000}" name="22" totalsRowFunction="count" dataDxfId="429" totalsRowDxfId="428"/>
    <tableColumn id="24" xr3:uid="{00000000-0010-0000-0600-000018000000}" name="23" totalsRowFunction="count" dataDxfId="427" totalsRowDxfId="426"/>
    <tableColumn id="25" xr3:uid="{00000000-0010-0000-0600-000019000000}" name="24" totalsRowFunction="count" dataDxfId="425" totalsRowDxfId="424"/>
    <tableColumn id="26" xr3:uid="{00000000-0010-0000-0600-00001A000000}" name="25" totalsRowFunction="count" dataDxfId="423" totalsRowDxfId="422"/>
    <tableColumn id="27" xr3:uid="{00000000-0010-0000-0600-00001B000000}" name="26" totalsRowFunction="count" dataDxfId="421" totalsRowDxfId="420"/>
    <tableColumn id="28" xr3:uid="{00000000-0010-0000-0600-00001C000000}" name="27" totalsRowFunction="count" dataDxfId="419" totalsRowDxfId="418"/>
    <tableColumn id="29" xr3:uid="{00000000-0010-0000-0600-00001D000000}" name="28" totalsRowFunction="count" dataDxfId="417" totalsRowDxfId="416"/>
    <tableColumn id="30" xr3:uid="{00000000-0010-0000-0600-00001E000000}" name="29" totalsRowFunction="count" dataDxfId="415" totalsRowDxfId="414"/>
    <tableColumn id="31" xr3:uid="{00000000-0010-0000-0600-00001F000000}" name="30" totalsRowFunction="count" dataDxfId="413" totalsRowDxfId="412"/>
    <tableColumn id="32" xr3:uid="{00000000-0010-0000-0600-000020000000}" name="31" totalsRowFunction="count" dataDxfId="411" totalsRowDxfId="410"/>
    <tableColumn id="33" xr3:uid="{00000000-0010-0000-0600-000021000000}" name="Total des jours" totalsRowFunction="sum" dataDxfId="409" totalsRowDxfId="408">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407" dataDxfId="406" totalsRowDxfId="405">
  <tableColumns count="33">
    <tableColumn id="1" xr3:uid="{00000000-0010-0000-0700-000001000000}" name="Nom de l’employé" totalsRowFunction="custom" dataDxfId="404" totalsRowDxfId="403" dataCellStyle="Employé">
      <totalsRowFormula>NomMois&amp;" Total"</totalsRowFormula>
    </tableColumn>
    <tableColumn id="2" xr3:uid="{00000000-0010-0000-0700-000002000000}" name="1" totalsRowFunction="count" dataDxfId="402" totalsRowDxfId="401"/>
    <tableColumn id="3" xr3:uid="{00000000-0010-0000-0700-000003000000}" name="2" totalsRowFunction="count" dataDxfId="400" totalsRowDxfId="399"/>
    <tableColumn id="4" xr3:uid="{00000000-0010-0000-0700-000004000000}" name="3" totalsRowFunction="count" dataDxfId="398" totalsRowDxfId="397"/>
    <tableColumn id="5" xr3:uid="{00000000-0010-0000-0700-000005000000}" name="4" totalsRowFunction="count" dataDxfId="396" totalsRowDxfId="395"/>
    <tableColumn id="6" xr3:uid="{00000000-0010-0000-0700-000006000000}" name="5" totalsRowFunction="count" dataDxfId="394" totalsRowDxfId="393"/>
    <tableColumn id="7" xr3:uid="{00000000-0010-0000-0700-000007000000}" name="6" totalsRowFunction="count" dataDxfId="392" totalsRowDxfId="391"/>
    <tableColumn id="8" xr3:uid="{00000000-0010-0000-0700-000008000000}" name="7" totalsRowFunction="count" dataDxfId="390" totalsRowDxfId="389"/>
    <tableColumn id="9" xr3:uid="{00000000-0010-0000-0700-000009000000}" name="8" totalsRowFunction="count" dataDxfId="388" totalsRowDxfId="387"/>
    <tableColumn id="10" xr3:uid="{00000000-0010-0000-0700-00000A000000}" name="9" totalsRowFunction="count" dataDxfId="386" totalsRowDxfId="385"/>
    <tableColumn id="11" xr3:uid="{00000000-0010-0000-0700-00000B000000}" name="10" totalsRowFunction="count" dataDxfId="384" totalsRowDxfId="383"/>
    <tableColumn id="12" xr3:uid="{00000000-0010-0000-0700-00000C000000}" name="11" totalsRowFunction="count" dataDxfId="382" totalsRowDxfId="381"/>
    <tableColumn id="13" xr3:uid="{00000000-0010-0000-0700-00000D000000}" name="12" totalsRowFunction="count" dataDxfId="380" totalsRowDxfId="379"/>
    <tableColumn id="14" xr3:uid="{00000000-0010-0000-0700-00000E000000}" name="13" totalsRowFunction="count" dataDxfId="378" totalsRowDxfId="377"/>
    <tableColumn id="15" xr3:uid="{00000000-0010-0000-0700-00000F000000}" name="14" totalsRowFunction="count" dataDxfId="376" totalsRowDxfId="375"/>
    <tableColumn id="16" xr3:uid="{00000000-0010-0000-0700-000010000000}" name="15" totalsRowFunction="count" dataDxfId="374" totalsRowDxfId="373"/>
    <tableColumn id="17" xr3:uid="{00000000-0010-0000-0700-000011000000}" name="16" totalsRowFunction="count" dataDxfId="372" totalsRowDxfId="371"/>
    <tableColumn id="18" xr3:uid="{00000000-0010-0000-0700-000012000000}" name="17" totalsRowFunction="count" dataDxfId="370" totalsRowDxfId="369"/>
    <tableColumn id="19" xr3:uid="{00000000-0010-0000-0700-000013000000}" name="18" totalsRowFunction="count" dataDxfId="368" totalsRowDxfId="367"/>
    <tableColumn id="20" xr3:uid="{00000000-0010-0000-0700-000014000000}" name="19" totalsRowFunction="count" dataDxfId="366" totalsRowDxfId="365"/>
    <tableColumn id="21" xr3:uid="{00000000-0010-0000-0700-000015000000}" name="20" totalsRowFunction="count" dataDxfId="364" totalsRowDxfId="363"/>
    <tableColumn id="22" xr3:uid="{00000000-0010-0000-0700-000016000000}" name="21" totalsRowFunction="count" dataDxfId="362" totalsRowDxfId="361"/>
    <tableColumn id="23" xr3:uid="{00000000-0010-0000-0700-000017000000}" name="22" totalsRowFunction="count" dataDxfId="360" totalsRowDxfId="359"/>
    <tableColumn id="24" xr3:uid="{00000000-0010-0000-0700-000018000000}" name="23" totalsRowFunction="count" dataDxfId="358" totalsRowDxfId="357"/>
    <tableColumn id="25" xr3:uid="{00000000-0010-0000-0700-000019000000}" name="24" totalsRowFunction="count" dataDxfId="356" totalsRowDxfId="355"/>
    <tableColumn id="26" xr3:uid="{00000000-0010-0000-0700-00001A000000}" name="25" totalsRowFunction="count" dataDxfId="354" totalsRowDxfId="353"/>
    <tableColumn id="27" xr3:uid="{00000000-0010-0000-0700-00001B000000}" name="26" totalsRowFunction="count" dataDxfId="352" totalsRowDxfId="351"/>
    <tableColumn id="28" xr3:uid="{00000000-0010-0000-0700-00001C000000}" name="27" totalsRowFunction="count" dataDxfId="350" totalsRowDxfId="349"/>
    <tableColumn id="29" xr3:uid="{00000000-0010-0000-0700-00001D000000}" name="28" totalsRowFunction="count" dataDxfId="348" totalsRowDxfId="347"/>
    <tableColumn id="30" xr3:uid="{00000000-0010-0000-0700-00001E000000}" name="29" totalsRowFunction="count" dataDxfId="346" totalsRowDxfId="345"/>
    <tableColumn id="31" xr3:uid="{00000000-0010-0000-0700-00001F000000}" name="30" totalsRowFunction="count" dataDxfId="344" totalsRowDxfId="343"/>
    <tableColumn id="32" xr3:uid="{00000000-0010-0000-0700-000020000000}" name="31" totalsRowFunction="count" dataDxfId="342" totalsRowDxfId="341"/>
    <tableColumn id="33" xr3:uid="{00000000-0010-0000-0700-000021000000}" name="Total des jours" totalsRowFunction="sum" dataDxfId="340" totalsRowDxfId="339">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338" dataDxfId="337" totalsRowDxfId="336">
  <tableColumns count="33">
    <tableColumn id="1" xr3:uid="{00000000-0010-0000-0800-000001000000}" name="Nom de l’employé" totalsRowFunction="custom" dataDxfId="335" totalsRowDxfId="334" dataCellStyle="Employé">
      <totalsRowFormula>NomMois&amp;" Total"</totalsRowFormula>
    </tableColumn>
    <tableColumn id="2" xr3:uid="{00000000-0010-0000-0800-000002000000}" name="1" totalsRowFunction="count" dataDxfId="333" totalsRowDxfId="332"/>
    <tableColumn id="3" xr3:uid="{00000000-0010-0000-0800-000003000000}" name="2" totalsRowFunction="count" dataDxfId="331" totalsRowDxfId="330"/>
    <tableColumn id="4" xr3:uid="{00000000-0010-0000-0800-000004000000}" name="3" totalsRowFunction="count" dataDxfId="329" totalsRowDxfId="328"/>
    <tableColumn id="5" xr3:uid="{00000000-0010-0000-0800-000005000000}" name="4" totalsRowFunction="count" dataDxfId="327" totalsRowDxfId="326"/>
    <tableColumn id="6" xr3:uid="{00000000-0010-0000-0800-000006000000}" name="5" totalsRowFunction="count" dataDxfId="325" totalsRowDxfId="324"/>
    <tableColumn id="7" xr3:uid="{00000000-0010-0000-0800-000007000000}" name="6" totalsRowFunction="count" dataDxfId="323" totalsRowDxfId="322"/>
    <tableColumn id="8" xr3:uid="{00000000-0010-0000-0800-000008000000}" name="7" totalsRowFunction="count" dataDxfId="321" totalsRowDxfId="320"/>
    <tableColumn id="9" xr3:uid="{00000000-0010-0000-0800-000009000000}" name="8" totalsRowFunction="count" dataDxfId="319" totalsRowDxfId="318"/>
    <tableColumn id="10" xr3:uid="{00000000-0010-0000-0800-00000A000000}" name="9" totalsRowFunction="count" dataDxfId="317" totalsRowDxfId="316"/>
    <tableColumn id="11" xr3:uid="{00000000-0010-0000-0800-00000B000000}" name="10" totalsRowFunction="count" dataDxfId="315" totalsRowDxfId="314"/>
    <tableColumn id="12" xr3:uid="{00000000-0010-0000-0800-00000C000000}" name="11" totalsRowFunction="count" dataDxfId="313" totalsRowDxfId="312"/>
    <tableColumn id="13" xr3:uid="{00000000-0010-0000-0800-00000D000000}" name="12" totalsRowFunction="count" dataDxfId="311" totalsRowDxfId="310"/>
    <tableColumn id="14" xr3:uid="{00000000-0010-0000-0800-00000E000000}" name="13" totalsRowFunction="count" dataDxfId="309" totalsRowDxfId="308"/>
    <tableColumn id="15" xr3:uid="{00000000-0010-0000-0800-00000F000000}" name="14" totalsRowFunction="count" dataDxfId="307" totalsRowDxfId="306"/>
    <tableColumn id="16" xr3:uid="{00000000-0010-0000-0800-000010000000}" name="15" totalsRowFunction="count" dataDxfId="305" totalsRowDxfId="304"/>
    <tableColumn id="17" xr3:uid="{00000000-0010-0000-0800-000011000000}" name="16" totalsRowFunction="count" dataDxfId="303" totalsRowDxfId="302"/>
    <tableColumn id="18" xr3:uid="{00000000-0010-0000-0800-000012000000}" name="17" totalsRowFunction="count" dataDxfId="301" totalsRowDxfId="300"/>
    <tableColumn id="19" xr3:uid="{00000000-0010-0000-0800-000013000000}" name="18" totalsRowFunction="count" dataDxfId="299" totalsRowDxfId="298"/>
    <tableColumn id="20" xr3:uid="{00000000-0010-0000-0800-000014000000}" name="19" totalsRowFunction="count" dataDxfId="297" totalsRowDxfId="296"/>
    <tableColumn id="21" xr3:uid="{00000000-0010-0000-0800-000015000000}" name="20" totalsRowFunction="count" dataDxfId="295" totalsRowDxfId="294"/>
    <tableColumn id="22" xr3:uid="{00000000-0010-0000-0800-000016000000}" name="21" totalsRowFunction="count" dataDxfId="293" totalsRowDxfId="292"/>
    <tableColumn id="23" xr3:uid="{00000000-0010-0000-0800-000017000000}" name="22" totalsRowFunction="count" dataDxfId="291" totalsRowDxfId="290"/>
    <tableColumn id="24" xr3:uid="{00000000-0010-0000-0800-000018000000}" name="23" totalsRowFunction="count" dataDxfId="289" totalsRowDxfId="288"/>
    <tableColumn id="25" xr3:uid="{00000000-0010-0000-0800-000019000000}" name="24" totalsRowFunction="count" dataDxfId="287" totalsRowDxfId="286"/>
    <tableColumn id="26" xr3:uid="{00000000-0010-0000-0800-00001A000000}" name="25" totalsRowFunction="count" dataDxfId="285" totalsRowDxfId="284"/>
    <tableColumn id="27" xr3:uid="{00000000-0010-0000-0800-00001B000000}" name="26" totalsRowFunction="count" dataDxfId="283" totalsRowDxfId="282"/>
    <tableColumn id="28" xr3:uid="{00000000-0010-0000-0800-00001C000000}" name="27" totalsRowFunction="count" dataDxfId="281" totalsRowDxfId="280"/>
    <tableColumn id="29" xr3:uid="{00000000-0010-0000-0800-00001D000000}" name="28" totalsRowFunction="count" dataDxfId="279" totalsRowDxfId="278"/>
    <tableColumn id="30" xr3:uid="{00000000-0010-0000-0800-00001E000000}" name="29" totalsRowFunction="count" dataDxfId="277" totalsRowDxfId="276"/>
    <tableColumn id="31" xr3:uid="{00000000-0010-0000-0800-00001F000000}" name="30" totalsRowFunction="count" dataDxfId="275" totalsRowDxfId="274"/>
    <tableColumn id="32" xr3:uid="{00000000-0010-0000-0800-000020000000}" name=" " totalsRowFunction="count" dataDxfId="273" totalsRowDxfId="272"/>
    <tableColumn id="33" xr3:uid="{00000000-0010-0000-0800-000021000000}" name="Total des jours" totalsRowFunction="sum" dataDxfId="271" totalsRowDxfId="270">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269" dataDxfId="268" totalsRowDxfId="267">
  <tableColumns count="33">
    <tableColumn id="1" xr3:uid="{00000000-0010-0000-0900-000001000000}" name="Nom de l’employé" totalsRowFunction="custom" dataDxfId="266" totalsRowDxfId="265" dataCellStyle="Employé">
      <totalsRowFormula>NomMois&amp;" Total"</totalsRowFormula>
    </tableColumn>
    <tableColumn id="2" xr3:uid="{00000000-0010-0000-0900-000002000000}" name="1" totalsRowFunction="count" dataDxfId="264" totalsRowDxfId="263"/>
    <tableColumn id="3" xr3:uid="{00000000-0010-0000-0900-000003000000}" name="2" totalsRowFunction="count" dataDxfId="262" totalsRowDxfId="261"/>
    <tableColumn id="4" xr3:uid="{00000000-0010-0000-0900-000004000000}" name="3" totalsRowFunction="count" dataDxfId="260" totalsRowDxfId="259"/>
    <tableColumn id="5" xr3:uid="{00000000-0010-0000-0900-000005000000}" name="4" totalsRowFunction="count" dataDxfId="258" totalsRowDxfId="257"/>
    <tableColumn id="6" xr3:uid="{00000000-0010-0000-0900-000006000000}" name="5" totalsRowFunction="count" dataDxfId="256" totalsRowDxfId="255"/>
    <tableColumn id="7" xr3:uid="{00000000-0010-0000-0900-000007000000}" name="6" totalsRowFunction="count" dataDxfId="254" totalsRowDxfId="253"/>
    <tableColumn id="8" xr3:uid="{00000000-0010-0000-0900-000008000000}" name="7" totalsRowFunction="count" dataDxfId="252" totalsRowDxfId="251"/>
    <tableColumn id="9" xr3:uid="{00000000-0010-0000-0900-000009000000}" name="8" totalsRowFunction="count" dataDxfId="250" totalsRowDxfId="249"/>
    <tableColumn id="10" xr3:uid="{00000000-0010-0000-0900-00000A000000}" name="9" totalsRowFunction="count" dataDxfId="248" totalsRowDxfId="247"/>
    <tableColumn id="11" xr3:uid="{00000000-0010-0000-0900-00000B000000}" name="10" totalsRowFunction="count" dataDxfId="246" totalsRowDxfId="245"/>
    <tableColumn id="12" xr3:uid="{00000000-0010-0000-0900-00000C000000}" name="11" totalsRowFunction="count" dataDxfId="244" totalsRowDxfId="243"/>
    <tableColumn id="13" xr3:uid="{00000000-0010-0000-0900-00000D000000}" name="12" totalsRowFunction="count" dataDxfId="242" totalsRowDxfId="241"/>
    <tableColumn id="14" xr3:uid="{00000000-0010-0000-0900-00000E000000}" name="13" totalsRowFunction="count" dataDxfId="240" totalsRowDxfId="239"/>
    <tableColumn id="15" xr3:uid="{00000000-0010-0000-0900-00000F000000}" name="14" totalsRowFunction="count" dataDxfId="238" totalsRowDxfId="237"/>
    <tableColumn id="16" xr3:uid="{00000000-0010-0000-0900-000010000000}" name="15" totalsRowFunction="count" dataDxfId="236" totalsRowDxfId="235"/>
    <tableColumn id="17" xr3:uid="{00000000-0010-0000-0900-000011000000}" name="16" totalsRowFunction="count" dataDxfId="234" totalsRowDxfId="233"/>
    <tableColumn id="18" xr3:uid="{00000000-0010-0000-0900-000012000000}" name="17" totalsRowFunction="count" dataDxfId="232" totalsRowDxfId="231"/>
    <tableColumn id="19" xr3:uid="{00000000-0010-0000-0900-000013000000}" name="18" totalsRowFunction="count" dataDxfId="230" totalsRowDxfId="229"/>
    <tableColumn id="20" xr3:uid="{00000000-0010-0000-0900-000014000000}" name="19" totalsRowFunction="count" dataDxfId="228" totalsRowDxfId="227"/>
    <tableColumn id="21" xr3:uid="{00000000-0010-0000-0900-000015000000}" name="20" totalsRowFunction="count" dataDxfId="226" totalsRowDxfId="225"/>
    <tableColumn id="22" xr3:uid="{00000000-0010-0000-0900-000016000000}" name="21" totalsRowFunction="count" dataDxfId="224" totalsRowDxfId="223"/>
    <tableColumn id="23" xr3:uid="{00000000-0010-0000-0900-000017000000}" name="22" totalsRowFunction="count" dataDxfId="222" totalsRowDxfId="221"/>
    <tableColumn id="24" xr3:uid="{00000000-0010-0000-0900-000018000000}" name="23" totalsRowFunction="count" dataDxfId="220" totalsRowDxfId="219"/>
    <tableColumn id="25" xr3:uid="{00000000-0010-0000-0900-000019000000}" name="24" totalsRowFunction="count" dataDxfId="218" totalsRowDxfId="217"/>
    <tableColumn id="26" xr3:uid="{00000000-0010-0000-0900-00001A000000}" name="25" totalsRowFunction="count" dataDxfId="216" totalsRowDxfId="215"/>
    <tableColumn id="27" xr3:uid="{00000000-0010-0000-0900-00001B000000}" name="26" totalsRowFunction="count" dataDxfId="214" totalsRowDxfId="213"/>
    <tableColumn id="28" xr3:uid="{00000000-0010-0000-0900-00001C000000}" name="27" totalsRowFunction="count" dataDxfId="212" totalsRowDxfId="211"/>
    <tableColumn id="29" xr3:uid="{00000000-0010-0000-0900-00001D000000}" name="28" totalsRowFunction="count" dataDxfId="210" totalsRowDxfId="209"/>
    <tableColumn id="30" xr3:uid="{00000000-0010-0000-0900-00001E000000}" name="29" totalsRowFunction="count" dataDxfId="208" totalsRowDxfId="207"/>
    <tableColumn id="31" xr3:uid="{00000000-0010-0000-0900-00001F000000}" name="30" totalsRowFunction="count" dataDxfId="206" totalsRowDxfId="205"/>
    <tableColumn id="32" xr3:uid="{00000000-0010-0000-0900-000020000000}" name="31" totalsRowFunction="count" dataDxfId="204" totalsRowDxfId="203"/>
    <tableColumn id="33" xr3:uid="{00000000-0010-0000-0900-000021000000}" name="Total des jours" totalsRowFunction="sum" dataDxfId="202" totalsRowDxfId="201">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200" dataDxfId="199" totalsRowDxfId="198">
  <tableColumns count="33">
    <tableColumn id="1" xr3:uid="{00000000-0010-0000-0A00-000001000000}" name="Nom de l’employé" totalsRowFunction="custom" dataDxfId="197" totalsRowDxfId="196" dataCellStyle="Employé">
      <totalsRowFormula>NomMois&amp;" Total"</totalsRowFormula>
    </tableColumn>
    <tableColumn id="2" xr3:uid="{00000000-0010-0000-0A00-000002000000}" name="1" totalsRowFunction="count" dataDxfId="195" totalsRowDxfId="194"/>
    <tableColumn id="3" xr3:uid="{00000000-0010-0000-0A00-000003000000}" name="2" totalsRowFunction="count" dataDxfId="193" totalsRowDxfId="192"/>
    <tableColumn id="4" xr3:uid="{00000000-0010-0000-0A00-000004000000}" name="3" totalsRowFunction="count" dataDxfId="191" totalsRowDxfId="190"/>
    <tableColumn id="5" xr3:uid="{00000000-0010-0000-0A00-000005000000}" name="4" totalsRowFunction="count" dataDxfId="189" totalsRowDxfId="188"/>
    <tableColumn id="6" xr3:uid="{00000000-0010-0000-0A00-000006000000}" name="5" totalsRowFunction="count" dataDxfId="187" totalsRowDxfId="186"/>
    <tableColumn id="7" xr3:uid="{00000000-0010-0000-0A00-000007000000}" name="6" totalsRowFunction="count" dataDxfId="185" totalsRowDxfId="184"/>
    <tableColumn id="8" xr3:uid="{00000000-0010-0000-0A00-000008000000}" name="7" totalsRowFunction="count" dataDxfId="183" totalsRowDxfId="182"/>
    <tableColumn id="9" xr3:uid="{00000000-0010-0000-0A00-000009000000}" name="8" totalsRowFunction="count" dataDxfId="181" totalsRowDxfId="180"/>
    <tableColumn id="10" xr3:uid="{00000000-0010-0000-0A00-00000A000000}" name="9" totalsRowFunction="count" dataDxfId="179" totalsRowDxfId="178"/>
    <tableColumn id="11" xr3:uid="{00000000-0010-0000-0A00-00000B000000}" name="10" totalsRowFunction="count" dataDxfId="177" totalsRowDxfId="176"/>
    <tableColumn id="12" xr3:uid="{00000000-0010-0000-0A00-00000C000000}" name="11" totalsRowFunction="count" dataDxfId="175" totalsRowDxfId="174"/>
    <tableColumn id="13" xr3:uid="{00000000-0010-0000-0A00-00000D000000}" name="12" totalsRowFunction="count" dataDxfId="173" totalsRowDxfId="172"/>
    <tableColumn id="14" xr3:uid="{00000000-0010-0000-0A00-00000E000000}" name="13" totalsRowFunction="count" dataDxfId="171" totalsRowDxfId="170"/>
    <tableColumn id="15" xr3:uid="{00000000-0010-0000-0A00-00000F000000}" name="14" totalsRowFunction="count" dataDxfId="169" totalsRowDxfId="168"/>
    <tableColumn id="16" xr3:uid="{00000000-0010-0000-0A00-000010000000}" name="15" totalsRowFunction="count" dataDxfId="167" totalsRowDxfId="166"/>
    <tableColumn id="17" xr3:uid="{00000000-0010-0000-0A00-000011000000}" name="16" totalsRowFunction="count" dataDxfId="165" totalsRowDxfId="164"/>
    <tableColumn id="18" xr3:uid="{00000000-0010-0000-0A00-000012000000}" name="17" totalsRowFunction="count" dataDxfId="163" totalsRowDxfId="162"/>
    <tableColumn id="19" xr3:uid="{00000000-0010-0000-0A00-000013000000}" name="18" totalsRowFunction="count" dataDxfId="161" totalsRowDxfId="160"/>
    <tableColumn id="20" xr3:uid="{00000000-0010-0000-0A00-000014000000}" name="19" totalsRowFunction="count" dataDxfId="159" totalsRowDxfId="158"/>
    <tableColumn id="21" xr3:uid="{00000000-0010-0000-0A00-000015000000}" name="20" totalsRowFunction="count" dataDxfId="157" totalsRowDxfId="156"/>
    <tableColumn id="22" xr3:uid="{00000000-0010-0000-0A00-000016000000}" name="21" totalsRowFunction="count" dataDxfId="155" totalsRowDxfId="154"/>
    <tableColumn id="23" xr3:uid="{00000000-0010-0000-0A00-000017000000}" name="22" totalsRowFunction="count" dataDxfId="153" totalsRowDxfId="152"/>
    <tableColumn id="24" xr3:uid="{00000000-0010-0000-0A00-000018000000}" name="23" totalsRowFunction="count" dataDxfId="151" totalsRowDxfId="150"/>
    <tableColumn id="25" xr3:uid="{00000000-0010-0000-0A00-000019000000}" name="24" totalsRowFunction="count" dataDxfId="149" totalsRowDxfId="148"/>
    <tableColumn id="26" xr3:uid="{00000000-0010-0000-0A00-00001A000000}" name="25" totalsRowFunction="count" dataDxfId="147" totalsRowDxfId="146"/>
    <tableColumn id="27" xr3:uid="{00000000-0010-0000-0A00-00001B000000}" name="26" totalsRowFunction="count" dataDxfId="145" totalsRowDxfId="144"/>
    <tableColumn id="28" xr3:uid="{00000000-0010-0000-0A00-00001C000000}" name="27" totalsRowFunction="count" dataDxfId="143" totalsRowDxfId="142"/>
    <tableColumn id="29" xr3:uid="{00000000-0010-0000-0A00-00001D000000}" name="28" totalsRowFunction="count" dataDxfId="141" totalsRowDxfId="140"/>
    <tableColumn id="30" xr3:uid="{00000000-0010-0000-0A00-00001E000000}" name="29" totalsRowFunction="count" dataDxfId="139" totalsRowDxfId="138"/>
    <tableColumn id="31" xr3:uid="{00000000-0010-0000-0A00-00001F000000}" name="30" totalsRowFunction="count" dataDxfId="137" totalsRowDxfId="136"/>
    <tableColumn id="32" xr3:uid="{00000000-0010-0000-0A00-000020000000}" name=" " totalsRowFunction="count" dataDxfId="135" totalsRowDxfId="134"/>
    <tableColumn id="33" xr3:uid="{00000000-0010-0000-0A00-000021000000}" name="Total des jours" totalsRowFunction="sum" dataDxfId="133" totalsRowDxfId="132">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131" dataDxfId="130" totalsRowDxfId="129">
  <tableColumns count="33">
    <tableColumn id="1" xr3:uid="{00000000-0010-0000-0B00-000001000000}" name="Nom de l’employé" totalsRowFunction="custom" dataDxfId="128" totalsRowDxfId="127" dataCellStyle="Employé">
      <totalsRowFormula>NomMois&amp;" Total"</totalsRowFormula>
    </tableColumn>
    <tableColumn id="2" xr3:uid="{00000000-0010-0000-0B00-000002000000}" name="1" totalsRowFunction="count" dataDxfId="126" totalsRowDxfId="125"/>
    <tableColumn id="3" xr3:uid="{00000000-0010-0000-0B00-000003000000}" name="2" totalsRowFunction="count" dataDxfId="124" totalsRowDxfId="123"/>
    <tableColumn id="4" xr3:uid="{00000000-0010-0000-0B00-000004000000}" name="3" totalsRowFunction="count" dataDxfId="122" totalsRowDxfId="121"/>
    <tableColumn id="5" xr3:uid="{00000000-0010-0000-0B00-000005000000}" name="4" totalsRowFunction="count" dataDxfId="120" totalsRowDxfId="119"/>
    <tableColumn id="6" xr3:uid="{00000000-0010-0000-0B00-000006000000}" name="5" totalsRowFunction="count" dataDxfId="118" totalsRowDxfId="117"/>
    <tableColumn id="7" xr3:uid="{00000000-0010-0000-0B00-000007000000}" name="6" totalsRowFunction="count" dataDxfId="116" totalsRowDxfId="115"/>
    <tableColumn id="8" xr3:uid="{00000000-0010-0000-0B00-000008000000}" name="7" totalsRowFunction="count" dataDxfId="114" totalsRowDxfId="113"/>
    <tableColumn id="9" xr3:uid="{00000000-0010-0000-0B00-000009000000}" name="8" totalsRowFunction="count" dataDxfId="112" totalsRowDxfId="111"/>
    <tableColumn id="10" xr3:uid="{00000000-0010-0000-0B00-00000A000000}" name="9" totalsRowFunction="count" dataDxfId="110" totalsRowDxfId="109"/>
    <tableColumn id="11" xr3:uid="{00000000-0010-0000-0B00-00000B000000}" name="10" totalsRowFunction="count" dataDxfId="108" totalsRowDxfId="107"/>
    <tableColumn id="12" xr3:uid="{00000000-0010-0000-0B00-00000C000000}" name="11" totalsRowFunction="count" dataDxfId="106" totalsRowDxfId="105"/>
    <tableColumn id="13" xr3:uid="{00000000-0010-0000-0B00-00000D000000}" name="12" totalsRowFunction="count" dataDxfId="104" totalsRowDxfId="103"/>
    <tableColumn id="14" xr3:uid="{00000000-0010-0000-0B00-00000E000000}" name="13" totalsRowFunction="count" dataDxfId="102" totalsRowDxfId="101"/>
    <tableColumn id="15" xr3:uid="{00000000-0010-0000-0B00-00000F000000}" name="14" totalsRowFunction="count" dataDxfId="100" totalsRowDxfId="99"/>
    <tableColumn id="16" xr3:uid="{00000000-0010-0000-0B00-000010000000}" name="15" totalsRowFunction="count" dataDxfId="98" totalsRowDxfId="97"/>
    <tableColumn id="17" xr3:uid="{00000000-0010-0000-0B00-000011000000}" name="16" totalsRowFunction="count" dataDxfId="96" totalsRowDxfId="95"/>
    <tableColumn id="18" xr3:uid="{00000000-0010-0000-0B00-000012000000}" name="17" totalsRowFunction="count" dataDxfId="94" totalsRowDxfId="93"/>
    <tableColumn id="19" xr3:uid="{00000000-0010-0000-0B00-000013000000}" name="18" totalsRowFunction="count" dataDxfId="92" totalsRowDxfId="91"/>
    <tableColumn id="20" xr3:uid="{00000000-0010-0000-0B00-000014000000}" name="19" totalsRowFunction="count" dataDxfId="90" totalsRowDxfId="89"/>
    <tableColumn id="21" xr3:uid="{00000000-0010-0000-0B00-000015000000}" name="20" totalsRowFunction="count" dataDxfId="88" totalsRowDxfId="87"/>
    <tableColumn id="22" xr3:uid="{00000000-0010-0000-0B00-000016000000}" name="21" totalsRowFunction="count" dataDxfId="86" totalsRowDxfId="85"/>
    <tableColumn id="23" xr3:uid="{00000000-0010-0000-0B00-000017000000}" name="22" totalsRowFunction="count" dataDxfId="84" totalsRowDxfId="83"/>
    <tableColumn id="24" xr3:uid="{00000000-0010-0000-0B00-000018000000}" name="23" totalsRowFunction="count" dataDxfId="82" totalsRowDxfId="81"/>
    <tableColumn id="25" xr3:uid="{00000000-0010-0000-0B00-000019000000}" name="24" totalsRowFunction="count" dataDxfId="80" totalsRowDxfId="79"/>
    <tableColumn id="26" xr3:uid="{00000000-0010-0000-0B00-00001A000000}" name="25" totalsRowFunction="count" dataDxfId="78" totalsRowDxfId="77"/>
    <tableColumn id="27" xr3:uid="{00000000-0010-0000-0B00-00001B000000}" name="26" totalsRowFunction="count" dataDxfId="76" totalsRowDxfId="75"/>
    <tableColumn id="28" xr3:uid="{00000000-0010-0000-0B00-00001C000000}" name="27" totalsRowFunction="count" dataDxfId="74" totalsRowDxfId="73"/>
    <tableColumn id="29" xr3:uid="{00000000-0010-0000-0B00-00001D000000}" name="28" totalsRowFunction="count" dataDxfId="72" totalsRowDxfId="71"/>
    <tableColumn id="30" xr3:uid="{00000000-0010-0000-0B00-00001E000000}" name="29" totalsRowFunction="count" dataDxfId="70" totalsRowDxfId="69"/>
    <tableColumn id="31" xr3:uid="{00000000-0010-0000-0B00-00001F000000}" name="30" totalsRowFunction="count" dataDxfId="68" totalsRowDxfId="67"/>
    <tableColumn id="32" xr3:uid="{00000000-0010-0000-0B00-000020000000}" name="31" totalsRowFunction="count" dataDxfId="66" totalsRowDxfId="65"/>
    <tableColumn id="33" xr3:uid="{00000000-0010-0000-0B00-000021000000}" name="Total des jours" totalsRowFunction="sum" dataDxfId="64" totalsRowDxfId="63">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18">
  <autoFilter ref="B3:B18" xr:uid="{00000000-0009-0000-0100-00000D000000}"/>
  <sortState xmlns:xlrd2="http://schemas.microsoft.com/office/spreadsheetml/2017/richdata2" ref="B4:B18">
    <sortCondition ref="B4:B18"/>
  </sortState>
  <tableColumns count="1">
    <tableColumn id="1" xr3:uid="{00000000-0010-0000-0C00-000001000000}" name="Noms des employés" totalsRowFunction="count" totalsRowDxfId="62"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7.bin"/><Relationship Id="rId5" Type="http://schemas.openxmlformats.org/officeDocument/2006/relationships/table" Target="../tables/table7.xml"/><Relationship Id="rId4" Type="http://schemas.openxmlformats.org/officeDocument/2006/relationships/ctrlProp" Target="../ctrlProps/ctrlProp1.xml"/></Relationships>
</file>

<file path=xl/worksheets/_rels/sheet9.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285361-50E6-4CE8-AE78-702B9D17F12F}">
  <sheetPr codeName="Feuil1"/>
  <dimension ref="A3:A44"/>
  <sheetViews>
    <sheetView workbookViewId="0">
      <selection activeCell="B6" sqref="B6"/>
    </sheetView>
  </sheetViews>
  <sheetFormatPr baseColWidth="10" defaultRowHeight="14.4" x14ac:dyDescent="0.3"/>
  <cols>
    <col min="1" max="1" width="19.5546875" bestFit="1" customWidth="1"/>
  </cols>
  <sheetData>
    <row r="3" spans="1:1" x14ac:dyDescent="0.3">
      <c r="A3" s="26" t="s">
        <v>85</v>
      </c>
    </row>
    <row r="4" spans="1:1" x14ac:dyDescent="0.3">
      <c r="A4" s="27" t="s">
        <v>4</v>
      </c>
    </row>
    <row r="5" spans="1:1" x14ac:dyDescent="0.3">
      <c r="A5" s="28" t="s">
        <v>87</v>
      </c>
    </row>
    <row r="6" spans="1:1" x14ac:dyDescent="0.3">
      <c r="A6" s="27" t="s">
        <v>5</v>
      </c>
    </row>
    <row r="7" spans="1:1" x14ac:dyDescent="0.3">
      <c r="A7" s="28" t="s">
        <v>87</v>
      </c>
    </row>
    <row r="8" spans="1:1" x14ac:dyDescent="0.3">
      <c r="A8" s="27" t="s">
        <v>6</v>
      </c>
    </row>
    <row r="9" spans="1:1" x14ac:dyDescent="0.3">
      <c r="A9" s="28" t="s">
        <v>87</v>
      </c>
    </row>
    <row r="10" spans="1:1" x14ac:dyDescent="0.3">
      <c r="A10" s="27" t="s">
        <v>7</v>
      </c>
    </row>
    <row r="11" spans="1:1" x14ac:dyDescent="0.3">
      <c r="A11" s="28" t="s">
        <v>87</v>
      </c>
    </row>
    <row r="12" spans="1:1" x14ac:dyDescent="0.3">
      <c r="A12" s="27" t="s">
        <v>8</v>
      </c>
    </row>
    <row r="13" spans="1:1" x14ac:dyDescent="0.3">
      <c r="A13" s="28" t="s">
        <v>87</v>
      </c>
    </row>
    <row r="14" spans="1:1" x14ac:dyDescent="0.3">
      <c r="A14" s="27" t="s">
        <v>88</v>
      </c>
    </row>
    <row r="15" spans="1:1" x14ac:dyDescent="0.3">
      <c r="A15" s="28" t="s">
        <v>87</v>
      </c>
    </row>
    <row r="16" spans="1:1" x14ac:dyDescent="0.3">
      <c r="A16" s="27" t="s">
        <v>89</v>
      </c>
    </row>
    <row r="17" spans="1:1" x14ac:dyDescent="0.3">
      <c r="A17" s="28" t="s">
        <v>87</v>
      </c>
    </row>
    <row r="18" spans="1:1" x14ac:dyDescent="0.3">
      <c r="A18" s="27" t="s">
        <v>90</v>
      </c>
    </row>
    <row r="19" spans="1:1" x14ac:dyDescent="0.3">
      <c r="A19" s="28" t="s">
        <v>87</v>
      </c>
    </row>
    <row r="20" spans="1:1" x14ac:dyDescent="0.3">
      <c r="A20" s="27" t="s">
        <v>91</v>
      </c>
    </row>
    <row r="21" spans="1:1" x14ac:dyDescent="0.3">
      <c r="A21" s="28" t="s">
        <v>87</v>
      </c>
    </row>
    <row r="22" spans="1:1" x14ac:dyDescent="0.3">
      <c r="A22" s="27" t="s">
        <v>92</v>
      </c>
    </row>
    <row r="23" spans="1:1" x14ac:dyDescent="0.3">
      <c r="A23" s="28" t="s">
        <v>87</v>
      </c>
    </row>
    <row r="24" spans="1:1" x14ac:dyDescent="0.3">
      <c r="A24" s="27" t="s">
        <v>93</v>
      </c>
    </row>
    <row r="25" spans="1:1" x14ac:dyDescent="0.3">
      <c r="A25" s="28" t="s">
        <v>87</v>
      </c>
    </row>
    <row r="26" spans="1:1" x14ac:dyDescent="0.3">
      <c r="A26" s="27" t="s">
        <v>94</v>
      </c>
    </row>
    <row r="27" spans="1:1" x14ac:dyDescent="0.3">
      <c r="A27" s="28" t="s">
        <v>87</v>
      </c>
    </row>
    <row r="28" spans="1:1" x14ac:dyDescent="0.3">
      <c r="A28" s="27" t="s">
        <v>95</v>
      </c>
    </row>
    <row r="29" spans="1:1" x14ac:dyDescent="0.3">
      <c r="A29" s="28" t="s">
        <v>87</v>
      </c>
    </row>
    <row r="30" spans="1:1" x14ac:dyDescent="0.3">
      <c r="A30" s="27" t="s">
        <v>96</v>
      </c>
    </row>
    <row r="31" spans="1:1" x14ac:dyDescent="0.3">
      <c r="A31" s="28" t="s">
        <v>87</v>
      </c>
    </row>
    <row r="32" spans="1:1" x14ac:dyDescent="0.3">
      <c r="A32" s="27" t="s">
        <v>97</v>
      </c>
    </row>
    <row r="33" spans="1:1" x14ac:dyDescent="0.3">
      <c r="A33" s="28" t="s">
        <v>87</v>
      </c>
    </row>
    <row r="34" spans="1:1" x14ac:dyDescent="0.3">
      <c r="A34" s="27" t="s">
        <v>98</v>
      </c>
    </row>
    <row r="35" spans="1:1" x14ac:dyDescent="0.3">
      <c r="A35" s="28" t="s">
        <v>87</v>
      </c>
    </row>
    <row r="36" spans="1:1" x14ac:dyDescent="0.3">
      <c r="A36" s="27" t="s">
        <v>99</v>
      </c>
    </row>
    <row r="37" spans="1:1" x14ac:dyDescent="0.3">
      <c r="A37" s="28" t="s">
        <v>87</v>
      </c>
    </row>
    <row r="38" spans="1:1" x14ac:dyDescent="0.3">
      <c r="A38" s="27" t="s">
        <v>100</v>
      </c>
    </row>
    <row r="39" spans="1:1" x14ac:dyDescent="0.3">
      <c r="A39" s="28" t="s">
        <v>87</v>
      </c>
    </row>
    <row r="40" spans="1:1" x14ac:dyDescent="0.3">
      <c r="A40" s="27" t="s">
        <v>101</v>
      </c>
    </row>
    <row r="41" spans="1:1" x14ac:dyDescent="0.3">
      <c r="A41" s="28" t="s">
        <v>87</v>
      </c>
    </row>
    <row r="42" spans="1:1" x14ac:dyDescent="0.3">
      <c r="A42" s="27" t="s">
        <v>102</v>
      </c>
    </row>
    <row r="43" spans="1:1" x14ac:dyDescent="0.3">
      <c r="A43" s="28" t="s">
        <v>87</v>
      </c>
    </row>
    <row r="44" spans="1:1" x14ac:dyDescent="0.3">
      <c r="A44" s="27" t="s">
        <v>86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2" tint="-0.89999084444715716"/>
  </sheetPr>
  <dimension ref="A1:AH27"/>
  <sheetViews>
    <sheetView showGridLines="0" zoomScaleNormal="100" workbookViewId="0">
      <selection activeCell="K9" sqref="K9"/>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1:34" ht="50.1" customHeight="1" x14ac:dyDescent="0.3">
      <c r="A1" s="18"/>
      <c r="B1" s="14" t="s">
        <v>0</v>
      </c>
    </row>
    <row r="2" spans="1:34" ht="15" customHeight="1" x14ac:dyDescent="0.3">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1:34" ht="15" customHeight="1" x14ac:dyDescent="0.3">
      <c r="AH3" s="20" t="s">
        <v>49</v>
      </c>
    </row>
    <row r="4" spans="1:34" ht="30" customHeight="1" x14ac:dyDescent="0.3">
      <c r="B4" s="12" t="s">
        <v>2</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v>2020</v>
      </c>
    </row>
    <row r="5" spans="1:34" ht="15" customHeight="1" x14ac:dyDescent="0.3">
      <c r="B5" s="12"/>
      <c r="C5" s="2" t="str">
        <f>TEXT(WEEKDAY(DATE(AnnéeCalendrier,1,1),1),"jjj")</f>
        <v>mer</v>
      </c>
      <c r="D5" s="2" t="str">
        <f>TEXT(WEEKDAY(DATE(AnnéeCalendrier,1,2),1),"jjj")</f>
        <v>jeu</v>
      </c>
      <c r="E5" s="2" t="str">
        <f>TEXT(WEEKDAY(DATE(AnnéeCalendrier,1,3),1),"jjj")</f>
        <v>ven</v>
      </c>
      <c r="F5" s="2" t="str">
        <f>TEXT(WEEKDAY(DATE(AnnéeCalendrier,1,4),1),"jjj")</f>
        <v>sam</v>
      </c>
      <c r="G5" s="2" t="str">
        <f>TEXT(WEEKDAY(DATE(AnnéeCalendrier,1,5),1),"jjj")</f>
        <v>dim</v>
      </c>
      <c r="H5" s="2" t="str">
        <f>TEXT(WEEKDAY(DATE(AnnéeCalendrier,1,6),1),"jjj")</f>
        <v>lun</v>
      </c>
      <c r="I5" s="2" t="str">
        <f>TEXT(WEEKDAY(DATE(AnnéeCalendrier,1,7),1),"jjj")</f>
        <v>mar</v>
      </c>
      <c r="J5" s="2" t="str">
        <f>TEXT(WEEKDAY(DATE(AnnéeCalendrier,1,8),1),"jjj")</f>
        <v>mer</v>
      </c>
      <c r="K5" s="2" t="str">
        <f>TEXT(WEEKDAY(DATE(AnnéeCalendrier,1,9),1),"jjj")</f>
        <v>jeu</v>
      </c>
      <c r="L5" s="2" t="str">
        <f>TEXT(WEEKDAY(DATE(AnnéeCalendrier,1,10),1),"jjj")</f>
        <v>ven</v>
      </c>
      <c r="M5" s="2" t="str">
        <f>TEXT(WEEKDAY(DATE(AnnéeCalendrier,1,11),1),"jjj")</f>
        <v>sam</v>
      </c>
      <c r="N5" s="2" t="str">
        <f>TEXT(WEEKDAY(DATE(AnnéeCalendrier,1,12),1),"jjj")</f>
        <v>dim</v>
      </c>
      <c r="O5" s="2" t="str">
        <f>TEXT(WEEKDAY(DATE(AnnéeCalendrier,1,13),1),"jjj")</f>
        <v>lun</v>
      </c>
      <c r="P5" s="2" t="str">
        <f>TEXT(WEEKDAY(DATE(AnnéeCalendrier,1,14),1),"jjj")</f>
        <v>mar</v>
      </c>
      <c r="Q5" s="2" t="str">
        <f>TEXT(WEEKDAY(DATE(AnnéeCalendrier,1,15),1),"jjj")</f>
        <v>mer</v>
      </c>
      <c r="R5" s="2" t="str">
        <f>TEXT(WEEKDAY(DATE(AnnéeCalendrier,1,16),1),"jjj")</f>
        <v>jeu</v>
      </c>
      <c r="S5" s="2" t="str">
        <f>TEXT(WEEKDAY(DATE(AnnéeCalendrier,1,17),1),"jjj")</f>
        <v>ven</v>
      </c>
      <c r="T5" s="2" t="str">
        <f>TEXT(WEEKDAY(DATE(AnnéeCalendrier,1,18),1),"jjj")</f>
        <v>sam</v>
      </c>
      <c r="U5" s="2" t="str">
        <f>TEXT(WEEKDAY(DATE(AnnéeCalendrier,1,19),1),"jjj")</f>
        <v>dim</v>
      </c>
      <c r="V5" s="2" t="str">
        <f>TEXT(WEEKDAY(DATE(AnnéeCalendrier,1,20),1),"jjj")</f>
        <v>lun</v>
      </c>
      <c r="W5" s="2" t="str">
        <f>TEXT(WEEKDAY(DATE(AnnéeCalendrier,1,21),1),"jjj")</f>
        <v>mar</v>
      </c>
      <c r="X5" s="2" t="str">
        <f>TEXT(WEEKDAY(DATE(AnnéeCalendrier,1,22),1),"jjj")</f>
        <v>mer</v>
      </c>
      <c r="Y5" s="2" t="str">
        <f>TEXT(WEEKDAY(DATE(AnnéeCalendrier,1,23),1),"jjj")</f>
        <v>jeu</v>
      </c>
      <c r="Z5" s="2" t="str">
        <f>TEXT(WEEKDAY(DATE(AnnéeCalendrier,1,24),1),"jjj")</f>
        <v>ven</v>
      </c>
      <c r="AA5" s="2" t="str">
        <f>TEXT(WEEKDAY(DATE(AnnéeCalendrier,1,25),1),"jjj")</f>
        <v>sam</v>
      </c>
      <c r="AB5" s="2" t="str">
        <f>TEXT(WEEKDAY(DATE(AnnéeCalendrier,1,26),1),"jjj")</f>
        <v>dim</v>
      </c>
      <c r="AC5" s="2" t="str">
        <f>TEXT(WEEKDAY(DATE(AnnéeCalendrier,1,27),1),"jjj")</f>
        <v>lun</v>
      </c>
      <c r="AD5" s="2" t="str">
        <f>TEXT(WEEKDAY(DATE(AnnéeCalendrier,1,28),1),"jjj")</f>
        <v>mar</v>
      </c>
      <c r="AE5" s="2" t="str">
        <f>TEXT(WEEKDAY(DATE(AnnéeCalendrier,1,29),1),"jjj")</f>
        <v>mer</v>
      </c>
      <c r="AF5" s="2" t="str">
        <f>TEXT(WEEKDAY(DATE(AnnéeCalendrier,1,30),1),"jjj")</f>
        <v>jeu</v>
      </c>
      <c r="AG5" s="2" t="str">
        <f>TEXT(WEEKDAY(DATE(AnnéeCalendrier,1,31),1),"jjj")</f>
        <v>ven</v>
      </c>
      <c r="AH5" s="12"/>
    </row>
    <row r="6" spans="1: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1:34" ht="30" customHeight="1" x14ac:dyDescent="0.3">
      <c r="B7" s="9"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COUNTA(Janvier!$C7:$AG7)</f>
        <v>0</v>
      </c>
    </row>
    <row r="8" spans="1:34" ht="30" customHeight="1" x14ac:dyDescent="0.3">
      <c r="B8" s="9"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COUNTA(Janvier!$C8:$AG8)</f>
        <v>0</v>
      </c>
    </row>
    <row r="9" spans="1:34" ht="30" customHeight="1" x14ac:dyDescent="0.3">
      <c r="B9" s="9"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COUNTA(Janvier!$C9:$AG9)</f>
        <v>0</v>
      </c>
    </row>
    <row r="10" spans="1:34" ht="30" customHeight="1" x14ac:dyDescent="0.3">
      <c r="B10" s="9"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COUNTA(Janvier!$C10:$AG10)</f>
        <v>0</v>
      </c>
    </row>
    <row r="11" spans="1:34" ht="30" customHeight="1" x14ac:dyDescent="0.3">
      <c r="B11" s="9"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COUNTA(Janvier!$C11:$AG11)</f>
        <v>0</v>
      </c>
    </row>
    <row r="12" spans="1:34" ht="30" customHeight="1" x14ac:dyDescent="0.3">
      <c r="B12" s="9" t="s">
        <v>88</v>
      </c>
      <c r="AH12" s="11">
        <f>COUNTA(Janvier!$C12:$AG12)</f>
        <v>0</v>
      </c>
    </row>
    <row r="13" spans="1:34" ht="30" customHeight="1" x14ac:dyDescent="0.3">
      <c r="B13" s="9" t="s">
        <v>89</v>
      </c>
      <c r="AH13" s="11">
        <f>COUNTA(Janvier!$C13:$AG13)</f>
        <v>0</v>
      </c>
    </row>
    <row r="14" spans="1:34" ht="30" customHeight="1" x14ac:dyDescent="0.3">
      <c r="B14" s="9" t="s">
        <v>90</v>
      </c>
      <c r="AH14" s="11">
        <f>COUNTA(Janvier!$C14:$AG14)</f>
        <v>0</v>
      </c>
    </row>
    <row r="15" spans="1:34" ht="30" customHeight="1" x14ac:dyDescent="0.3">
      <c r="B15" s="9" t="s">
        <v>91</v>
      </c>
      <c r="AH15" s="11">
        <f>COUNTA(Janvier!$C15:$AG15)</f>
        <v>0</v>
      </c>
    </row>
    <row r="16" spans="1:34" ht="30" customHeight="1" x14ac:dyDescent="0.3">
      <c r="B16" s="9" t="s">
        <v>92</v>
      </c>
      <c r="AH16" s="11">
        <f>COUNTA(Janvier!$C16:$AG16)</f>
        <v>0</v>
      </c>
    </row>
    <row r="17" spans="2:34" ht="30" customHeight="1" x14ac:dyDescent="0.3">
      <c r="B17" s="9" t="s">
        <v>93</v>
      </c>
      <c r="AH17" s="11">
        <f>COUNTA(Janvier!$C17:$AG17)</f>
        <v>0</v>
      </c>
    </row>
    <row r="18" spans="2:34" ht="30" customHeight="1" x14ac:dyDescent="0.3">
      <c r="B18" s="9" t="s">
        <v>94</v>
      </c>
      <c r="AH18" s="11">
        <f>COUNTA(Janvier!$C18:$AG18)</f>
        <v>0</v>
      </c>
    </row>
    <row r="19" spans="2:34" ht="30" customHeight="1" x14ac:dyDescent="0.3">
      <c r="B19" s="9" t="s">
        <v>95</v>
      </c>
      <c r="AH19" s="11">
        <f>COUNTA(Janvier!$C19:$AG19)</f>
        <v>0</v>
      </c>
    </row>
    <row r="20" spans="2:34" ht="30" customHeight="1" x14ac:dyDescent="0.3">
      <c r="B20" s="9" t="s">
        <v>96</v>
      </c>
      <c r="AH20" s="11">
        <f>COUNTA(Janvier!$C20:$AG20)</f>
        <v>0</v>
      </c>
    </row>
    <row r="21" spans="2:34" ht="30" customHeight="1" x14ac:dyDescent="0.3">
      <c r="B21" s="9" t="s">
        <v>97</v>
      </c>
      <c r="AH21" s="11">
        <f>COUNTA(Janvier!$C21:$AG21)</f>
        <v>0</v>
      </c>
    </row>
    <row r="22" spans="2:34" ht="30" customHeight="1" x14ac:dyDescent="0.3">
      <c r="B22" s="9" t="s">
        <v>98</v>
      </c>
      <c r="AH22" s="11">
        <f>COUNTA(Janvier!$C22:$AG22)</f>
        <v>0</v>
      </c>
    </row>
    <row r="23" spans="2:34" ht="30" customHeight="1" x14ac:dyDescent="0.3">
      <c r="B23" s="9" t="s">
        <v>99</v>
      </c>
      <c r="AH23" s="11">
        <f>COUNTA(Janvier!$C23:$AG23)</f>
        <v>0</v>
      </c>
    </row>
    <row r="24" spans="2:34" ht="30" customHeight="1" x14ac:dyDescent="0.3">
      <c r="B24" s="9" t="s">
        <v>100</v>
      </c>
      <c r="AH24" s="11">
        <f>COUNTA(Janvier!$C24:$AG24)</f>
        <v>0</v>
      </c>
    </row>
    <row r="25" spans="2:34" ht="30" customHeight="1" x14ac:dyDescent="0.3">
      <c r="B25" s="9" t="s">
        <v>101</v>
      </c>
      <c r="AH25" s="11">
        <f>COUNTA(Janvier!$C25:$AG25)</f>
        <v>0</v>
      </c>
    </row>
    <row r="26" spans="2:34" ht="30" customHeight="1" x14ac:dyDescent="0.3">
      <c r="B26" s="9" t="s">
        <v>102</v>
      </c>
      <c r="AH26" s="11">
        <f>COUNTA(Janvier!$C26:$AG26)</f>
        <v>0</v>
      </c>
    </row>
    <row r="27" spans="2:34" ht="30" customHeight="1" x14ac:dyDescent="0.3">
      <c r="B27" s="21" t="str">
        <f>NomMois&amp;" Total"</f>
        <v>Janvier Total</v>
      </c>
      <c r="C27" s="13">
        <f>SUBTOTAL(103,Janvier!$C$7:$C$26)</f>
        <v>0</v>
      </c>
      <c r="D27" s="13">
        <f>SUBTOTAL(103,Janvier!$D$7:$D$26)</f>
        <v>0</v>
      </c>
      <c r="E27" s="13">
        <f>SUBTOTAL(103,Janvier!$E$7:$E$26)</f>
        <v>0</v>
      </c>
      <c r="F27" s="13">
        <f>SUBTOTAL(103,Janvier!$F$7:$F$26)</f>
        <v>0</v>
      </c>
      <c r="G27" s="13">
        <f>SUBTOTAL(103,Janvier!$G$7:$G$26)</f>
        <v>0</v>
      </c>
      <c r="H27" s="13">
        <f>SUBTOTAL(103,Janvier!$H$7:$H$26)</f>
        <v>0</v>
      </c>
      <c r="I27" s="13">
        <f>SUBTOTAL(103,Janvier!$I$7:$I$26)</f>
        <v>0</v>
      </c>
      <c r="J27" s="13">
        <f>SUBTOTAL(103,Janvier!$J$7:$J$26)</f>
        <v>0</v>
      </c>
      <c r="K27" s="13">
        <f>SUBTOTAL(103,Janvier!$K$7:$K$26)</f>
        <v>0</v>
      </c>
      <c r="L27" s="13">
        <f>SUBTOTAL(103,Janvier!$L$7:$L$26)</f>
        <v>0</v>
      </c>
      <c r="M27" s="13">
        <f>SUBTOTAL(103,Janvier!$M$7:$M$26)</f>
        <v>0</v>
      </c>
      <c r="N27" s="13">
        <f>SUBTOTAL(103,Janvier!$N$7:$N$26)</f>
        <v>0</v>
      </c>
      <c r="O27" s="13">
        <f>SUBTOTAL(103,Janvier!$O$7:$O$26)</f>
        <v>0</v>
      </c>
      <c r="P27" s="13">
        <f>SUBTOTAL(103,Janvier!$P$7:$P$26)</f>
        <v>0</v>
      </c>
      <c r="Q27" s="13">
        <f>SUBTOTAL(103,Janvier!$Q$7:$Q$26)</f>
        <v>0</v>
      </c>
      <c r="R27" s="13">
        <f>SUBTOTAL(103,Janvier!$R$7:$R$26)</f>
        <v>0</v>
      </c>
      <c r="S27" s="13">
        <f>SUBTOTAL(103,Janvier!$S$7:$S$26)</f>
        <v>0</v>
      </c>
      <c r="T27" s="13">
        <f>SUBTOTAL(103,Janvier!$T$7:$T$26)</f>
        <v>0</v>
      </c>
      <c r="U27" s="13">
        <f>SUBTOTAL(103,Janvier!$U$7:$U$26)</f>
        <v>0</v>
      </c>
      <c r="V27" s="13">
        <f>SUBTOTAL(103,Janvier!$V$7:$V$26)</f>
        <v>0</v>
      </c>
      <c r="W27" s="13">
        <f>SUBTOTAL(103,Janvier!$W$7:$W$26)</f>
        <v>0</v>
      </c>
      <c r="X27" s="13">
        <f>SUBTOTAL(103,Janvier!$X$7:$X$26)</f>
        <v>0</v>
      </c>
      <c r="Y27" s="13">
        <f>SUBTOTAL(103,Janvier!$Y$7:$Y$26)</f>
        <v>0</v>
      </c>
      <c r="Z27" s="13">
        <f>SUBTOTAL(103,Janvier!$Z$7:$Z$26)</f>
        <v>0</v>
      </c>
      <c r="AA27" s="13">
        <f>SUBTOTAL(103,Janvier!$AA$7:$AA$26)</f>
        <v>0</v>
      </c>
      <c r="AB27" s="13">
        <f>SUBTOTAL(103,Janvier!$AB$7:$AB$26)</f>
        <v>0</v>
      </c>
      <c r="AC27" s="13">
        <f>SUBTOTAL(103,Janvier!$AC$7:$AC$26)</f>
        <v>0</v>
      </c>
      <c r="AD27" s="13">
        <f>SUBTOTAL(103,Janvier!$AD$7:$AD$26)</f>
        <v>0</v>
      </c>
      <c r="AE27" s="13">
        <f>SUBTOTAL(103,Janvier!$AE$7:$AE$26)</f>
        <v>0</v>
      </c>
      <c r="AF27" s="13">
        <f>SUBTOTAL(103,Janvier!$AF$7:$AF$26)</f>
        <v>0</v>
      </c>
      <c r="AG27" s="13">
        <f>SUBTOTAL(103,Janvier!$AG$7:$AG$26)</f>
        <v>0</v>
      </c>
      <c r="AH27" s="13">
        <f>SUBTOTAL(109,Janvier[Total des jours])</f>
        <v>0</v>
      </c>
    </row>
  </sheetData>
  <mergeCells count="6">
    <mergeCell ref="C4:AG4"/>
    <mergeCell ref="D2:E2"/>
    <mergeCell ref="G2:I2"/>
    <mergeCell ref="K2:L2"/>
    <mergeCell ref="N2:Q2"/>
    <mergeCell ref="S2:V2"/>
  </mergeCells>
  <phoneticPr fontId="19" type="noConversion"/>
  <conditionalFormatting sqref="C7:AG26">
    <cfRule type="expression" priority="1" stopIfTrue="1">
      <formula>C7=""</formula>
    </cfRule>
    <cfRule type="expression" dxfId="61" priority="6" stopIfTrue="1">
      <formula>C7=CléPersonnalisée2</formula>
    </cfRule>
    <cfRule type="expression" dxfId="60" priority="7" stopIfTrue="1">
      <formula>C7=CléPersonnalisée1</formula>
    </cfRule>
    <cfRule type="expression" dxfId="59" priority="8" stopIfTrue="1">
      <formula>C7=CléMaladie</formula>
    </cfRule>
    <cfRule type="expression" dxfId="58" priority="9" stopIfTrue="1">
      <formula>C7=CléPersonnel</formula>
    </cfRule>
    <cfRule type="expression" dxfId="57" priority="10" stopIfTrue="1">
      <formula>C7=CléCongé</formula>
    </cfRule>
  </conditionalFormatting>
  <conditionalFormatting sqref="AH7:AH26">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4" xr:uid="{00000000-0002-0000-0000-000000000000}"/>
    <dataValidation type="list"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formula1>$B$7:$B$26</formula1>
    </dataValidation>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xr:uid="{00000000-0002-0000-0000-00000B000000}"/>
    <dataValidation allowBlank="1" showInputMessage="1" showErrorMessage="1" prompt="Entrez une étiquette pour décrire la clé personnalisée à gauche" sqref="N2 S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AH7:AH26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xm:f>
          </x14:formula1>
          <xm:sqref>B7:B26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2" tint="-0.749992370372631"/>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3">
      <c r="B3"/>
    </row>
    <row r="4" spans="2:34" ht="30" customHeight="1" x14ac:dyDescent="0.3">
      <c r="B4" s="12" t="s">
        <v>51</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TEXT(WEEKDAY(DATE(AnnéeCalendrier,2,1),1),"jjj")</f>
        <v>sam</v>
      </c>
      <c r="D5" s="2" t="str">
        <f>TEXT(WEEKDAY(DATE(AnnéeCalendrier,2,2),1),"jjj")</f>
        <v>dim</v>
      </c>
      <c r="E5" s="2" t="str">
        <f>TEXT(WEEKDAY(DATE(AnnéeCalendrier,2,3),1),"jjj")</f>
        <v>lun</v>
      </c>
      <c r="F5" s="2" t="str">
        <f>TEXT(WEEKDAY(DATE(AnnéeCalendrier,2,4),1),"jjj")</f>
        <v>mar</v>
      </c>
      <c r="G5" s="2" t="str">
        <f>TEXT(WEEKDAY(DATE(AnnéeCalendrier,2,5),1),"jjj")</f>
        <v>mer</v>
      </c>
      <c r="H5" s="2" t="str">
        <f>TEXT(WEEKDAY(DATE(AnnéeCalendrier,2,6),1),"jjj")</f>
        <v>jeu</v>
      </c>
      <c r="I5" s="2" t="str">
        <f>TEXT(WEEKDAY(DATE(AnnéeCalendrier,2,7),1),"jjj")</f>
        <v>ven</v>
      </c>
      <c r="J5" s="2" t="str">
        <f>TEXT(WEEKDAY(DATE(AnnéeCalendrier,2,8),1),"jjj")</f>
        <v>sam</v>
      </c>
      <c r="K5" s="2" t="str">
        <f>TEXT(WEEKDAY(DATE(AnnéeCalendrier,2,9),1),"jjj")</f>
        <v>dim</v>
      </c>
      <c r="L5" s="2" t="str">
        <f>TEXT(WEEKDAY(DATE(AnnéeCalendrier,2,10),1),"jjj")</f>
        <v>lun</v>
      </c>
      <c r="M5" s="2" t="str">
        <f>TEXT(WEEKDAY(DATE(AnnéeCalendrier,2,11),1),"jjj")</f>
        <v>mar</v>
      </c>
      <c r="N5" s="2" t="str">
        <f>TEXT(WEEKDAY(DATE(AnnéeCalendrier,2,12),1),"jjj")</f>
        <v>mer</v>
      </c>
      <c r="O5" s="2" t="str">
        <f>TEXT(WEEKDAY(DATE(AnnéeCalendrier,2,13),1),"jjj")</f>
        <v>jeu</v>
      </c>
      <c r="P5" s="2" t="str">
        <f>TEXT(WEEKDAY(DATE(AnnéeCalendrier,2,14),1),"jjj")</f>
        <v>ven</v>
      </c>
      <c r="Q5" s="2" t="str">
        <f>TEXT(WEEKDAY(DATE(AnnéeCalendrier,2,15),1),"jjj")</f>
        <v>sam</v>
      </c>
      <c r="R5" s="2" t="str">
        <f>TEXT(WEEKDAY(DATE(AnnéeCalendrier,2,16),1),"jjj")</f>
        <v>dim</v>
      </c>
      <c r="S5" s="2" t="str">
        <f>TEXT(WEEKDAY(DATE(AnnéeCalendrier,2,17),1),"jjj")</f>
        <v>lun</v>
      </c>
      <c r="T5" s="2" t="str">
        <f>TEXT(WEEKDAY(DATE(AnnéeCalendrier,2,18),1),"jjj")</f>
        <v>mar</v>
      </c>
      <c r="U5" s="2" t="str">
        <f>TEXT(WEEKDAY(DATE(AnnéeCalendrier,2,19),1),"jjj")</f>
        <v>mer</v>
      </c>
      <c r="V5" s="2" t="str">
        <f>TEXT(WEEKDAY(DATE(AnnéeCalendrier,2,20),1),"jjj")</f>
        <v>jeu</v>
      </c>
      <c r="W5" s="2" t="str">
        <f>TEXT(WEEKDAY(DATE(AnnéeCalendrier,2,21),1),"jjj")</f>
        <v>ven</v>
      </c>
      <c r="X5" s="2" t="str">
        <f>TEXT(WEEKDAY(DATE(AnnéeCalendrier,2,22),1),"jjj")</f>
        <v>sam</v>
      </c>
      <c r="Y5" s="2" t="str">
        <f>TEXT(WEEKDAY(DATE(AnnéeCalendrier,2,23),1),"jjj")</f>
        <v>dim</v>
      </c>
      <c r="Z5" s="2" t="str">
        <f>TEXT(WEEKDAY(DATE(AnnéeCalendrier,2,24),1),"jjj")</f>
        <v>lun</v>
      </c>
      <c r="AA5" s="2" t="str">
        <f>TEXT(WEEKDAY(DATE(AnnéeCalendrier,2,25),1),"jjj")</f>
        <v>mar</v>
      </c>
      <c r="AB5" s="2" t="str">
        <f>TEXT(WEEKDAY(DATE(AnnéeCalendrier,2,26),1),"jjj")</f>
        <v>mer</v>
      </c>
      <c r="AC5" s="2" t="str">
        <f>TEXT(WEEKDAY(DATE(AnnéeCalendrier,2,27),1),"jjj")</f>
        <v>jeu</v>
      </c>
      <c r="AD5" s="2" t="str">
        <f>TEXT(WEEKDAY(DATE(AnnéeCalendrier,2,28),1),"jjj")</f>
        <v>ven</v>
      </c>
      <c r="AE5" s="2" t="str">
        <f>TEXT(WEEKDAY(DATE(AnnéeCalendrier,2,29),1),"jjj")</f>
        <v>sam</v>
      </c>
      <c r="AF5" s="2"/>
      <c r="AG5" s="2"/>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52</v>
      </c>
      <c r="AG6" s="3" t="s">
        <v>53</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COUNTA(Février[[#This Row],[1]:[29]])</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COUNTA(Février[[#This Row],[1]:[29]])</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COUNTA(Février[[#This Row],[1]:[29]])</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COUNTA(Février[[#This Row],[1]:[29]])</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COUNTA(Février[[#This Row],[1]:[29]])</f>
        <v>0</v>
      </c>
    </row>
    <row r="12" spans="2:34" ht="30" customHeight="1" x14ac:dyDescent="0.3">
      <c r="B12" s="21" t="str">
        <f>NomMois&amp;" Total"</f>
        <v>Février Total</v>
      </c>
      <c r="C12" s="13">
        <f>SUBTOTAL(103,Février[1])</f>
        <v>0</v>
      </c>
      <c r="D12" s="13">
        <f>SUBTOTAL(103,Février[2])</f>
        <v>0</v>
      </c>
      <c r="E12" s="13">
        <f>SUBTOTAL(103,Février[3])</f>
        <v>0</v>
      </c>
      <c r="F12" s="13">
        <f>SUBTOTAL(103,Février[4])</f>
        <v>0</v>
      </c>
      <c r="G12" s="13">
        <f>SUBTOTAL(103,Février[5])</f>
        <v>0</v>
      </c>
      <c r="H12" s="13">
        <f>SUBTOTAL(103,Février[6])</f>
        <v>0</v>
      </c>
      <c r="I12" s="13">
        <f>SUBTOTAL(103,Février[7])</f>
        <v>0</v>
      </c>
      <c r="J12" s="13">
        <f>SUBTOTAL(103,Février[8])</f>
        <v>0</v>
      </c>
      <c r="K12" s="13">
        <f>SUBTOTAL(103,Février[9])</f>
        <v>0</v>
      </c>
      <c r="L12" s="13">
        <f>SUBTOTAL(103,Février[10])</f>
        <v>0</v>
      </c>
      <c r="M12" s="13">
        <f>SUBTOTAL(103,Février[11])</f>
        <v>0</v>
      </c>
      <c r="N12" s="13">
        <f>SUBTOTAL(103,Février[12])</f>
        <v>0</v>
      </c>
      <c r="O12" s="13">
        <f>SUBTOTAL(103,Février[13])</f>
        <v>0</v>
      </c>
      <c r="P12" s="13">
        <f>SUBTOTAL(103,Février[14])</f>
        <v>0</v>
      </c>
      <c r="Q12" s="13">
        <f>SUBTOTAL(103,Février[15])</f>
        <v>0</v>
      </c>
      <c r="R12" s="13">
        <f>SUBTOTAL(103,Février[16])</f>
        <v>0</v>
      </c>
      <c r="S12" s="13">
        <f>SUBTOTAL(103,Février[17])</f>
        <v>0</v>
      </c>
      <c r="T12" s="13">
        <f>SUBTOTAL(103,Février[18])</f>
        <v>0</v>
      </c>
      <c r="U12" s="13">
        <f>SUBTOTAL(103,Février[19])</f>
        <v>0</v>
      </c>
      <c r="V12" s="13">
        <f>SUBTOTAL(103,Février[20])</f>
        <v>0</v>
      </c>
      <c r="W12" s="13">
        <f>SUBTOTAL(103,Février[21])</f>
        <v>0</v>
      </c>
      <c r="X12" s="13">
        <f>SUBTOTAL(103,Février[22])</f>
        <v>0</v>
      </c>
      <c r="Y12" s="13">
        <f>SUBTOTAL(103,Février[23])</f>
        <v>0</v>
      </c>
      <c r="Z12" s="13">
        <f>SUBTOTAL(103,Février[24])</f>
        <v>0</v>
      </c>
      <c r="AA12" s="13">
        <f>SUBTOTAL(103,Février[25])</f>
        <v>0</v>
      </c>
      <c r="AB12" s="13">
        <f>SUBTOTAL(103,Février[26])</f>
        <v>0</v>
      </c>
      <c r="AC12" s="13">
        <f>SUBTOTAL(103,Février[27])</f>
        <v>0</v>
      </c>
      <c r="AD12" s="13">
        <f>SUBTOTAL(103,Février[28])</f>
        <v>0</v>
      </c>
      <c r="AE12" s="13">
        <f>SUBTOTAL(103,Février[29])</f>
        <v>0</v>
      </c>
      <c r="AF12" s="13"/>
      <c r="AG12" s="13"/>
      <c r="AH12" s="13">
        <f>SUBTOTAL(109,Février[Total des jours])</f>
        <v>0</v>
      </c>
    </row>
  </sheetData>
  <mergeCells count="6">
    <mergeCell ref="C4:AG4"/>
    <mergeCell ref="D2:E2"/>
    <mergeCell ref="G2:I2"/>
    <mergeCell ref="K2:L2"/>
    <mergeCell ref="N2:Q2"/>
    <mergeCell ref="S2:V2"/>
  </mergeCells>
  <conditionalFormatting sqref="AE6">
    <cfRule type="expression" dxfId="56" priority="16">
      <formula>MONTH(DATE(AnnéeCalendrier,2,29))&lt;&gt;2</formula>
    </cfRule>
  </conditionalFormatting>
  <conditionalFormatting sqref="AE5">
    <cfRule type="expression" dxfId="55" priority="15">
      <formula>MONTH(DATE(AnnéeCalendrier,2,29))&lt;&gt;2</formula>
    </cfRule>
  </conditionalFormatting>
  <conditionalFormatting sqref="C7:AG11">
    <cfRule type="expression" priority="2" stopIfTrue="1">
      <formula>C7=""</formula>
    </cfRule>
    <cfRule type="expression" dxfId="54" priority="3" stopIfTrue="1">
      <formula>C7=CléPersonnalisée2</formula>
    </cfRule>
  </conditionalFormatting>
  <conditionalFormatting sqref="C7:AG11">
    <cfRule type="expression" dxfId="53" priority="5" stopIfTrue="1">
      <formula>C7=CléPersonnalisée1</formula>
    </cfRule>
    <cfRule type="expression" dxfId="52" priority="6" stopIfTrue="1">
      <formula>C7=CléMaladie</formula>
    </cfRule>
    <cfRule type="expression" dxfId="51" priority="7" stopIfTrue="1">
      <formula>C7=CléPersonnel</formula>
    </cfRule>
    <cfRule type="expression" dxfId="50" priority="8" stopIfTrue="1">
      <formula>C7=CléCongé</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employés'!$B$4:$B$7</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theme="2" tint="-0.499984740745262"/>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3">
      <c r="B3" s="14"/>
    </row>
    <row r="4" spans="2:34" ht="30" customHeight="1" x14ac:dyDescent="0.3">
      <c r="B4" s="12" t="s">
        <v>54</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TEXT(WEEKDAY(DATE(AnnéeCalendrier,3,1),1),"jjj")</f>
        <v>dim</v>
      </c>
      <c r="D5" s="2" t="str">
        <f>TEXT(WEEKDAY(DATE(AnnéeCalendrier,3,2),1),"jjj")</f>
        <v>lun</v>
      </c>
      <c r="E5" s="2" t="str">
        <f>TEXT(WEEKDAY(DATE(AnnéeCalendrier,3,3),1),"jjj")</f>
        <v>mar</v>
      </c>
      <c r="F5" s="2" t="str">
        <f>TEXT(WEEKDAY(DATE(AnnéeCalendrier,3,4),1),"jjj")</f>
        <v>mer</v>
      </c>
      <c r="G5" s="2" t="str">
        <f>TEXT(WEEKDAY(DATE(AnnéeCalendrier,3,5),1),"jjj")</f>
        <v>jeu</v>
      </c>
      <c r="H5" s="2" t="str">
        <f>TEXT(WEEKDAY(DATE(AnnéeCalendrier,3,6),1),"jjj")</f>
        <v>ven</v>
      </c>
      <c r="I5" s="2" t="str">
        <f>TEXT(WEEKDAY(DATE(AnnéeCalendrier,3,7),1),"jjj")</f>
        <v>sam</v>
      </c>
      <c r="J5" s="2" t="str">
        <f>TEXT(WEEKDAY(DATE(AnnéeCalendrier,3,8),1),"jjj")</f>
        <v>dim</v>
      </c>
      <c r="K5" s="2" t="str">
        <f>TEXT(WEEKDAY(DATE(AnnéeCalendrier,3,9),1),"jjj")</f>
        <v>lun</v>
      </c>
      <c r="L5" s="2" t="str">
        <f>TEXT(WEEKDAY(DATE(AnnéeCalendrier,3,10),1),"jjj")</f>
        <v>mar</v>
      </c>
      <c r="M5" s="2" t="str">
        <f>TEXT(WEEKDAY(DATE(AnnéeCalendrier,3,11),1),"jjj")</f>
        <v>mer</v>
      </c>
      <c r="N5" s="2" t="str">
        <f>TEXT(WEEKDAY(DATE(AnnéeCalendrier,3,12),1),"jjj")</f>
        <v>jeu</v>
      </c>
      <c r="O5" s="2" t="str">
        <f>TEXT(WEEKDAY(DATE(AnnéeCalendrier,3,13),1),"jjj")</f>
        <v>ven</v>
      </c>
      <c r="P5" s="2" t="str">
        <f>TEXT(WEEKDAY(DATE(AnnéeCalendrier,3,14),1),"jjj")</f>
        <v>sam</v>
      </c>
      <c r="Q5" s="2" t="str">
        <f>TEXT(WEEKDAY(DATE(AnnéeCalendrier,3,15),1),"jjj")</f>
        <v>dim</v>
      </c>
      <c r="R5" s="2" t="str">
        <f>TEXT(WEEKDAY(DATE(AnnéeCalendrier,3,16),1),"jjj")</f>
        <v>lun</v>
      </c>
      <c r="S5" s="2" t="str">
        <f>TEXT(WEEKDAY(DATE(AnnéeCalendrier,3,17),1),"jjj")</f>
        <v>mar</v>
      </c>
      <c r="T5" s="2" t="str">
        <f>TEXT(WEEKDAY(DATE(AnnéeCalendrier,3,18),1),"jjj")</f>
        <v>mer</v>
      </c>
      <c r="U5" s="2" t="str">
        <f>TEXT(WEEKDAY(DATE(AnnéeCalendrier,3,19),1),"jjj")</f>
        <v>jeu</v>
      </c>
      <c r="V5" s="2" t="str">
        <f>TEXT(WEEKDAY(DATE(AnnéeCalendrier,3,20),1),"jjj")</f>
        <v>ven</v>
      </c>
      <c r="W5" s="2" t="str">
        <f>TEXT(WEEKDAY(DATE(AnnéeCalendrier,3,21),1),"jjj")</f>
        <v>sam</v>
      </c>
      <c r="X5" s="2" t="str">
        <f>TEXT(WEEKDAY(DATE(AnnéeCalendrier,3,22),1),"jjj")</f>
        <v>dim</v>
      </c>
      <c r="Y5" s="2" t="str">
        <f>TEXT(WEEKDAY(DATE(AnnéeCalendrier,3,23),1),"jjj")</f>
        <v>lun</v>
      </c>
      <c r="Z5" s="2" t="str">
        <f>TEXT(WEEKDAY(DATE(AnnéeCalendrier,3,24),1),"jjj")</f>
        <v>mar</v>
      </c>
      <c r="AA5" s="2" t="str">
        <f>TEXT(WEEKDAY(DATE(AnnéeCalendrier,3,25),1),"jjj")</f>
        <v>mer</v>
      </c>
      <c r="AB5" s="2" t="str">
        <f>TEXT(WEEKDAY(DATE(AnnéeCalendrier,3,26),1),"jjj")</f>
        <v>jeu</v>
      </c>
      <c r="AC5" s="2" t="str">
        <f>TEXT(WEEKDAY(DATE(AnnéeCalendrier,3,27),1),"jjj")</f>
        <v>ven</v>
      </c>
      <c r="AD5" s="2" t="str">
        <f>TEXT(WEEKDAY(DATE(AnnéeCalendrier,3,28),1),"jjj")</f>
        <v>sam</v>
      </c>
      <c r="AE5" s="2" t="str">
        <f>TEXT(WEEKDAY(DATE(AnnéeCalendrier,3,29),1),"jjj")</f>
        <v>dim</v>
      </c>
      <c r="AF5" s="2" t="str">
        <f>TEXT(WEEKDAY(DATE(AnnéeCalendrier,3,30),1),"jjj")</f>
        <v>lun</v>
      </c>
      <c r="AG5" s="2" t="str">
        <f>TEXT(WEEKDAY(DATE(AnnéeCalendrier,3,31),1),"jjj")</f>
        <v>mar</v>
      </c>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COUNTA(Mars[[#This Row],[1]:[31]])</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COUNTA(Mars[[#This Row],[1]:[31]])</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COUNTA(Mars[[#This Row],[1]:[31]])</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COUNTA(Mars[[#This Row],[1]:[31]])</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COUNTA(Mars[[#This Row],[1]:[31]])</f>
        <v>0</v>
      </c>
    </row>
    <row r="12" spans="2:34" ht="30" customHeight="1" x14ac:dyDescent="0.3">
      <c r="B12" s="21" t="str">
        <f>NomMois&amp;" Total"</f>
        <v>Mars Total</v>
      </c>
      <c r="C12" s="13">
        <f>SUBTOTAL(103,Mars[1])</f>
        <v>0</v>
      </c>
      <c r="D12" s="13">
        <f>SUBTOTAL(103,Mars[2])</f>
        <v>0</v>
      </c>
      <c r="E12" s="13">
        <f>SUBTOTAL(103,Mars[3])</f>
        <v>0</v>
      </c>
      <c r="F12" s="13">
        <f>SUBTOTAL(103,Mars[4])</f>
        <v>0</v>
      </c>
      <c r="G12" s="13">
        <f>SUBTOTAL(103,Mars[5])</f>
        <v>0</v>
      </c>
      <c r="H12" s="13">
        <f>SUBTOTAL(103,Mars[6])</f>
        <v>0</v>
      </c>
      <c r="I12" s="13">
        <f>SUBTOTAL(103,Mars[7])</f>
        <v>0</v>
      </c>
      <c r="J12" s="13">
        <f>SUBTOTAL(103,Mars[8])</f>
        <v>0</v>
      </c>
      <c r="K12" s="13">
        <f>SUBTOTAL(103,Mars[9])</f>
        <v>0</v>
      </c>
      <c r="L12" s="13">
        <f>SUBTOTAL(103,Mars[10])</f>
        <v>0</v>
      </c>
      <c r="M12" s="13">
        <f>SUBTOTAL(103,Mars[11])</f>
        <v>0</v>
      </c>
      <c r="N12" s="13">
        <f>SUBTOTAL(103,Mars[12])</f>
        <v>0</v>
      </c>
      <c r="O12" s="13">
        <f>SUBTOTAL(103,Mars[13])</f>
        <v>0</v>
      </c>
      <c r="P12" s="13">
        <f>SUBTOTAL(103,Mars[14])</f>
        <v>0</v>
      </c>
      <c r="Q12" s="13">
        <f>SUBTOTAL(103,Mars[15])</f>
        <v>0</v>
      </c>
      <c r="R12" s="13">
        <f>SUBTOTAL(103,Mars[16])</f>
        <v>0</v>
      </c>
      <c r="S12" s="13">
        <f>SUBTOTAL(103,Mars[17])</f>
        <v>0</v>
      </c>
      <c r="T12" s="13">
        <f>SUBTOTAL(103,Mars[18])</f>
        <v>0</v>
      </c>
      <c r="U12" s="13">
        <f>SUBTOTAL(103,Mars[19])</f>
        <v>0</v>
      </c>
      <c r="V12" s="13">
        <f>SUBTOTAL(103,Mars[20])</f>
        <v>0</v>
      </c>
      <c r="W12" s="13">
        <f>SUBTOTAL(103,Mars[21])</f>
        <v>0</v>
      </c>
      <c r="X12" s="13">
        <f>SUBTOTAL(103,Mars[22])</f>
        <v>0</v>
      </c>
      <c r="Y12" s="13">
        <f>SUBTOTAL(103,Mars[23])</f>
        <v>0</v>
      </c>
      <c r="Z12" s="13">
        <f>SUBTOTAL(103,Mars[24])</f>
        <v>0</v>
      </c>
      <c r="AA12" s="13">
        <f>SUBTOTAL(103,Mars[25])</f>
        <v>0</v>
      </c>
      <c r="AB12" s="13">
        <f>SUBTOTAL(103,Mars[26])</f>
        <v>0</v>
      </c>
      <c r="AC12" s="13">
        <f>SUBTOTAL(103,Mars[27])</f>
        <v>0</v>
      </c>
      <c r="AD12" s="13">
        <f>SUBTOTAL(103,Mars[28])</f>
        <v>0</v>
      </c>
      <c r="AE12" s="13">
        <f>SUBTOTAL(103,Mars[29])</f>
        <v>0</v>
      </c>
      <c r="AF12" s="13">
        <f>SUBTOTAL(103,Mars[30])</f>
        <v>0</v>
      </c>
      <c r="AG12" s="13">
        <f>SUBTOTAL(103,Mars[31])</f>
        <v>0</v>
      </c>
      <c r="AH12" s="13">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9" priority="2" stopIfTrue="1">
      <formula>C7=CléPersonnalisée2</formula>
    </cfRule>
    <cfRule type="expression" dxfId="48" priority="3" stopIfTrue="1">
      <formula>C7=CléPersonnalisée1</formula>
    </cfRule>
    <cfRule type="expression" dxfId="47" priority="4" stopIfTrue="1">
      <formula>C7=CléMaladie</formula>
    </cfRule>
    <cfRule type="expression" dxfId="46" priority="5" stopIfTrue="1">
      <formula>C7=CléPersonnel</formula>
    </cfRule>
    <cfRule type="expression" dxfId="4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employés'!$B$4:$B$7</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tabColor theme="2" tint="-0.249977111117893"/>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3">
      <c r="B3" s="14"/>
    </row>
    <row r="4" spans="2:34" ht="30" customHeight="1" x14ac:dyDescent="0.3">
      <c r="B4" s="12" t="s">
        <v>55</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TEXT(WEEKDAY(DATE(AnnéeCalendrier,4,1),1),"jjj")</f>
        <v>mer</v>
      </c>
      <c r="D5" s="2" t="str">
        <f>TEXT(WEEKDAY(DATE(AnnéeCalendrier,4,2),1),"jjj")</f>
        <v>jeu</v>
      </c>
      <c r="E5" s="2" t="str">
        <f>TEXT(WEEKDAY(DATE(AnnéeCalendrier,4,3),1),"jjj")</f>
        <v>ven</v>
      </c>
      <c r="F5" s="2" t="str">
        <f>TEXT(WEEKDAY(DATE(AnnéeCalendrier,4,4),1),"jjj")</f>
        <v>sam</v>
      </c>
      <c r="G5" s="2" t="str">
        <f>TEXT(WEEKDAY(DATE(AnnéeCalendrier,4,5),1),"jjj")</f>
        <v>dim</v>
      </c>
      <c r="H5" s="2" t="str">
        <f>TEXT(WEEKDAY(DATE(AnnéeCalendrier,4,6),1),"jjj")</f>
        <v>lun</v>
      </c>
      <c r="I5" s="2" t="str">
        <f>TEXT(WEEKDAY(DATE(AnnéeCalendrier,4,7),1),"jjj")</f>
        <v>mar</v>
      </c>
      <c r="J5" s="2" t="str">
        <f>TEXT(WEEKDAY(DATE(AnnéeCalendrier,4,8),1),"jjj")</f>
        <v>mer</v>
      </c>
      <c r="K5" s="2" t="str">
        <f>TEXT(WEEKDAY(DATE(AnnéeCalendrier,4,9),1),"jjj")</f>
        <v>jeu</v>
      </c>
      <c r="L5" s="2" t="str">
        <f>TEXT(WEEKDAY(DATE(AnnéeCalendrier,4,10),1),"jjj")</f>
        <v>ven</v>
      </c>
      <c r="M5" s="2" t="str">
        <f>TEXT(WEEKDAY(DATE(AnnéeCalendrier,4,11),1),"jjj")</f>
        <v>sam</v>
      </c>
      <c r="N5" s="2" t="str">
        <f>TEXT(WEEKDAY(DATE(AnnéeCalendrier,4,12),1),"jjj")</f>
        <v>dim</v>
      </c>
      <c r="O5" s="2" t="str">
        <f>TEXT(WEEKDAY(DATE(AnnéeCalendrier,4,13),1),"jjj")</f>
        <v>lun</v>
      </c>
      <c r="P5" s="2" t="str">
        <f>TEXT(WEEKDAY(DATE(AnnéeCalendrier,4,14),1),"jjj")</f>
        <v>mar</v>
      </c>
      <c r="Q5" s="2" t="str">
        <f>TEXT(WEEKDAY(DATE(AnnéeCalendrier,4,15),1),"jjj")</f>
        <v>mer</v>
      </c>
      <c r="R5" s="2" t="str">
        <f>TEXT(WEEKDAY(DATE(AnnéeCalendrier,4,16),1),"jjj")</f>
        <v>jeu</v>
      </c>
      <c r="S5" s="2" t="str">
        <f>TEXT(WEEKDAY(DATE(AnnéeCalendrier,4,17),1),"jjj")</f>
        <v>ven</v>
      </c>
      <c r="T5" s="2" t="str">
        <f>TEXT(WEEKDAY(DATE(AnnéeCalendrier,4,18),1),"jjj")</f>
        <v>sam</v>
      </c>
      <c r="U5" s="2" t="str">
        <f>TEXT(WEEKDAY(DATE(AnnéeCalendrier,4,19),1),"jjj")</f>
        <v>dim</v>
      </c>
      <c r="V5" s="2" t="str">
        <f>TEXT(WEEKDAY(DATE(AnnéeCalendrier,4,20),1),"jjj")</f>
        <v>lun</v>
      </c>
      <c r="W5" s="2" t="str">
        <f>TEXT(WEEKDAY(DATE(AnnéeCalendrier,4,21),1),"jjj")</f>
        <v>mar</v>
      </c>
      <c r="X5" s="2" t="str">
        <f>TEXT(WEEKDAY(DATE(AnnéeCalendrier,4,22),1),"jjj")</f>
        <v>mer</v>
      </c>
      <c r="Y5" s="2" t="str">
        <f>TEXT(WEEKDAY(DATE(AnnéeCalendrier,4,23),1),"jjj")</f>
        <v>jeu</v>
      </c>
      <c r="Z5" s="2" t="str">
        <f>TEXT(WEEKDAY(DATE(AnnéeCalendrier,4,24),1),"jjj")</f>
        <v>ven</v>
      </c>
      <c r="AA5" s="2" t="str">
        <f>TEXT(WEEKDAY(DATE(AnnéeCalendrier,4,25),1),"jjj")</f>
        <v>sam</v>
      </c>
      <c r="AB5" s="2" t="str">
        <f>TEXT(WEEKDAY(DATE(AnnéeCalendrier,4,26),1),"jjj")</f>
        <v>dim</v>
      </c>
      <c r="AC5" s="2" t="str">
        <f>TEXT(WEEKDAY(DATE(AnnéeCalendrier,4,27),1),"jjj")</f>
        <v>lun</v>
      </c>
      <c r="AD5" s="2" t="str">
        <f>TEXT(WEEKDAY(DATE(AnnéeCalendrier,4,28),1),"jjj")</f>
        <v>mar</v>
      </c>
      <c r="AE5" s="2" t="str">
        <f>TEXT(WEEKDAY(DATE(AnnéeCalendrier,4,29),1),"jjj")</f>
        <v>mer</v>
      </c>
      <c r="AF5" s="2" t="str">
        <f>TEXT(WEEKDAY(DATE(AnnéeCalendrier,4,30),1),"jjj")</f>
        <v>jeu</v>
      </c>
      <c r="AG5" s="2"/>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23" t="s">
        <v>52</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COUNTA(Avril[[#This Row],[1]:[30]])</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COUNTA(Avril[[#This Row],[1]:[30]])</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COUNTA(Avril[[#This Row],[1]:[30]])</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COUNTA(Avril[[#This Row],[1]:[30]])</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COUNTA(Avril[[#This Row],[1]:[30]])</f>
        <v>0</v>
      </c>
    </row>
    <row r="12" spans="2:34" ht="30" customHeight="1" x14ac:dyDescent="0.3">
      <c r="B12" s="21" t="str">
        <f>NomMois&amp;" Total"</f>
        <v>Avril Total</v>
      </c>
      <c r="C12" s="13">
        <f>SUBTOTAL(103,Avril[1])</f>
        <v>0</v>
      </c>
      <c r="D12" s="13">
        <f>SUBTOTAL(103,Avril[2])</f>
        <v>0</v>
      </c>
      <c r="E12" s="13">
        <f>SUBTOTAL(103,Avril[3])</f>
        <v>0</v>
      </c>
      <c r="F12" s="13">
        <f>SUBTOTAL(103,Avril[4])</f>
        <v>0</v>
      </c>
      <c r="G12" s="13">
        <f>SUBTOTAL(103,Avril[5])</f>
        <v>0</v>
      </c>
      <c r="H12" s="13">
        <f>SUBTOTAL(103,Avril[6])</f>
        <v>0</v>
      </c>
      <c r="I12" s="13">
        <f>SUBTOTAL(103,Avril[7])</f>
        <v>0</v>
      </c>
      <c r="J12" s="13">
        <f>SUBTOTAL(103,Avril[8])</f>
        <v>0</v>
      </c>
      <c r="K12" s="13">
        <f>SUBTOTAL(103,Avril[9])</f>
        <v>0</v>
      </c>
      <c r="L12" s="13">
        <f>SUBTOTAL(103,Avril[10])</f>
        <v>0</v>
      </c>
      <c r="M12" s="13">
        <f>SUBTOTAL(103,Avril[11])</f>
        <v>0</v>
      </c>
      <c r="N12" s="13">
        <f>SUBTOTAL(103,Avril[12])</f>
        <v>0</v>
      </c>
      <c r="O12" s="13">
        <f>SUBTOTAL(103,Avril[13])</f>
        <v>0</v>
      </c>
      <c r="P12" s="13">
        <f>SUBTOTAL(103,Avril[14])</f>
        <v>0</v>
      </c>
      <c r="Q12" s="13">
        <f>SUBTOTAL(103,Avril[15])</f>
        <v>0</v>
      </c>
      <c r="R12" s="13">
        <f>SUBTOTAL(103,Avril[16])</f>
        <v>0</v>
      </c>
      <c r="S12" s="13">
        <f>SUBTOTAL(103,Avril[17])</f>
        <v>0</v>
      </c>
      <c r="T12" s="13">
        <f>SUBTOTAL(103,Avril[18])</f>
        <v>0</v>
      </c>
      <c r="U12" s="13">
        <f>SUBTOTAL(103,Avril[19])</f>
        <v>0</v>
      </c>
      <c r="V12" s="13">
        <f>SUBTOTAL(103,Avril[20])</f>
        <v>0</v>
      </c>
      <c r="W12" s="13">
        <f>SUBTOTAL(103,Avril[21])</f>
        <v>0</v>
      </c>
      <c r="X12" s="13">
        <f>SUBTOTAL(103,Avril[22])</f>
        <v>0</v>
      </c>
      <c r="Y12" s="13">
        <f>SUBTOTAL(103,Avril[23])</f>
        <v>0</v>
      </c>
      <c r="Z12" s="13">
        <f>SUBTOTAL(103,Avril[24])</f>
        <v>0</v>
      </c>
      <c r="AA12" s="13">
        <f>SUBTOTAL(103,Avril[25])</f>
        <v>0</v>
      </c>
      <c r="AB12" s="13">
        <f>SUBTOTAL(103,Avril[26])</f>
        <v>0</v>
      </c>
      <c r="AC12" s="13">
        <f>SUBTOTAL(103,Avril[27])</f>
        <v>0</v>
      </c>
      <c r="AD12" s="13">
        <f>SUBTOTAL(103,Avril[28])</f>
        <v>0</v>
      </c>
      <c r="AE12" s="13">
        <f>SUBTOTAL(103,Avril[29])</f>
        <v>0</v>
      </c>
      <c r="AF12" s="13">
        <f>SUBTOTAL(103,Avril[30])</f>
        <v>0</v>
      </c>
      <c r="AG12" s="13">
        <f>SUBTOTAL(103,Avril[30])</f>
        <v>0</v>
      </c>
      <c r="AH12" s="13">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 priority="2" stopIfTrue="1">
      <formula>C7=CléPersonnalisée2</formula>
    </cfRule>
    <cfRule type="expression" dxfId="43" priority="3" stopIfTrue="1">
      <formula>C7=CléPersonnalisée1</formula>
    </cfRule>
    <cfRule type="expression" dxfId="42" priority="4" stopIfTrue="1">
      <formula>C7=CléMaladie</formula>
    </cfRule>
    <cfRule type="expression" dxfId="41" priority="5" stopIfTrue="1">
      <formula>C7=CléPersonnel</formula>
    </cfRule>
    <cfRule type="expression" dxfId="4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employés'!$B$4:$B$7</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theme="2" tint="-9.9978637043366805E-2"/>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56</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TEXT(WEEKDAY(DATE(AnnéeCalendrier,5,1),1),"jjj")</f>
        <v>ven</v>
      </c>
      <c r="D5" s="2" t="str">
        <f>TEXT(WEEKDAY(DATE(AnnéeCalendrier,5,2),1),"jjj")</f>
        <v>sam</v>
      </c>
      <c r="E5" s="2" t="str">
        <f>TEXT(WEEKDAY(DATE(AnnéeCalendrier,5,3),1),"jjj")</f>
        <v>dim</v>
      </c>
      <c r="F5" s="2" t="str">
        <f>TEXT(WEEKDAY(DATE(AnnéeCalendrier,5,4),1),"jjj")</f>
        <v>lun</v>
      </c>
      <c r="G5" s="2" t="str">
        <f>TEXT(WEEKDAY(DATE(AnnéeCalendrier,5,5),1),"jjj")</f>
        <v>mar</v>
      </c>
      <c r="H5" s="2" t="str">
        <f>TEXT(WEEKDAY(DATE(AnnéeCalendrier,5,6),1),"jjj")</f>
        <v>mer</v>
      </c>
      <c r="I5" s="2" t="str">
        <f>TEXT(WEEKDAY(DATE(AnnéeCalendrier,5,7),1),"jjj")</f>
        <v>jeu</v>
      </c>
      <c r="J5" s="2" t="str">
        <f>TEXT(WEEKDAY(DATE(AnnéeCalendrier,5,8),1),"jjj")</f>
        <v>ven</v>
      </c>
      <c r="K5" s="2" t="str">
        <f>TEXT(WEEKDAY(DATE(AnnéeCalendrier,5,9),1),"jjj")</f>
        <v>sam</v>
      </c>
      <c r="L5" s="2" t="str">
        <f>TEXT(WEEKDAY(DATE(AnnéeCalendrier,5,10),1),"jjj")</f>
        <v>dim</v>
      </c>
      <c r="M5" s="2" t="str">
        <f>TEXT(WEEKDAY(DATE(AnnéeCalendrier,5,11),1),"jjj")</f>
        <v>lun</v>
      </c>
      <c r="N5" s="2" t="str">
        <f>TEXT(WEEKDAY(DATE(AnnéeCalendrier,5,12),1),"jjj")</f>
        <v>mar</v>
      </c>
      <c r="O5" s="2" t="str">
        <f>TEXT(WEEKDAY(DATE(AnnéeCalendrier,5,13),1),"jjj")</f>
        <v>mer</v>
      </c>
      <c r="P5" s="2" t="str">
        <f>TEXT(WEEKDAY(DATE(AnnéeCalendrier,5,14),1),"jjj")</f>
        <v>jeu</v>
      </c>
      <c r="Q5" s="2" t="str">
        <f>TEXT(WEEKDAY(DATE(AnnéeCalendrier,5,15),1),"jjj")</f>
        <v>ven</v>
      </c>
      <c r="R5" s="2" t="str">
        <f>TEXT(WEEKDAY(DATE(AnnéeCalendrier,5,16),1),"jjj")</f>
        <v>sam</v>
      </c>
      <c r="S5" s="2" t="str">
        <f>TEXT(WEEKDAY(DATE(AnnéeCalendrier,5,17),1),"jjj")</f>
        <v>dim</v>
      </c>
      <c r="T5" s="2" t="str">
        <f>TEXT(WEEKDAY(DATE(AnnéeCalendrier,5,18),1),"jjj")</f>
        <v>lun</v>
      </c>
      <c r="U5" s="2" t="str">
        <f>TEXT(WEEKDAY(DATE(AnnéeCalendrier,5,19),1),"jjj")</f>
        <v>mar</v>
      </c>
      <c r="V5" s="2" t="str">
        <f>TEXT(WEEKDAY(DATE(AnnéeCalendrier,5,20),1),"jjj")</f>
        <v>mer</v>
      </c>
      <c r="W5" s="2" t="str">
        <f>TEXT(WEEKDAY(DATE(AnnéeCalendrier,5,21),1),"jjj")</f>
        <v>jeu</v>
      </c>
      <c r="X5" s="2" t="str">
        <f>TEXT(WEEKDAY(DATE(AnnéeCalendrier,5,22),1),"jjj")</f>
        <v>ven</v>
      </c>
      <c r="Y5" s="2" t="str">
        <f>TEXT(WEEKDAY(DATE(AnnéeCalendrier,5,23),1),"jjj")</f>
        <v>sam</v>
      </c>
      <c r="Z5" s="2" t="str">
        <f>TEXT(WEEKDAY(DATE(AnnéeCalendrier,5,24),1),"jjj")</f>
        <v>dim</v>
      </c>
      <c r="AA5" s="2" t="str">
        <f>TEXT(WEEKDAY(DATE(AnnéeCalendrier,5,25),1),"jjj")</f>
        <v>lun</v>
      </c>
      <c r="AB5" s="2" t="str">
        <f>TEXT(WEEKDAY(DATE(AnnéeCalendrier,5,26),1),"jjj")</f>
        <v>mar</v>
      </c>
      <c r="AC5" s="2" t="str">
        <f>TEXT(WEEKDAY(DATE(AnnéeCalendrier,5,27),1),"jjj")</f>
        <v>mer</v>
      </c>
      <c r="AD5" s="2" t="str">
        <f>TEXT(WEEKDAY(DATE(AnnéeCalendrier,5,28),1),"jjj")</f>
        <v>jeu</v>
      </c>
      <c r="AE5" s="2" t="str">
        <f>TEXT(WEEKDAY(DATE(AnnéeCalendrier,5,29),1),"jjj")</f>
        <v>ven</v>
      </c>
      <c r="AF5" s="2" t="str">
        <f>TEXT(WEEKDAY(DATE(AnnéeCalendrier,5,30),1),"jjj")</f>
        <v>sam</v>
      </c>
      <c r="AG5" s="2" t="str">
        <f>TEXT(WEEKDAY(DATE(AnnéeCalendrier,5,31),1),"jjj")</f>
        <v>dim</v>
      </c>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COUNTA(Mai[[#This Row],[1]:[31]])</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COUNTA(Mai[[#This Row],[1]:[31]])</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COUNTA(Mai[[#This Row],[1]:[31]])</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COUNTA(Mai[[#This Row],[1]:[31]])</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COUNTA(Mai[[#This Row],[1]:[31]])</f>
        <v>0</v>
      </c>
    </row>
    <row r="12" spans="2:34" ht="30" customHeight="1" x14ac:dyDescent="0.3">
      <c r="B12" s="21" t="str">
        <f>NomMois&amp;" Total"</f>
        <v>Mai Total</v>
      </c>
      <c r="C12" s="13">
        <f>SUBTOTAL(103,Mai[1])</f>
        <v>0</v>
      </c>
      <c r="D12" s="13">
        <f>SUBTOTAL(103,Mai[2])</f>
        <v>0</v>
      </c>
      <c r="E12" s="13">
        <f>SUBTOTAL(103,Mai[3])</f>
        <v>0</v>
      </c>
      <c r="F12" s="13">
        <f>SUBTOTAL(103,Mai[4])</f>
        <v>0</v>
      </c>
      <c r="G12" s="13">
        <f>SUBTOTAL(103,Mai[5])</f>
        <v>0</v>
      </c>
      <c r="H12" s="13">
        <f>SUBTOTAL(103,Mai[6])</f>
        <v>0</v>
      </c>
      <c r="I12" s="13">
        <f>SUBTOTAL(103,Mai[7])</f>
        <v>0</v>
      </c>
      <c r="J12" s="13">
        <f>SUBTOTAL(103,Mai[8])</f>
        <v>0</v>
      </c>
      <c r="K12" s="13">
        <f>SUBTOTAL(103,Mai[9])</f>
        <v>0</v>
      </c>
      <c r="L12" s="13">
        <f>SUBTOTAL(103,Mai[10])</f>
        <v>0</v>
      </c>
      <c r="M12" s="13">
        <f>SUBTOTAL(103,Mai[11])</f>
        <v>0</v>
      </c>
      <c r="N12" s="13">
        <f>SUBTOTAL(103,Mai[12])</f>
        <v>0</v>
      </c>
      <c r="O12" s="13">
        <f>SUBTOTAL(103,Mai[13])</f>
        <v>0</v>
      </c>
      <c r="P12" s="13">
        <f>SUBTOTAL(103,Mai[14])</f>
        <v>0</v>
      </c>
      <c r="Q12" s="13">
        <f>SUBTOTAL(103,Mai[15])</f>
        <v>0</v>
      </c>
      <c r="R12" s="13">
        <f>SUBTOTAL(103,Mai[16])</f>
        <v>0</v>
      </c>
      <c r="S12" s="13">
        <f>SUBTOTAL(103,Mai[17])</f>
        <v>0</v>
      </c>
      <c r="T12" s="13">
        <f>SUBTOTAL(103,Mai[18])</f>
        <v>0</v>
      </c>
      <c r="U12" s="13">
        <f>SUBTOTAL(103,Mai[19])</f>
        <v>0</v>
      </c>
      <c r="V12" s="13">
        <f>SUBTOTAL(103,Mai[20])</f>
        <v>0</v>
      </c>
      <c r="W12" s="13">
        <f>SUBTOTAL(103,Mai[21])</f>
        <v>0</v>
      </c>
      <c r="X12" s="13">
        <f>SUBTOTAL(103,Mai[22])</f>
        <v>0</v>
      </c>
      <c r="Y12" s="13">
        <f>SUBTOTAL(103,Mai[23])</f>
        <v>0</v>
      </c>
      <c r="Z12" s="13">
        <f>SUBTOTAL(103,Mai[24])</f>
        <v>0</v>
      </c>
      <c r="AA12" s="13">
        <f>SUBTOTAL(103,Mai[25])</f>
        <v>0</v>
      </c>
      <c r="AB12" s="13">
        <f>SUBTOTAL(103,Mai[26])</f>
        <v>0</v>
      </c>
      <c r="AC12" s="13">
        <f>SUBTOTAL(103,Mai[27])</f>
        <v>0</v>
      </c>
      <c r="AD12" s="13">
        <f>SUBTOTAL(103,Mai[28])</f>
        <v>0</v>
      </c>
      <c r="AE12" s="13">
        <f>SUBTOTAL(103,Mai[29])</f>
        <v>0</v>
      </c>
      <c r="AF12" s="13">
        <f>SUBTOTAL(103,Mai[30])</f>
        <v>0</v>
      </c>
      <c r="AG12" s="13">
        <f>SUBTOTAL(103,Mai[31])</f>
        <v>0</v>
      </c>
      <c r="AH12" s="13">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9" priority="2" stopIfTrue="1">
      <formula>C7=CléPersonnalisée2</formula>
    </cfRule>
    <cfRule type="expression" dxfId="38" priority="3" stopIfTrue="1">
      <formula>C7=CléPersonnalisée1</formula>
    </cfRule>
    <cfRule type="expression" dxfId="37" priority="4" stopIfTrue="1">
      <formula>C7=CléMaladie</formula>
    </cfRule>
    <cfRule type="expression" dxfId="36" priority="5" stopIfTrue="1">
      <formula>C7=CléPersonnel</formula>
    </cfRule>
    <cfRule type="expression" dxfId="3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employés'!$B$4:$B$7</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tabColor theme="2"/>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57</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TEXT(WEEKDAY(DATE(AnnéeCalendrier,6,1),1),"jjj")</f>
        <v>lun</v>
      </c>
      <c r="D5" s="2" t="str">
        <f>TEXT(WEEKDAY(DATE(AnnéeCalendrier,6,2),1),"jjj")</f>
        <v>mar</v>
      </c>
      <c r="E5" s="2" t="str">
        <f>TEXT(WEEKDAY(DATE(AnnéeCalendrier,6,3),1),"jjj")</f>
        <v>mer</v>
      </c>
      <c r="F5" s="2" t="str">
        <f>TEXT(WEEKDAY(DATE(AnnéeCalendrier,6,4),1),"jjj")</f>
        <v>jeu</v>
      </c>
      <c r="G5" s="2" t="str">
        <f>TEXT(WEEKDAY(DATE(AnnéeCalendrier,6,5),1),"jjj")</f>
        <v>ven</v>
      </c>
      <c r="H5" s="2" t="str">
        <f>TEXT(WEEKDAY(DATE(AnnéeCalendrier,6,6),1),"jjj")</f>
        <v>sam</v>
      </c>
      <c r="I5" s="2" t="str">
        <f>TEXT(WEEKDAY(DATE(AnnéeCalendrier,6,7),1),"jjj")</f>
        <v>dim</v>
      </c>
      <c r="J5" s="2" t="str">
        <f>TEXT(WEEKDAY(DATE(AnnéeCalendrier,6,8),1),"jjj")</f>
        <v>lun</v>
      </c>
      <c r="K5" s="2" t="str">
        <f>TEXT(WEEKDAY(DATE(AnnéeCalendrier,6,9),1),"jjj")</f>
        <v>mar</v>
      </c>
      <c r="L5" s="2" t="str">
        <f>TEXT(WEEKDAY(DATE(AnnéeCalendrier,6,10),1),"jjj")</f>
        <v>mer</v>
      </c>
      <c r="M5" s="2" t="str">
        <f>TEXT(WEEKDAY(DATE(AnnéeCalendrier,6,11),1),"jjj")</f>
        <v>jeu</v>
      </c>
      <c r="N5" s="2" t="str">
        <f>TEXT(WEEKDAY(DATE(AnnéeCalendrier,6,12),1),"jjj")</f>
        <v>ven</v>
      </c>
      <c r="O5" s="2" t="str">
        <f>TEXT(WEEKDAY(DATE(AnnéeCalendrier,6,13),1),"jjj")</f>
        <v>sam</v>
      </c>
      <c r="P5" s="2" t="str">
        <f>TEXT(WEEKDAY(DATE(AnnéeCalendrier,6,14),1),"jjj")</f>
        <v>dim</v>
      </c>
      <c r="Q5" s="2" t="str">
        <f>TEXT(WEEKDAY(DATE(AnnéeCalendrier,6,15),1),"jjj")</f>
        <v>lun</v>
      </c>
      <c r="R5" s="2" t="str">
        <f>TEXT(WEEKDAY(DATE(AnnéeCalendrier,6,16),1),"jjj")</f>
        <v>mar</v>
      </c>
      <c r="S5" s="2" t="str">
        <f>TEXT(WEEKDAY(DATE(AnnéeCalendrier,6,17),1),"jjj")</f>
        <v>mer</v>
      </c>
      <c r="T5" s="2" t="str">
        <f>TEXT(WEEKDAY(DATE(AnnéeCalendrier,6,18),1),"jjj")</f>
        <v>jeu</v>
      </c>
      <c r="U5" s="2" t="str">
        <f>TEXT(WEEKDAY(DATE(AnnéeCalendrier,6,19),1),"jjj")</f>
        <v>ven</v>
      </c>
      <c r="V5" s="2" t="str">
        <f>TEXT(WEEKDAY(DATE(AnnéeCalendrier,6,20),1),"jjj")</f>
        <v>sam</v>
      </c>
      <c r="W5" s="2" t="str">
        <f>TEXT(WEEKDAY(DATE(AnnéeCalendrier,6,21),1),"jjj")</f>
        <v>dim</v>
      </c>
      <c r="X5" s="2" t="str">
        <f>TEXT(WEEKDAY(DATE(AnnéeCalendrier,6,22),1),"jjj")</f>
        <v>lun</v>
      </c>
      <c r="Y5" s="2" t="str">
        <f>TEXT(WEEKDAY(DATE(AnnéeCalendrier,6,23),1),"jjj")</f>
        <v>mar</v>
      </c>
      <c r="Z5" s="2" t="str">
        <f>TEXT(WEEKDAY(DATE(AnnéeCalendrier,6,24),1),"jjj")</f>
        <v>mer</v>
      </c>
      <c r="AA5" s="2" t="str">
        <f>TEXT(WEEKDAY(DATE(AnnéeCalendrier,6,25),1),"jjj")</f>
        <v>jeu</v>
      </c>
      <c r="AB5" s="2" t="str">
        <f>TEXT(WEEKDAY(DATE(AnnéeCalendrier,6,26),1),"jjj")</f>
        <v>ven</v>
      </c>
      <c r="AC5" s="2" t="str">
        <f>TEXT(WEEKDAY(DATE(AnnéeCalendrier,6,27),1),"jjj")</f>
        <v>sam</v>
      </c>
      <c r="AD5" s="2" t="str">
        <f>TEXT(WEEKDAY(DATE(AnnéeCalendrier,6,28),1),"jjj")</f>
        <v>dim</v>
      </c>
      <c r="AE5" s="2" t="str">
        <f>TEXT(WEEKDAY(DATE(AnnéeCalendrier,6,29),1),"jjj")</f>
        <v>lun</v>
      </c>
      <c r="AF5" s="2" t="str">
        <f>TEXT(WEEKDAY(DATE(AnnéeCalendrier,6,30),1),"jjj")</f>
        <v>mar</v>
      </c>
      <c r="AG5" s="2"/>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COUNTA(Juin[[#This Row],[1]:[30]])</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COUNTA(Juin[[#This Row],[1]:[30]])</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COUNTA(Juin[[#This Row],[1]:[30]])</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COUNTA(Juin[[#This Row],[1]:[30]])</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COUNTA(Juin[[#This Row],[1]:[30]])</f>
        <v>0</v>
      </c>
    </row>
    <row r="12" spans="2:34" ht="30" customHeight="1" x14ac:dyDescent="0.3">
      <c r="B12" s="21" t="str">
        <f>NomMois&amp;" Total"</f>
        <v>Juin Total</v>
      </c>
      <c r="C12" s="13">
        <f>SUBTOTAL(103,Juin[1])</f>
        <v>0</v>
      </c>
      <c r="D12" s="13">
        <f>SUBTOTAL(103,Juin[2])</f>
        <v>0</v>
      </c>
      <c r="E12" s="13">
        <f>SUBTOTAL(103,Juin[3])</f>
        <v>0</v>
      </c>
      <c r="F12" s="13">
        <f>SUBTOTAL(103,Juin[4])</f>
        <v>0</v>
      </c>
      <c r="G12" s="13">
        <f>SUBTOTAL(103,Juin[5])</f>
        <v>0</v>
      </c>
      <c r="H12" s="13">
        <f>SUBTOTAL(103,Juin[6])</f>
        <v>0</v>
      </c>
      <c r="I12" s="13">
        <f>SUBTOTAL(103,Juin[7])</f>
        <v>0</v>
      </c>
      <c r="J12" s="13">
        <f>SUBTOTAL(103,Juin[8])</f>
        <v>0</v>
      </c>
      <c r="K12" s="13">
        <f>SUBTOTAL(103,Juin[9])</f>
        <v>0</v>
      </c>
      <c r="L12" s="13">
        <f>SUBTOTAL(103,Juin[10])</f>
        <v>0</v>
      </c>
      <c r="M12" s="13">
        <f>SUBTOTAL(103,Juin[11])</f>
        <v>0</v>
      </c>
      <c r="N12" s="13">
        <f>SUBTOTAL(103,Juin[12])</f>
        <v>0</v>
      </c>
      <c r="O12" s="13">
        <f>SUBTOTAL(103,Juin[13])</f>
        <v>0</v>
      </c>
      <c r="P12" s="13">
        <f>SUBTOTAL(103,Juin[14])</f>
        <v>0</v>
      </c>
      <c r="Q12" s="13">
        <f>SUBTOTAL(103,Juin[15])</f>
        <v>0</v>
      </c>
      <c r="R12" s="13">
        <f>SUBTOTAL(103,Juin[16])</f>
        <v>0</v>
      </c>
      <c r="S12" s="13">
        <f>SUBTOTAL(103,Juin[17])</f>
        <v>0</v>
      </c>
      <c r="T12" s="13">
        <f>SUBTOTAL(103,Juin[18])</f>
        <v>0</v>
      </c>
      <c r="U12" s="13">
        <f>SUBTOTAL(103,Juin[19])</f>
        <v>0</v>
      </c>
      <c r="V12" s="13">
        <f>SUBTOTAL(103,Juin[20])</f>
        <v>0</v>
      </c>
      <c r="W12" s="13">
        <f>SUBTOTAL(103,Juin[21])</f>
        <v>0</v>
      </c>
      <c r="X12" s="13">
        <f>SUBTOTAL(103,Juin[22])</f>
        <v>0</v>
      </c>
      <c r="Y12" s="13">
        <f>SUBTOTAL(103,Juin[23])</f>
        <v>0</v>
      </c>
      <c r="Z12" s="13">
        <f>SUBTOTAL(103,Juin[24])</f>
        <v>0</v>
      </c>
      <c r="AA12" s="13">
        <f>SUBTOTAL(103,Juin[25])</f>
        <v>0</v>
      </c>
      <c r="AB12" s="13">
        <f>SUBTOTAL(103,Juin[26])</f>
        <v>0</v>
      </c>
      <c r="AC12" s="13">
        <f>SUBTOTAL(103,Juin[27])</f>
        <v>0</v>
      </c>
      <c r="AD12" s="13">
        <f>SUBTOTAL(103,Juin[28])</f>
        <v>0</v>
      </c>
      <c r="AE12" s="13">
        <f>SUBTOTAL(103,Juin[29])</f>
        <v>0</v>
      </c>
      <c r="AF12" s="13">
        <f>SUBTOTAL(103,Juin[30])</f>
        <v>0</v>
      </c>
      <c r="AG12" s="13">
        <f>SUBTOTAL(103,Juin[[ ]])</f>
        <v>0</v>
      </c>
      <c r="AH12" s="13">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4" priority="2" stopIfTrue="1">
      <formula>C7=CléPersonnalisée2</formula>
    </cfRule>
    <cfRule type="expression" dxfId="33" priority="3" stopIfTrue="1">
      <formula>C7=CléPersonnalisée1</formula>
    </cfRule>
    <cfRule type="expression" dxfId="32" priority="4" stopIfTrue="1">
      <formula>C7=CléMaladie</formula>
    </cfRule>
    <cfRule type="expression" dxfId="31" priority="5" stopIfTrue="1">
      <formula>C7=CléPersonnel</formula>
    </cfRule>
    <cfRule type="expression" dxfId="3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employés'!$B$4:$B$7</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tabColor theme="1"/>
  </sheetPr>
  <dimension ref="A1:AH14"/>
  <sheetViews>
    <sheetView showGridLines="0" zoomScaleNormal="100" workbookViewId="0">
      <selection activeCell="B7" sqref="B7"/>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3">
      <c r="B3" s="14"/>
    </row>
    <row r="4" spans="2:34" ht="30" customHeight="1" x14ac:dyDescent="0.3">
      <c r="B4" s="12" t="s">
        <v>58</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v>2020</v>
      </c>
    </row>
    <row r="5" spans="2:34" ht="15" customHeight="1" x14ac:dyDescent="0.3">
      <c r="B5" s="12"/>
      <c r="C5" s="2" t="str">
        <f>TEXT(WEEKDAY(DATE(AnnéeCalendrier,7,1),1),"jjj")</f>
        <v>mer</v>
      </c>
      <c r="D5" s="2" t="str">
        <f>TEXT(WEEKDAY(DATE(AnnéeCalendrier,7,2),1),"jjj")</f>
        <v>jeu</v>
      </c>
      <c r="E5" s="2" t="str">
        <f>TEXT(WEEKDAY(DATE(AnnéeCalendrier,7,3),1),"jjj")</f>
        <v>ven</v>
      </c>
      <c r="F5" s="2" t="str">
        <f>TEXT(WEEKDAY(DATE(AnnéeCalendrier,7,4),1),"jjj")</f>
        <v>sam</v>
      </c>
      <c r="G5" s="2" t="str">
        <f>TEXT(WEEKDAY(DATE(AnnéeCalendrier,7,5),1),"jjj")</f>
        <v>dim</v>
      </c>
      <c r="H5" s="2" t="str">
        <f>TEXT(WEEKDAY(DATE(AnnéeCalendrier,7,6),1),"jjj")</f>
        <v>lun</v>
      </c>
      <c r="I5" s="2" t="str">
        <f>TEXT(WEEKDAY(DATE(AnnéeCalendrier,7,7),1),"jjj")</f>
        <v>mar</v>
      </c>
      <c r="J5" s="2" t="str">
        <f>TEXT(WEEKDAY(DATE(AnnéeCalendrier,7,8),1),"jjj")</f>
        <v>mer</v>
      </c>
      <c r="K5" s="2" t="str">
        <f>TEXT(WEEKDAY(DATE(AnnéeCalendrier,7,9),1),"jjj")</f>
        <v>jeu</v>
      </c>
      <c r="L5" s="2" t="str">
        <f>TEXT(WEEKDAY(DATE(AnnéeCalendrier,7,10),1),"jjj")</f>
        <v>ven</v>
      </c>
      <c r="M5" s="2" t="str">
        <f>TEXT(WEEKDAY(DATE(AnnéeCalendrier,7,11),1),"jjj")</f>
        <v>sam</v>
      </c>
      <c r="N5" s="2" t="str">
        <f>TEXT(WEEKDAY(DATE(AnnéeCalendrier,7,12),1),"jjj")</f>
        <v>dim</v>
      </c>
      <c r="O5" s="2" t="str">
        <f>TEXT(WEEKDAY(DATE(AnnéeCalendrier,7,13),1),"jjj")</f>
        <v>lun</v>
      </c>
      <c r="P5" s="2" t="str">
        <f>TEXT(WEEKDAY(DATE(AnnéeCalendrier,7,14),1),"jjj")</f>
        <v>mar</v>
      </c>
      <c r="Q5" s="2" t="str">
        <f>TEXT(WEEKDAY(DATE(AnnéeCalendrier,7,15),1),"jjj")</f>
        <v>mer</v>
      </c>
      <c r="R5" s="2" t="str">
        <f>TEXT(WEEKDAY(DATE(AnnéeCalendrier,7,16),1),"jjj")</f>
        <v>jeu</v>
      </c>
      <c r="S5" s="2" t="str">
        <f>TEXT(WEEKDAY(DATE(AnnéeCalendrier,7,17),1),"jjj")</f>
        <v>ven</v>
      </c>
      <c r="T5" s="2" t="str">
        <f>TEXT(WEEKDAY(DATE(AnnéeCalendrier,7,18),1),"jjj")</f>
        <v>sam</v>
      </c>
      <c r="U5" s="2" t="str">
        <f>TEXT(WEEKDAY(DATE(AnnéeCalendrier,7,19),1),"jjj")</f>
        <v>dim</v>
      </c>
      <c r="V5" s="2" t="str">
        <f>TEXT(WEEKDAY(DATE(AnnéeCalendrier,7,20),1),"jjj")</f>
        <v>lun</v>
      </c>
      <c r="W5" s="2" t="str">
        <f>TEXT(WEEKDAY(DATE(AnnéeCalendrier,7,21),1),"jjj")</f>
        <v>mar</v>
      </c>
      <c r="X5" s="2" t="str">
        <f>TEXT(WEEKDAY(DATE(AnnéeCalendrier,7,22),1),"jjj")</f>
        <v>mer</v>
      </c>
      <c r="Y5" s="2" t="str">
        <f>TEXT(WEEKDAY(DATE(AnnéeCalendrier,7,23),1),"jjj")</f>
        <v>jeu</v>
      </c>
      <c r="Z5" s="2" t="str">
        <f>TEXT(WEEKDAY(DATE(AnnéeCalendrier,7,24),1),"jjj")</f>
        <v>ven</v>
      </c>
      <c r="AA5" s="2" t="str">
        <f>TEXT(WEEKDAY(DATE(AnnéeCalendrier,7,25),1),"jjj")</f>
        <v>sam</v>
      </c>
      <c r="AB5" s="2" t="str">
        <f>TEXT(WEEKDAY(DATE(AnnéeCalendrier,7,26),1),"jjj")</f>
        <v>dim</v>
      </c>
      <c r="AC5" s="2" t="str">
        <f>TEXT(WEEKDAY(DATE(AnnéeCalendrier,7,27),1),"jjj")</f>
        <v>lun</v>
      </c>
      <c r="AD5" s="2" t="str">
        <f>TEXT(WEEKDAY(DATE(AnnéeCalendrier,7,28),1),"jjj")</f>
        <v>mar</v>
      </c>
      <c r="AE5" s="2" t="str">
        <f>TEXT(WEEKDAY(DATE(AnnéeCalendrier,7,29),1),"jjj")</f>
        <v>mer</v>
      </c>
      <c r="AF5" s="2" t="str">
        <f>TEXT(WEEKDAY(DATE(AnnéeCalendrier,7,30),1),"jjj")</f>
        <v>jeu</v>
      </c>
      <c r="AG5" s="2" t="str">
        <f>TEXT(WEEKDAY(DATE(AnnéeCalendrier,7,31),1),"jjj")</f>
        <v>ven</v>
      </c>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3">
      <c r="B7" s="17"/>
      <c r="C7" s="3"/>
      <c r="D7" s="3"/>
      <c r="E7" s="3"/>
      <c r="F7" s="3"/>
      <c r="G7" s="3"/>
      <c r="H7" s="3"/>
      <c r="I7" s="3"/>
      <c r="J7" s="3"/>
      <c r="K7" s="3"/>
      <c r="L7" s="3"/>
      <c r="M7" s="3"/>
      <c r="N7" s="3"/>
      <c r="O7" s="3" t="s">
        <v>9</v>
      </c>
      <c r="P7" s="3" t="s">
        <v>9</v>
      </c>
      <c r="Q7" s="3" t="s">
        <v>9</v>
      </c>
      <c r="R7" s="3" t="s">
        <v>9</v>
      </c>
      <c r="S7" s="3" t="s">
        <v>9</v>
      </c>
      <c r="T7" s="3" t="s">
        <v>9</v>
      </c>
      <c r="U7" s="3" t="s">
        <v>9</v>
      </c>
      <c r="V7" s="3" t="s">
        <v>9</v>
      </c>
      <c r="W7" s="3" t="s">
        <v>9</v>
      </c>
      <c r="X7" s="3" t="s">
        <v>9</v>
      </c>
      <c r="Y7" s="3" t="s">
        <v>9</v>
      </c>
      <c r="Z7" s="3" t="s">
        <v>9</v>
      </c>
      <c r="AA7" s="3" t="s">
        <v>9</v>
      </c>
      <c r="AB7" s="3" t="s">
        <v>9</v>
      </c>
      <c r="AC7" s="3" t="s">
        <v>9</v>
      </c>
      <c r="AD7" s="3" t="s">
        <v>9</v>
      </c>
      <c r="AE7" s="3" t="s">
        <v>9</v>
      </c>
      <c r="AF7" s="3" t="s">
        <v>9</v>
      </c>
      <c r="AG7" s="3" t="s">
        <v>9</v>
      </c>
      <c r="AH7" s="10">
        <f>COUNTA(Juillet[[#This Row],[1]:[31]])</f>
        <v>19</v>
      </c>
    </row>
    <row r="8" spans="2:34" ht="30" customHeight="1" x14ac:dyDescent="0.3">
      <c r="B8" s="17"/>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COUNTA(Juillet[[#This Row],[1]:[31]])</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COUNTA(Juillet[[#This Row],[1]:[31]])</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COUNTA(Juillet[[#This Row],[1]:[31]])</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COUNTA(Juillet[[#This Row],[1]:[31]])</f>
        <v>0</v>
      </c>
    </row>
    <row r="12" spans="2:34" ht="30" customHeight="1" x14ac:dyDescent="0.3">
      <c r="B12" s="24"/>
      <c r="AH12" s="11">
        <f>COUNTA(Juillet[[#This Row],[1]:[31]])</f>
        <v>0</v>
      </c>
    </row>
    <row r="13" spans="2:34" ht="30" customHeight="1" x14ac:dyDescent="0.3">
      <c r="B13" s="24"/>
      <c r="AH13" s="11">
        <f>COUNTA(Juillet[[#This Row],[1]:[31]])</f>
        <v>0</v>
      </c>
    </row>
    <row r="14" spans="2:34" ht="30" customHeight="1" x14ac:dyDescent="0.3">
      <c r="B14" s="21" t="str">
        <f>NomMois&amp;" Total"</f>
        <v>Juillet Total</v>
      </c>
      <c r="C14" s="13">
        <f>SUBTOTAL(103,Juillet[1])</f>
        <v>0</v>
      </c>
      <c r="D14" s="13">
        <f>SUBTOTAL(103,Juillet[2])</f>
        <v>0</v>
      </c>
      <c r="E14" s="13">
        <f>SUBTOTAL(103,Juillet[3])</f>
        <v>0</v>
      </c>
      <c r="F14" s="13">
        <f>SUBTOTAL(103,Juillet[4])</f>
        <v>0</v>
      </c>
      <c r="G14" s="13">
        <f>SUBTOTAL(103,Juillet[5])</f>
        <v>0</v>
      </c>
      <c r="H14" s="13">
        <f>SUBTOTAL(103,Juillet[6])</f>
        <v>0</v>
      </c>
      <c r="I14" s="13">
        <f>SUBTOTAL(103,Juillet[7])</f>
        <v>0</v>
      </c>
      <c r="J14" s="13">
        <f>SUBTOTAL(103,Juillet[8])</f>
        <v>0</v>
      </c>
      <c r="K14" s="13">
        <f>SUBTOTAL(103,Juillet[9])</f>
        <v>0</v>
      </c>
      <c r="L14" s="13">
        <f>SUBTOTAL(103,Juillet[10])</f>
        <v>0</v>
      </c>
      <c r="M14" s="13">
        <f>SUBTOTAL(103,Juillet[11])</f>
        <v>0</v>
      </c>
      <c r="N14" s="13">
        <f>SUBTOTAL(103,Juillet[12])</f>
        <v>0</v>
      </c>
      <c r="O14" s="13">
        <f>SUBTOTAL(103,Juillet[13])</f>
        <v>1</v>
      </c>
      <c r="P14" s="13">
        <f>SUBTOTAL(103,Juillet[14])</f>
        <v>1</v>
      </c>
      <c r="Q14" s="13">
        <f>SUBTOTAL(103,Juillet[15])</f>
        <v>1</v>
      </c>
      <c r="R14" s="13">
        <f>SUBTOTAL(103,Juillet[16])</f>
        <v>1</v>
      </c>
      <c r="S14" s="13">
        <f>SUBTOTAL(103,Juillet[17])</f>
        <v>1</v>
      </c>
      <c r="T14" s="13">
        <f>SUBTOTAL(103,Juillet[18])</f>
        <v>1</v>
      </c>
      <c r="U14" s="13">
        <f>SUBTOTAL(103,Juillet[19])</f>
        <v>1</v>
      </c>
      <c r="V14" s="13">
        <f>SUBTOTAL(103,Juillet[20])</f>
        <v>1</v>
      </c>
      <c r="W14" s="13">
        <f>SUBTOTAL(103,Juillet[21])</f>
        <v>1</v>
      </c>
      <c r="X14" s="13">
        <f>SUBTOTAL(103,Juillet[22])</f>
        <v>1</v>
      </c>
      <c r="Y14" s="13">
        <f>SUBTOTAL(103,Juillet[23])</f>
        <v>1</v>
      </c>
      <c r="Z14" s="13">
        <f>SUBTOTAL(103,Juillet[24])</f>
        <v>1</v>
      </c>
      <c r="AA14" s="13">
        <f>SUBTOTAL(103,Juillet[25])</f>
        <v>1</v>
      </c>
      <c r="AB14" s="13">
        <f>SUBTOTAL(103,Juillet[26])</f>
        <v>1</v>
      </c>
      <c r="AC14" s="13">
        <f>SUBTOTAL(103,Juillet[27])</f>
        <v>1</v>
      </c>
      <c r="AD14" s="13">
        <f>SUBTOTAL(103,Juillet[28])</f>
        <v>1</v>
      </c>
      <c r="AE14" s="13">
        <f>SUBTOTAL(103,Juillet[29])</f>
        <v>1</v>
      </c>
      <c r="AF14" s="13">
        <f>SUBTOTAL(103,Juillet[30])</f>
        <v>1</v>
      </c>
      <c r="AG14" s="13">
        <f>SUBTOTAL(103,Juillet[31])</f>
        <v>1</v>
      </c>
      <c r="AH14" s="13">
        <f>SUBTOTAL(109,Juillet[Total des jours])</f>
        <v>19</v>
      </c>
    </row>
  </sheetData>
  <mergeCells count="6">
    <mergeCell ref="C4:AG4"/>
    <mergeCell ref="D2:E2"/>
    <mergeCell ref="G2:I2"/>
    <mergeCell ref="K2:L2"/>
    <mergeCell ref="N2:Q2"/>
    <mergeCell ref="S2:V2"/>
  </mergeCells>
  <phoneticPr fontId="19" type="noConversion"/>
  <conditionalFormatting sqref="C7:AG13">
    <cfRule type="expression" priority="1" stopIfTrue="1">
      <formula>C7=""</formula>
    </cfRule>
  </conditionalFormatting>
  <conditionalFormatting sqref="C7:AG13">
    <cfRule type="expression" dxfId="29" priority="2" stopIfTrue="1">
      <formula>C7=CléPersonnalisée2</formula>
    </cfRule>
    <cfRule type="expression" dxfId="28" priority="3" stopIfTrue="1">
      <formula>C7=CléPersonnalisée1</formula>
    </cfRule>
    <cfRule type="expression" dxfId="27" priority="4" stopIfTrue="1">
      <formula>C7=CléMaladie</formula>
    </cfRule>
    <cfRule type="expression" dxfId="26" priority="5" stopIfTrue="1">
      <formula>C7=CléPersonnel</formula>
    </cfRule>
    <cfRule type="expression" dxfId="25" priority="6" stopIfTrue="1">
      <formula>C7=CléCongé</formula>
    </cfRule>
  </conditionalFormatting>
  <conditionalFormatting sqref="AH7:AH13">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258" fitToHeight="0" orientation="landscape"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3076" r:id="rId4" name="List Box 4">
              <controlPr defaultSize="0" autoLine="0" autoPict="0">
                <anchor moveWithCells="1">
                  <from>
                    <xdr:col>7</xdr:col>
                    <xdr:colOff>152400</xdr:colOff>
                    <xdr:row>21</xdr:row>
                    <xdr:rowOff>76200</xdr:rowOff>
                  </from>
                  <to>
                    <xdr:col>10</xdr:col>
                    <xdr:colOff>106680</xdr:colOff>
                    <xdr:row>23</xdr:row>
                    <xdr:rowOff>251460</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employés'!$B$4:$B$7</xm:f>
          </x14:formula1>
          <xm:sqref>B7:B13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9">
    <tabColor theme="2" tint="-0.749992370372631"/>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59</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TEXT(WEEKDAY(DATE(AnnéeCalendrier,8,1),1),"jjj")</f>
        <v>sam</v>
      </c>
      <c r="D5" s="2" t="str">
        <f>TEXT(WEEKDAY(DATE(AnnéeCalendrier,8,2),1),"jjj")</f>
        <v>dim</v>
      </c>
      <c r="E5" s="2" t="str">
        <f>TEXT(WEEKDAY(DATE(AnnéeCalendrier,8,3),1),"jjj")</f>
        <v>lun</v>
      </c>
      <c r="F5" s="2" t="str">
        <f>TEXT(WEEKDAY(DATE(AnnéeCalendrier,8,4),1),"jjj")</f>
        <v>mar</v>
      </c>
      <c r="G5" s="2" t="str">
        <f>TEXT(WEEKDAY(DATE(AnnéeCalendrier,8,5),1),"jjj")</f>
        <v>mer</v>
      </c>
      <c r="H5" s="2" t="str">
        <f>TEXT(WEEKDAY(DATE(AnnéeCalendrier,8,6),1),"jjj")</f>
        <v>jeu</v>
      </c>
      <c r="I5" s="2" t="str">
        <f>TEXT(WEEKDAY(DATE(AnnéeCalendrier,8,7),1),"jjj")</f>
        <v>ven</v>
      </c>
      <c r="J5" s="2" t="str">
        <f>TEXT(WEEKDAY(DATE(AnnéeCalendrier,8,8),1),"jjj")</f>
        <v>sam</v>
      </c>
      <c r="K5" s="2" t="str">
        <f>TEXT(WEEKDAY(DATE(AnnéeCalendrier,8,9),1),"jjj")</f>
        <v>dim</v>
      </c>
      <c r="L5" s="2" t="str">
        <f>TEXT(WEEKDAY(DATE(AnnéeCalendrier,8,10),1),"jjj")</f>
        <v>lun</v>
      </c>
      <c r="M5" s="2" t="str">
        <f>TEXT(WEEKDAY(DATE(AnnéeCalendrier,8,11),1),"jjj")</f>
        <v>mar</v>
      </c>
      <c r="N5" s="2" t="str">
        <f>TEXT(WEEKDAY(DATE(AnnéeCalendrier,8,12),1),"jjj")</f>
        <v>mer</v>
      </c>
      <c r="O5" s="2" t="str">
        <f>TEXT(WEEKDAY(DATE(AnnéeCalendrier,8,13),1),"jjj")</f>
        <v>jeu</v>
      </c>
      <c r="P5" s="2" t="str">
        <f>TEXT(WEEKDAY(DATE(AnnéeCalendrier,8,14),1),"jjj")</f>
        <v>ven</v>
      </c>
      <c r="Q5" s="2" t="str">
        <f>TEXT(WEEKDAY(DATE(AnnéeCalendrier,8,15),1),"jjj")</f>
        <v>sam</v>
      </c>
      <c r="R5" s="2" t="str">
        <f>TEXT(WEEKDAY(DATE(AnnéeCalendrier,8,16),1),"jjj")</f>
        <v>dim</v>
      </c>
      <c r="S5" s="2" t="str">
        <f>TEXT(WEEKDAY(DATE(AnnéeCalendrier,8,17),1),"jjj")</f>
        <v>lun</v>
      </c>
      <c r="T5" s="2" t="str">
        <f>TEXT(WEEKDAY(DATE(AnnéeCalendrier,8,18),1),"jjj")</f>
        <v>mar</v>
      </c>
      <c r="U5" s="2" t="str">
        <f>TEXT(WEEKDAY(DATE(AnnéeCalendrier,8,19),1),"jjj")</f>
        <v>mer</v>
      </c>
      <c r="V5" s="2" t="str">
        <f>TEXT(WEEKDAY(DATE(AnnéeCalendrier,8,20),1),"jjj")</f>
        <v>jeu</v>
      </c>
      <c r="W5" s="2" t="str">
        <f>TEXT(WEEKDAY(DATE(AnnéeCalendrier,8,21),1),"jjj")</f>
        <v>ven</v>
      </c>
      <c r="X5" s="2" t="str">
        <f>TEXT(WEEKDAY(DATE(AnnéeCalendrier,8,22),1),"jjj")</f>
        <v>sam</v>
      </c>
      <c r="Y5" s="2" t="str">
        <f>TEXT(WEEKDAY(DATE(AnnéeCalendrier,8,23),1),"jjj")</f>
        <v>dim</v>
      </c>
      <c r="Z5" s="2" t="str">
        <f>TEXT(WEEKDAY(DATE(AnnéeCalendrier,8,24),1),"jjj")</f>
        <v>lun</v>
      </c>
      <c r="AA5" s="2" t="str">
        <f>TEXT(WEEKDAY(DATE(AnnéeCalendrier,8,25),1),"jjj")</f>
        <v>mar</v>
      </c>
      <c r="AB5" s="2" t="str">
        <f>TEXT(WEEKDAY(DATE(AnnéeCalendrier,8,26),1),"jjj")</f>
        <v>mer</v>
      </c>
      <c r="AC5" s="2" t="str">
        <f>TEXT(WEEKDAY(DATE(AnnéeCalendrier,8,27),1),"jjj")</f>
        <v>jeu</v>
      </c>
      <c r="AD5" s="2" t="str">
        <f>TEXT(WEEKDAY(DATE(AnnéeCalendrier,8,28),1),"jjj")</f>
        <v>ven</v>
      </c>
      <c r="AE5" s="2" t="str">
        <f>TEXT(WEEKDAY(DATE(AnnéeCalendrier,8,29),1),"jjj")</f>
        <v>sam</v>
      </c>
      <c r="AF5" s="2" t="str">
        <f>TEXT(WEEKDAY(DATE(AnnéeCalendrier,8,30),1),"jjj")</f>
        <v>dim</v>
      </c>
      <c r="AG5" s="2" t="str">
        <f>TEXT(WEEKDAY(DATE(AnnéeCalendrier,8,31),1),"jjj")</f>
        <v>lun</v>
      </c>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3">
      <c r="B7" s="17" t="s">
        <v>70</v>
      </c>
      <c r="C7" s="3" t="s">
        <v>9</v>
      </c>
      <c r="D7" s="3" t="s">
        <v>9</v>
      </c>
      <c r="E7" s="3" t="s">
        <v>9</v>
      </c>
      <c r="F7" s="3" t="s">
        <v>9</v>
      </c>
      <c r="G7" s="3" t="s">
        <v>9</v>
      </c>
      <c r="H7" s="3" t="s">
        <v>9</v>
      </c>
      <c r="I7" s="3" t="s">
        <v>9</v>
      </c>
      <c r="J7" s="3" t="s">
        <v>9</v>
      </c>
      <c r="K7" s="3" t="s">
        <v>9</v>
      </c>
      <c r="L7" s="3"/>
      <c r="M7" s="3"/>
      <c r="N7" s="3"/>
      <c r="O7" s="3"/>
      <c r="P7" s="3"/>
      <c r="Q7" s="3"/>
      <c r="R7" s="3"/>
      <c r="S7" s="3"/>
      <c r="T7" s="3"/>
      <c r="U7" s="3"/>
      <c r="V7" s="3"/>
      <c r="W7" s="3"/>
      <c r="X7" s="3"/>
      <c r="Y7" s="3"/>
      <c r="Z7" s="3"/>
      <c r="AA7" s="3"/>
      <c r="AB7" s="3"/>
      <c r="AC7" s="3"/>
      <c r="AD7" s="3"/>
      <c r="AE7" s="3"/>
      <c r="AF7" s="3"/>
      <c r="AG7" s="3"/>
      <c r="AH7" s="10">
        <f>COUNTA(Août[[#This Row],[1]:[31]])</f>
        <v>9</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COUNTA(Août[[#This Row],[1]:[31]])</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COUNTA(Août[[#This Row],[1]:[31]])</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COUNTA(Août[[#This Row],[1]:[31]])</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COUNTA(Août[[#This Row],[1]:[31]])</f>
        <v>0</v>
      </c>
    </row>
    <row r="12" spans="2:34" ht="30" customHeight="1" x14ac:dyDescent="0.3">
      <c r="B12" s="21" t="str">
        <f>NomMois&amp;" Total"</f>
        <v>Août Total</v>
      </c>
      <c r="C12" s="13">
        <f>SUBTOTAL(103,Août[1])</f>
        <v>1</v>
      </c>
      <c r="D12" s="13">
        <f>SUBTOTAL(103,Août[2])</f>
        <v>1</v>
      </c>
      <c r="E12" s="13">
        <f>SUBTOTAL(103,Août[3])</f>
        <v>1</v>
      </c>
      <c r="F12" s="13">
        <f>SUBTOTAL(103,Août[4])</f>
        <v>1</v>
      </c>
      <c r="G12" s="13">
        <f>SUBTOTAL(103,Août[5])</f>
        <v>1</v>
      </c>
      <c r="H12" s="13">
        <f>SUBTOTAL(103,Août[6])</f>
        <v>1</v>
      </c>
      <c r="I12" s="13">
        <f>SUBTOTAL(103,Août[7])</f>
        <v>1</v>
      </c>
      <c r="J12" s="13">
        <f>SUBTOTAL(103,Août[8])</f>
        <v>1</v>
      </c>
      <c r="K12" s="13">
        <f>SUBTOTAL(103,Août[9])</f>
        <v>1</v>
      </c>
      <c r="L12" s="13">
        <f>SUBTOTAL(103,Août[10])</f>
        <v>0</v>
      </c>
      <c r="M12" s="13">
        <f>SUBTOTAL(103,Août[11])</f>
        <v>0</v>
      </c>
      <c r="N12" s="13">
        <f>SUBTOTAL(103,Août[12])</f>
        <v>0</v>
      </c>
      <c r="O12" s="13">
        <f>SUBTOTAL(103,Août[13])</f>
        <v>0</v>
      </c>
      <c r="P12" s="13">
        <f>SUBTOTAL(103,Août[14])</f>
        <v>0</v>
      </c>
      <c r="Q12" s="13">
        <f>SUBTOTAL(103,Août[15])</f>
        <v>0</v>
      </c>
      <c r="R12" s="13">
        <f>SUBTOTAL(103,Août[16])</f>
        <v>0</v>
      </c>
      <c r="S12" s="13">
        <f>SUBTOTAL(103,Août[17])</f>
        <v>0</v>
      </c>
      <c r="T12" s="13">
        <f>SUBTOTAL(103,Août[18])</f>
        <v>0</v>
      </c>
      <c r="U12" s="13">
        <f>SUBTOTAL(103,Août[19])</f>
        <v>0</v>
      </c>
      <c r="V12" s="13">
        <f>SUBTOTAL(103,Août[20])</f>
        <v>0</v>
      </c>
      <c r="W12" s="13">
        <f>SUBTOTAL(103,Août[21])</f>
        <v>0</v>
      </c>
      <c r="X12" s="13">
        <f>SUBTOTAL(103,Août[22])</f>
        <v>0</v>
      </c>
      <c r="Y12" s="13">
        <f>SUBTOTAL(103,Août[23])</f>
        <v>0</v>
      </c>
      <c r="Z12" s="13">
        <f>SUBTOTAL(103,Août[24])</f>
        <v>0</v>
      </c>
      <c r="AA12" s="13">
        <f>SUBTOTAL(103,Août[25])</f>
        <v>0</v>
      </c>
      <c r="AB12" s="13">
        <f>SUBTOTAL(103,Août[26])</f>
        <v>0</v>
      </c>
      <c r="AC12" s="13">
        <f>SUBTOTAL(103,Août[27])</f>
        <v>0</v>
      </c>
      <c r="AD12" s="13">
        <f>SUBTOTAL(103,Août[28])</f>
        <v>0</v>
      </c>
      <c r="AE12" s="13">
        <f>SUBTOTAL(103,Août[29])</f>
        <v>0</v>
      </c>
      <c r="AF12" s="13">
        <f>SUBTOTAL(103,Août[30])</f>
        <v>0</v>
      </c>
      <c r="AG12" s="13">
        <f>SUBTOTAL(103,Août[31])</f>
        <v>0</v>
      </c>
      <c r="AH12" s="13">
        <f>SUBTOTAL(109,Août[Total des jours])</f>
        <v>9</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4" priority="2" stopIfTrue="1">
      <formula>C7=CléPersonnalisée2</formula>
    </cfRule>
    <cfRule type="expression" dxfId="23" priority="3" stopIfTrue="1">
      <formula>C7=CléPersonnalisée1</formula>
    </cfRule>
    <cfRule type="expression" dxfId="22" priority="4" stopIfTrue="1">
      <formula>C7=CléMaladie</formula>
    </cfRule>
    <cfRule type="expression" dxfId="21" priority="5" stopIfTrue="1">
      <formula>C7=CléPersonnel</formula>
    </cfRule>
    <cfRule type="expression" dxfId="2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employés'!$B$4:$B$7</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tabColor theme="2" tint="-0.499984740745262"/>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60</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TEXT(WEEKDAY(DATE(AnnéeCalendrier,9,1),1),"jjj")</f>
        <v>mar</v>
      </c>
      <c r="D5" s="2" t="str">
        <f>TEXT(WEEKDAY(DATE(AnnéeCalendrier,9,2),1),"jjj")</f>
        <v>mer</v>
      </c>
      <c r="E5" s="2" t="str">
        <f>TEXT(WEEKDAY(DATE(AnnéeCalendrier,9,3),1),"jjj")</f>
        <v>jeu</v>
      </c>
      <c r="F5" s="2" t="str">
        <f>TEXT(WEEKDAY(DATE(AnnéeCalendrier,9,4),1),"jjj")</f>
        <v>ven</v>
      </c>
      <c r="G5" s="2" t="str">
        <f>TEXT(WEEKDAY(DATE(AnnéeCalendrier,9,5),1),"jjj")</f>
        <v>sam</v>
      </c>
      <c r="H5" s="2" t="str">
        <f>TEXT(WEEKDAY(DATE(AnnéeCalendrier,9,6),1),"jjj")</f>
        <v>dim</v>
      </c>
      <c r="I5" s="2" t="str">
        <f>TEXT(WEEKDAY(DATE(AnnéeCalendrier,9,7),1),"jjj")</f>
        <v>lun</v>
      </c>
      <c r="J5" s="2" t="str">
        <f>TEXT(WEEKDAY(DATE(AnnéeCalendrier,9,8),1),"jjj")</f>
        <v>mar</v>
      </c>
      <c r="K5" s="2" t="str">
        <f>TEXT(WEEKDAY(DATE(AnnéeCalendrier,9,9),1),"jjj")</f>
        <v>mer</v>
      </c>
      <c r="L5" s="2" t="str">
        <f>TEXT(WEEKDAY(DATE(AnnéeCalendrier,9,10),1),"jjj")</f>
        <v>jeu</v>
      </c>
      <c r="M5" s="2" t="str">
        <f>TEXT(WEEKDAY(DATE(AnnéeCalendrier,9,11),1),"jjj")</f>
        <v>ven</v>
      </c>
      <c r="N5" s="2" t="str">
        <f>TEXT(WEEKDAY(DATE(AnnéeCalendrier,9,12),1),"jjj")</f>
        <v>sam</v>
      </c>
      <c r="O5" s="2" t="str">
        <f>TEXT(WEEKDAY(DATE(AnnéeCalendrier,9,13),1),"jjj")</f>
        <v>dim</v>
      </c>
      <c r="P5" s="2" t="str">
        <f>TEXT(WEEKDAY(DATE(AnnéeCalendrier,9,14),1),"jjj")</f>
        <v>lun</v>
      </c>
      <c r="Q5" s="2" t="str">
        <f>TEXT(WEEKDAY(DATE(AnnéeCalendrier,9,15),1),"jjj")</f>
        <v>mar</v>
      </c>
      <c r="R5" s="2" t="str">
        <f>TEXT(WEEKDAY(DATE(AnnéeCalendrier,9,16),1),"jjj")</f>
        <v>mer</v>
      </c>
      <c r="S5" s="2" t="str">
        <f>TEXT(WEEKDAY(DATE(AnnéeCalendrier,9,17),1),"jjj")</f>
        <v>jeu</v>
      </c>
      <c r="T5" s="2" t="str">
        <f>TEXT(WEEKDAY(DATE(AnnéeCalendrier,9,18),1),"jjj")</f>
        <v>ven</v>
      </c>
      <c r="U5" s="2" t="str">
        <f>TEXT(WEEKDAY(DATE(AnnéeCalendrier,9,19),1),"jjj")</f>
        <v>sam</v>
      </c>
      <c r="V5" s="2" t="str">
        <f>TEXT(WEEKDAY(DATE(AnnéeCalendrier,9,20),1),"jjj")</f>
        <v>dim</v>
      </c>
      <c r="W5" s="2" t="str">
        <f>TEXT(WEEKDAY(DATE(AnnéeCalendrier,9,21),1),"jjj")</f>
        <v>lun</v>
      </c>
      <c r="X5" s="2" t="str">
        <f>TEXT(WEEKDAY(DATE(AnnéeCalendrier,9,22),1),"jjj")</f>
        <v>mar</v>
      </c>
      <c r="Y5" s="2" t="str">
        <f>TEXT(WEEKDAY(DATE(AnnéeCalendrier,9,23),1),"jjj")</f>
        <v>mer</v>
      </c>
      <c r="Z5" s="2" t="str">
        <f>TEXT(WEEKDAY(DATE(AnnéeCalendrier,9,24),1),"jjj")</f>
        <v>jeu</v>
      </c>
      <c r="AA5" s="2" t="str">
        <f>TEXT(WEEKDAY(DATE(AnnéeCalendrier,9,25),1),"jjj")</f>
        <v>ven</v>
      </c>
      <c r="AB5" s="2" t="str">
        <f>TEXT(WEEKDAY(DATE(AnnéeCalendrier,9,26),1),"jjj")</f>
        <v>sam</v>
      </c>
      <c r="AC5" s="2" t="str">
        <f>TEXT(WEEKDAY(DATE(AnnéeCalendrier,9,27),1),"jjj")</f>
        <v>dim</v>
      </c>
      <c r="AD5" s="2" t="str">
        <f>TEXT(WEEKDAY(DATE(AnnéeCalendrier,9,28),1),"jjj")</f>
        <v>lun</v>
      </c>
      <c r="AE5" s="2" t="str">
        <f>TEXT(WEEKDAY(DATE(AnnéeCalendrier,9,29),1),"jjj")</f>
        <v>mar</v>
      </c>
      <c r="AF5" s="2" t="str">
        <f>TEXT(WEEKDAY(DATE(AnnéeCalendrier,9,30),1),"jjj")</f>
        <v>mer</v>
      </c>
      <c r="AG5" s="2"/>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COUNTA(Septembre[[#This Row],[1]:[30]])</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COUNTA(Septembre[[#This Row],[1]:[30]])</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COUNTA(Septembre[[#This Row],[1]:[30]])</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COUNTA(Septembre[[#This Row],[1]:[30]])</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COUNTA(Septembre[[#This Row],[1]:[30]])</f>
        <v>0</v>
      </c>
    </row>
    <row r="12" spans="2:34" ht="30" customHeight="1" x14ac:dyDescent="0.3">
      <c r="B12" s="21" t="str">
        <f>NomMois&amp;" Total"</f>
        <v>Septembre Total</v>
      </c>
      <c r="C12" s="13">
        <f>SUBTOTAL(103,Septembre[1])</f>
        <v>0</v>
      </c>
      <c r="D12" s="13">
        <f>SUBTOTAL(103,Septembre[2])</f>
        <v>0</v>
      </c>
      <c r="E12" s="13">
        <f>SUBTOTAL(103,Septembre[3])</f>
        <v>0</v>
      </c>
      <c r="F12" s="13">
        <f>SUBTOTAL(103,Septembre[4])</f>
        <v>0</v>
      </c>
      <c r="G12" s="13">
        <f>SUBTOTAL(103,Septembre[5])</f>
        <v>0</v>
      </c>
      <c r="H12" s="13">
        <f>SUBTOTAL(103,Septembre[6])</f>
        <v>0</v>
      </c>
      <c r="I12" s="13">
        <f>SUBTOTAL(103,Septembre[7])</f>
        <v>0</v>
      </c>
      <c r="J12" s="13">
        <f>SUBTOTAL(103,Septembre[8])</f>
        <v>0</v>
      </c>
      <c r="K12" s="13">
        <f>SUBTOTAL(103,Septembre[9])</f>
        <v>0</v>
      </c>
      <c r="L12" s="13">
        <f>SUBTOTAL(103,Septembre[10])</f>
        <v>0</v>
      </c>
      <c r="M12" s="13">
        <f>SUBTOTAL(103,Septembre[11])</f>
        <v>0</v>
      </c>
      <c r="N12" s="13">
        <f>SUBTOTAL(103,Septembre[12])</f>
        <v>0</v>
      </c>
      <c r="O12" s="13">
        <f>SUBTOTAL(103,Septembre[13])</f>
        <v>0</v>
      </c>
      <c r="P12" s="13">
        <f>SUBTOTAL(103,Septembre[14])</f>
        <v>0</v>
      </c>
      <c r="Q12" s="13">
        <f>SUBTOTAL(103,Septembre[15])</f>
        <v>0</v>
      </c>
      <c r="R12" s="13">
        <f>SUBTOTAL(103,Septembre[16])</f>
        <v>0</v>
      </c>
      <c r="S12" s="13">
        <f>SUBTOTAL(103,Septembre[17])</f>
        <v>0</v>
      </c>
      <c r="T12" s="13">
        <f>SUBTOTAL(103,Septembre[18])</f>
        <v>0</v>
      </c>
      <c r="U12" s="13">
        <f>SUBTOTAL(103,Septembre[19])</f>
        <v>0</v>
      </c>
      <c r="V12" s="13">
        <f>SUBTOTAL(103,Septembre[20])</f>
        <v>0</v>
      </c>
      <c r="W12" s="13">
        <f>SUBTOTAL(103,Septembre[21])</f>
        <v>0</v>
      </c>
      <c r="X12" s="13">
        <f>SUBTOTAL(103,Septembre[22])</f>
        <v>0</v>
      </c>
      <c r="Y12" s="13">
        <f>SUBTOTAL(103,Septembre[23])</f>
        <v>0</v>
      </c>
      <c r="Z12" s="13">
        <f>SUBTOTAL(103,Septembre[24])</f>
        <v>0</v>
      </c>
      <c r="AA12" s="13">
        <f>SUBTOTAL(103,Septembre[25])</f>
        <v>0</v>
      </c>
      <c r="AB12" s="13">
        <f>SUBTOTAL(103,Septembre[26])</f>
        <v>0</v>
      </c>
      <c r="AC12" s="13">
        <f>SUBTOTAL(103,Septembre[27])</f>
        <v>0</v>
      </c>
      <c r="AD12" s="13">
        <f>SUBTOTAL(103,Septembre[28])</f>
        <v>0</v>
      </c>
      <c r="AE12" s="13">
        <f>SUBTOTAL(103,Septembre[29])</f>
        <v>0</v>
      </c>
      <c r="AF12" s="13">
        <f>SUBTOTAL(103,Septembre[30])</f>
        <v>0</v>
      </c>
      <c r="AG12" s="13">
        <f>SUBTOTAL(103,Septembre[[ ]])</f>
        <v>0</v>
      </c>
      <c r="AH12" s="13">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9" priority="2" stopIfTrue="1">
      <formula>C7=CléPersonnalisée2</formula>
    </cfRule>
    <cfRule type="expression" dxfId="18" priority="3" stopIfTrue="1">
      <formula>C7=CléPersonnalisée1</formula>
    </cfRule>
    <cfRule type="expression" dxfId="17" priority="4" stopIfTrue="1">
      <formula>C7=CléMaladie</formula>
    </cfRule>
    <cfRule type="expression" dxfId="16" priority="5" stopIfTrue="1">
      <formula>C7=CléPersonnel</formula>
    </cfRule>
    <cfRule type="expression" dxfId="1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employés'!$B$4:$B$7</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1">
    <tabColor theme="2" tint="-0.249977111117893"/>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61</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TEXT(WEEKDAY(DATE(AnnéeCalendrier,10,1),1),"jjj")</f>
        <v>jeu</v>
      </c>
      <c r="D5" s="2" t="str">
        <f>TEXT(WEEKDAY(DATE(AnnéeCalendrier,10,2),1),"jjj")</f>
        <v>ven</v>
      </c>
      <c r="E5" s="2" t="str">
        <f>TEXT(WEEKDAY(DATE(AnnéeCalendrier,10,3),1),"jjj")</f>
        <v>sam</v>
      </c>
      <c r="F5" s="2" t="str">
        <f>TEXT(WEEKDAY(DATE(AnnéeCalendrier,10,4),1),"jjj")</f>
        <v>dim</v>
      </c>
      <c r="G5" s="2" t="str">
        <f>TEXT(WEEKDAY(DATE(AnnéeCalendrier,10,5),1),"jjj")</f>
        <v>lun</v>
      </c>
      <c r="H5" s="2" t="str">
        <f>TEXT(WEEKDAY(DATE(AnnéeCalendrier,10,6),1),"jjj")</f>
        <v>mar</v>
      </c>
      <c r="I5" s="2" t="str">
        <f>TEXT(WEEKDAY(DATE(AnnéeCalendrier,10,7),1),"jjj")</f>
        <v>mer</v>
      </c>
      <c r="J5" s="2" t="str">
        <f>TEXT(WEEKDAY(DATE(AnnéeCalendrier,10,8),1),"jjj")</f>
        <v>jeu</v>
      </c>
      <c r="K5" s="2" t="str">
        <f>TEXT(WEEKDAY(DATE(AnnéeCalendrier,10,9),1),"jjj")</f>
        <v>ven</v>
      </c>
      <c r="L5" s="2" t="str">
        <f>TEXT(WEEKDAY(DATE(AnnéeCalendrier,10,10),1),"jjj")</f>
        <v>sam</v>
      </c>
      <c r="M5" s="2" t="str">
        <f>TEXT(WEEKDAY(DATE(AnnéeCalendrier,10,11),1),"jjj")</f>
        <v>dim</v>
      </c>
      <c r="N5" s="2" t="str">
        <f>TEXT(WEEKDAY(DATE(AnnéeCalendrier,10,12),1),"jjj")</f>
        <v>lun</v>
      </c>
      <c r="O5" s="2" t="str">
        <f>TEXT(WEEKDAY(DATE(AnnéeCalendrier,10,13),1),"jjj")</f>
        <v>mar</v>
      </c>
      <c r="P5" s="2" t="str">
        <f>TEXT(WEEKDAY(DATE(AnnéeCalendrier,10,14),1),"jjj")</f>
        <v>mer</v>
      </c>
      <c r="Q5" s="2" t="str">
        <f>TEXT(WEEKDAY(DATE(AnnéeCalendrier,10,15),1),"jjj")</f>
        <v>jeu</v>
      </c>
      <c r="R5" s="2" t="str">
        <f>TEXT(WEEKDAY(DATE(AnnéeCalendrier,10,16),1),"jjj")</f>
        <v>ven</v>
      </c>
      <c r="S5" s="2" t="str">
        <f>TEXT(WEEKDAY(DATE(AnnéeCalendrier,10,17),1),"jjj")</f>
        <v>sam</v>
      </c>
      <c r="T5" s="2" t="str">
        <f>TEXT(WEEKDAY(DATE(AnnéeCalendrier,10,18),1),"jjj")</f>
        <v>dim</v>
      </c>
      <c r="U5" s="2" t="str">
        <f>TEXT(WEEKDAY(DATE(AnnéeCalendrier,10,19),1),"jjj")</f>
        <v>lun</v>
      </c>
      <c r="V5" s="2" t="str">
        <f>TEXT(WEEKDAY(DATE(AnnéeCalendrier,10,20),1),"jjj")</f>
        <v>mar</v>
      </c>
      <c r="W5" s="2" t="str">
        <f>TEXT(WEEKDAY(DATE(AnnéeCalendrier,10,21),1),"jjj")</f>
        <v>mer</v>
      </c>
      <c r="X5" s="2" t="str">
        <f>TEXT(WEEKDAY(DATE(AnnéeCalendrier,10,22),1),"jjj")</f>
        <v>jeu</v>
      </c>
      <c r="Y5" s="2" t="str">
        <f>TEXT(WEEKDAY(DATE(AnnéeCalendrier,10,23),1),"jjj")</f>
        <v>ven</v>
      </c>
      <c r="Z5" s="2" t="str">
        <f>TEXT(WEEKDAY(DATE(AnnéeCalendrier,10,24),1),"jjj")</f>
        <v>sam</v>
      </c>
      <c r="AA5" s="2" t="str">
        <f>TEXT(WEEKDAY(DATE(AnnéeCalendrier,10,25),1),"jjj")</f>
        <v>dim</v>
      </c>
      <c r="AB5" s="2" t="str">
        <f>TEXT(WEEKDAY(DATE(AnnéeCalendrier,10,26),1),"jjj")</f>
        <v>lun</v>
      </c>
      <c r="AC5" s="2" t="str">
        <f>TEXT(WEEKDAY(DATE(AnnéeCalendrier,10,27),1),"jjj")</f>
        <v>mar</v>
      </c>
      <c r="AD5" s="2" t="str">
        <f>TEXT(WEEKDAY(DATE(AnnéeCalendrier,10,28),1),"jjj")</f>
        <v>mer</v>
      </c>
      <c r="AE5" s="2" t="str">
        <f>TEXT(WEEKDAY(DATE(AnnéeCalendrier,10,29),1),"jjj")</f>
        <v>jeu</v>
      </c>
      <c r="AF5" s="2" t="str">
        <f>TEXT(WEEKDAY(DATE(AnnéeCalendrier,10,30),1),"jjj")</f>
        <v>ven</v>
      </c>
      <c r="AG5" s="2" t="str">
        <f>TEXT(WEEKDAY(DATE(AnnéeCalendrier,10,31),1),"jjj")</f>
        <v>sam</v>
      </c>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COUNTA(Octobre[[#This Row],[1]:[31]])</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COUNTA(Octobre[[#This Row],[1]:[31]])</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COUNTA(Octobre[[#This Row],[1]:[31]])</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COUNTA(Octobre[[#This Row],[1]:[31]])</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COUNTA(Octobre[[#This Row],[1]:[31]])</f>
        <v>0</v>
      </c>
    </row>
    <row r="12" spans="2:34" ht="30" customHeight="1" x14ac:dyDescent="0.3">
      <c r="B12" s="21" t="str">
        <f>NomMois&amp;" Total"</f>
        <v>Octobre Total</v>
      </c>
      <c r="C12" s="13">
        <f>SUBTOTAL(103,Octobre[1])</f>
        <v>0</v>
      </c>
      <c r="D12" s="13">
        <f>SUBTOTAL(103,Octobre[2])</f>
        <v>0</v>
      </c>
      <c r="E12" s="13">
        <f>SUBTOTAL(103,Octobre[3])</f>
        <v>0</v>
      </c>
      <c r="F12" s="13">
        <f>SUBTOTAL(103,Octobre[4])</f>
        <v>0</v>
      </c>
      <c r="G12" s="13">
        <f>SUBTOTAL(103,Octobre[5])</f>
        <v>0</v>
      </c>
      <c r="H12" s="13">
        <f>SUBTOTAL(103,Octobre[6])</f>
        <v>0</v>
      </c>
      <c r="I12" s="13">
        <f>SUBTOTAL(103,Octobre[7])</f>
        <v>0</v>
      </c>
      <c r="J12" s="13">
        <f>SUBTOTAL(103,Octobre[8])</f>
        <v>0</v>
      </c>
      <c r="K12" s="13">
        <f>SUBTOTAL(103,Octobre[9])</f>
        <v>0</v>
      </c>
      <c r="L12" s="13">
        <f>SUBTOTAL(103,Octobre[10])</f>
        <v>0</v>
      </c>
      <c r="M12" s="13">
        <f>SUBTOTAL(103,Octobre[11])</f>
        <v>0</v>
      </c>
      <c r="N12" s="13">
        <f>SUBTOTAL(103,Octobre[12])</f>
        <v>0</v>
      </c>
      <c r="O12" s="13">
        <f>SUBTOTAL(103,Octobre[13])</f>
        <v>0</v>
      </c>
      <c r="P12" s="13">
        <f>SUBTOTAL(103,Octobre[14])</f>
        <v>0</v>
      </c>
      <c r="Q12" s="13">
        <f>SUBTOTAL(103,Octobre[15])</f>
        <v>0</v>
      </c>
      <c r="R12" s="13">
        <f>SUBTOTAL(103,Octobre[16])</f>
        <v>0</v>
      </c>
      <c r="S12" s="13">
        <f>SUBTOTAL(103,Octobre[17])</f>
        <v>0</v>
      </c>
      <c r="T12" s="13">
        <f>SUBTOTAL(103,Octobre[18])</f>
        <v>0</v>
      </c>
      <c r="U12" s="13">
        <f>SUBTOTAL(103,Octobre[19])</f>
        <v>0</v>
      </c>
      <c r="V12" s="13">
        <f>SUBTOTAL(103,Octobre[20])</f>
        <v>0</v>
      </c>
      <c r="W12" s="13">
        <f>SUBTOTAL(103,Octobre[21])</f>
        <v>0</v>
      </c>
      <c r="X12" s="13">
        <f>SUBTOTAL(103,Octobre[22])</f>
        <v>0</v>
      </c>
      <c r="Y12" s="13">
        <f>SUBTOTAL(103,Octobre[23])</f>
        <v>0</v>
      </c>
      <c r="Z12" s="13">
        <f>SUBTOTAL(103,Octobre[24])</f>
        <v>0</v>
      </c>
      <c r="AA12" s="13">
        <f>SUBTOTAL(103,Octobre[25])</f>
        <v>0</v>
      </c>
      <c r="AB12" s="13">
        <f>SUBTOTAL(103,Octobre[26])</f>
        <v>0</v>
      </c>
      <c r="AC12" s="13">
        <f>SUBTOTAL(103,Octobre[27])</f>
        <v>0</v>
      </c>
      <c r="AD12" s="13">
        <f>SUBTOTAL(103,Octobre[28])</f>
        <v>0</v>
      </c>
      <c r="AE12" s="13">
        <f>SUBTOTAL(103,Octobre[29])</f>
        <v>0</v>
      </c>
      <c r="AF12" s="13">
        <f>SUBTOTAL(103,Octobre[30])</f>
        <v>0</v>
      </c>
      <c r="AG12" s="13">
        <f>SUBTOTAL(103,Octobre[31])</f>
        <v>0</v>
      </c>
      <c r="AH12" s="13">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 priority="2" stopIfTrue="1">
      <formula>C7=CléPersonnalisée2</formula>
    </cfRule>
    <cfRule type="expression" dxfId="13" priority="3" stopIfTrue="1">
      <formula>C7=CléPersonnalisée1</formula>
    </cfRule>
    <cfRule type="expression" dxfId="12" priority="4" stopIfTrue="1">
      <formula>C7=CléMaladie</formula>
    </cfRule>
    <cfRule type="expression" dxfId="11" priority="5" stopIfTrue="1">
      <formula>C7=CléPersonnel</formula>
    </cfRule>
    <cfRule type="expression" dxfId="1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employés'!$B$4:$B$7</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tabColor theme="2" tint="-0.249977111117893"/>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62</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TEXT(WEEKDAY(DATE(AnnéeCalendrier,11,1),1),"jjj")</f>
        <v>dim</v>
      </c>
      <c r="D5" s="2" t="str">
        <f>TEXT(WEEKDAY(DATE(AnnéeCalendrier,11,2),1),"jjj")</f>
        <v>lun</v>
      </c>
      <c r="E5" s="2" t="str">
        <f>TEXT(WEEKDAY(DATE(AnnéeCalendrier,11,3),1),"jjj")</f>
        <v>mar</v>
      </c>
      <c r="F5" s="2" t="str">
        <f>TEXT(WEEKDAY(DATE(AnnéeCalendrier,11,4),1),"jjj")</f>
        <v>mer</v>
      </c>
      <c r="G5" s="2" t="str">
        <f>TEXT(WEEKDAY(DATE(AnnéeCalendrier,11,5),1),"jjj")</f>
        <v>jeu</v>
      </c>
      <c r="H5" s="2" t="str">
        <f>TEXT(WEEKDAY(DATE(AnnéeCalendrier,11,6),1),"jjj")</f>
        <v>ven</v>
      </c>
      <c r="I5" s="2" t="str">
        <f>TEXT(WEEKDAY(DATE(AnnéeCalendrier,11,7),1),"jjj")</f>
        <v>sam</v>
      </c>
      <c r="J5" s="2" t="str">
        <f>TEXT(WEEKDAY(DATE(AnnéeCalendrier,11,8),1),"jjj")</f>
        <v>dim</v>
      </c>
      <c r="K5" s="2" t="str">
        <f>TEXT(WEEKDAY(DATE(AnnéeCalendrier,11,9),1),"jjj")</f>
        <v>lun</v>
      </c>
      <c r="L5" s="2" t="str">
        <f>TEXT(WEEKDAY(DATE(AnnéeCalendrier,11,10),1),"jjj")</f>
        <v>mar</v>
      </c>
      <c r="M5" s="2" t="str">
        <f>TEXT(WEEKDAY(DATE(AnnéeCalendrier,11,11),1),"jjj")</f>
        <v>mer</v>
      </c>
      <c r="N5" s="2" t="str">
        <f>TEXT(WEEKDAY(DATE(AnnéeCalendrier,11,12),1),"jjj")</f>
        <v>jeu</v>
      </c>
      <c r="O5" s="2" t="str">
        <f>TEXT(WEEKDAY(DATE(AnnéeCalendrier,11,13),1),"jjj")</f>
        <v>ven</v>
      </c>
      <c r="P5" s="2" t="str">
        <f>TEXT(WEEKDAY(DATE(AnnéeCalendrier,11,14),1),"jjj")</f>
        <v>sam</v>
      </c>
      <c r="Q5" s="2" t="str">
        <f>TEXT(WEEKDAY(DATE(AnnéeCalendrier,11,15),1),"jjj")</f>
        <v>dim</v>
      </c>
      <c r="R5" s="2" t="str">
        <f>TEXT(WEEKDAY(DATE(AnnéeCalendrier,11,16),1),"jjj")</f>
        <v>lun</v>
      </c>
      <c r="S5" s="2" t="str">
        <f>TEXT(WEEKDAY(DATE(AnnéeCalendrier,11,17),1),"jjj")</f>
        <v>mar</v>
      </c>
      <c r="T5" s="2" t="str">
        <f>TEXT(WEEKDAY(DATE(AnnéeCalendrier,11,18),1),"jjj")</f>
        <v>mer</v>
      </c>
      <c r="U5" s="2" t="str">
        <f>TEXT(WEEKDAY(DATE(AnnéeCalendrier,11,19),1),"jjj")</f>
        <v>jeu</v>
      </c>
      <c r="V5" s="2" t="str">
        <f>TEXT(WEEKDAY(DATE(AnnéeCalendrier,11,20),1),"jjj")</f>
        <v>ven</v>
      </c>
      <c r="W5" s="2" t="str">
        <f>TEXT(WEEKDAY(DATE(AnnéeCalendrier,11,21),1),"jjj")</f>
        <v>sam</v>
      </c>
      <c r="X5" s="2" t="str">
        <f>TEXT(WEEKDAY(DATE(AnnéeCalendrier,11,22),1),"jjj")</f>
        <v>dim</v>
      </c>
      <c r="Y5" s="2" t="str">
        <f>TEXT(WEEKDAY(DATE(AnnéeCalendrier,11,23),1),"jjj")</f>
        <v>lun</v>
      </c>
      <c r="Z5" s="2" t="str">
        <f>TEXT(WEEKDAY(DATE(AnnéeCalendrier,11,24),1),"jjj")</f>
        <v>mar</v>
      </c>
      <c r="AA5" s="2" t="str">
        <f>TEXT(WEEKDAY(DATE(AnnéeCalendrier,11,25),1),"jjj")</f>
        <v>mer</v>
      </c>
      <c r="AB5" s="2" t="str">
        <f>TEXT(WEEKDAY(DATE(AnnéeCalendrier,11,26),1),"jjj")</f>
        <v>jeu</v>
      </c>
      <c r="AC5" s="2" t="str">
        <f>TEXT(WEEKDAY(DATE(AnnéeCalendrier,11,27),1),"jjj")</f>
        <v>ven</v>
      </c>
      <c r="AD5" s="2" t="str">
        <f>TEXT(WEEKDAY(DATE(AnnéeCalendrier,11,28),1),"jjj")</f>
        <v>sam</v>
      </c>
      <c r="AE5" s="2" t="str">
        <f>TEXT(WEEKDAY(DATE(AnnéeCalendrier,11,29),1),"jjj")</f>
        <v>dim</v>
      </c>
      <c r="AF5" s="2" t="str">
        <f>TEXT(WEEKDAY(DATE(AnnéeCalendrier,11,30),1),"jjj")</f>
        <v>lun</v>
      </c>
      <c r="AG5" s="2"/>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COUNTA(Novembre[[#This Row],[1]:[30]])</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COUNTA(Novembre[[#This Row],[1]:[30]])</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COUNTA(Novembre[[#This Row],[1]:[30]])</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COUNTA(Novembre[[#This Row],[1]:[30]])</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COUNTA(Novembre[[#This Row],[1]:[30]])</f>
        <v>0</v>
      </c>
    </row>
    <row r="12" spans="2:34" ht="30" customHeight="1" x14ac:dyDescent="0.3">
      <c r="B12" s="21" t="str">
        <f>NomMois&amp;" Total"</f>
        <v>Novembre Total</v>
      </c>
      <c r="C12" s="13">
        <f>SUBTOTAL(103,Novembre[1])</f>
        <v>0</v>
      </c>
      <c r="D12" s="13">
        <f>SUBTOTAL(103,Novembre[2])</f>
        <v>0</v>
      </c>
      <c r="E12" s="13">
        <f>SUBTOTAL(103,Novembre[3])</f>
        <v>0</v>
      </c>
      <c r="F12" s="13">
        <f>SUBTOTAL(103,Novembre[4])</f>
        <v>0</v>
      </c>
      <c r="G12" s="13">
        <f>SUBTOTAL(103,Novembre[5])</f>
        <v>0</v>
      </c>
      <c r="H12" s="13">
        <f>SUBTOTAL(103,Novembre[6])</f>
        <v>0</v>
      </c>
      <c r="I12" s="13">
        <f>SUBTOTAL(103,Novembre[7])</f>
        <v>0</v>
      </c>
      <c r="J12" s="13">
        <f>SUBTOTAL(103,Novembre[8])</f>
        <v>0</v>
      </c>
      <c r="K12" s="13">
        <f>SUBTOTAL(103,Novembre[9])</f>
        <v>0</v>
      </c>
      <c r="L12" s="13">
        <f>SUBTOTAL(103,Novembre[10])</f>
        <v>0</v>
      </c>
      <c r="M12" s="13">
        <f>SUBTOTAL(103,Novembre[11])</f>
        <v>0</v>
      </c>
      <c r="N12" s="13">
        <f>SUBTOTAL(103,Novembre[12])</f>
        <v>0</v>
      </c>
      <c r="O12" s="13">
        <f>SUBTOTAL(103,Novembre[13])</f>
        <v>0</v>
      </c>
      <c r="P12" s="13">
        <f>SUBTOTAL(103,Novembre[14])</f>
        <v>0</v>
      </c>
      <c r="Q12" s="13">
        <f>SUBTOTAL(103,Novembre[15])</f>
        <v>0</v>
      </c>
      <c r="R12" s="13">
        <f>SUBTOTAL(103,Novembre[16])</f>
        <v>0</v>
      </c>
      <c r="S12" s="13">
        <f>SUBTOTAL(103,Novembre[17])</f>
        <v>0</v>
      </c>
      <c r="T12" s="13">
        <f>SUBTOTAL(103,Novembre[18])</f>
        <v>0</v>
      </c>
      <c r="U12" s="13">
        <f>SUBTOTAL(103,Novembre[19])</f>
        <v>0</v>
      </c>
      <c r="V12" s="13">
        <f>SUBTOTAL(103,Novembre[20])</f>
        <v>0</v>
      </c>
      <c r="W12" s="13">
        <f>SUBTOTAL(103,Novembre[21])</f>
        <v>0</v>
      </c>
      <c r="X12" s="13">
        <f>SUBTOTAL(103,Novembre[22])</f>
        <v>0</v>
      </c>
      <c r="Y12" s="13">
        <f>SUBTOTAL(103,Novembre[23])</f>
        <v>0</v>
      </c>
      <c r="Z12" s="13">
        <f>SUBTOTAL(103,Novembre[24])</f>
        <v>0</v>
      </c>
      <c r="AA12" s="13">
        <f>SUBTOTAL(103,Novembre[25])</f>
        <v>0</v>
      </c>
      <c r="AB12" s="13">
        <f>SUBTOTAL(103,Novembre[26])</f>
        <v>0</v>
      </c>
      <c r="AC12" s="13">
        <f>SUBTOTAL(103,Novembre[27])</f>
        <v>0</v>
      </c>
      <c r="AD12" s="13">
        <f>SUBTOTAL(103,Novembre[28])</f>
        <v>0</v>
      </c>
      <c r="AE12" s="13">
        <f>SUBTOTAL(103,Novembre[29])</f>
        <v>0</v>
      </c>
      <c r="AF12" s="13">
        <f>SUBTOTAL(103,Novembre[30])</f>
        <v>0</v>
      </c>
      <c r="AG12" s="13">
        <f>SUBTOTAL(103,Novembre[[ ]])</f>
        <v>0</v>
      </c>
      <c r="AH12" s="13">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9" priority="2" stopIfTrue="1">
      <formula>C7=CléPersonnalisée2</formula>
    </cfRule>
    <cfRule type="expression" dxfId="8" priority="3" stopIfTrue="1">
      <formula>C7=CléPersonnalisée1</formula>
    </cfRule>
    <cfRule type="expression" dxfId="7" priority="4" stopIfTrue="1">
      <formula>C7=CléMaladie</formula>
    </cfRule>
    <cfRule type="expression" dxfId="6" priority="5" stopIfTrue="1">
      <formula>C7=CléPersonnel</formula>
    </cfRule>
    <cfRule type="expression" dxfId="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employés'!$B$4:$B$7</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3">
    <tabColor theme="7" tint="0.79998168889431442"/>
  </sheetPr>
  <dimension ref="A1:AH12"/>
  <sheetViews>
    <sheetView showGridLines="0" zoomScaleNormal="100" workbookViewId="0">
      <selection activeCell="B6" sqref="B6"/>
    </sheetView>
  </sheetViews>
  <sheetFormatPr baseColWidth="10" defaultColWidth="9.109375" defaultRowHeight="30" customHeight="1" x14ac:dyDescent="0.3"/>
  <cols>
    <col min="1" max="1" width="2.6640625" style="11" customWidth="1"/>
    <col min="2" max="2" width="25.6640625" style="11" customWidth="1"/>
    <col min="3" max="33" width="4.6640625" style="11" customWidth="1"/>
    <col min="34" max="34" width="13.5546875" style="11" customWidth="1"/>
    <col min="35" max="35" width="2.6640625" customWidth="1"/>
  </cols>
  <sheetData>
    <row r="1" spans="2:34" ht="50.1" customHeight="1" x14ac:dyDescent="0.3">
      <c r="B1" s="14" t="str">
        <f>Titre_Absence_Employé</f>
        <v>Calendrier des absences des employés</v>
      </c>
    </row>
    <row r="2" spans="2:34" ht="15" customHeight="1" x14ac:dyDescent="0.3">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3">
      <c r="B3" s="14"/>
    </row>
    <row r="4" spans="2:34" ht="30" customHeight="1" x14ac:dyDescent="0.3">
      <c r="B4" s="12" t="s">
        <v>63</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3">
      <c r="B5" s="12"/>
      <c r="C5" s="2" t="str">
        <f>TEXT(WEEKDAY(DATE(AnnéeCalendrier,12,1),1),"jjj")</f>
        <v>mar</v>
      </c>
      <c r="D5" s="2" t="str">
        <f>TEXT(WEEKDAY(DATE(AnnéeCalendrier,12,2),1),"jjj")</f>
        <v>mer</v>
      </c>
      <c r="E5" s="2" t="str">
        <f>TEXT(WEEKDAY(DATE(AnnéeCalendrier,12,3),1),"jjj")</f>
        <v>jeu</v>
      </c>
      <c r="F5" s="2" t="str">
        <f>TEXT(WEEKDAY(DATE(AnnéeCalendrier,12,4),1),"jjj")</f>
        <v>ven</v>
      </c>
      <c r="G5" s="2" t="str">
        <f>TEXT(WEEKDAY(DATE(AnnéeCalendrier,12,5),1),"jjj")</f>
        <v>sam</v>
      </c>
      <c r="H5" s="2" t="str">
        <f>TEXT(WEEKDAY(DATE(AnnéeCalendrier,12,6),1),"jjj")</f>
        <v>dim</v>
      </c>
      <c r="I5" s="2" t="str">
        <f>TEXT(WEEKDAY(DATE(AnnéeCalendrier,12,7),1),"jjj")</f>
        <v>lun</v>
      </c>
      <c r="J5" s="2" t="str">
        <f>TEXT(WEEKDAY(DATE(AnnéeCalendrier,12,8),1),"jjj")</f>
        <v>mar</v>
      </c>
      <c r="K5" s="2" t="str">
        <f>TEXT(WEEKDAY(DATE(AnnéeCalendrier,12,9),1),"jjj")</f>
        <v>mer</v>
      </c>
      <c r="L5" s="2" t="str">
        <f>TEXT(WEEKDAY(DATE(AnnéeCalendrier,12,10),1),"jjj")</f>
        <v>jeu</v>
      </c>
      <c r="M5" s="2" t="str">
        <f>TEXT(WEEKDAY(DATE(AnnéeCalendrier,12,11),1),"jjj")</f>
        <v>ven</v>
      </c>
      <c r="N5" s="2" t="str">
        <f>TEXT(WEEKDAY(DATE(AnnéeCalendrier,12,12),1),"jjj")</f>
        <v>sam</v>
      </c>
      <c r="O5" s="2" t="str">
        <f>TEXT(WEEKDAY(DATE(AnnéeCalendrier,12,13),1),"jjj")</f>
        <v>dim</v>
      </c>
      <c r="P5" s="2" t="str">
        <f>TEXT(WEEKDAY(DATE(AnnéeCalendrier,12,14),1),"jjj")</f>
        <v>lun</v>
      </c>
      <c r="Q5" s="2" t="str">
        <f>TEXT(WEEKDAY(DATE(AnnéeCalendrier,12,15),1),"jjj")</f>
        <v>mar</v>
      </c>
      <c r="R5" s="2" t="str">
        <f>TEXT(WEEKDAY(DATE(AnnéeCalendrier,12,16),1),"jjj")</f>
        <v>mer</v>
      </c>
      <c r="S5" s="2" t="str">
        <f>TEXT(WEEKDAY(DATE(AnnéeCalendrier,12,17),1),"jjj")</f>
        <v>jeu</v>
      </c>
      <c r="T5" s="2" t="str">
        <f>TEXT(WEEKDAY(DATE(AnnéeCalendrier,12,18),1),"jjj")</f>
        <v>ven</v>
      </c>
      <c r="U5" s="2" t="str">
        <f>TEXT(WEEKDAY(DATE(AnnéeCalendrier,12,19),1),"jjj")</f>
        <v>sam</v>
      </c>
      <c r="V5" s="2" t="str">
        <f>TEXT(WEEKDAY(DATE(AnnéeCalendrier,12,20),1),"jjj")</f>
        <v>dim</v>
      </c>
      <c r="W5" s="2" t="str">
        <f>TEXT(WEEKDAY(DATE(AnnéeCalendrier,12,21),1),"jjj")</f>
        <v>lun</v>
      </c>
      <c r="X5" s="2" t="str">
        <f>TEXT(WEEKDAY(DATE(AnnéeCalendrier,12,22),1),"jjj")</f>
        <v>mar</v>
      </c>
      <c r="Y5" s="2" t="str">
        <f>TEXT(WEEKDAY(DATE(AnnéeCalendrier,12,23),1),"jjj")</f>
        <v>mer</v>
      </c>
      <c r="Z5" s="2" t="str">
        <f>TEXT(WEEKDAY(DATE(AnnéeCalendrier,12,24),1),"jjj")</f>
        <v>jeu</v>
      </c>
      <c r="AA5" s="2" t="str">
        <f>TEXT(WEEKDAY(DATE(AnnéeCalendrier,12,25),1),"jjj")</f>
        <v>ven</v>
      </c>
      <c r="AB5" s="2" t="str">
        <f>TEXT(WEEKDAY(DATE(AnnéeCalendrier,12,26),1),"jjj")</f>
        <v>sam</v>
      </c>
      <c r="AC5" s="2" t="str">
        <f>TEXT(WEEKDAY(DATE(AnnéeCalendrier,12,27),1),"jjj")</f>
        <v>dim</v>
      </c>
      <c r="AD5" s="2" t="str">
        <f>TEXT(WEEKDAY(DATE(AnnéeCalendrier,12,28),1),"jjj")</f>
        <v>lun</v>
      </c>
      <c r="AE5" s="2" t="str">
        <f>TEXT(WEEKDAY(DATE(AnnéeCalendrier,12,29),1),"jjj")</f>
        <v>mar</v>
      </c>
      <c r="AF5" s="2" t="str">
        <f>TEXT(WEEKDAY(DATE(AnnéeCalendrier,12,30),1),"jjj")</f>
        <v>mer</v>
      </c>
      <c r="AG5" s="2" t="str">
        <f>TEXT(WEEKDAY(DATE(AnnéeCalendrier,12,31),1),"jjj")</f>
        <v>jeu</v>
      </c>
      <c r="AH5" s="12"/>
    </row>
    <row r="6" spans="2:34" ht="15" customHeight="1" x14ac:dyDescent="0.3">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3">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COUNTA(Décembre[[#This Row],[1]:[31]])</f>
        <v>0</v>
      </c>
    </row>
    <row r="8" spans="2:34" ht="30" customHeight="1" x14ac:dyDescent="0.3">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COUNTA(Décembre[[#This Row],[1]:[31]])</f>
        <v>0</v>
      </c>
    </row>
    <row r="9" spans="2:34" ht="30" customHeight="1" x14ac:dyDescent="0.3">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COUNTA(Décembre[[#This Row],[1]:[31]])</f>
        <v>0</v>
      </c>
    </row>
    <row r="10" spans="2:34" ht="30" customHeight="1" x14ac:dyDescent="0.3">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COUNTA(Décembre[[#This Row],[1]:[31]])</f>
        <v>0</v>
      </c>
    </row>
    <row r="11" spans="2:34" ht="30" customHeight="1" x14ac:dyDescent="0.3">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COUNTA(Décembre[[#This Row],[1]:[31]])</f>
        <v>0</v>
      </c>
    </row>
    <row r="12" spans="2:34" ht="30" customHeight="1" x14ac:dyDescent="0.3">
      <c r="B12" s="21" t="str">
        <f>NomMois&amp;" Total"</f>
        <v>Décembre Total</v>
      </c>
      <c r="C12" s="13">
        <f>SUBTOTAL(103,Décembre[1])</f>
        <v>0</v>
      </c>
      <c r="D12" s="13">
        <f>SUBTOTAL(103,Décembre[2])</f>
        <v>0</v>
      </c>
      <c r="E12" s="13">
        <f>SUBTOTAL(103,Décembre[3])</f>
        <v>0</v>
      </c>
      <c r="F12" s="13">
        <f>SUBTOTAL(103,Décembre[4])</f>
        <v>0</v>
      </c>
      <c r="G12" s="13">
        <f>SUBTOTAL(103,Décembre[5])</f>
        <v>0</v>
      </c>
      <c r="H12" s="13">
        <f>SUBTOTAL(103,Décembre[6])</f>
        <v>0</v>
      </c>
      <c r="I12" s="13">
        <f>SUBTOTAL(103,Décembre[7])</f>
        <v>0</v>
      </c>
      <c r="J12" s="13">
        <f>SUBTOTAL(103,Décembre[8])</f>
        <v>0</v>
      </c>
      <c r="K12" s="13">
        <f>SUBTOTAL(103,Décembre[9])</f>
        <v>0</v>
      </c>
      <c r="L12" s="13">
        <f>SUBTOTAL(103,Décembre[10])</f>
        <v>0</v>
      </c>
      <c r="M12" s="13">
        <f>SUBTOTAL(103,Décembre[11])</f>
        <v>0</v>
      </c>
      <c r="N12" s="13">
        <f>SUBTOTAL(103,Décembre[12])</f>
        <v>0</v>
      </c>
      <c r="O12" s="13">
        <f>SUBTOTAL(103,Décembre[13])</f>
        <v>0</v>
      </c>
      <c r="P12" s="13">
        <f>SUBTOTAL(103,Décembre[14])</f>
        <v>0</v>
      </c>
      <c r="Q12" s="13">
        <f>SUBTOTAL(103,Décembre[15])</f>
        <v>0</v>
      </c>
      <c r="R12" s="13">
        <f>SUBTOTAL(103,Décembre[16])</f>
        <v>0</v>
      </c>
      <c r="S12" s="13">
        <f>SUBTOTAL(103,Décembre[17])</f>
        <v>0</v>
      </c>
      <c r="T12" s="13">
        <f>SUBTOTAL(103,Décembre[18])</f>
        <v>0</v>
      </c>
      <c r="U12" s="13">
        <f>SUBTOTAL(103,Décembre[19])</f>
        <v>0</v>
      </c>
      <c r="V12" s="13">
        <f>SUBTOTAL(103,Décembre[20])</f>
        <v>0</v>
      </c>
      <c r="W12" s="13">
        <f>SUBTOTAL(103,Décembre[21])</f>
        <v>0</v>
      </c>
      <c r="X12" s="13">
        <f>SUBTOTAL(103,Décembre[22])</f>
        <v>0</v>
      </c>
      <c r="Y12" s="13">
        <f>SUBTOTAL(103,Décembre[23])</f>
        <v>0</v>
      </c>
      <c r="Z12" s="13">
        <f>SUBTOTAL(103,Décembre[24])</f>
        <v>0</v>
      </c>
      <c r="AA12" s="13">
        <f>SUBTOTAL(103,Décembre[25])</f>
        <v>0</v>
      </c>
      <c r="AB12" s="13">
        <f>SUBTOTAL(103,Décembre[26])</f>
        <v>0</v>
      </c>
      <c r="AC12" s="13">
        <f>SUBTOTAL(103,Décembre[27])</f>
        <v>0</v>
      </c>
      <c r="AD12" s="13">
        <f>SUBTOTAL(103,Décembre[28])</f>
        <v>0</v>
      </c>
      <c r="AE12" s="13">
        <f>SUBTOTAL(103,Décembre[29])</f>
        <v>0</v>
      </c>
      <c r="AF12" s="13">
        <f>SUBTOTAL(103,Décembre[30])</f>
        <v>0</v>
      </c>
      <c r="AG12" s="13">
        <f>SUBTOTAL(103,Décembre[31])</f>
        <v>0</v>
      </c>
      <c r="AH12" s="13">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 priority="2" stopIfTrue="1">
      <formula>C7=CléPersonnalisée2</formula>
    </cfRule>
    <cfRule type="expression" dxfId="3" priority="3" stopIfTrue="1">
      <formula>C7=CléPersonnalisée1</formula>
    </cfRule>
    <cfRule type="expression" dxfId="2" priority="4" stopIfTrue="1">
      <formula>C7=CléMaladie</formula>
    </cfRule>
    <cfRule type="expression" dxfId="1" priority="5" stopIfTrue="1">
      <formula>C7=CléPersonnel</formula>
    </cfRule>
    <cfRule type="expression" dxfId="0"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employés'!$B$4:$B$7</xm:f>
          </x14:formula1>
          <xm:sqref>B7:B11</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4">
    <tabColor theme="1"/>
  </sheetPr>
  <dimension ref="B1:B18"/>
  <sheetViews>
    <sheetView showGridLines="0" tabSelected="1" workbookViewId="0">
      <selection activeCell="F8" sqref="F8"/>
    </sheetView>
  </sheetViews>
  <sheetFormatPr baseColWidth="10" defaultColWidth="9.109375" defaultRowHeight="30" customHeight="1" x14ac:dyDescent="0.3"/>
  <cols>
    <col min="1" max="1" width="2.6640625" customWidth="1"/>
    <col min="2" max="2" width="30.6640625" customWidth="1"/>
    <col min="3" max="3" width="2.6640625" customWidth="1"/>
  </cols>
  <sheetData>
    <row r="1" spans="2:2" ht="50.1" customHeight="1" x14ac:dyDescent="0.3">
      <c r="B1" s="22" t="s">
        <v>64</v>
      </c>
    </row>
    <row r="2" spans="2:2" ht="15" customHeight="1" x14ac:dyDescent="0.3"/>
    <row r="3" spans="2:2" ht="30" customHeight="1" x14ac:dyDescent="0.3">
      <c r="B3" t="s">
        <v>64</v>
      </c>
    </row>
    <row r="4" spans="2:2" ht="30" customHeight="1" x14ac:dyDescent="0.3">
      <c r="B4" s="1" t="s">
        <v>76</v>
      </c>
    </row>
    <row r="5" spans="2:2" ht="30" customHeight="1" x14ac:dyDescent="0.3">
      <c r="B5" s="1" t="s">
        <v>78</v>
      </c>
    </row>
    <row r="6" spans="2:2" ht="30" customHeight="1" x14ac:dyDescent="0.3">
      <c r="B6" s="1" t="s">
        <v>77</v>
      </c>
    </row>
    <row r="7" spans="2:2" ht="30" customHeight="1" x14ac:dyDescent="0.3">
      <c r="B7" s="1" t="s">
        <v>70</v>
      </c>
    </row>
    <row r="8" spans="2:2" ht="30" customHeight="1" x14ac:dyDescent="0.3">
      <c r="B8" s="1" t="s">
        <v>66</v>
      </c>
    </row>
    <row r="9" spans="2:2" ht="30" customHeight="1" x14ac:dyDescent="0.3">
      <c r="B9" s="1" t="s">
        <v>75</v>
      </c>
    </row>
    <row r="10" spans="2:2" ht="30" customHeight="1" x14ac:dyDescent="0.3">
      <c r="B10" s="25" t="s">
        <v>84</v>
      </c>
    </row>
    <row r="11" spans="2:2" ht="30" customHeight="1" x14ac:dyDescent="0.3">
      <c r="B11" s="25" t="s">
        <v>68</v>
      </c>
    </row>
    <row r="12" spans="2:2" ht="30" customHeight="1" x14ac:dyDescent="0.3">
      <c r="B12" s="1" t="s">
        <v>74</v>
      </c>
    </row>
    <row r="13" spans="2:2" ht="30" customHeight="1" x14ac:dyDescent="0.3">
      <c r="B13" s="1" t="s">
        <v>69</v>
      </c>
    </row>
    <row r="14" spans="2:2" ht="30" customHeight="1" x14ac:dyDescent="0.3">
      <c r="B14" s="1" t="s">
        <v>73</v>
      </c>
    </row>
    <row r="15" spans="2:2" ht="30" customHeight="1" x14ac:dyDescent="0.3">
      <c r="B15" s="1" t="s">
        <v>67</v>
      </c>
    </row>
    <row r="16" spans="2:2" ht="30" customHeight="1" x14ac:dyDescent="0.3">
      <c r="B16" s="1" t="s">
        <v>65</v>
      </c>
    </row>
    <row r="17" spans="2:2" ht="30" customHeight="1" x14ac:dyDescent="0.3">
      <c r="B17" s="1" t="s">
        <v>71</v>
      </c>
    </row>
    <row r="18" spans="2:2" ht="30" customHeight="1" x14ac:dyDescent="0.3">
      <c r="B18" s="1" t="s">
        <v>72</v>
      </c>
    </row>
  </sheetData>
  <dataValidations count="4">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 type="list" allowBlank="1" showInputMessage="1" showErrorMessage="1" promptTitle="Noms des employés" prompt="Doit contenir entre 1 et 12 caractères" sqref="B4:B18" xr:uid="{52AAEF34-AA5D-4BB8-B52B-1EFE18010952}">
      <formula1>$B$4:$B$18</formula1>
    </dataValidation>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50</vt:i4>
      </vt:variant>
    </vt:vector>
  </HeadingPairs>
  <TitlesOfParts>
    <vt:vector size="64" baseType="lpstr">
      <vt:lpstr>Feuil1</vt: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Cayole</dc:creator>
  <cp:lastModifiedBy>Cayole</cp:lastModifiedBy>
  <cp:lastPrinted>2020-04-15T17:10:52Z</cp:lastPrinted>
  <dcterms:created xsi:type="dcterms:W3CDTF">2016-12-06T04:52:27Z</dcterms:created>
  <dcterms:modified xsi:type="dcterms:W3CDTF">2020-04-23T14:59:57Z</dcterms:modified>
</cp:coreProperties>
</file>