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drawings/drawing9.xml" ContentType="application/vnd.openxmlformats-officedocument.drawing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marchat\Desktop\RQC\Etat recap visas\Visas Campagne 2020\"/>
    </mc:Choice>
  </mc:AlternateContent>
  <bookViews>
    <workbookView xWindow="0" yWindow="0" windowWidth="21180" windowHeight="10005" tabRatio="754" firstSheet="1" activeTab="3"/>
  </bookViews>
  <sheets>
    <sheet name="Agence Stats Budget" sheetId="2" r:id="rId1"/>
    <sheet name="Agence Stats Visas" sheetId="3" r:id="rId2"/>
    <sheet name="Paramètres" sheetId="6" r:id="rId3"/>
    <sheet name="Menu" sheetId="38" r:id="rId4"/>
    <sheet name="DELPHINE" sheetId="4" r:id="rId5"/>
    <sheet name="FREDERIQUE" sheetId="31" r:id="rId6"/>
    <sheet name="AURELIE_T" sheetId="32" r:id="rId7"/>
    <sheet name="ERIC" sheetId="34" r:id="rId8"/>
    <sheet name="MARIE_PIERRE" sheetId="33" r:id="rId9"/>
    <sheet name="GUILLAUME" sheetId="35" r:id="rId10"/>
    <sheet name="SEBASTIEN" sheetId="36" r:id="rId11"/>
    <sheet name="AUTRE COMPTABLE" sheetId="37" state="hidden" r:id="rId12"/>
  </sheets>
  <definedNames>
    <definedName name="_xlnm._FilterDatabase" localSheetId="6" hidden="1">AURELIE_T!$B$2:$AI$60</definedName>
    <definedName name="_xlnm._FilterDatabase" localSheetId="11" hidden="1">'AUTRE COMPTABLE'!$B$2:$AI$57</definedName>
    <definedName name="_xlnm._FilterDatabase" localSheetId="4" hidden="1">DELPHINE!$B$2:$AI$49</definedName>
    <definedName name="_xlnm._FilterDatabase" localSheetId="7" hidden="1">ERIC!$B$2:$AI$60</definedName>
    <definedName name="_xlnm._FilterDatabase" localSheetId="5" hidden="1">FREDERIQUE!$B$2:$AI$60</definedName>
    <definedName name="_xlnm._FilterDatabase" localSheetId="9" hidden="1">GUILLAUME!$B$2:$AI$60</definedName>
    <definedName name="_xlnm._FilterDatabase" localSheetId="8" hidden="1">MARIE_PIERRE!$B$2:$AI$60</definedName>
    <definedName name="_xlnm._FilterDatabase" localSheetId="10" hidden="1">SEBASTIEN!$B$2:$AI$60</definedName>
    <definedName name="abonnelongcourt">Paramètres!$G$28:$G$29</definedName>
    <definedName name="agoasigneeouinonafairena">Paramètres!$J$22:$J$25</definedName>
    <definedName name="crfaitparlecomptableouinon">Paramètres!$I$22:$I$23</definedName>
    <definedName name="crouinonaterminerafaire">Paramètres!$H$22:$H$25</definedName>
    <definedName name="declarationdetva">Paramètres!$D$28:$D$31</definedName>
    <definedName name="declarationsdesrevenusouinon">Paramètres!$F$28:$F$29</definedName>
    <definedName name="listedossierdelphine">PORTEFEUILLE_DELPHINE[N° DOSSIER]</definedName>
    <definedName name="N°_DOSSIERDELPHINE">PORTEFEUILLE_DELPHINE[N° DOSSIER]</definedName>
    <definedName name="pcrouinonafaire">Paramètres!$E$22:$E$24</definedName>
    <definedName name="prénomsaac">Paramètres!$J$4:$J$7</definedName>
    <definedName name="prenomscomptables">Paramètres!$L$4:$L$11</definedName>
    <definedName name="prenomsconseillers">Paramètres!$K$4:$K$9</definedName>
    <definedName name="quicomptableconseiller">Paramètres!$G$22:$G$23</definedName>
    <definedName name="ranosouinonafaire">Paramètres!$F$22:$F$24</definedName>
    <definedName name="realisationdeladeclarationdetva">Paramètres!$E$28:$E$38</definedName>
    <definedName name="reconductionouinon">Paramètres!$K$22:$K$23</definedName>
    <definedName name="régimesdimposition">Paramètres!$C$28:$C$30</definedName>
    <definedName name="régimesjuridiques">Paramètres!$B$28:$B$41</definedName>
    <definedName name="réponsesouinon">Paramètres!$I$13:$I$14</definedName>
    <definedName name="typedemarché">Paramètres!$A$28:$A$30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3" i="4" l="1"/>
  <c r="AG4" i="4"/>
  <c r="AG5" i="4"/>
  <c r="AG6" i="4"/>
  <c r="AG7" i="4"/>
  <c r="AG8" i="4"/>
  <c r="AG9" i="4"/>
  <c r="AG10" i="4"/>
  <c r="AG11" i="4"/>
  <c r="AG12" i="4"/>
  <c r="AG13" i="4"/>
  <c r="AG14" i="4"/>
  <c r="AG15" i="4"/>
  <c r="AG16" i="4"/>
  <c r="AG17" i="4"/>
  <c r="AG18" i="4"/>
  <c r="AG19" i="4"/>
  <c r="AG20" i="4"/>
  <c r="AG21" i="4"/>
  <c r="AG22" i="4"/>
  <c r="AG23" i="4"/>
  <c r="AG24" i="4"/>
  <c r="AG25" i="4"/>
  <c r="AG26" i="4"/>
  <c r="AG27" i="4"/>
  <c r="AG28" i="4"/>
  <c r="AG29" i="4"/>
  <c r="AG30" i="4"/>
  <c r="AG31" i="4"/>
  <c r="AG32" i="4"/>
  <c r="AG33" i="4"/>
  <c r="AG34" i="4"/>
  <c r="AG35" i="4"/>
  <c r="AG36" i="4"/>
  <c r="AG37" i="4"/>
  <c r="AG38" i="4"/>
  <c r="AG39" i="4"/>
  <c r="AG40" i="4"/>
  <c r="AG41" i="4"/>
  <c r="AG42" i="4"/>
  <c r="AG43" i="4"/>
  <c r="AG44" i="4"/>
  <c r="AG45" i="4"/>
  <c r="AG46" i="4"/>
  <c r="AG47" i="4"/>
  <c r="AG48" i="4"/>
  <c r="AG49" i="4"/>
  <c r="BC1" i="4" l="1"/>
  <c r="R113" i="37" l="1"/>
  <c r="Q113" i="37"/>
  <c r="P113" i="37"/>
  <c r="O113" i="37"/>
  <c r="N113" i="37"/>
  <c r="M113" i="37"/>
  <c r="L113" i="37"/>
  <c r="K113" i="37"/>
  <c r="J113" i="37"/>
  <c r="I113" i="37"/>
  <c r="H113" i="37"/>
  <c r="G113" i="37"/>
  <c r="F113" i="37"/>
  <c r="E113" i="37"/>
  <c r="R110" i="37"/>
  <c r="Q110" i="37"/>
  <c r="P110" i="37"/>
  <c r="L110" i="37"/>
  <c r="K110" i="37"/>
  <c r="J110" i="37"/>
  <c r="I110" i="37"/>
  <c r="F110" i="37"/>
  <c r="E110" i="37"/>
  <c r="R109" i="37"/>
  <c r="Q109" i="37"/>
  <c r="P109" i="37"/>
  <c r="O109" i="37"/>
  <c r="N109" i="37"/>
  <c r="M109" i="37"/>
  <c r="L109" i="37"/>
  <c r="K109" i="37"/>
  <c r="I109" i="37"/>
  <c r="H109" i="37"/>
  <c r="G109" i="37"/>
  <c r="F109" i="37"/>
  <c r="E109" i="37"/>
  <c r="O108" i="37"/>
  <c r="N108" i="37"/>
  <c r="M108" i="37"/>
  <c r="J108" i="37"/>
  <c r="R107" i="37"/>
  <c r="Q107" i="37"/>
  <c r="P107" i="37"/>
  <c r="O107" i="37"/>
  <c r="N107" i="37"/>
  <c r="M107" i="37"/>
  <c r="L107" i="37"/>
  <c r="K107" i="37"/>
  <c r="J107" i="37"/>
  <c r="I107" i="37"/>
  <c r="H107" i="37"/>
  <c r="G107" i="37"/>
  <c r="F107" i="37"/>
  <c r="E107" i="37"/>
  <c r="R104" i="37"/>
  <c r="R116" i="37" s="1"/>
  <c r="Q104" i="37"/>
  <c r="Q116" i="37" s="1"/>
  <c r="P104" i="37"/>
  <c r="P116" i="37" s="1"/>
  <c r="L104" i="37"/>
  <c r="L116" i="37" s="1"/>
  <c r="K104" i="37"/>
  <c r="K116" i="37" s="1"/>
  <c r="J104" i="37"/>
  <c r="J116" i="37" s="1"/>
  <c r="I104" i="37"/>
  <c r="I116" i="37" s="1"/>
  <c r="F104" i="37"/>
  <c r="E104" i="37"/>
  <c r="R103" i="37"/>
  <c r="R115" i="37" s="1"/>
  <c r="Q103" i="37"/>
  <c r="Q115" i="37" s="1"/>
  <c r="P103" i="37"/>
  <c r="P115" i="37" s="1"/>
  <c r="O103" i="37"/>
  <c r="O115" i="37" s="1"/>
  <c r="N103" i="37"/>
  <c r="N115" i="37" s="1"/>
  <c r="M103" i="37"/>
  <c r="M115" i="37" s="1"/>
  <c r="L103" i="37"/>
  <c r="L115" i="37" s="1"/>
  <c r="K103" i="37"/>
  <c r="K115" i="37" s="1"/>
  <c r="I103" i="37"/>
  <c r="I115" i="37" s="1"/>
  <c r="H103" i="37"/>
  <c r="H115" i="37" s="1"/>
  <c r="G103" i="37"/>
  <c r="G115" i="37" s="1"/>
  <c r="F103" i="37"/>
  <c r="F115" i="37" s="1"/>
  <c r="E103" i="37"/>
  <c r="O102" i="37"/>
  <c r="O114" i="37" s="1"/>
  <c r="N102" i="37"/>
  <c r="N114" i="37" s="1"/>
  <c r="M102" i="37"/>
  <c r="M114" i="37" s="1"/>
  <c r="J102" i="37"/>
  <c r="R101" i="37"/>
  <c r="Q101" i="37"/>
  <c r="P101" i="37"/>
  <c r="O101" i="37"/>
  <c r="N101" i="37"/>
  <c r="M101" i="37"/>
  <c r="L101" i="37"/>
  <c r="K101" i="37"/>
  <c r="J101" i="37"/>
  <c r="I101" i="37"/>
  <c r="H101" i="37"/>
  <c r="G101" i="37"/>
  <c r="F101" i="37"/>
  <c r="E101" i="37"/>
  <c r="R96" i="37"/>
  <c r="Q96" i="37"/>
  <c r="P96" i="37"/>
  <c r="L96" i="37"/>
  <c r="K96" i="37"/>
  <c r="J96" i="37"/>
  <c r="I96" i="37"/>
  <c r="F96" i="37"/>
  <c r="E96" i="37"/>
  <c r="R95" i="37"/>
  <c r="Q95" i="37"/>
  <c r="P95" i="37"/>
  <c r="O95" i="37"/>
  <c r="N95" i="37"/>
  <c r="M95" i="37"/>
  <c r="L95" i="37"/>
  <c r="K95" i="37"/>
  <c r="I95" i="37"/>
  <c r="H95" i="37"/>
  <c r="G95" i="37"/>
  <c r="F95" i="37"/>
  <c r="E95" i="37"/>
  <c r="O94" i="37"/>
  <c r="N94" i="37"/>
  <c r="M94" i="37"/>
  <c r="J94" i="37"/>
  <c r="R93" i="37"/>
  <c r="Q93" i="37"/>
  <c r="P93" i="37"/>
  <c r="O93" i="37"/>
  <c r="N93" i="37"/>
  <c r="M93" i="37"/>
  <c r="L93" i="37"/>
  <c r="K93" i="37"/>
  <c r="J93" i="37"/>
  <c r="I93" i="37"/>
  <c r="H93" i="37"/>
  <c r="G93" i="37"/>
  <c r="F93" i="37"/>
  <c r="E93" i="37"/>
  <c r="O90" i="37"/>
  <c r="O91" i="37" s="1"/>
  <c r="N90" i="37"/>
  <c r="N91" i="37" s="1"/>
  <c r="M90" i="37"/>
  <c r="M91" i="37" s="1"/>
  <c r="H90" i="37"/>
  <c r="G90" i="37"/>
  <c r="D90" i="37"/>
  <c r="J89" i="37"/>
  <c r="J91" i="37" s="1"/>
  <c r="D89" i="37"/>
  <c r="R88" i="37"/>
  <c r="R91" i="37" s="1"/>
  <c r="Q88" i="37"/>
  <c r="Q91" i="37" s="1"/>
  <c r="P88" i="37"/>
  <c r="P91" i="37" s="1"/>
  <c r="L88" i="37"/>
  <c r="L91" i="37" s="1"/>
  <c r="K88" i="37"/>
  <c r="K91" i="37" s="1"/>
  <c r="I88" i="37"/>
  <c r="I91" i="37" s="1"/>
  <c r="H88" i="37"/>
  <c r="G88" i="37"/>
  <c r="G91" i="37" s="1"/>
  <c r="F88" i="37"/>
  <c r="F91" i="37" s="1"/>
  <c r="E88" i="37"/>
  <c r="E91" i="37" s="1"/>
  <c r="D88" i="37"/>
  <c r="R87" i="37"/>
  <c r="Q87" i="37"/>
  <c r="P87" i="37"/>
  <c r="O87" i="37"/>
  <c r="N87" i="37"/>
  <c r="M87" i="37"/>
  <c r="L87" i="37"/>
  <c r="K87" i="37"/>
  <c r="J87" i="37"/>
  <c r="I87" i="37"/>
  <c r="H87" i="37"/>
  <c r="G87" i="37"/>
  <c r="F87" i="37"/>
  <c r="E87" i="37"/>
  <c r="O84" i="37"/>
  <c r="O85" i="37" s="1"/>
  <c r="O97" i="37" s="1"/>
  <c r="N84" i="37"/>
  <c r="N85" i="37" s="1"/>
  <c r="M84" i="37"/>
  <c r="H84" i="37"/>
  <c r="G84" i="37"/>
  <c r="D84" i="37"/>
  <c r="J83" i="37"/>
  <c r="J85" i="37" s="1"/>
  <c r="D83" i="37"/>
  <c r="R82" i="37"/>
  <c r="R85" i="37" s="1"/>
  <c r="R97" i="37" s="1"/>
  <c r="Q82" i="37"/>
  <c r="P82" i="37"/>
  <c r="P94" i="37" s="1"/>
  <c r="L82" i="37"/>
  <c r="K82" i="37"/>
  <c r="I82" i="37"/>
  <c r="H82" i="37"/>
  <c r="H85" i="37" s="1"/>
  <c r="G82" i="37"/>
  <c r="F82" i="37"/>
  <c r="F85" i="37" s="1"/>
  <c r="F97" i="37" s="1"/>
  <c r="E82" i="37"/>
  <c r="D82" i="37"/>
  <c r="R81" i="37"/>
  <c r="Q81" i="37"/>
  <c r="P81" i="37"/>
  <c r="O81" i="37"/>
  <c r="N81" i="37"/>
  <c r="M81" i="37"/>
  <c r="L81" i="37"/>
  <c r="K81" i="37"/>
  <c r="J81" i="37"/>
  <c r="I81" i="37"/>
  <c r="H81" i="37"/>
  <c r="G81" i="37"/>
  <c r="F81" i="37"/>
  <c r="E81" i="37"/>
  <c r="R77" i="37"/>
  <c r="Q77" i="37"/>
  <c r="P77" i="37"/>
  <c r="L77" i="37"/>
  <c r="K77" i="37"/>
  <c r="J77" i="37"/>
  <c r="I77" i="37"/>
  <c r="F77" i="37"/>
  <c r="E77" i="37"/>
  <c r="R76" i="37"/>
  <c r="Q76" i="37"/>
  <c r="P76" i="37"/>
  <c r="O76" i="37"/>
  <c r="N76" i="37"/>
  <c r="M76" i="37"/>
  <c r="L76" i="37"/>
  <c r="K76" i="37"/>
  <c r="I76" i="37"/>
  <c r="H76" i="37"/>
  <c r="G76" i="37"/>
  <c r="F76" i="37"/>
  <c r="E76" i="37"/>
  <c r="O75" i="37"/>
  <c r="N75" i="37"/>
  <c r="M75" i="37"/>
  <c r="J75" i="37"/>
  <c r="O71" i="37"/>
  <c r="N71" i="37"/>
  <c r="M71" i="37"/>
  <c r="H71" i="37"/>
  <c r="G71" i="37"/>
  <c r="D71" i="37"/>
  <c r="J70" i="37"/>
  <c r="T70" i="37" s="1"/>
  <c r="D70" i="37"/>
  <c r="R69" i="37"/>
  <c r="R72" i="37" s="1"/>
  <c r="Q69" i="37"/>
  <c r="P69" i="37"/>
  <c r="L69" i="37"/>
  <c r="K69" i="37"/>
  <c r="I69" i="37"/>
  <c r="H69" i="37"/>
  <c r="G69" i="37"/>
  <c r="F69" i="37"/>
  <c r="E69" i="37"/>
  <c r="D69" i="37"/>
  <c r="R68" i="37"/>
  <c r="Q68" i="37"/>
  <c r="P68" i="37"/>
  <c r="O68" i="37"/>
  <c r="N68" i="37"/>
  <c r="M68" i="37"/>
  <c r="L68" i="37"/>
  <c r="K68" i="37"/>
  <c r="J68" i="37"/>
  <c r="I68" i="37"/>
  <c r="H68" i="37"/>
  <c r="G68" i="37"/>
  <c r="F68" i="37"/>
  <c r="E68" i="37"/>
  <c r="O65" i="37"/>
  <c r="N65" i="37"/>
  <c r="M65" i="37"/>
  <c r="H65" i="37"/>
  <c r="G65" i="37"/>
  <c r="D65" i="37"/>
  <c r="J64" i="37"/>
  <c r="J103" i="37" s="1"/>
  <c r="D64" i="37"/>
  <c r="R63" i="37"/>
  <c r="Q63" i="37"/>
  <c r="P63" i="37"/>
  <c r="P66" i="37" s="1"/>
  <c r="L63" i="37"/>
  <c r="L66" i="37" s="1"/>
  <c r="K63" i="37"/>
  <c r="I63" i="37"/>
  <c r="H63" i="37"/>
  <c r="G63" i="37"/>
  <c r="F63" i="37"/>
  <c r="F102" i="37" s="1"/>
  <c r="E63" i="37"/>
  <c r="D63" i="37"/>
  <c r="AW57" i="37"/>
  <c r="AY57" i="37" s="1"/>
  <c r="AV57" i="37"/>
  <c r="AX57" i="37" s="1"/>
  <c r="AS57" i="37"/>
  <c r="AU57" i="37" s="1"/>
  <c r="AR57" i="37"/>
  <c r="AT57" i="37" s="1"/>
  <c r="AH57" i="37"/>
  <c r="L57" i="37"/>
  <c r="K57" i="37"/>
  <c r="AW56" i="37"/>
  <c r="AY56" i="37" s="1"/>
  <c r="AV56" i="37"/>
  <c r="AX56" i="37" s="1"/>
  <c r="AS56" i="37"/>
  <c r="AU56" i="37" s="1"/>
  <c r="AR56" i="37"/>
  <c r="AT56" i="37" s="1"/>
  <c r="AH56" i="37"/>
  <c r="L56" i="37"/>
  <c r="K56" i="37"/>
  <c r="AW55" i="37"/>
  <c r="AY55" i="37" s="1"/>
  <c r="AV55" i="37"/>
  <c r="AX55" i="37" s="1"/>
  <c r="AS55" i="37"/>
  <c r="AU55" i="37" s="1"/>
  <c r="AR55" i="37"/>
  <c r="AT55" i="37" s="1"/>
  <c r="AH55" i="37"/>
  <c r="L55" i="37"/>
  <c r="K55" i="37"/>
  <c r="AW54" i="37"/>
  <c r="AY54" i="37" s="1"/>
  <c r="AV54" i="37"/>
  <c r="AX54" i="37" s="1"/>
  <c r="AS54" i="37"/>
  <c r="AU54" i="37" s="1"/>
  <c r="AR54" i="37"/>
  <c r="AT54" i="37" s="1"/>
  <c r="AH54" i="37"/>
  <c r="L54" i="37"/>
  <c r="K54" i="37"/>
  <c r="AW53" i="37"/>
  <c r="AY53" i="37" s="1"/>
  <c r="AV53" i="37"/>
  <c r="AX53" i="37" s="1"/>
  <c r="AS53" i="37"/>
  <c r="AU53" i="37" s="1"/>
  <c r="AR53" i="37"/>
  <c r="AT53" i="37" s="1"/>
  <c r="AH53" i="37"/>
  <c r="L53" i="37"/>
  <c r="K53" i="37"/>
  <c r="AW52" i="37"/>
  <c r="AY52" i="37" s="1"/>
  <c r="AV52" i="37"/>
  <c r="AX52" i="37" s="1"/>
  <c r="AS52" i="37"/>
  <c r="AU52" i="37" s="1"/>
  <c r="AR52" i="37"/>
  <c r="AT52" i="37" s="1"/>
  <c r="AH52" i="37"/>
  <c r="L52" i="37"/>
  <c r="K52" i="37"/>
  <c r="AW51" i="37"/>
  <c r="AY51" i="37" s="1"/>
  <c r="AV51" i="37"/>
  <c r="AX51" i="37" s="1"/>
  <c r="AS51" i="37"/>
  <c r="AU51" i="37" s="1"/>
  <c r="AR51" i="37"/>
  <c r="AT51" i="37" s="1"/>
  <c r="AH51" i="37"/>
  <c r="L51" i="37"/>
  <c r="K51" i="37"/>
  <c r="AW50" i="37"/>
  <c r="AY50" i="37" s="1"/>
  <c r="AV50" i="37"/>
  <c r="AX50" i="37" s="1"/>
  <c r="AS50" i="37"/>
  <c r="AU50" i="37" s="1"/>
  <c r="AR50" i="37"/>
  <c r="AT50" i="37" s="1"/>
  <c r="AH50" i="37"/>
  <c r="L50" i="37"/>
  <c r="K50" i="37"/>
  <c r="AW49" i="37"/>
  <c r="AY49" i="37" s="1"/>
  <c r="AV49" i="37"/>
  <c r="AX49" i="37" s="1"/>
  <c r="AS49" i="37"/>
  <c r="AU49" i="37" s="1"/>
  <c r="AR49" i="37"/>
  <c r="AT49" i="37" s="1"/>
  <c r="AH49" i="37"/>
  <c r="L49" i="37"/>
  <c r="K49" i="37"/>
  <c r="AW48" i="37"/>
  <c r="AY48" i="37" s="1"/>
  <c r="AV48" i="37"/>
  <c r="AX48" i="37" s="1"/>
  <c r="AS48" i="37"/>
  <c r="AU48" i="37" s="1"/>
  <c r="AR48" i="37"/>
  <c r="AT48" i="37" s="1"/>
  <c r="AH48" i="37"/>
  <c r="L48" i="37"/>
  <c r="K48" i="37"/>
  <c r="AW47" i="37"/>
  <c r="AY47" i="37" s="1"/>
  <c r="AV47" i="37"/>
  <c r="AX47" i="37" s="1"/>
  <c r="AS47" i="37"/>
  <c r="AU47" i="37" s="1"/>
  <c r="AR47" i="37"/>
  <c r="AT47" i="37" s="1"/>
  <c r="AH47" i="37"/>
  <c r="L47" i="37"/>
  <c r="K47" i="37"/>
  <c r="AW46" i="37"/>
  <c r="AY46" i="37" s="1"/>
  <c r="AV46" i="37"/>
  <c r="AX46" i="37" s="1"/>
  <c r="AS46" i="37"/>
  <c r="AU46" i="37" s="1"/>
  <c r="AR46" i="37"/>
  <c r="AT46" i="37" s="1"/>
  <c r="AH46" i="37"/>
  <c r="L46" i="37"/>
  <c r="K46" i="37"/>
  <c r="AW45" i="37"/>
  <c r="AY45" i="37" s="1"/>
  <c r="AV45" i="37"/>
  <c r="AX45" i="37" s="1"/>
  <c r="AS45" i="37"/>
  <c r="AU45" i="37" s="1"/>
  <c r="AR45" i="37"/>
  <c r="AT45" i="37" s="1"/>
  <c r="AH45" i="37"/>
  <c r="L45" i="37"/>
  <c r="K45" i="37"/>
  <c r="AW44" i="37"/>
  <c r="AY44" i="37" s="1"/>
  <c r="AV44" i="37"/>
  <c r="AX44" i="37" s="1"/>
  <c r="AS44" i="37"/>
  <c r="AU44" i="37" s="1"/>
  <c r="AR44" i="37"/>
  <c r="AT44" i="37" s="1"/>
  <c r="AH44" i="37"/>
  <c r="L44" i="37"/>
  <c r="K44" i="37"/>
  <c r="AW43" i="37"/>
  <c r="AY43" i="37" s="1"/>
  <c r="AV43" i="37"/>
  <c r="AX43" i="37" s="1"/>
  <c r="AS43" i="37"/>
  <c r="AU43" i="37" s="1"/>
  <c r="AR43" i="37"/>
  <c r="AT43" i="37" s="1"/>
  <c r="AH43" i="37"/>
  <c r="L43" i="37"/>
  <c r="K43" i="37"/>
  <c r="AW42" i="37"/>
  <c r="AY42" i="37" s="1"/>
  <c r="AV42" i="37"/>
  <c r="AX42" i="37" s="1"/>
  <c r="AS42" i="37"/>
  <c r="AU42" i="37" s="1"/>
  <c r="AR42" i="37"/>
  <c r="AT42" i="37" s="1"/>
  <c r="AH42" i="37"/>
  <c r="L42" i="37"/>
  <c r="K42" i="37"/>
  <c r="AW41" i="37"/>
  <c r="AY41" i="37" s="1"/>
  <c r="AV41" i="37"/>
  <c r="AX41" i="37" s="1"/>
  <c r="AS41" i="37"/>
  <c r="AU41" i="37" s="1"/>
  <c r="AR41" i="37"/>
  <c r="AT41" i="37" s="1"/>
  <c r="AH41" i="37"/>
  <c r="L41" i="37"/>
  <c r="K41" i="37"/>
  <c r="AW40" i="37"/>
  <c r="AY40" i="37" s="1"/>
  <c r="AV40" i="37"/>
  <c r="AX40" i="37" s="1"/>
  <c r="AS40" i="37"/>
  <c r="AU40" i="37" s="1"/>
  <c r="AR40" i="37"/>
  <c r="AT40" i="37" s="1"/>
  <c r="AH40" i="37"/>
  <c r="L40" i="37"/>
  <c r="K40" i="37"/>
  <c r="AW39" i="37"/>
  <c r="AY39" i="37" s="1"/>
  <c r="AV39" i="37"/>
  <c r="AX39" i="37" s="1"/>
  <c r="AS39" i="37"/>
  <c r="AU39" i="37" s="1"/>
  <c r="AR39" i="37"/>
  <c r="AT39" i="37" s="1"/>
  <c r="AH39" i="37"/>
  <c r="L39" i="37"/>
  <c r="K39" i="37"/>
  <c r="AW38" i="37"/>
  <c r="AY38" i="37" s="1"/>
  <c r="AV38" i="37"/>
  <c r="AX38" i="37" s="1"/>
  <c r="AS38" i="37"/>
  <c r="AU38" i="37" s="1"/>
  <c r="AR38" i="37"/>
  <c r="AT38" i="37" s="1"/>
  <c r="AH38" i="37"/>
  <c r="L38" i="37"/>
  <c r="K38" i="37"/>
  <c r="AW37" i="37"/>
  <c r="AY37" i="37" s="1"/>
  <c r="AV37" i="37"/>
  <c r="AX37" i="37" s="1"/>
  <c r="AS37" i="37"/>
  <c r="AU37" i="37" s="1"/>
  <c r="AR37" i="37"/>
  <c r="AT37" i="37" s="1"/>
  <c r="AH37" i="37"/>
  <c r="L37" i="37"/>
  <c r="K37" i="37"/>
  <c r="AW36" i="37"/>
  <c r="AY36" i="37" s="1"/>
  <c r="AV36" i="37"/>
  <c r="AX36" i="37" s="1"/>
  <c r="AS36" i="37"/>
  <c r="AU36" i="37" s="1"/>
  <c r="AR36" i="37"/>
  <c r="AT36" i="37" s="1"/>
  <c r="AH36" i="37"/>
  <c r="L36" i="37"/>
  <c r="K36" i="37"/>
  <c r="AW35" i="37"/>
  <c r="AY35" i="37" s="1"/>
  <c r="AV35" i="37"/>
  <c r="AX35" i="37" s="1"/>
  <c r="AS35" i="37"/>
  <c r="AU35" i="37" s="1"/>
  <c r="AR35" i="37"/>
  <c r="AT35" i="37" s="1"/>
  <c r="AH35" i="37"/>
  <c r="L35" i="37"/>
  <c r="K35" i="37"/>
  <c r="AW34" i="37"/>
  <c r="AY34" i="37" s="1"/>
  <c r="AV34" i="37"/>
  <c r="AX34" i="37" s="1"/>
  <c r="AS34" i="37"/>
  <c r="AU34" i="37" s="1"/>
  <c r="AR34" i="37"/>
  <c r="AT34" i="37" s="1"/>
  <c r="AH34" i="37"/>
  <c r="L34" i="37"/>
  <c r="K34" i="37"/>
  <c r="AW33" i="37"/>
  <c r="AY33" i="37" s="1"/>
  <c r="AV33" i="37"/>
  <c r="AX33" i="37" s="1"/>
  <c r="AS33" i="37"/>
  <c r="AU33" i="37" s="1"/>
  <c r="AR33" i="37"/>
  <c r="AT33" i="37" s="1"/>
  <c r="AH33" i="37"/>
  <c r="L33" i="37"/>
  <c r="K33" i="37"/>
  <c r="AW32" i="37"/>
  <c r="AY32" i="37" s="1"/>
  <c r="AV32" i="37"/>
  <c r="AX32" i="37" s="1"/>
  <c r="AS32" i="37"/>
  <c r="AU32" i="37" s="1"/>
  <c r="AR32" i="37"/>
  <c r="AT32" i="37" s="1"/>
  <c r="AH32" i="37"/>
  <c r="L32" i="37"/>
  <c r="K32" i="37"/>
  <c r="AW31" i="37"/>
  <c r="AY31" i="37" s="1"/>
  <c r="AV31" i="37"/>
  <c r="AX31" i="37" s="1"/>
  <c r="AS31" i="37"/>
  <c r="AU31" i="37" s="1"/>
  <c r="AR31" i="37"/>
  <c r="AT31" i="37" s="1"/>
  <c r="AH31" i="37"/>
  <c r="L31" i="37"/>
  <c r="K31" i="37"/>
  <c r="AW30" i="37"/>
  <c r="AY30" i="37" s="1"/>
  <c r="AV30" i="37"/>
  <c r="AX30" i="37" s="1"/>
  <c r="AU30" i="37"/>
  <c r="AS30" i="37"/>
  <c r="AR30" i="37"/>
  <c r="AT30" i="37" s="1"/>
  <c r="AH30" i="37"/>
  <c r="L30" i="37"/>
  <c r="K30" i="37"/>
  <c r="AW29" i="37"/>
  <c r="AY29" i="37" s="1"/>
  <c r="AV29" i="37"/>
  <c r="AX29" i="37" s="1"/>
  <c r="AS29" i="37"/>
  <c r="AU29" i="37" s="1"/>
  <c r="AR29" i="37"/>
  <c r="AT29" i="37" s="1"/>
  <c r="AH29" i="37"/>
  <c r="L29" i="37"/>
  <c r="K29" i="37"/>
  <c r="AW28" i="37"/>
  <c r="AY28" i="37" s="1"/>
  <c r="AV28" i="37"/>
  <c r="AX28" i="37" s="1"/>
  <c r="AS28" i="37"/>
  <c r="AU28" i="37" s="1"/>
  <c r="AR28" i="37"/>
  <c r="AT28" i="37" s="1"/>
  <c r="AH28" i="37"/>
  <c r="L28" i="37"/>
  <c r="K28" i="37"/>
  <c r="AW27" i="37"/>
  <c r="AY27" i="37" s="1"/>
  <c r="AV27" i="37"/>
  <c r="AX27" i="37" s="1"/>
  <c r="AS27" i="37"/>
  <c r="AU27" i="37" s="1"/>
  <c r="AR27" i="37"/>
  <c r="AT27" i="37" s="1"/>
  <c r="AH27" i="37"/>
  <c r="L27" i="37"/>
  <c r="K27" i="37"/>
  <c r="AW26" i="37"/>
  <c r="AY26" i="37" s="1"/>
  <c r="AV26" i="37"/>
  <c r="AX26" i="37" s="1"/>
  <c r="AS26" i="37"/>
  <c r="AU26" i="37" s="1"/>
  <c r="AR26" i="37"/>
  <c r="AT26" i="37" s="1"/>
  <c r="AH26" i="37"/>
  <c r="L26" i="37"/>
  <c r="K26" i="37"/>
  <c r="AW25" i="37"/>
  <c r="AY25" i="37" s="1"/>
  <c r="AV25" i="37"/>
  <c r="AX25" i="37" s="1"/>
  <c r="AS25" i="37"/>
  <c r="AU25" i="37" s="1"/>
  <c r="AR25" i="37"/>
  <c r="AT25" i="37" s="1"/>
  <c r="AH25" i="37"/>
  <c r="L25" i="37"/>
  <c r="K25" i="37"/>
  <c r="AW24" i="37"/>
  <c r="AY24" i="37" s="1"/>
  <c r="AV24" i="37"/>
  <c r="AX24" i="37" s="1"/>
  <c r="AS24" i="37"/>
  <c r="AU24" i="37" s="1"/>
  <c r="AR24" i="37"/>
  <c r="AT24" i="37" s="1"/>
  <c r="AH24" i="37"/>
  <c r="L24" i="37"/>
  <c r="K24" i="37"/>
  <c r="AW23" i="37"/>
  <c r="AY23" i="37" s="1"/>
  <c r="AV23" i="37"/>
  <c r="AX23" i="37" s="1"/>
  <c r="AS23" i="37"/>
  <c r="AU23" i="37" s="1"/>
  <c r="AR23" i="37"/>
  <c r="AT23" i="37" s="1"/>
  <c r="AH23" i="37"/>
  <c r="L23" i="37"/>
  <c r="K23" i="37"/>
  <c r="AW22" i="37"/>
  <c r="AY22" i="37" s="1"/>
  <c r="AV22" i="37"/>
  <c r="AX22" i="37" s="1"/>
  <c r="AS22" i="37"/>
  <c r="AU22" i="37" s="1"/>
  <c r="AR22" i="37"/>
  <c r="AT22" i="37" s="1"/>
  <c r="AH22" i="37"/>
  <c r="L22" i="37"/>
  <c r="K22" i="37"/>
  <c r="AW21" i="37"/>
  <c r="AY21" i="37" s="1"/>
  <c r="AV21" i="37"/>
  <c r="AX21" i="37" s="1"/>
  <c r="AS21" i="37"/>
  <c r="AU21" i="37" s="1"/>
  <c r="AR21" i="37"/>
  <c r="AT21" i="37" s="1"/>
  <c r="AH21" i="37"/>
  <c r="L21" i="37"/>
  <c r="K21" i="37"/>
  <c r="AW20" i="37"/>
  <c r="AY20" i="37" s="1"/>
  <c r="AV20" i="37"/>
  <c r="AX20" i="37" s="1"/>
  <c r="AS20" i="37"/>
  <c r="AU20" i="37" s="1"/>
  <c r="AR20" i="37"/>
  <c r="AT20" i="37" s="1"/>
  <c r="AH20" i="37"/>
  <c r="L20" i="37"/>
  <c r="K20" i="37"/>
  <c r="AW19" i="37"/>
  <c r="AY19" i="37" s="1"/>
  <c r="AV19" i="37"/>
  <c r="AX19" i="37" s="1"/>
  <c r="AS19" i="37"/>
  <c r="AU19" i="37" s="1"/>
  <c r="AR19" i="37"/>
  <c r="AT19" i="37" s="1"/>
  <c r="AH19" i="37"/>
  <c r="L19" i="37"/>
  <c r="K19" i="37"/>
  <c r="AW18" i="37"/>
  <c r="AY18" i="37" s="1"/>
  <c r="AV18" i="37"/>
  <c r="AX18" i="37" s="1"/>
  <c r="AS18" i="37"/>
  <c r="AU18" i="37" s="1"/>
  <c r="AR18" i="37"/>
  <c r="AT18" i="37" s="1"/>
  <c r="AH18" i="37"/>
  <c r="L18" i="37"/>
  <c r="K18" i="37"/>
  <c r="AW17" i="37"/>
  <c r="AY17" i="37" s="1"/>
  <c r="AV17" i="37"/>
  <c r="AX17" i="37" s="1"/>
  <c r="AS17" i="37"/>
  <c r="AU17" i="37" s="1"/>
  <c r="AR17" i="37"/>
  <c r="AT17" i="37" s="1"/>
  <c r="AH17" i="37"/>
  <c r="L17" i="37"/>
  <c r="K17" i="37"/>
  <c r="AW16" i="37"/>
  <c r="AY16" i="37" s="1"/>
  <c r="AV16" i="37"/>
  <c r="AX16" i="37" s="1"/>
  <c r="AS16" i="37"/>
  <c r="AU16" i="37" s="1"/>
  <c r="AR16" i="37"/>
  <c r="AT16" i="37" s="1"/>
  <c r="AH16" i="37"/>
  <c r="L16" i="37"/>
  <c r="K16" i="37"/>
  <c r="AW15" i="37"/>
  <c r="AY15" i="37" s="1"/>
  <c r="AV15" i="37"/>
  <c r="AX15" i="37" s="1"/>
  <c r="AS15" i="37"/>
  <c r="AU15" i="37" s="1"/>
  <c r="AR15" i="37"/>
  <c r="AT15" i="37" s="1"/>
  <c r="AH15" i="37"/>
  <c r="L15" i="37"/>
  <c r="K15" i="37"/>
  <c r="AW14" i="37"/>
  <c r="AY14" i="37" s="1"/>
  <c r="AV14" i="37"/>
  <c r="AX14" i="37" s="1"/>
  <c r="AS14" i="37"/>
  <c r="AU14" i="37" s="1"/>
  <c r="AR14" i="37"/>
  <c r="AT14" i="37" s="1"/>
  <c r="AH14" i="37"/>
  <c r="L14" i="37"/>
  <c r="K14" i="37"/>
  <c r="AW13" i="37"/>
  <c r="AY13" i="37" s="1"/>
  <c r="AV13" i="37"/>
  <c r="AX13" i="37" s="1"/>
  <c r="AS13" i="37"/>
  <c r="AU13" i="37" s="1"/>
  <c r="AR13" i="37"/>
  <c r="AT13" i="37" s="1"/>
  <c r="AH13" i="37"/>
  <c r="L13" i="37"/>
  <c r="K13" i="37"/>
  <c r="AW12" i="37"/>
  <c r="AY12" i="37" s="1"/>
  <c r="AV12" i="37"/>
  <c r="AX12" i="37" s="1"/>
  <c r="AS12" i="37"/>
  <c r="AU12" i="37" s="1"/>
  <c r="AR12" i="37"/>
  <c r="AT12" i="37" s="1"/>
  <c r="AH12" i="37"/>
  <c r="L12" i="37"/>
  <c r="K12" i="37"/>
  <c r="AW11" i="37"/>
  <c r="AY11" i="37" s="1"/>
  <c r="AV11" i="37"/>
  <c r="AX11" i="37" s="1"/>
  <c r="AS11" i="37"/>
  <c r="AU11" i="37" s="1"/>
  <c r="AR11" i="37"/>
  <c r="AT11" i="37" s="1"/>
  <c r="AH11" i="37"/>
  <c r="L11" i="37"/>
  <c r="K11" i="37"/>
  <c r="AW10" i="37"/>
  <c r="AY10" i="37" s="1"/>
  <c r="AV10" i="37"/>
  <c r="AX10" i="37" s="1"/>
  <c r="AS10" i="37"/>
  <c r="AU10" i="37" s="1"/>
  <c r="AR10" i="37"/>
  <c r="AT10" i="37" s="1"/>
  <c r="AH10" i="37"/>
  <c r="L10" i="37"/>
  <c r="K10" i="37"/>
  <c r="AW9" i="37"/>
  <c r="AY9" i="37" s="1"/>
  <c r="AV9" i="37"/>
  <c r="AX9" i="37" s="1"/>
  <c r="AS9" i="37"/>
  <c r="AU9" i="37" s="1"/>
  <c r="AR9" i="37"/>
  <c r="AT9" i="37" s="1"/>
  <c r="AH9" i="37"/>
  <c r="L9" i="37"/>
  <c r="K9" i="37"/>
  <c r="AW8" i="37"/>
  <c r="AY8" i="37" s="1"/>
  <c r="AV8" i="37"/>
  <c r="AX8" i="37" s="1"/>
  <c r="AS8" i="37"/>
  <c r="AU8" i="37" s="1"/>
  <c r="AR8" i="37"/>
  <c r="AT8" i="37" s="1"/>
  <c r="AH8" i="37"/>
  <c r="L8" i="37"/>
  <c r="K8" i="37"/>
  <c r="AW7" i="37"/>
  <c r="AY7" i="37" s="1"/>
  <c r="AV7" i="37"/>
  <c r="AX7" i="37" s="1"/>
  <c r="AS7" i="37"/>
  <c r="AU7" i="37" s="1"/>
  <c r="AR7" i="37"/>
  <c r="AT7" i="37" s="1"/>
  <c r="AH7" i="37"/>
  <c r="L7" i="37"/>
  <c r="K7" i="37"/>
  <c r="AW6" i="37"/>
  <c r="AY6" i="37" s="1"/>
  <c r="AV6" i="37"/>
  <c r="AX6" i="37" s="1"/>
  <c r="AS6" i="37"/>
  <c r="AU6" i="37" s="1"/>
  <c r="AR6" i="37"/>
  <c r="AT6" i="37" s="1"/>
  <c r="AH6" i="37"/>
  <c r="L6" i="37"/>
  <c r="K6" i="37"/>
  <c r="AW5" i="37"/>
  <c r="AY5" i="37" s="1"/>
  <c r="AV5" i="37"/>
  <c r="AX5" i="37" s="1"/>
  <c r="AS5" i="37"/>
  <c r="AU5" i="37" s="1"/>
  <c r="AR5" i="37"/>
  <c r="AT5" i="37" s="1"/>
  <c r="AH5" i="37"/>
  <c r="L5" i="37"/>
  <c r="K5" i="37"/>
  <c r="AW4" i="37"/>
  <c r="AY4" i="37" s="1"/>
  <c r="AV4" i="37"/>
  <c r="AX4" i="37" s="1"/>
  <c r="AS4" i="37"/>
  <c r="AU4" i="37" s="1"/>
  <c r="AR4" i="37"/>
  <c r="AT4" i="37" s="1"/>
  <c r="AH4" i="37"/>
  <c r="L4" i="37"/>
  <c r="K4" i="37"/>
  <c r="AW3" i="37"/>
  <c r="AY3" i="37" s="1"/>
  <c r="AV3" i="37"/>
  <c r="AX3" i="37" s="1"/>
  <c r="AS3" i="37"/>
  <c r="AU3" i="37" s="1"/>
  <c r="AR3" i="37"/>
  <c r="AT3" i="37" s="1"/>
  <c r="AH3" i="37"/>
  <c r="L3" i="37"/>
  <c r="K3" i="37"/>
  <c r="R116" i="36"/>
  <c r="Q116" i="36"/>
  <c r="P116" i="36"/>
  <c r="O116" i="36"/>
  <c r="N116" i="36"/>
  <c r="M116" i="36"/>
  <c r="L116" i="36"/>
  <c r="K116" i="36"/>
  <c r="J116" i="36"/>
  <c r="I116" i="36"/>
  <c r="H116" i="36"/>
  <c r="G116" i="36"/>
  <c r="F116" i="36"/>
  <c r="E116" i="36"/>
  <c r="R113" i="36"/>
  <c r="Q113" i="36"/>
  <c r="P113" i="36"/>
  <c r="O113" i="36"/>
  <c r="L113" i="36"/>
  <c r="K113" i="36"/>
  <c r="J113" i="36"/>
  <c r="I113" i="36"/>
  <c r="F113" i="36"/>
  <c r="E113" i="36"/>
  <c r="R112" i="36"/>
  <c r="Q112" i="36"/>
  <c r="P112" i="36"/>
  <c r="O112" i="36"/>
  <c r="N112" i="36"/>
  <c r="M112" i="36"/>
  <c r="L112" i="36"/>
  <c r="K112" i="36"/>
  <c r="I112" i="36"/>
  <c r="H112" i="36"/>
  <c r="G112" i="36"/>
  <c r="F112" i="36"/>
  <c r="E112" i="36"/>
  <c r="O111" i="36"/>
  <c r="N111" i="36"/>
  <c r="M111" i="36"/>
  <c r="J111" i="36"/>
  <c r="R110" i="36"/>
  <c r="Q110" i="36"/>
  <c r="P110" i="36"/>
  <c r="O110" i="36"/>
  <c r="N110" i="36"/>
  <c r="M110" i="36"/>
  <c r="L110" i="36"/>
  <c r="K110" i="36"/>
  <c r="J110" i="36"/>
  <c r="I110" i="36"/>
  <c r="H110" i="36"/>
  <c r="G110" i="36"/>
  <c r="F110" i="36"/>
  <c r="E110" i="36"/>
  <c r="R107" i="36"/>
  <c r="R119" i="36" s="1"/>
  <c r="Q107" i="36"/>
  <c r="Q119" i="36" s="1"/>
  <c r="P107" i="36"/>
  <c r="P119" i="36" s="1"/>
  <c r="L107" i="36"/>
  <c r="L119" i="36" s="1"/>
  <c r="K107" i="36"/>
  <c r="K119" i="36" s="1"/>
  <c r="J107" i="36"/>
  <c r="J119" i="36" s="1"/>
  <c r="I107" i="36"/>
  <c r="I119" i="36" s="1"/>
  <c r="H107" i="36"/>
  <c r="F107" i="36"/>
  <c r="F119" i="36" s="1"/>
  <c r="E107" i="36"/>
  <c r="R106" i="36"/>
  <c r="R118" i="36" s="1"/>
  <c r="Q106" i="36"/>
  <c r="Q118" i="36" s="1"/>
  <c r="P106" i="36"/>
  <c r="P118" i="36" s="1"/>
  <c r="O106" i="36"/>
  <c r="O118" i="36" s="1"/>
  <c r="N106" i="36"/>
  <c r="N118" i="36" s="1"/>
  <c r="M106" i="36"/>
  <c r="M118" i="36" s="1"/>
  <c r="L106" i="36"/>
  <c r="L118" i="36" s="1"/>
  <c r="K106" i="36"/>
  <c r="K118" i="36" s="1"/>
  <c r="I106" i="36"/>
  <c r="I118" i="36" s="1"/>
  <c r="H106" i="36"/>
  <c r="H118" i="36" s="1"/>
  <c r="G106" i="36"/>
  <c r="G118" i="36" s="1"/>
  <c r="F106" i="36"/>
  <c r="F118" i="36" s="1"/>
  <c r="E106" i="36"/>
  <c r="T106" i="36" s="1"/>
  <c r="D106" i="36"/>
  <c r="Q105" i="36"/>
  <c r="P105" i="36"/>
  <c r="O105" i="36"/>
  <c r="O117" i="36" s="1"/>
  <c r="N105" i="36"/>
  <c r="N117" i="36" s="1"/>
  <c r="M105" i="36"/>
  <c r="M117" i="36" s="1"/>
  <c r="J105" i="36"/>
  <c r="J117" i="36" s="1"/>
  <c r="I105" i="36"/>
  <c r="H105" i="36"/>
  <c r="E105" i="36"/>
  <c r="D105" i="36"/>
  <c r="R104" i="36"/>
  <c r="Q104" i="36"/>
  <c r="P104" i="36"/>
  <c r="O104" i="36"/>
  <c r="N104" i="36"/>
  <c r="M104" i="36"/>
  <c r="L104" i="36"/>
  <c r="K104" i="36"/>
  <c r="J104" i="36"/>
  <c r="I104" i="36"/>
  <c r="H104" i="36"/>
  <c r="G104" i="36"/>
  <c r="F104" i="36"/>
  <c r="E104" i="36"/>
  <c r="R99" i="36"/>
  <c r="Q99" i="36"/>
  <c r="P99" i="36"/>
  <c r="L99" i="36"/>
  <c r="K99" i="36"/>
  <c r="J99" i="36"/>
  <c r="I99" i="36"/>
  <c r="F99" i="36"/>
  <c r="E99" i="36"/>
  <c r="R98" i="36"/>
  <c r="Q98" i="36"/>
  <c r="P98" i="36"/>
  <c r="O98" i="36"/>
  <c r="N98" i="36"/>
  <c r="M98" i="36"/>
  <c r="L98" i="36"/>
  <c r="K98" i="36"/>
  <c r="I98" i="36"/>
  <c r="H98" i="36"/>
  <c r="G98" i="36"/>
  <c r="F98" i="36"/>
  <c r="E98" i="36"/>
  <c r="O97" i="36"/>
  <c r="N97" i="36"/>
  <c r="M97" i="36"/>
  <c r="J97" i="36"/>
  <c r="R96" i="36"/>
  <c r="Q96" i="36"/>
  <c r="P96" i="36"/>
  <c r="O96" i="36"/>
  <c r="N96" i="36"/>
  <c r="M96" i="36"/>
  <c r="L96" i="36"/>
  <c r="K96" i="36"/>
  <c r="J96" i="36"/>
  <c r="I96" i="36"/>
  <c r="H96" i="36"/>
  <c r="G96" i="36"/>
  <c r="F96" i="36"/>
  <c r="E96" i="36"/>
  <c r="O93" i="36"/>
  <c r="O94" i="36" s="1"/>
  <c r="N93" i="36"/>
  <c r="N94" i="36" s="1"/>
  <c r="M93" i="36"/>
  <c r="M94" i="36" s="1"/>
  <c r="H93" i="36"/>
  <c r="G93" i="36"/>
  <c r="G99" i="36" s="1"/>
  <c r="D93" i="36"/>
  <c r="J92" i="36"/>
  <c r="D92" i="36"/>
  <c r="R91" i="36"/>
  <c r="R94" i="36" s="1"/>
  <c r="Q91" i="36"/>
  <c r="Q94" i="36" s="1"/>
  <c r="P91" i="36"/>
  <c r="P94" i="36" s="1"/>
  <c r="L91" i="36"/>
  <c r="L94" i="36" s="1"/>
  <c r="K91" i="36"/>
  <c r="K94" i="36" s="1"/>
  <c r="I91" i="36"/>
  <c r="I94" i="36" s="1"/>
  <c r="H91" i="36"/>
  <c r="G91" i="36"/>
  <c r="F91" i="36"/>
  <c r="F94" i="36" s="1"/>
  <c r="E91" i="36"/>
  <c r="E94" i="36" s="1"/>
  <c r="D91" i="36"/>
  <c r="R90" i="36"/>
  <c r="Q90" i="36"/>
  <c r="P90" i="36"/>
  <c r="O90" i="36"/>
  <c r="N90" i="36"/>
  <c r="M90" i="36"/>
  <c r="L90" i="36"/>
  <c r="K90" i="36"/>
  <c r="J90" i="36"/>
  <c r="I90" i="36"/>
  <c r="H90" i="36"/>
  <c r="G90" i="36"/>
  <c r="F90" i="36"/>
  <c r="E90" i="36"/>
  <c r="Q88" i="36"/>
  <c r="P88" i="36"/>
  <c r="I88" i="36"/>
  <c r="H88" i="36"/>
  <c r="E88" i="36"/>
  <c r="O87" i="36"/>
  <c r="O88" i="36" s="1"/>
  <c r="N87" i="36"/>
  <c r="N88" i="36" s="1"/>
  <c r="M87" i="36"/>
  <c r="H87" i="36"/>
  <c r="G87" i="36"/>
  <c r="D87" i="36"/>
  <c r="T86" i="36"/>
  <c r="J86" i="36"/>
  <c r="J88" i="36" s="1"/>
  <c r="D86" i="36"/>
  <c r="R85" i="36"/>
  <c r="R88" i="36" s="1"/>
  <c r="Q85" i="36"/>
  <c r="P85" i="36"/>
  <c r="L85" i="36"/>
  <c r="K85" i="36"/>
  <c r="I85" i="36"/>
  <c r="H85" i="36"/>
  <c r="G85" i="36"/>
  <c r="F85" i="36"/>
  <c r="F88" i="36" s="1"/>
  <c r="E85" i="36"/>
  <c r="D85" i="36"/>
  <c r="R84" i="36"/>
  <c r="Q84" i="36"/>
  <c r="P84" i="36"/>
  <c r="O84" i="36"/>
  <c r="N84" i="36"/>
  <c r="M84" i="36"/>
  <c r="L84" i="36"/>
  <c r="K84" i="36"/>
  <c r="J84" i="36"/>
  <c r="I84" i="36"/>
  <c r="H84" i="36"/>
  <c r="G84" i="36"/>
  <c r="F84" i="36"/>
  <c r="E84" i="36"/>
  <c r="R80" i="36"/>
  <c r="Q80" i="36"/>
  <c r="P80" i="36"/>
  <c r="L80" i="36"/>
  <c r="K80" i="36"/>
  <c r="J80" i="36"/>
  <c r="I80" i="36"/>
  <c r="F80" i="36"/>
  <c r="E80" i="36"/>
  <c r="R79" i="36"/>
  <c r="Q79" i="36"/>
  <c r="P79" i="36"/>
  <c r="O79" i="36"/>
  <c r="N79" i="36"/>
  <c r="M79" i="36"/>
  <c r="L79" i="36"/>
  <c r="K79" i="36"/>
  <c r="I79" i="36"/>
  <c r="H79" i="36"/>
  <c r="G79" i="36"/>
  <c r="F79" i="36"/>
  <c r="E79" i="36"/>
  <c r="O78" i="36"/>
  <c r="N78" i="36"/>
  <c r="M78" i="36"/>
  <c r="J78" i="36"/>
  <c r="O74" i="36"/>
  <c r="O75" i="36" s="1"/>
  <c r="N74" i="36"/>
  <c r="N75" i="36" s="1"/>
  <c r="M74" i="36"/>
  <c r="H74" i="36"/>
  <c r="H80" i="36" s="1"/>
  <c r="G74" i="36"/>
  <c r="D74" i="36"/>
  <c r="J73" i="36"/>
  <c r="D73" i="36"/>
  <c r="D79" i="36" s="1"/>
  <c r="R72" i="36"/>
  <c r="R75" i="36" s="1"/>
  <c r="Q72" i="36"/>
  <c r="P72" i="36"/>
  <c r="L72" i="36"/>
  <c r="K72" i="36"/>
  <c r="I72" i="36"/>
  <c r="H72" i="36"/>
  <c r="G72" i="36"/>
  <c r="F72" i="36"/>
  <c r="F75" i="36" s="1"/>
  <c r="E72" i="36"/>
  <c r="D72" i="36"/>
  <c r="R71" i="36"/>
  <c r="Q71" i="36"/>
  <c r="P71" i="36"/>
  <c r="O71" i="36"/>
  <c r="N71" i="36"/>
  <c r="M71" i="36"/>
  <c r="L71" i="36"/>
  <c r="K71" i="36"/>
  <c r="J71" i="36"/>
  <c r="I71" i="36"/>
  <c r="H71" i="36"/>
  <c r="G71" i="36"/>
  <c r="F71" i="36"/>
  <c r="E71" i="36"/>
  <c r="Q69" i="36"/>
  <c r="P69" i="36"/>
  <c r="L69" i="36"/>
  <c r="I69" i="36"/>
  <c r="H69" i="36"/>
  <c r="E69" i="36"/>
  <c r="D69" i="36"/>
  <c r="O68" i="36"/>
  <c r="O107" i="36" s="1"/>
  <c r="N68" i="36"/>
  <c r="M68" i="36"/>
  <c r="M107" i="36" s="1"/>
  <c r="H68" i="36"/>
  <c r="G68" i="36"/>
  <c r="G107" i="36" s="1"/>
  <c r="D68" i="36"/>
  <c r="D107" i="36" s="1"/>
  <c r="T67" i="36"/>
  <c r="J67" i="36"/>
  <c r="J106" i="36" s="1"/>
  <c r="D67" i="36"/>
  <c r="R66" i="36"/>
  <c r="Q66" i="36"/>
  <c r="P66" i="36"/>
  <c r="L66" i="36"/>
  <c r="L105" i="36" s="1"/>
  <c r="K66" i="36"/>
  <c r="I66" i="36"/>
  <c r="H66" i="36"/>
  <c r="G66" i="36"/>
  <c r="F66" i="36"/>
  <c r="T66" i="36" s="1"/>
  <c r="E66" i="36"/>
  <c r="D66" i="36"/>
  <c r="AW60" i="36"/>
  <c r="AY60" i="36" s="1"/>
  <c r="AV60" i="36"/>
  <c r="AX60" i="36" s="1"/>
  <c r="AS60" i="36"/>
  <c r="AU60" i="36" s="1"/>
  <c r="AR60" i="36"/>
  <c r="AT60" i="36" s="1"/>
  <c r="AH60" i="36"/>
  <c r="L60" i="36"/>
  <c r="K60" i="36"/>
  <c r="AW59" i="36"/>
  <c r="AY59" i="36" s="1"/>
  <c r="AV59" i="36"/>
  <c r="AX59" i="36" s="1"/>
  <c r="AS59" i="36"/>
  <c r="AU59" i="36" s="1"/>
  <c r="AR59" i="36"/>
  <c r="AT59" i="36" s="1"/>
  <c r="AH59" i="36"/>
  <c r="L59" i="36"/>
  <c r="K59" i="36"/>
  <c r="AW58" i="36"/>
  <c r="AY58" i="36" s="1"/>
  <c r="AV58" i="36"/>
  <c r="AX58" i="36" s="1"/>
  <c r="AS58" i="36"/>
  <c r="AU58" i="36" s="1"/>
  <c r="AR58" i="36"/>
  <c r="AT58" i="36" s="1"/>
  <c r="AH58" i="36"/>
  <c r="L58" i="36"/>
  <c r="K58" i="36"/>
  <c r="AW57" i="36"/>
  <c r="AY57" i="36" s="1"/>
  <c r="AV57" i="36"/>
  <c r="AX57" i="36" s="1"/>
  <c r="AS57" i="36"/>
  <c r="AU57" i="36" s="1"/>
  <c r="AR57" i="36"/>
  <c r="AT57" i="36" s="1"/>
  <c r="AH57" i="36"/>
  <c r="L57" i="36"/>
  <c r="K57" i="36"/>
  <c r="AW56" i="36"/>
  <c r="AY56" i="36" s="1"/>
  <c r="AV56" i="36"/>
  <c r="AX56" i="36" s="1"/>
  <c r="AS56" i="36"/>
  <c r="AU56" i="36" s="1"/>
  <c r="AR56" i="36"/>
  <c r="AT56" i="36" s="1"/>
  <c r="AH56" i="36"/>
  <c r="L56" i="36"/>
  <c r="K56" i="36"/>
  <c r="AW55" i="36"/>
  <c r="AY55" i="36" s="1"/>
  <c r="AV55" i="36"/>
  <c r="AX55" i="36" s="1"/>
  <c r="AT55" i="36"/>
  <c r="AS55" i="36"/>
  <c r="AU55" i="36" s="1"/>
  <c r="AR55" i="36"/>
  <c r="AH55" i="36"/>
  <c r="L55" i="36"/>
  <c r="K55" i="36"/>
  <c r="AW54" i="36"/>
  <c r="AY54" i="36" s="1"/>
  <c r="AV54" i="36"/>
  <c r="AX54" i="36" s="1"/>
  <c r="AS54" i="36"/>
  <c r="AU54" i="36" s="1"/>
  <c r="AR54" i="36"/>
  <c r="AT54" i="36" s="1"/>
  <c r="AH54" i="36"/>
  <c r="L54" i="36"/>
  <c r="K54" i="36"/>
  <c r="AW53" i="36"/>
  <c r="AY53" i="36" s="1"/>
  <c r="AV53" i="36"/>
  <c r="AX53" i="36" s="1"/>
  <c r="AS53" i="36"/>
  <c r="AU53" i="36" s="1"/>
  <c r="AR53" i="36"/>
  <c r="AT53" i="36" s="1"/>
  <c r="AH53" i="36"/>
  <c r="L53" i="36"/>
  <c r="K53" i="36"/>
  <c r="AW52" i="36"/>
  <c r="AY52" i="36" s="1"/>
  <c r="AV52" i="36"/>
  <c r="AX52" i="36" s="1"/>
  <c r="AS52" i="36"/>
  <c r="AU52" i="36" s="1"/>
  <c r="AR52" i="36"/>
  <c r="AT52" i="36" s="1"/>
  <c r="AH52" i="36"/>
  <c r="L52" i="36"/>
  <c r="K52" i="36"/>
  <c r="AW51" i="36"/>
  <c r="AY51" i="36" s="1"/>
  <c r="AV51" i="36"/>
  <c r="AX51" i="36" s="1"/>
  <c r="AS51" i="36"/>
  <c r="AU51" i="36" s="1"/>
  <c r="AR51" i="36"/>
  <c r="AT51" i="36" s="1"/>
  <c r="AH51" i="36"/>
  <c r="L51" i="36"/>
  <c r="K51" i="36"/>
  <c r="AW50" i="36"/>
  <c r="AY50" i="36" s="1"/>
  <c r="AV50" i="36"/>
  <c r="AX50" i="36" s="1"/>
  <c r="AS50" i="36"/>
  <c r="AU50" i="36" s="1"/>
  <c r="AR50" i="36"/>
  <c r="AT50" i="36" s="1"/>
  <c r="AH50" i="36"/>
  <c r="L50" i="36"/>
  <c r="K50" i="36"/>
  <c r="AW49" i="36"/>
  <c r="AY49" i="36" s="1"/>
  <c r="AV49" i="36"/>
  <c r="AX49" i="36" s="1"/>
  <c r="AS49" i="36"/>
  <c r="AU49" i="36" s="1"/>
  <c r="AR49" i="36"/>
  <c r="AT49" i="36" s="1"/>
  <c r="AH49" i="36"/>
  <c r="L49" i="36"/>
  <c r="K49" i="36"/>
  <c r="AW48" i="36"/>
  <c r="AY48" i="36" s="1"/>
  <c r="AV48" i="36"/>
  <c r="AX48" i="36" s="1"/>
  <c r="AS48" i="36"/>
  <c r="AU48" i="36" s="1"/>
  <c r="AR48" i="36"/>
  <c r="AT48" i="36" s="1"/>
  <c r="AH48" i="36"/>
  <c r="L48" i="36"/>
  <c r="K48" i="36"/>
  <c r="AW47" i="36"/>
  <c r="AY47" i="36" s="1"/>
  <c r="AV47" i="36"/>
  <c r="AX47" i="36" s="1"/>
  <c r="AS47" i="36"/>
  <c r="AU47" i="36" s="1"/>
  <c r="AR47" i="36"/>
  <c r="AT47" i="36" s="1"/>
  <c r="AH47" i="36"/>
  <c r="L47" i="36"/>
  <c r="K47" i="36"/>
  <c r="AW46" i="36"/>
  <c r="AY46" i="36" s="1"/>
  <c r="AV46" i="36"/>
  <c r="AX46" i="36" s="1"/>
  <c r="AS46" i="36"/>
  <c r="AU46" i="36" s="1"/>
  <c r="AR46" i="36"/>
  <c r="AT46" i="36" s="1"/>
  <c r="AH46" i="36"/>
  <c r="L46" i="36"/>
  <c r="K46" i="36"/>
  <c r="AW45" i="36"/>
  <c r="AY45" i="36" s="1"/>
  <c r="AV45" i="36"/>
  <c r="AX45" i="36" s="1"/>
  <c r="AS45" i="36"/>
  <c r="AU45" i="36" s="1"/>
  <c r="AR45" i="36"/>
  <c r="AT45" i="36" s="1"/>
  <c r="AH45" i="36"/>
  <c r="L45" i="36"/>
  <c r="K45" i="36"/>
  <c r="AW44" i="36"/>
  <c r="AY44" i="36" s="1"/>
  <c r="AV44" i="36"/>
  <c r="AX44" i="36" s="1"/>
  <c r="AS44" i="36"/>
  <c r="AU44" i="36" s="1"/>
  <c r="AR44" i="36"/>
  <c r="AT44" i="36" s="1"/>
  <c r="AH44" i="36"/>
  <c r="L44" i="36"/>
  <c r="K44" i="36"/>
  <c r="AW43" i="36"/>
  <c r="AY43" i="36" s="1"/>
  <c r="AV43" i="36"/>
  <c r="AX43" i="36" s="1"/>
  <c r="AS43" i="36"/>
  <c r="AU43" i="36" s="1"/>
  <c r="AR43" i="36"/>
  <c r="AT43" i="36" s="1"/>
  <c r="AH43" i="36"/>
  <c r="L43" i="36"/>
  <c r="K43" i="36"/>
  <c r="AW42" i="36"/>
  <c r="AY42" i="36" s="1"/>
  <c r="AV42" i="36"/>
  <c r="AX42" i="36" s="1"/>
  <c r="AS42" i="36"/>
  <c r="AU42" i="36" s="1"/>
  <c r="AR42" i="36"/>
  <c r="AT42" i="36" s="1"/>
  <c r="AH42" i="36"/>
  <c r="L42" i="36"/>
  <c r="K42" i="36"/>
  <c r="AW41" i="36"/>
  <c r="AY41" i="36" s="1"/>
  <c r="AV41" i="36"/>
  <c r="AX41" i="36" s="1"/>
  <c r="AS41" i="36"/>
  <c r="AU41" i="36" s="1"/>
  <c r="AR41" i="36"/>
  <c r="AT41" i="36" s="1"/>
  <c r="AH41" i="36"/>
  <c r="L41" i="36"/>
  <c r="K41" i="36"/>
  <c r="AW40" i="36"/>
  <c r="AY40" i="36" s="1"/>
  <c r="AV40" i="36"/>
  <c r="AX40" i="36" s="1"/>
  <c r="AS40" i="36"/>
  <c r="AU40" i="36" s="1"/>
  <c r="AR40" i="36"/>
  <c r="AT40" i="36" s="1"/>
  <c r="AH40" i="36"/>
  <c r="L40" i="36"/>
  <c r="K40" i="36"/>
  <c r="AW39" i="36"/>
  <c r="AY39" i="36" s="1"/>
  <c r="AV39" i="36"/>
  <c r="AX39" i="36" s="1"/>
  <c r="AS39" i="36"/>
  <c r="AU39" i="36" s="1"/>
  <c r="AR39" i="36"/>
  <c r="AT39" i="36" s="1"/>
  <c r="AH39" i="36"/>
  <c r="L39" i="36"/>
  <c r="K39" i="36"/>
  <c r="AW38" i="36"/>
  <c r="AY38" i="36" s="1"/>
  <c r="AV38" i="36"/>
  <c r="AX38" i="36" s="1"/>
  <c r="AS38" i="36"/>
  <c r="AU38" i="36" s="1"/>
  <c r="AR38" i="36"/>
  <c r="AT38" i="36" s="1"/>
  <c r="AH38" i="36"/>
  <c r="L38" i="36"/>
  <c r="K38" i="36"/>
  <c r="AW37" i="36"/>
  <c r="AY37" i="36" s="1"/>
  <c r="AV37" i="36"/>
  <c r="AX37" i="36" s="1"/>
  <c r="AU37" i="36"/>
  <c r="AS37" i="36"/>
  <c r="AR37" i="36"/>
  <c r="AT37" i="36" s="1"/>
  <c r="AH37" i="36"/>
  <c r="L37" i="36"/>
  <c r="K37" i="36"/>
  <c r="AW36" i="36"/>
  <c r="AY36" i="36" s="1"/>
  <c r="AV36" i="36"/>
  <c r="AX36" i="36" s="1"/>
  <c r="AS36" i="36"/>
  <c r="AU36" i="36" s="1"/>
  <c r="AR36" i="36"/>
  <c r="AT36" i="36" s="1"/>
  <c r="AH36" i="36"/>
  <c r="L36" i="36"/>
  <c r="K36" i="36"/>
  <c r="AW35" i="36"/>
  <c r="AY35" i="36" s="1"/>
  <c r="AV35" i="36"/>
  <c r="AX35" i="36" s="1"/>
  <c r="AT35" i="36"/>
  <c r="AS35" i="36"/>
  <c r="AU35" i="36" s="1"/>
  <c r="AR35" i="36"/>
  <c r="AH35" i="36"/>
  <c r="L35" i="36"/>
  <c r="K35" i="36"/>
  <c r="AW34" i="36"/>
  <c r="AY34" i="36" s="1"/>
  <c r="AV34" i="36"/>
  <c r="AX34" i="36" s="1"/>
  <c r="AS34" i="36"/>
  <c r="AU34" i="36" s="1"/>
  <c r="AR34" i="36"/>
  <c r="AT34" i="36" s="1"/>
  <c r="AH34" i="36"/>
  <c r="L34" i="36"/>
  <c r="K34" i="36"/>
  <c r="AY33" i="36"/>
  <c r="AW33" i="36"/>
  <c r="AV33" i="36"/>
  <c r="AX33" i="36" s="1"/>
  <c r="AS33" i="36"/>
  <c r="AU33" i="36" s="1"/>
  <c r="AR33" i="36"/>
  <c r="AT33" i="36" s="1"/>
  <c r="AH33" i="36"/>
  <c r="L33" i="36"/>
  <c r="K33" i="36"/>
  <c r="AW32" i="36"/>
  <c r="AY32" i="36" s="1"/>
  <c r="AV32" i="36"/>
  <c r="AX32" i="36" s="1"/>
  <c r="AS32" i="36"/>
  <c r="AU32" i="36" s="1"/>
  <c r="AR32" i="36"/>
  <c r="AT32" i="36" s="1"/>
  <c r="AH32" i="36"/>
  <c r="L32" i="36"/>
  <c r="K32" i="36"/>
  <c r="AW31" i="36"/>
  <c r="AY31" i="36" s="1"/>
  <c r="AV31" i="36"/>
  <c r="AX31" i="36" s="1"/>
  <c r="AS31" i="36"/>
  <c r="AU31" i="36" s="1"/>
  <c r="AR31" i="36"/>
  <c r="AT31" i="36" s="1"/>
  <c r="AH31" i="36"/>
  <c r="L31" i="36"/>
  <c r="K31" i="36"/>
  <c r="AW30" i="36"/>
  <c r="AY30" i="36" s="1"/>
  <c r="AV30" i="36"/>
  <c r="AX30" i="36" s="1"/>
  <c r="AS30" i="36"/>
  <c r="AU30" i="36" s="1"/>
  <c r="AR30" i="36"/>
  <c r="AT30" i="36" s="1"/>
  <c r="AH30" i="36"/>
  <c r="L30" i="36"/>
  <c r="K30" i="36"/>
  <c r="AY29" i="36"/>
  <c r="AW29" i="36"/>
  <c r="AV29" i="36"/>
  <c r="AX29" i="36" s="1"/>
  <c r="AS29" i="36"/>
  <c r="AU29" i="36" s="1"/>
  <c r="AR29" i="36"/>
  <c r="AT29" i="36" s="1"/>
  <c r="AH29" i="36"/>
  <c r="L29" i="36"/>
  <c r="K29" i="36"/>
  <c r="AW28" i="36"/>
  <c r="AY28" i="36" s="1"/>
  <c r="AV28" i="36"/>
  <c r="AX28" i="36" s="1"/>
  <c r="AS28" i="36"/>
  <c r="AU28" i="36" s="1"/>
  <c r="AR28" i="36"/>
  <c r="AT28" i="36" s="1"/>
  <c r="AH28" i="36"/>
  <c r="L28" i="36"/>
  <c r="K28" i="36"/>
  <c r="AW27" i="36"/>
  <c r="AY27" i="36" s="1"/>
  <c r="AV27" i="36"/>
  <c r="AX27" i="36" s="1"/>
  <c r="AS27" i="36"/>
  <c r="AU27" i="36" s="1"/>
  <c r="AR27" i="36"/>
  <c r="AT27" i="36" s="1"/>
  <c r="AH27" i="36"/>
  <c r="L27" i="36"/>
  <c r="K27" i="36"/>
  <c r="AW26" i="36"/>
  <c r="AY26" i="36" s="1"/>
  <c r="AV26" i="36"/>
  <c r="AX26" i="36" s="1"/>
  <c r="AS26" i="36"/>
  <c r="AU26" i="36" s="1"/>
  <c r="AR26" i="36"/>
  <c r="AT26" i="36" s="1"/>
  <c r="AH26" i="36"/>
  <c r="L26" i="36"/>
  <c r="K26" i="36"/>
  <c r="AW25" i="36"/>
  <c r="AY25" i="36" s="1"/>
  <c r="AV25" i="36"/>
  <c r="AX25" i="36" s="1"/>
  <c r="AS25" i="36"/>
  <c r="AU25" i="36" s="1"/>
  <c r="AR25" i="36"/>
  <c r="AT25" i="36" s="1"/>
  <c r="AH25" i="36"/>
  <c r="L25" i="36"/>
  <c r="K25" i="36"/>
  <c r="AW24" i="36"/>
  <c r="AY24" i="36" s="1"/>
  <c r="AV24" i="36"/>
  <c r="AX24" i="36" s="1"/>
  <c r="AT24" i="36"/>
  <c r="AS24" i="36"/>
  <c r="AU24" i="36" s="1"/>
  <c r="AR24" i="36"/>
  <c r="AH24" i="36"/>
  <c r="L24" i="36"/>
  <c r="K24" i="36"/>
  <c r="AW23" i="36"/>
  <c r="AY23" i="36" s="1"/>
  <c r="AV23" i="36"/>
  <c r="AX23" i="36" s="1"/>
  <c r="AT23" i="36"/>
  <c r="AS23" i="36"/>
  <c r="AU23" i="36" s="1"/>
  <c r="AR23" i="36"/>
  <c r="AH23" i="36"/>
  <c r="L23" i="36"/>
  <c r="K23" i="36"/>
  <c r="AW22" i="36"/>
  <c r="AY22" i="36" s="1"/>
  <c r="AV22" i="36"/>
  <c r="AX22" i="36" s="1"/>
  <c r="AS22" i="36"/>
  <c r="AU22" i="36" s="1"/>
  <c r="AR22" i="36"/>
  <c r="AT22" i="36" s="1"/>
  <c r="AH22" i="36"/>
  <c r="L22" i="36"/>
  <c r="K22" i="36"/>
  <c r="AW21" i="36"/>
  <c r="AY21" i="36" s="1"/>
  <c r="AV21" i="36"/>
  <c r="AX21" i="36" s="1"/>
  <c r="AS21" i="36"/>
  <c r="AU21" i="36" s="1"/>
  <c r="AR21" i="36"/>
  <c r="AT21" i="36" s="1"/>
  <c r="AH21" i="36"/>
  <c r="L21" i="36"/>
  <c r="K21" i="36"/>
  <c r="AW20" i="36"/>
  <c r="AY20" i="36" s="1"/>
  <c r="AV20" i="36"/>
  <c r="AX20" i="36" s="1"/>
  <c r="AS20" i="36"/>
  <c r="AU20" i="36" s="1"/>
  <c r="AR20" i="36"/>
  <c r="AT20" i="36" s="1"/>
  <c r="AH20" i="36"/>
  <c r="L20" i="36"/>
  <c r="K20" i="36"/>
  <c r="AW19" i="36"/>
  <c r="AY19" i="36" s="1"/>
  <c r="AV19" i="36"/>
  <c r="AX19" i="36" s="1"/>
  <c r="AS19" i="36"/>
  <c r="AU19" i="36" s="1"/>
  <c r="AR19" i="36"/>
  <c r="AT19" i="36" s="1"/>
  <c r="AH19" i="36"/>
  <c r="L19" i="36"/>
  <c r="K19" i="36"/>
  <c r="AW18" i="36"/>
  <c r="AY18" i="36" s="1"/>
  <c r="AV18" i="36"/>
  <c r="AX18" i="36" s="1"/>
  <c r="AS18" i="36"/>
  <c r="AU18" i="36" s="1"/>
  <c r="AR18" i="36"/>
  <c r="AT18" i="36" s="1"/>
  <c r="AH18" i="36"/>
  <c r="L18" i="36"/>
  <c r="K18" i="36"/>
  <c r="AW17" i="36"/>
  <c r="AY17" i="36" s="1"/>
  <c r="AV17" i="36"/>
  <c r="AX17" i="36" s="1"/>
  <c r="AS17" i="36"/>
  <c r="AU17" i="36" s="1"/>
  <c r="AR17" i="36"/>
  <c r="AT17" i="36" s="1"/>
  <c r="AH17" i="36"/>
  <c r="L17" i="36"/>
  <c r="K17" i="36"/>
  <c r="AW16" i="36"/>
  <c r="AY16" i="36" s="1"/>
  <c r="AV16" i="36"/>
  <c r="AX16" i="36" s="1"/>
  <c r="AS16" i="36"/>
  <c r="AU16" i="36" s="1"/>
  <c r="AR16" i="36"/>
  <c r="AT16" i="36" s="1"/>
  <c r="AH16" i="36"/>
  <c r="L16" i="36"/>
  <c r="K16" i="36"/>
  <c r="AW15" i="36"/>
  <c r="AY15" i="36" s="1"/>
  <c r="AV15" i="36"/>
  <c r="AX15" i="36" s="1"/>
  <c r="AS15" i="36"/>
  <c r="AU15" i="36" s="1"/>
  <c r="AR15" i="36"/>
  <c r="AT15" i="36" s="1"/>
  <c r="AH15" i="36"/>
  <c r="L15" i="36"/>
  <c r="K15" i="36"/>
  <c r="AW14" i="36"/>
  <c r="AY14" i="36" s="1"/>
  <c r="AV14" i="36"/>
  <c r="AX14" i="36" s="1"/>
  <c r="AS14" i="36"/>
  <c r="AU14" i="36" s="1"/>
  <c r="AR14" i="36"/>
  <c r="AT14" i="36" s="1"/>
  <c r="AH14" i="36"/>
  <c r="L14" i="36"/>
  <c r="K14" i="36"/>
  <c r="AW13" i="36"/>
  <c r="AY13" i="36" s="1"/>
  <c r="AV13" i="36"/>
  <c r="AX13" i="36" s="1"/>
  <c r="AS13" i="36"/>
  <c r="AU13" i="36" s="1"/>
  <c r="AR13" i="36"/>
  <c r="AT13" i="36" s="1"/>
  <c r="AH13" i="36"/>
  <c r="L13" i="36"/>
  <c r="K13" i="36"/>
  <c r="AW12" i="36"/>
  <c r="AY12" i="36" s="1"/>
  <c r="AV12" i="36"/>
  <c r="AX12" i="36" s="1"/>
  <c r="AS12" i="36"/>
  <c r="AU12" i="36" s="1"/>
  <c r="AR12" i="36"/>
  <c r="AT12" i="36" s="1"/>
  <c r="AH12" i="36"/>
  <c r="L12" i="36"/>
  <c r="K12" i="36"/>
  <c r="AW11" i="36"/>
  <c r="AY11" i="36" s="1"/>
  <c r="AV11" i="36"/>
  <c r="AX11" i="36" s="1"/>
  <c r="AS11" i="36"/>
  <c r="AU11" i="36" s="1"/>
  <c r="AR11" i="36"/>
  <c r="AT11" i="36" s="1"/>
  <c r="AH11" i="36"/>
  <c r="L11" i="36"/>
  <c r="K11" i="36"/>
  <c r="AW10" i="36"/>
  <c r="AY10" i="36" s="1"/>
  <c r="AV10" i="36"/>
  <c r="AX10" i="36" s="1"/>
  <c r="AS10" i="36"/>
  <c r="AU10" i="36" s="1"/>
  <c r="AR10" i="36"/>
  <c r="AT10" i="36" s="1"/>
  <c r="AH10" i="36"/>
  <c r="L10" i="36"/>
  <c r="K10" i="36"/>
  <c r="AW9" i="36"/>
  <c r="AY9" i="36" s="1"/>
  <c r="AV9" i="36"/>
  <c r="AX9" i="36" s="1"/>
  <c r="AS9" i="36"/>
  <c r="AU9" i="36" s="1"/>
  <c r="AR9" i="36"/>
  <c r="AT9" i="36" s="1"/>
  <c r="AH9" i="36"/>
  <c r="L9" i="36"/>
  <c r="K9" i="36"/>
  <c r="AW8" i="36"/>
  <c r="AY8" i="36" s="1"/>
  <c r="AV8" i="36"/>
  <c r="AX8" i="36" s="1"/>
  <c r="AS8" i="36"/>
  <c r="AU8" i="36" s="1"/>
  <c r="AR8" i="36"/>
  <c r="AT8" i="36" s="1"/>
  <c r="AH8" i="36"/>
  <c r="L8" i="36"/>
  <c r="K8" i="36"/>
  <c r="AW7" i="36"/>
  <c r="AY7" i="36" s="1"/>
  <c r="AV7" i="36"/>
  <c r="AX7" i="36" s="1"/>
  <c r="AS7" i="36"/>
  <c r="AU7" i="36" s="1"/>
  <c r="AR7" i="36"/>
  <c r="AT7" i="36" s="1"/>
  <c r="AH7" i="36"/>
  <c r="L7" i="36"/>
  <c r="K7" i="36"/>
  <c r="AW6" i="36"/>
  <c r="AY6" i="36" s="1"/>
  <c r="AV6" i="36"/>
  <c r="AX6" i="36" s="1"/>
  <c r="AS6" i="36"/>
  <c r="AU6" i="36" s="1"/>
  <c r="AR6" i="36"/>
  <c r="AT6" i="36" s="1"/>
  <c r="AH6" i="36"/>
  <c r="L6" i="36"/>
  <c r="K6" i="36"/>
  <c r="AW5" i="36"/>
  <c r="AY5" i="36" s="1"/>
  <c r="AV5" i="36"/>
  <c r="AX5" i="36" s="1"/>
  <c r="AS5" i="36"/>
  <c r="AU5" i="36" s="1"/>
  <c r="AR5" i="36"/>
  <c r="AT5" i="36" s="1"/>
  <c r="AH5" i="36"/>
  <c r="L5" i="36"/>
  <c r="K5" i="36"/>
  <c r="AW4" i="36"/>
  <c r="AY4" i="36" s="1"/>
  <c r="AV4" i="36"/>
  <c r="AX4" i="36" s="1"/>
  <c r="AS4" i="36"/>
  <c r="AU4" i="36" s="1"/>
  <c r="AR4" i="36"/>
  <c r="AT4" i="36" s="1"/>
  <c r="AH4" i="36"/>
  <c r="L4" i="36"/>
  <c r="K4" i="36"/>
  <c r="AW3" i="36"/>
  <c r="AY3" i="36" s="1"/>
  <c r="AV3" i="36"/>
  <c r="AX3" i="36" s="1"/>
  <c r="AS3" i="36"/>
  <c r="AU3" i="36" s="1"/>
  <c r="AR3" i="36"/>
  <c r="AT3" i="36" s="1"/>
  <c r="AH3" i="36"/>
  <c r="L3" i="36"/>
  <c r="K3" i="36"/>
  <c r="L119" i="35"/>
  <c r="E118" i="35"/>
  <c r="R116" i="35"/>
  <c r="Q116" i="35"/>
  <c r="P116" i="35"/>
  <c r="O116" i="35"/>
  <c r="N116" i="35"/>
  <c r="M116" i="35"/>
  <c r="L116" i="35"/>
  <c r="K116" i="35"/>
  <c r="J116" i="35"/>
  <c r="I116" i="35"/>
  <c r="H116" i="35"/>
  <c r="G116" i="35"/>
  <c r="F116" i="35"/>
  <c r="E116" i="35"/>
  <c r="R113" i="35"/>
  <c r="Q113" i="35"/>
  <c r="P113" i="35"/>
  <c r="L113" i="35"/>
  <c r="K113" i="35"/>
  <c r="J113" i="35"/>
  <c r="I113" i="35"/>
  <c r="F113" i="35"/>
  <c r="E113" i="35"/>
  <c r="R112" i="35"/>
  <c r="Q112" i="35"/>
  <c r="P112" i="35"/>
  <c r="O112" i="35"/>
  <c r="N112" i="35"/>
  <c r="M112" i="35"/>
  <c r="L112" i="35"/>
  <c r="K112" i="35"/>
  <c r="I112" i="35"/>
  <c r="H112" i="35"/>
  <c r="G112" i="35"/>
  <c r="F112" i="35"/>
  <c r="E112" i="35"/>
  <c r="O111" i="35"/>
  <c r="N111" i="35"/>
  <c r="M111" i="35"/>
  <c r="J111" i="35"/>
  <c r="R110" i="35"/>
  <c r="Q110" i="35"/>
  <c r="P110" i="35"/>
  <c r="O110" i="35"/>
  <c r="N110" i="35"/>
  <c r="M110" i="35"/>
  <c r="L110" i="35"/>
  <c r="K110" i="35"/>
  <c r="J110" i="35"/>
  <c r="I110" i="35"/>
  <c r="H110" i="35"/>
  <c r="G110" i="35"/>
  <c r="F110" i="35"/>
  <c r="E110" i="35"/>
  <c r="E108" i="35"/>
  <c r="R107" i="35"/>
  <c r="Q107" i="35"/>
  <c r="Q119" i="35" s="1"/>
  <c r="P107" i="35"/>
  <c r="P119" i="35" s="1"/>
  <c r="L107" i="35"/>
  <c r="K107" i="35"/>
  <c r="K119" i="35" s="1"/>
  <c r="J107" i="35"/>
  <c r="I107" i="35"/>
  <c r="I119" i="35" s="1"/>
  <c r="H107" i="35"/>
  <c r="F107" i="35"/>
  <c r="F119" i="35" s="1"/>
  <c r="E107" i="35"/>
  <c r="R106" i="35"/>
  <c r="R118" i="35" s="1"/>
  <c r="Q106" i="35"/>
  <c r="Q118" i="35" s="1"/>
  <c r="P106" i="35"/>
  <c r="P118" i="35" s="1"/>
  <c r="O106" i="35"/>
  <c r="N106" i="35"/>
  <c r="N118" i="35" s="1"/>
  <c r="M106" i="35"/>
  <c r="M118" i="35" s="1"/>
  <c r="L106" i="35"/>
  <c r="L118" i="35" s="1"/>
  <c r="K106" i="35"/>
  <c r="I106" i="35"/>
  <c r="I118" i="35" s="1"/>
  <c r="H106" i="35"/>
  <c r="H118" i="35" s="1"/>
  <c r="G106" i="35"/>
  <c r="G118" i="35" s="1"/>
  <c r="F106" i="35"/>
  <c r="F118" i="35" s="1"/>
  <c r="E106" i="35"/>
  <c r="D106" i="35"/>
  <c r="Q105" i="35"/>
  <c r="P105" i="35"/>
  <c r="O105" i="35"/>
  <c r="O117" i="35" s="1"/>
  <c r="N105" i="35"/>
  <c r="N117" i="35" s="1"/>
  <c r="M105" i="35"/>
  <c r="M117" i="35" s="1"/>
  <c r="J105" i="35"/>
  <c r="J117" i="35" s="1"/>
  <c r="I105" i="35"/>
  <c r="H105" i="35"/>
  <c r="H108" i="35" s="1"/>
  <c r="E105" i="35"/>
  <c r="D105" i="35"/>
  <c r="R104" i="35"/>
  <c r="Q104" i="35"/>
  <c r="P104" i="35"/>
  <c r="O104" i="35"/>
  <c r="N104" i="35"/>
  <c r="M104" i="35"/>
  <c r="L104" i="35"/>
  <c r="K104" i="35"/>
  <c r="J104" i="35"/>
  <c r="I104" i="35"/>
  <c r="H104" i="35"/>
  <c r="G104" i="35"/>
  <c r="F104" i="35"/>
  <c r="E104" i="35"/>
  <c r="R99" i="35"/>
  <c r="Q99" i="35"/>
  <c r="P99" i="35"/>
  <c r="L99" i="35"/>
  <c r="K99" i="35"/>
  <c r="J99" i="35"/>
  <c r="I99" i="35"/>
  <c r="F99" i="35"/>
  <c r="E99" i="35"/>
  <c r="R98" i="35"/>
  <c r="Q98" i="35"/>
  <c r="P98" i="35"/>
  <c r="O98" i="35"/>
  <c r="N98" i="35"/>
  <c r="M98" i="35"/>
  <c r="L98" i="35"/>
  <c r="K98" i="35"/>
  <c r="I98" i="35"/>
  <c r="H98" i="35"/>
  <c r="G98" i="35"/>
  <c r="F98" i="35"/>
  <c r="E98" i="35"/>
  <c r="O97" i="35"/>
  <c r="N97" i="35"/>
  <c r="M97" i="35"/>
  <c r="J97" i="35"/>
  <c r="R96" i="35"/>
  <c r="Q96" i="35"/>
  <c r="P96" i="35"/>
  <c r="O96" i="35"/>
  <c r="N96" i="35"/>
  <c r="M96" i="35"/>
  <c r="L96" i="35"/>
  <c r="K96" i="35"/>
  <c r="J96" i="35"/>
  <c r="I96" i="35"/>
  <c r="H96" i="35"/>
  <c r="G96" i="35"/>
  <c r="F96" i="35"/>
  <c r="E96" i="35"/>
  <c r="O93" i="35"/>
  <c r="O94" i="35" s="1"/>
  <c r="O100" i="35" s="1"/>
  <c r="N93" i="35"/>
  <c r="N94" i="35" s="1"/>
  <c r="M93" i="35"/>
  <c r="M94" i="35" s="1"/>
  <c r="H93" i="35"/>
  <c r="G93" i="35"/>
  <c r="D93" i="35"/>
  <c r="J92" i="35"/>
  <c r="J94" i="35" s="1"/>
  <c r="D92" i="35"/>
  <c r="R91" i="35"/>
  <c r="R94" i="35" s="1"/>
  <c r="Q91" i="35"/>
  <c r="Q94" i="35" s="1"/>
  <c r="P91" i="35"/>
  <c r="P94" i="35" s="1"/>
  <c r="L91" i="35"/>
  <c r="L94" i="35" s="1"/>
  <c r="K91" i="35"/>
  <c r="K94" i="35" s="1"/>
  <c r="I91" i="35"/>
  <c r="I94" i="35" s="1"/>
  <c r="H91" i="35"/>
  <c r="H94" i="35" s="1"/>
  <c r="G91" i="35"/>
  <c r="F91" i="35"/>
  <c r="F94" i="35" s="1"/>
  <c r="F100" i="35" s="1"/>
  <c r="E91" i="35"/>
  <c r="E94" i="35" s="1"/>
  <c r="D91" i="35"/>
  <c r="R90" i="35"/>
  <c r="Q90" i="35"/>
  <c r="P90" i="35"/>
  <c r="O90" i="35"/>
  <c r="N90" i="35"/>
  <c r="M90" i="35"/>
  <c r="L90" i="35"/>
  <c r="K90" i="35"/>
  <c r="J90" i="35"/>
  <c r="I90" i="35"/>
  <c r="H90" i="35"/>
  <c r="G90" i="35"/>
  <c r="F90" i="35"/>
  <c r="E90" i="35"/>
  <c r="Q88" i="35"/>
  <c r="P88" i="35"/>
  <c r="I88" i="35"/>
  <c r="H88" i="35"/>
  <c r="E88" i="35"/>
  <c r="O87" i="35"/>
  <c r="O88" i="35" s="1"/>
  <c r="N87" i="35"/>
  <c r="M87" i="35"/>
  <c r="M99" i="35" s="1"/>
  <c r="H87" i="35"/>
  <c r="G87" i="35"/>
  <c r="D87" i="35"/>
  <c r="T86" i="35"/>
  <c r="J86" i="35"/>
  <c r="J88" i="35" s="1"/>
  <c r="D86" i="35"/>
  <c r="R85" i="35"/>
  <c r="R88" i="35" s="1"/>
  <c r="Q85" i="35"/>
  <c r="Q97" i="35" s="1"/>
  <c r="P85" i="35"/>
  <c r="L85" i="35"/>
  <c r="K85" i="35"/>
  <c r="K88" i="35" s="1"/>
  <c r="I85" i="35"/>
  <c r="I97" i="35" s="1"/>
  <c r="H85" i="35"/>
  <c r="G85" i="35"/>
  <c r="G88" i="35" s="1"/>
  <c r="F85" i="35"/>
  <c r="F88" i="35" s="1"/>
  <c r="E85" i="35"/>
  <c r="D85" i="35"/>
  <c r="R84" i="35"/>
  <c r="Q84" i="35"/>
  <c r="P84" i="35"/>
  <c r="O84" i="35"/>
  <c r="N84" i="35"/>
  <c r="M84" i="35"/>
  <c r="L84" i="35"/>
  <c r="K84" i="35"/>
  <c r="J84" i="35"/>
  <c r="I84" i="35"/>
  <c r="H84" i="35"/>
  <c r="G84" i="35"/>
  <c r="F84" i="35"/>
  <c r="E84" i="35"/>
  <c r="R80" i="35"/>
  <c r="Q80" i="35"/>
  <c r="P80" i="35"/>
  <c r="L80" i="35"/>
  <c r="K80" i="35"/>
  <c r="J80" i="35"/>
  <c r="I80" i="35"/>
  <c r="F80" i="35"/>
  <c r="E80" i="35"/>
  <c r="R79" i="35"/>
  <c r="Q79" i="35"/>
  <c r="P79" i="35"/>
  <c r="O79" i="35"/>
  <c r="N79" i="35"/>
  <c r="M79" i="35"/>
  <c r="L79" i="35"/>
  <c r="K79" i="35"/>
  <c r="I79" i="35"/>
  <c r="H79" i="35"/>
  <c r="G79" i="35"/>
  <c r="F79" i="35"/>
  <c r="E79" i="35"/>
  <c r="O78" i="35"/>
  <c r="N78" i="35"/>
  <c r="M78" i="35"/>
  <c r="J78" i="35"/>
  <c r="O74" i="35"/>
  <c r="O75" i="35" s="1"/>
  <c r="N74" i="35"/>
  <c r="M74" i="35"/>
  <c r="M113" i="35" s="1"/>
  <c r="H74" i="35"/>
  <c r="H113" i="35" s="1"/>
  <c r="G74" i="35"/>
  <c r="D74" i="35"/>
  <c r="J73" i="35"/>
  <c r="J75" i="35" s="1"/>
  <c r="D73" i="35"/>
  <c r="D112" i="35" s="1"/>
  <c r="R72" i="35"/>
  <c r="Q72" i="35"/>
  <c r="Q111" i="35" s="1"/>
  <c r="Q114" i="35" s="1"/>
  <c r="P72" i="35"/>
  <c r="P111" i="35" s="1"/>
  <c r="P114" i="35" s="1"/>
  <c r="L72" i="35"/>
  <c r="K72" i="35"/>
  <c r="I72" i="35"/>
  <c r="I111" i="35" s="1"/>
  <c r="I114" i="35" s="1"/>
  <c r="H72" i="35"/>
  <c r="H111" i="35" s="1"/>
  <c r="G72" i="35"/>
  <c r="F72" i="35"/>
  <c r="E72" i="35"/>
  <c r="E111" i="35" s="1"/>
  <c r="E114" i="35" s="1"/>
  <c r="D72" i="35"/>
  <c r="D111" i="35" s="1"/>
  <c r="D117" i="35" s="1"/>
  <c r="R71" i="35"/>
  <c r="Q71" i="35"/>
  <c r="P71" i="35"/>
  <c r="O71" i="35"/>
  <c r="N71" i="35"/>
  <c r="M71" i="35"/>
  <c r="L71" i="35"/>
  <c r="K71" i="35"/>
  <c r="J71" i="35"/>
  <c r="I71" i="35"/>
  <c r="H71" i="35"/>
  <c r="G71" i="35"/>
  <c r="F71" i="35"/>
  <c r="E71" i="35"/>
  <c r="Q69" i="35"/>
  <c r="P69" i="35"/>
  <c r="I69" i="35"/>
  <c r="H69" i="35"/>
  <c r="E69" i="35"/>
  <c r="O68" i="35"/>
  <c r="O107" i="35" s="1"/>
  <c r="N68" i="35"/>
  <c r="M68" i="35"/>
  <c r="H68" i="35"/>
  <c r="G68" i="35"/>
  <c r="G107" i="35" s="1"/>
  <c r="D68" i="35"/>
  <c r="T67" i="35"/>
  <c r="J67" i="35"/>
  <c r="J106" i="35" s="1"/>
  <c r="D67" i="35"/>
  <c r="R66" i="35"/>
  <c r="Q66" i="35"/>
  <c r="P66" i="35"/>
  <c r="L66" i="35"/>
  <c r="K66" i="35"/>
  <c r="I66" i="35"/>
  <c r="H66" i="35"/>
  <c r="G66" i="35"/>
  <c r="F66" i="35"/>
  <c r="T66" i="35" s="1"/>
  <c r="E66" i="35"/>
  <c r="D66" i="35"/>
  <c r="AW60" i="35"/>
  <c r="AY60" i="35" s="1"/>
  <c r="AV60" i="35"/>
  <c r="AX60" i="35" s="1"/>
  <c r="AS60" i="35"/>
  <c r="AU60" i="35" s="1"/>
  <c r="AR60" i="35"/>
  <c r="AT60" i="35" s="1"/>
  <c r="AH60" i="35"/>
  <c r="L60" i="35"/>
  <c r="K60" i="35"/>
  <c r="AW59" i="35"/>
  <c r="AY59" i="35" s="1"/>
  <c r="AV59" i="35"/>
  <c r="AX59" i="35" s="1"/>
  <c r="AS59" i="35"/>
  <c r="AU59" i="35" s="1"/>
  <c r="AR59" i="35"/>
  <c r="AT59" i="35" s="1"/>
  <c r="AH59" i="35"/>
  <c r="L59" i="35"/>
  <c r="K59" i="35"/>
  <c r="AW58" i="35"/>
  <c r="AY58" i="35" s="1"/>
  <c r="AV58" i="35"/>
  <c r="AX58" i="35" s="1"/>
  <c r="AS58" i="35"/>
  <c r="AU58" i="35" s="1"/>
  <c r="AR58" i="35"/>
  <c r="AT58" i="35" s="1"/>
  <c r="AH58" i="35"/>
  <c r="L58" i="35"/>
  <c r="K58" i="35"/>
  <c r="AW57" i="35"/>
  <c r="AY57" i="35" s="1"/>
  <c r="AV57" i="35"/>
  <c r="AX57" i="35" s="1"/>
  <c r="AU57" i="35"/>
  <c r="AS57" i="35"/>
  <c r="AR57" i="35"/>
  <c r="AT57" i="35" s="1"/>
  <c r="AH57" i="35"/>
  <c r="L57" i="35"/>
  <c r="K57" i="35"/>
  <c r="AW56" i="35"/>
  <c r="AY56" i="35" s="1"/>
  <c r="AV56" i="35"/>
  <c r="AX56" i="35" s="1"/>
  <c r="AS56" i="35"/>
  <c r="AU56" i="35" s="1"/>
  <c r="AR56" i="35"/>
  <c r="AT56" i="35" s="1"/>
  <c r="AH56" i="35"/>
  <c r="L56" i="35"/>
  <c r="K56" i="35"/>
  <c r="AW55" i="35"/>
  <c r="AY55" i="35" s="1"/>
  <c r="AV55" i="35"/>
  <c r="AX55" i="35" s="1"/>
  <c r="AS55" i="35"/>
  <c r="AU55" i="35" s="1"/>
  <c r="AR55" i="35"/>
  <c r="AT55" i="35" s="1"/>
  <c r="AH55" i="35"/>
  <c r="L55" i="35"/>
  <c r="K55" i="35"/>
  <c r="AW54" i="35"/>
  <c r="AY54" i="35" s="1"/>
  <c r="AV54" i="35"/>
  <c r="AX54" i="35" s="1"/>
  <c r="AS54" i="35"/>
  <c r="AU54" i="35" s="1"/>
  <c r="AR54" i="35"/>
  <c r="AT54" i="35" s="1"/>
  <c r="AH54" i="35"/>
  <c r="L54" i="35"/>
  <c r="K54" i="35"/>
  <c r="AW53" i="35"/>
  <c r="AY53" i="35" s="1"/>
  <c r="AV53" i="35"/>
  <c r="AX53" i="35" s="1"/>
  <c r="AU53" i="35"/>
  <c r="AS53" i="35"/>
  <c r="AR53" i="35"/>
  <c r="AT53" i="35" s="1"/>
  <c r="AH53" i="35"/>
  <c r="L53" i="35"/>
  <c r="K53" i="35"/>
  <c r="AW52" i="35"/>
  <c r="AY52" i="35" s="1"/>
  <c r="AV52" i="35"/>
  <c r="AX52" i="35" s="1"/>
  <c r="AS52" i="35"/>
  <c r="AU52" i="35" s="1"/>
  <c r="AR52" i="35"/>
  <c r="AT52" i="35" s="1"/>
  <c r="AH52" i="35"/>
  <c r="L52" i="35"/>
  <c r="K52" i="35"/>
  <c r="AW51" i="35"/>
  <c r="AY51" i="35" s="1"/>
  <c r="AV51" i="35"/>
  <c r="AX51" i="35" s="1"/>
  <c r="AS51" i="35"/>
  <c r="AU51" i="35" s="1"/>
  <c r="AR51" i="35"/>
  <c r="AT51" i="35" s="1"/>
  <c r="AH51" i="35"/>
  <c r="L51" i="35"/>
  <c r="K51" i="35"/>
  <c r="AW50" i="35"/>
  <c r="AY50" i="35" s="1"/>
  <c r="AV50" i="35"/>
  <c r="AX50" i="35" s="1"/>
  <c r="AS50" i="35"/>
  <c r="AU50" i="35" s="1"/>
  <c r="AR50" i="35"/>
  <c r="AT50" i="35" s="1"/>
  <c r="AH50" i="35"/>
  <c r="L50" i="35"/>
  <c r="K50" i="35"/>
  <c r="AW49" i="35"/>
  <c r="AY49" i="35" s="1"/>
  <c r="AV49" i="35"/>
  <c r="AX49" i="35" s="1"/>
  <c r="AS49" i="35"/>
  <c r="AU49" i="35" s="1"/>
  <c r="AR49" i="35"/>
  <c r="AT49" i="35" s="1"/>
  <c r="AH49" i="35"/>
  <c r="L49" i="35"/>
  <c r="K49" i="35"/>
  <c r="AW48" i="35"/>
  <c r="AY48" i="35" s="1"/>
  <c r="AV48" i="35"/>
  <c r="AX48" i="35" s="1"/>
  <c r="AS48" i="35"/>
  <c r="AU48" i="35" s="1"/>
  <c r="AR48" i="35"/>
  <c r="AT48" i="35" s="1"/>
  <c r="AH48" i="35"/>
  <c r="L48" i="35"/>
  <c r="K48" i="35"/>
  <c r="AW47" i="35"/>
  <c r="AY47" i="35" s="1"/>
  <c r="AV47" i="35"/>
  <c r="AX47" i="35" s="1"/>
  <c r="AS47" i="35"/>
  <c r="AU47" i="35" s="1"/>
  <c r="AR47" i="35"/>
  <c r="AT47" i="35" s="1"/>
  <c r="AH47" i="35"/>
  <c r="L47" i="35"/>
  <c r="K47" i="35"/>
  <c r="AW46" i="35"/>
  <c r="AY46" i="35" s="1"/>
  <c r="AV46" i="35"/>
  <c r="AX46" i="35" s="1"/>
  <c r="AS46" i="35"/>
  <c r="AU46" i="35" s="1"/>
  <c r="AR46" i="35"/>
  <c r="AT46" i="35" s="1"/>
  <c r="AH46" i="35"/>
  <c r="L46" i="35"/>
  <c r="K46" i="35"/>
  <c r="AW45" i="35"/>
  <c r="AY45" i="35" s="1"/>
  <c r="AV45" i="35"/>
  <c r="AX45" i="35" s="1"/>
  <c r="AS45" i="35"/>
  <c r="AU45" i="35" s="1"/>
  <c r="AR45" i="35"/>
  <c r="AT45" i="35" s="1"/>
  <c r="AH45" i="35"/>
  <c r="L45" i="35"/>
  <c r="K45" i="35"/>
  <c r="AW44" i="35"/>
  <c r="AY44" i="35" s="1"/>
  <c r="AV44" i="35"/>
  <c r="AX44" i="35" s="1"/>
  <c r="AS44" i="35"/>
  <c r="AU44" i="35" s="1"/>
  <c r="AR44" i="35"/>
  <c r="AT44" i="35" s="1"/>
  <c r="AH44" i="35"/>
  <c r="L44" i="35"/>
  <c r="K44" i="35"/>
  <c r="AW43" i="35"/>
  <c r="AY43" i="35" s="1"/>
  <c r="AV43" i="35"/>
  <c r="AX43" i="35" s="1"/>
  <c r="AS43" i="35"/>
  <c r="AU43" i="35" s="1"/>
  <c r="AR43" i="35"/>
  <c r="AT43" i="35" s="1"/>
  <c r="AH43" i="35"/>
  <c r="L43" i="35"/>
  <c r="K43" i="35"/>
  <c r="AW42" i="35"/>
  <c r="AY42" i="35" s="1"/>
  <c r="AV42" i="35"/>
  <c r="AX42" i="35" s="1"/>
  <c r="AS42" i="35"/>
  <c r="AU42" i="35" s="1"/>
  <c r="AR42" i="35"/>
  <c r="AT42" i="35" s="1"/>
  <c r="AH42" i="35"/>
  <c r="L42" i="35"/>
  <c r="K42" i="35"/>
  <c r="AW41" i="35"/>
  <c r="AY41" i="35" s="1"/>
  <c r="AV41" i="35"/>
  <c r="AX41" i="35" s="1"/>
  <c r="AS41" i="35"/>
  <c r="AU41" i="35" s="1"/>
  <c r="AR41" i="35"/>
  <c r="AT41" i="35" s="1"/>
  <c r="AH41" i="35"/>
  <c r="L41" i="35"/>
  <c r="K41" i="35"/>
  <c r="AW40" i="35"/>
  <c r="AY40" i="35" s="1"/>
  <c r="AV40" i="35"/>
  <c r="AX40" i="35" s="1"/>
  <c r="AS40" i="35"/>
  <c r="AU40" i="35" s="1"/>
  <c r="AR40" i="35"/>
  <c r="AT40" i="35" s="1"/>
  <c r="AH40" i="35"/>
  <c r="L40" i="35"/>
  <c r="K40" i="35"/>
  <c r="AW39" i="35"/>
  <c r="AY39" i="35" s="1"/>
  <c r="AV39" i="35"/>
  <c r="AX39" i="35" s="1"/>
  <c r="AS39" i="35"/>
  <c r="AU39" i="35" s="1"/>
  <c r="AR39" i="35"/>
  <c r="AT39" i="35" s="1"/>
  <c r="AH39" i="35"/>
  <c r="L39" i="35"/>
  <c r="K39" i="35"/>
  <c r="AW38" i="35"/>
  <c r="AY38" i="35" s="1"/>
  <c r="AV38" i="35"/>
  <c r="AX38" i="35" s="1"/>
  <c r="AS38" i="35"/>
  <c r="AU38" i="35" s="1"/>
  <c r="AR38" i="35"/>
  <c r="AT38" i="35" s="1"/>
  <c r="AH38" i="35"/>
  <c r="L38" i="35"/>
  <c r="K38" i="35"/>
  <c r="AW37" i="35"/>
  <c r="AY37" i="35" s="1"/>
  <c r="AV37" i="35"/>
  <c r="AX37" i="35" s="1"/>
  <c r="AS37" i="35"/>
  <c r="AU37" i="35" s="1"/>
  <c r="AR37" i="35"/>
  <c r="AT37" i="35" s="1"/>
  <c r="AH37" i="35"/>
  <c r="L37" i="35"/>
  <c r="K37" i="35"/>
  <c r="AW36" i="35"/>
  <c r="AY36" i="35" s="1"/>
  <c r="AV36" i="35"/>
  <c r="AX36" i="35" s="1"/>
  <c r="AS36" i="35"/>
  <c r="AU36" i="35" s="1"/>
  <c r="AR36" i="35"/>
  <c r="AT36" i="35" s="1"/>
  <c r="AH36" i="35"/>
  <c r="L36" i="35"/>
  <c r="K36" i="35"/>
  <c r="AW35" i="35"/>
  <c r="AY35" i="35" s="1"/>
  <c r="AV35" i="35"/>
  <c r="AX35" i="35" s="1"/>
  <c r="AS35" i="35"/>
  <c r="AU35" i="35" s="1"/>
  <c r="AR35" i="35"/>
  <c r="AT35" i="35" s="1"/>
  <c r="AH35" i="35"/>
  <c r="L35" i="35"/>
  <c r="K35" i="35"/>
  <c r="AW34" i="35"/>
  <c r="AY34" i="35" s="1"/>
  <c r="AV34" i="35"/>
  <c r="AX34" i="35" s="1"/>
  <c r="AS34" i="35"/>
  <c r="AU34" i="35" s="1"/>
  <c r="AR34" i="35"/>
  <c r="AT34" i="35" s="1"/>
  <c r="AH34" i="35"/>
  <c r="L34" i="35"/>
  <c r="K34" i="35"/>
  <c r="AW33" i="35"/>
  <c r="AY33" i="35" s="1"/>
  <c r="AV33" i="35"/>
  <c r="AX33" i="35" s="1"/>
  <c r="AS33" i="35"/>
  <c r="AU33" i="35" s="1"/>
  <c r="AR33" i="35"/>
  <c r="AT33" i="35" s="1"/>
  <c r="AH33" i="35"/>
  <c r="L33" i="35"/>
  <c r="K33" i="35"/>
  <c r="AW32" i="35"/>
  <c r="AY32" i="35" s="1"/>
  <c r="AV32" i="35"/>
  <c r="AX32" i="35" s="1"/>
  <c r="AS32" i="35"/>
  <c r="AU32" i="35" s="1"/>
  <c r="AR32" i="35"/>
  <c r="AT32" i="35" s="1"/>
  <c r="AH32" i="35"/>
  <c r="L32" i="35"/>
  <c r="K32" i="35"/>
  <c r="AW31" i="35"/>
  <c r="AY31" i="35" s="1"/>
  <c r="AV31" i="35"/>
  <c r="AX31" i="35" s="1"/>
  <c r="AS31" i="35"/>
  <c r="AU31" i="35" s="1"/>
  <c r="AR31" i="35"/>
  <c r="AT31" i="35" s="1"/>
  <c r="AH31" i="35"/>
  <c r="L31" i="35"/>
  <c r="K31" i="35"/>
  <c r="AW30" i="35"/>
  <c r="AY30" i="35" s="1"/>
  <c r="AV30" i="35"/>
  <c r="AX30" i="35" s="1"/>
  <c r="AS30" i="35"/>
  <c r="AU30" i="35" s="1"/>
  <c r="AR30" i="35"/>
  <c r="AT30" i="35" s="1"/>
  <c r="AH30" i="35"/>
  <c r="L30" i="35"/>
  <c r="K30" i="35"/>
  <c r="AW29" i="35"/>
  <c r="AY29" i="35" s="1"/>
  <c r="AV29" i="35"/>
  <c r="AX29" i="35" s="1"/>
  <c r="AS29" i="35"/>
  <c r="AU29" i="35" s="1"/>
  <c r="AR29" i="35"/>
  <c r="AT29" i="35" s="1"/>
  <c r="AH29" i="35"/>
  <c r="L29" i="35"/>
  <c r="K29" i="35"/>
  <c r="AW28" i="35"/>
  <c r="AY28" i="35" s="1"/>
  <c r="AV28" i="35"/>
  <c r="AX28" i="35" s="1"/>
  <c r="AS28" i="35"/>
  <c r="AU28" i="35" s="1"/>
  <c r="AR28" i="35"/>
  <c r="AT28" i="35" s="1"/>
  <c r="AH28" i="35"/>
  <c r="L28" i="35"/>
  <c r="K28" i="35"/>
  <c r="AW27" i="35"/>
  <c r="AY27" i="35" s="1"/>
  <c r="AV27" i="35"/>
  <c r="AX27" i="35" s="1"/>
  <c r="AS27" i="35"/>
  <c r="AU27" i="35" s="1"/>
  <c r="AR27" i="35"/>
  <c r="AT27" i="35" s="1"/>
  <c r="AH27" i="35"/>
  <c r="L27" i="35"/>
  <c r="K27" i="35"/>
  <c r="AW26" i="35"/>
  <c r="AY26" i="35" s="1"/>
  <c r="AV26" i="35"/>
  <c r="AX26" i="35" s="1"/>
  <c r="AS26" i="35"/>
  <c r="AU26" i="35" s="1"/>
  <c r="AR26" i="35"/>
  <c r="AT26" i="35" s="1"/>
  <c r="AH26" i="35"/>
  <c r="L26" i="35"/>
  <c r="K26" i="35"/>
  <c r="AW25" i="35"/>
  <c r="AY25" i="35" s="1"/>
  <c r="AV25" i="35"/>
  <c r="AX25" i="35" s="1"/>
  <c r="AS25" i="35"/>
  <c r="AU25" i="35" s="1"/>
  <c r="AR25" i="35"/>
  <c r="AT25" i="35" s="1"/>
  <c r="AH25" i="35"/>
  <c r="L25" i="35"/>
  <c r="K25" i="35"/>
  <c r="AW24" i="35"/>
  <c r="AY24" i="35" s="1"/>
  <c r="AV24" i="35"/>
  <c r="AX24" i="35" s="1"/>
  <c r="AS24" i="35"/>
  <c r="AU24" i="35" s="1"/>
  <c r="AR24" i="35"/>
  <c r="AT24" i="35" s="1"/>
  <c r="AH24" i="35"/>
  <c r="L24" i="35"/>
  <c r="K24" i="35"/>
  <c r="AW23" i="35"/>
  <c r="AY23" i="35" s="1"/>
  <c r="AV23" i="35"/>
  <c r="AX23" i="35" s="1"/>
  <c r="AS23" i="35"/>
  <c r="AU23" i="35" s="1"/>
  <c r="AR23" i="35"/>
  <c r="AT23" i="35" s="1"/>
  <c r="AH23" i="35"/>
  <c r="L23" i="35"/>
  <c r="K23" i="35"/>
  <c r="AW22" i="35"/>
  <c r="AY22" i="35" s="1"/>
  <c r="AV22" i="35"/>
  <c r="AX22" i="35" s="1"/>
  <c r="AS22" i="35"/>
  <c r="AU22" i="35" s="1"/>
  <c r="AR22" i="35"/>
  <c r="AT22" i="35" s="1"/>
  <c r="AH22" i="35"/>
  <c r="L22" i="35"/>
  <c r="K22" i="35"/>
  <c r="AW21" i="35"/>
  <c r="AY21" i="35" s="1"/>
  <c r="AV21" i="35"/>
  <c r="AX21" i="35" s="1"/>
  <c r="AS21" i="35"/>
  <c r="AU21" i="35" s="1"/>
  <c r="AR21" i="35"/>
  <c r="AT21" i="35" s="1"/>
  <c r="AH21" i="35"/>
  <c r="L21" i="35"/>
  <c r="K21" i="35"/>
  <c r="AW20" i="35"/>
  <c r="AY20" i="35" s="1"/>
  <c r="AV20" i="35"/>
  <c r="AX20" i="35" s="1"/>
  <c r="AS20" i="35"/>
  <c r="AU20" i="35" s="1"/>
  <c r="AR20" i="35"/>
  <c r="AT20" i="35" s="1"/>
  <c r="AH20" i="35"/>
  <c r="L20" i="35"/>
  <c r="K20" i="35"/>
  <c r="AW19" i="35"/>
  <c r="AY19" i="35" s="1"/>
  <c r="AV19" i="35"/>
  <c r="AX19" i="35" s="1"/>
  <c r="AS19" i="35"/>
  <c r="AU19" i="35" s="1"/>
  <c r="AR19" i="35"/>
  <c r="AT19" i="35" s="1"/>
  <c r="AH19" i="35"/>
  <c r="L19" i="35"/>
  <c r="K19" i="35"/>
  <c r="AW18" i="35"/>
  <c r="AY18" i="35" s="1"/>
  <c r="AV18" i="35"/>
  <c r="AX18" i="35" s="1"/>
  <c r="AS18" i="35"/>
  <c r="AU18" i="35" s="1"/>
  <c r="AR18" i="35"/>
  <c r="AT18" i="35" s="1"/>
  <c r="AH18" i="35"/>
  <c r="L18" i="35"/>
  <c r="K18" i="35"/>
  <c r="AW17" i="35"/>
  <c r="AY17" i="35" s="1"/>
  <c r="AV17" i="35"/>
  <c r="AX17" i="35" s="1"/>
  <c r="AS17" i="35"/>
  <c r="AU17" i="35" s="1"/>
  <c r="AR17" i="35"/>
  <c r="AT17" i="35" s="1"/>
  <c r="AH17" i="35"/>
  <c r="L17" i="35"/>
  <c r="K17" i="35"/>
  <c r="AW16" i="35"/>
  <c r="AY16" i="35" s="1"/>
  <c r="AV16" i="35"/>
  <c r="AX16" i="35" s="1"/>
  <c r="AS16" i="35"/>
  <c r="AU16" i="35" s="1"/>
  <c r="AR16" i="35"/>
  <c r="AT16" i="35" s="1"/>
  <c r="AH16" i="35"/>
  <c r="L16" i="35"/>
  <c r="K16" i="35"/>
  <c r="AW15" i="35"/>
  <c r="AY15" i="35" s="1"/>
  <c r="AV15" i="35"/>
  <c r="AX15" i="35" s="1"/>
  <c r="AS15" i="35"/>
  <c r="AU15" i="35" s="1"/>
  <c r="AR15" i="35"/>
  <c r="AT15" i="35" s="1"/>
  <c r="AH15" i="35"/>
  <c r="L15" i="35"/>
  <c r="K15" i="35"/>
  <c r="AW14" i="35"/>
  <c r="AY14" i="35" s="1"/>
  <c r="AV14" i="35"/>
  <c r="AX14" i="35" s="1"/>
  <c r="AS14" i="35"/>
  <c r="AU14" i="35" s="1"/>
  <c r="AR14" i="35"/>
  <c r="AT14" i="35" s="1"/>
  <c r="AH14" i="35"/>
  <c r="L14" i="35"/>
  <c r="K14" i="35"/>
  <c r="AW13" i="35"/>
  <c r="AY13" i="35" s="1"/>
  <c r="AV13" i="35"/>
  <c r="AX13" i="35" s="1"/>
  <c r="AS13" i="35"/>
  <c r="AU13" i="35" s="1"/>
  <c r="AR13" i="35"/>
  <c r="AT13" i="35" s="1"/>
  <c r="AH13" i="35"/>
  <c r="L13" i="35"/>
  <c r="K13" i="35"/>
  <c r="AW12" i="35"/>
  <c r="AY12" i="35" s="1"/>
  <c r="AV12" i="35"/>
  <c r="AX12" i="35" s="1"/>
  <c r="AU12" i="35"/>
  <c r="AS12" i="35"/>
  <c r="AR12" i="35"/>
  <c r="AT12" i="35" s="1"/>
  <c r="AH12" i="35"/>
  <c r="L12" i="35"/>
  <c r="K12" i="35"/>
  <c r="AW11" i="35"/>
  <c r="AY11" i="35" s="1"/>
  <c r="AV11" i="35"/>
  <c r="AX11" i="35" s="1"/>
  <c r="AS11" i="35"/>
  <c r="AU11" i="35" s="1"/>
  <c r="AR11" i="35"/>
  <c r="AT11" i="35" s="1"/>
  <c r="AH11" i="35"/>
  <c r="L11" i="35"/>
  <c r="K11" i="35"/>
  <c r="AW10" i="35"/>
  <c r="AY10" i="35" s="1"/>
  <c r="AV10" i="35"/>
  <c r="AX10" i="35" s="1"/>
  <c r="AS10" i="35"/>
  <c r="AU10" i="35" s="1"/>
  <c r="AR10" i="35"/>
  <c r="AT10" i="35" s="1"/>
  <c r="AH10" i="35"/>
  <c r="L10" i="35"/>
  <c r="K10" i="35"/>
  <c r="AW9" i="35"/>
  <c r="AY9" i="35" s="1"/>
  <c r="AV9" i="35"/>
  <c r="AX9" i="35" s="1"/>
  <c r="AS9" i="35"/>
  <c r="AU9" i="35" s="1"/>
  <c r="AR9" i="35"/>
  <c r="AT9" i="35" s="1"/>
  <c r="AH9" i="35"/>
  <c r="L9" i="35"/>
  <c r="K9" i="35"/>
  <c r="AW8" i="35"/>
  <c r="AY8" i="35" s="1"/>
  <c r="AV8" i="35"/>
  <c r="AX8" i="35" s="1"/>
  <c r="AS8" i="35"/>
  <c r="AU8" i="35" s="1"/>
  <c r="AR8" i="35"/>
  <c r="AT8" i="35" s="1"/>
  <c r="AH8" i="35"/>
  <c r="L8" i="35"/>
  <c r="K8" i="35"/>
  <c r="AW7" i="35"/>
  <c r="AY7" i="35" s="1"/>
  <c r="AV7" i="35"/>
  <c r="AX7" i="35" s="1"/>
  <c r="AT7" i="35"/>
  <c r="AS7" i="35"/>
  <c r="AU7" i="35" s="1"/>
  <c r="AR7" i="35"/>
  <c r="AH7" i="35"/>
  <c r="L7" i="35"/>
  <c r="K7" i="35"/>
  <c r="AW6" i="35"/>
  <c r="AY6" i="35" s="1"/>
  <c r="AV6" i="35"/>
  <c r="AX6" i="35" s="1"/>
  <c r="AT6" i="35"/>
  <c r="AS6" i="35"/>
  <c r="AU6" i="35" s="1"/>
  <c r="AR6" i="35"/>
  <c r="AH6" i="35"/>
  <c r="L6" i="35"/>
  <c r="K6" i="35"/>
  <c r="AW5" i="35"/>
  <c r="AY5" i="35" s="1"/>
  <c r="AV5" i="35"/>
  <c r="AX5" i="35" s="1"/>
  <c r="AS5" i="35"/>
  <c r="AU5" i="35" s="1"/>
  <c r="AR5" i="35"/>
  <c r="AT5" i="35" s="1"/>
  <c r="AH5" i="35"/>
  <c r="L5" i="35"/>
  <c r="K5" i="35"/>
  <c r="AW4" i="35"/>
  <c r="AY4" i="35" s="1"/>
  <c r="AV4" i="35"/>
  <c r="AX4" i="35" s="1"/>
  <c r="AS4" i="35"/>
  <c r="AU4" i="35" s="1"/>
  <c r="AR4" i="35"/>
  <c r="AT4" i="35" s="1"/>
  <c r="AH4" i="35"/>
  <c r="L4" i="35"/>
  <c r="K4" i="35"/>
  <c r="AW3" i="35"/>
  <c r="AY3" i="35" s="1"/>
  <c r="AV3" i="35"/>
  <c r="AX3" i="35" s="1"/>
  <c r="AS3" i="35"/>
  <c r="AU3" i="35" s="1"/>
  <c r="AR3" i="35"/>
  <c r="AT3" i="35" s="1"/>
  <c r="AH3" i="35"/>
  <c r="L3" i="35"/>
  <c r="K3" i="35"/>
  <c r="L119" i="34"/>
  <c r="E118" i="34"/>
  <c r="R116" i="34"/>
  <c r="Q116" i="34"/>
  <c r="P116" i="34"/>
  <c r="O116" i="34"/>
  <c r="N116" i="34"/>
  <c r="M116" i="34"/>
  <c r="L116" i="34"/>
  <c r="K116" i="34"/>
  <c r="J116" i="34"/>
  <c r="I116" i="34"/>
  <c r="H116" i="34"/>
  <c r="G116" i="34"/>
  <c r="F116" i="34"/>
  <c r="E116" i="34"/>
  <c r="R113" i="34"/>
  <c r="Q113" i="34"/>
  <c r="P113" i="34"/>
  <c r="L113" i="34"/>
  <c r="K113" i="34"/>
  <c r="J113" i="34"/>
  <c r="I113" i="34"/>
  <c r="F113" i="34"/>
  <c r="E113" i="34"/>
  <c r="R112" i="34"/>
  <c r="Q112" i="34"/>
  <c r="P112" i="34"/>
  <c r="O112" i="34"/>
  <c r="N112" i="34"/>
  <c r="M112" i="34"/>
  <c r="L112" i="34"/>
  <c r="K112" i="34"/>
  <c r="I112" i="34"/>
  <c r="H112" i="34"/>
  <c r="G112" i="34"/>
  <c r="F112" i="34"/>
  <c r="E112" i="34"/>
  <c r="O111" i="34"/>
  <c r="N111" i="34"/>
  <c r="M111" i="34"/>
  <c r="J111" i="34"/>
  <c r="R110" i="34"/>
  <c r="Q110" i="34"/>
  <c r="P110" i="34"/>
  <c r="O110" i="34"/>
  <c r="N110" i="34"/>
  <c r="M110" i="34"/>
  <c r="L110" i="34"/>
  <c r="K110" i="34"/>
  <c r="J110" i="34"/>
  <c r="I110" i="34"/>
  <c r="H110" i="34"/>
  <c r="G110" i="34"/>
  <c r="F110" i="34"/>
  <c r="E110" i="34"/>
  <c r="R107" i="34"/>
  <c r="Q107" i="34"/>
  <c r="Q119" i="34" s="1"/>
  <c r="P107" i="34"/>
  <c r="P119" i="34" s="1"/>
  <c r="L107" i="34"/>
  <c r="K107" i="34"/>
  <c r="K119" i="34" s="1"/>
  <c r="J107" i="34"/>
  <c r="J119" i="34" s="1"/>
  <c r="I107" i="34"/>
  <c r="I119" i="34" s="1"/>
  <c r="F107" i="34"/>
  <c r="F119" i="34" s="1"/>
  <c r="E107" i="34"/>
  <c r="R106" i="34"/>
  <c r="R118" i="34" s="1"/>
  <c r="Q106" i="34"/>
  <c r="Q118" i="34" s="1"/>
  <c r="P106" i="34"/>
  <c r="P118" i="34" s="1"/>
  <c r="O106" i="34"/>
  <c r="N106" i="34"/>
  <c r="N118" i="34" s="1"/>
  <c r="M106" i="34"/>
  <c r="M118" i="34" s="1"/>
  <c r="L106" i="34"/>
  <c r="L118" i="34" s="1"/>
  <c r="K106" i="34"/>
  <c r="I106" i="34"/>
  <c r="I118" i="34" s="1"/>
  <c r="H106" i="34"/>
  <c r="H118" i="34" s="1"/>
  <c r="G106" i="34"/>
  <c r="F106" i="34"/>
  <c r="F118" i="34" s="1"/>
  <c r="E106" i="34"/>
  <c r="O105" i="34"/>
  <c r="O117" i="34" s="1"/>
  <c r="N105" i="34"/>
  <c r="N117" i="34" s="1"/>
  <c r="M105" i="34"/>
  <c r="M117" i="34" s="1"/>
  <c r="J105" i="34"/>
  <c r="J117" i="34" s="1"/>
  <c r="R104" i="34"/>
  <c r="Q104" i="34"/>
  <c r="P104" i="34"/>
  <c r="O104" i="34"/>
  <c r="N104" i="34"/>
  <c r="M104" i="34"/>
  <c r="L104" i="34"/>
  <c r="K104" i="34"/>
  <c r="J104" i="34"/>
  <c r="I104" i="34"/>
  <c r="H104" i="34"/>
  <c r="G104" i="34"/>
  <c r="F104" i="34"/>
  <c r="E104" i="34"/>
  <c r="R99" i="34"/>
  <c r="Q99" i="34"/>
  <c r="P99" i="34"/>
  <c r="L99" i="34"/>
  <c r="K99" i="34"/>
  <c r="J99" i="34"/>
  <c r="I99" i="34"/>
  <c r="F99" i="34"/>
  <c r="E99" i="34"/>
  <c r="R98" i="34"/>
  <c r="Q98" i="34"/>
  <c r="P98" i="34"/>
  <c r="O98" i="34"/>
  <c r="N98" i="34"/>
  <c r="M98" i="34"/>
  <c r="L98" i="34"/>
  <c r="K98" i="34"/>
  <c r="I98" i="34"/>
  <c r="H98" i="34"/>
  <c r="G98" i="34"/>
  <c r="F98" i="34"/>
  <c r="E98" i="34"/>
  <c r="O97" i="34"/>
  <c r="N97" i="34"/>
  <c r="M97" i="34"/>
  <c r="J97" i="34"/>
  <c r="R96" i="34"/>
  <c r="Q96" i="34"/>
  <c r="P96" i="34"/>
  <c r="O96" i="34"/>
  <c r="N96" i="34"/>
  <c r="M96" i="34"/>
  <c r="L96" i="34"/>
  <c r="K96" i="34"/>
  <c r="J96" i="34"/>
  <c r="I96" i="34"/>
  <c r="H96" i="34"/>
  <c r="G96" i="34"/>
  <c r="F96" i="34"/>
  <c r="E96" i="34"/>
  <c r="O93" i="34"/>
  <c r="O94" i="34" s="1"/>
  <c r="N93" i="34"/>
  <c r="N94" i="34" s="1"/>
  <c r="M93" i="34"/>
  <c r="M94" i="34" s="1"/>
  <c r="H93" i="34"/>
  <c r="G93" i="34"/>
  <c r="D93" i="34"/>
  <c r="J92" i="34"/>
  <c r="J94" i="34" s="1"/>
  <c r="D92" i="34"/>
  <c r="R91" i="34"/>
  <c r="R94" i="34" s="1"/>
  <c r="Q91" i="34"/>
  <c r="Q94" i="34" s="1"/>
  <c r="P91" i="34"/>
  <c r="P94" i="34" s="1"/>
  <c r="L91" i="34"/>
  <c r="L94" i="34" s="1"/>
  <c r="K91" i="34"/>
  <c r="K94" i="34" s="1"/>
  <c r="I91" i="34"/>
  <c r="I94" i="34" s="1"/>
  <c r="H91" i="34"/>
  <c r="H94" i="34" s="1"/>
  <c r="G91" i="34"/>
  <c r="F91" i="34"/>
  <c r="F94" i="34" s="1"/>
  <c r="E91" i="34"/>
  <c r="E94" i="34" s="1"/>
  <c r="D91" i="34"/>
  <c r="R90" i="34"/>
  <c r="Q90" i="34"/>
  <c r="P90" i="34"/>
  <c r="O90" i="34"/>
  <c r="N90" i="34"/>
  <c r="M90" i="34"/>
  <c r="L90" i="34"/>
  <c r="K90" i="34"/>
  <c r="J90" i="34"/>
  <c r="I90" i="34"/>
  <c r="H90" i="34"/>
  <c r="G90" i="34"/>
  <c r="F90" i="34"/>
  <c r="E90" i="34"/>
  <c r="O87" i="34"/>
  <c r="O88" i="34" s="1"/>
  <c r="N87" i="34"/>
  <c r="M87" i="34"/>
  <c r="H87" i="34"/>
  <c r="H99" i="34" s="1"/>
  <c r="G87" i="34"/>
  <c r="D87" i="34"/>
  <c r="J86" i="34"/>
  <c r="J88" i="34" s="1"/>
  <c r="J100" i="34" s="1"/>
  <c r="D86" i="34"/>
  <c r="D106" i="34" s="1"/>
  <c r="R85" i="34"/>
  <c r="R88" i="34" s="1"/>
  <c r="Q85" i="34"/>
  <c r="Q88" i="34" s="1"/>
  <c r="P85" i="34"/>
  <c r="P97" i="34" s="1"/>
  <c r="L85" i="34"/>
  <c r="K85" i="34"/>
  <c r="K88" i="34" s="1"/>
  <c r="I85" i="34"/>
  <c r="I105" i="34" s="1"/>
  <c r="H85" i="34"/>
  <c r="H97" i="34" s="1"/>
  <c r="G85" i="34"/>
  <c r="G88" i="34" s="1"/>
  <c r="F85" i="34"/>
  <c r="F88" i="34" s="1"/>
  <c r="E85" i="34"/>
  <c r="E88" i="34" s="1"/>
  <c r="D85" i="34"/>
  <c r="D97" i="34" s="1"/>
  <c r="R84" i="34"/>
  <c r="Q84" i="34"/>
  <c r="P84" i="34"/>
  <c r="O84" i="34"/>
  <c r="N84" i="34"/>
  <c r="M84" i="34"/>
  <c r="L84" i="34"/>
  <c r="K84" i="34"/>
  <c r="J84" i="34"/>
  <c r="I84" i="34"/>
  <c r="H84" i="34"/>
  <c r="G84" i="34"/>
  <c r="F84" i="34"/>
  <c r="E84" i="34"/>
  <c r="R80" i="34"/>
  <c r="Q80" i="34"/>
  <c r="P80" i="34"/>
  <c r="L80" i="34"/>
  <c r="K80" i="34"/>
  <c r="J80" i="34"/>
  <c r="I80" i="34"/>
  <c r="F80" i="34"/>
  <c r="E80" i="34"/>
  <c r="R79" i="34"/>
  <c r="Q79" i="34"/>
  <c r="P79" i="34"/>
  <c r="O79" i="34"/>
  <c r="N79" i="34"/>
  <c r="M79" i="34"/>
  <c r="L79" i="34"/>
  <c r="K79" i="34"/>
  <c r="I79" i="34"/>
  <c r="H79" i="34"/>
  <c r="G79" i="34"/>
  <c r="F79" i="34"/>
  <c r="E79" i="34"/>
  <c r="O78" i="34"/>
  <c r="N78" i="34"/>
  <c r="M78" i="34"/>
  <c r="J78" i="34"/>
  <c r="O74" i="34"/>
  <c r="O75" i="34" s="1"/>
  <c r="N74" i="34"/>
  <c r="N75" i="34" s="1"/>
  <c r="M74" i="34"/>
  <c r="H74" i="34"/>
  <c r="H113" i="34" s="1"/>
  <c r="G74" i="34"/>
  <c r="D74" i="34"/>
  <c r="J73" i="34"/>
  <c r="J75" i="34" s="1"/>
  <c r="D73" i="34"/>
  <c r="D112" i="34" s="1"/>
  <c r="R72" i="34"/>
  <c r="R75" i="34" s="1"/>
  <c r="Q72" i="34"/>
  <c r="Q78" i="34" s="1"/>
  <c r="P72" i="34"/>
  <c r="P111" i="34" s="1"/>
  <c r="P114" i="34" s="1"/>
  <c r="L72" i="34"/>
  <c r="K72" i="34"/>
  <c r="K75" i="34" s="1"/>
  <c r="I72" i="34"/>
  <c r="I75" i="34" s="1"/>
  <c r="H72" i="34"/>
  <c r="H111" i="34" s="1"/>
  <c r="G72" i="34"/>
  <c r="F72" i="34"/>
  <c r="E72" i="34"/>
  <c r="E75" i="34" s="1"/>
  <c r="D72" i="34"/>
  <c r="D111" i="34" s="1"/>
  <c r="R71" i="34"/>
  <c r="Q71" i="34"/>
  <c r="P71" i="34"/>
  <c r="O71" i="34"/>
  <c r="N71" i="34"/>
  <c r="M71" i="34"/>
  <c r="L71" i="34"/>
  <c r="K71" i="34"/>
  <c r="J71" i="34"/>
  <c r="I71" i="34"/>
  <c r="H71" i="34"/>
  <c r="G71" i="34"/>
  <c r="F71" i="34"/>
  <c r="E71" i="34"/>
  <c r="Q69" i="34"/>
  <c r="P69" i="34"/>
  <c r="M69" i="34"/>
  <c r="I69" i="34"/>
  <c r="H69" i="34"/>
  <c r="E69" i="34"/>
  <c r="O68" i="34"/>
  <c r="O107" i="34" s="1"/>
  <c r="N68" i="34"/>
  <c r="M68" i="34"/>
  <c r="H68" i="34"/>
  <c r="G68" i="34"/>
  <c r="G107" i="34" s="1"/>
  <c r="D68" i="34"/>
  <c r="T67" i="34"/>
  <c r="J67" i="34"/>
  <c r="D67" i="34"/>
  <c r="R66" i="34"/>
  <c r="Q66" i="34"/>
  <c r="P66" i="34"/>
  <c r="L66" i="34"/>
  <c r="K66" i="34"/>
  <c r="I66" i="34"/>
  <c r="H66" i="34"/>
  <c r="G66" i="34"/>
  <c r="F66" i="34"/>
  <c r="E66" i="34"/>
  <c r="D66" i="34"/>
  <c r="AW60" i="34"/>
  <c r="AY60" i="34" s="1"/>
  <c r="AV60" i="34"/>
  <c r="AX60" i="34" s="1"/>
  <c r="AS60" i="34"/>
  <c r="AU60" i="34" s="1"/>
  <c r="AR60" i="34"/>
  <c r="AT60" i="34" s="1"/>
  <c r="AH60" i="34"/>
  <c r="L60" i="34"/>
  <c r="K60" i="34"/>
  <c r="AW59" i="34"/>
  <c r="AY59" i="34" s="1"/>
  <c r="AV59" i="34"/>
  <c r="AX59" i="34" s="1"/>
  <c r="AS59" i="34"/>
  <c r="AU59" i="34" s="1"/>
  <c r="AR59" i="34"/>
  <c r="AT59" i="34" s="1"/>
  <c r="AH59" i="34"/>
  <c r="L59" i="34"/>
  <c r="K59" i="34"/>
  <c r="AW58" i="34"/>
  <c r="AY58" i="34" s="1"/>
  <c r="AV58" i="34"/>
  <c r="AX58" i="34" s="1"/>
  <c r="AS58" i="34"/>
  <c r="AU58" i="34" s="1"/>
  <c r="AR58" i="34"/>
  <c r="AT58" i="34" s="1"/>
  <c r="AH58" i="34"/>
  <c r="L58" i="34"/>
  <c r="K58" i="34"/>
  <c r="AW57" i="34"/>
  <c r="AY57" i="34" s="1"/>
  <c r="AV57" i="34"/>
  <c r="AX57" i="34" s="1"/>
  <c r="AS57" i="34"/>
  <c r="AU57" i="34" s="1"/>
  <c r="AR57" i="34"/>
  <c r="AT57" i="34" s="1"/>
  <c r="AH57" i="34"/>
  <c r="L57" i="34"/>
  <c r="K57" i="34"/>
  <c r="AW56" i="34"/>
  <c r="AY56" i="34" s="1"/>
  <c r="AV56" i="34"/>
  <c r="AX56" i="34" s="1"/>
  <c r="AS56" i="34"/>
  <c r="AU56" i="34" s="1"/>
  <c r="AR56" i="34"/>
  <c r="AT56" i="34" s="1"/>
  <c r="AH56" i="34"/>
  <c r="L56" i="34"/>
  <c r="K56" i="34"/>
  <c r="AW55" i="34"/>
  <c r="AY55" i="34" s="1"/>
  <c r="AV55" i="34"/>
  <c r="AX55" i="34" s="1"/>
  <c r="AS55" i="34"/>
  <c r="AU55" i="34" s="1"/>
  <c r="AR55" i="34"/>
  <c r="AT55" i="34" s="1"/>
  <c r="AH55" i="34"/>
  <c r="L55" i="34"/>
  <c r="K55" i="34"/>
  <c r="AW54" i="34"/>
  <c r="AY54" i="34" s="1"/>
  <c r="AV54" i="34"/>
  <c r="AX54" i="34" s="1"/>
  <c r="AS54" i="34"/>
  <c r="AU54" i="34" s="1"/>
  <c r="AR54" i="34"/>
  <c r="AT54" i="34" s="1"/>
  <c r="AH54" i="34"/>
  <c r="L54" i="34"/>
  <c r="K54" i="34"/>
  <c r="AW53" i="34"/>
  <c r="AY53" i="34" s="1"/>
  <c r="AV53" i="34"/>
  <c r="AX53" i="34" s="1"/>
  <c r="AS53" i="34"/>
  <c r="AU53" i="34" s="1"/>
  <c r="AR53" i="34"/>
  <c r="AT53" i="34" s="1"/>
  <c r="AH53" i="34"/>
  <c r="L53" i="34"/>
  <c r="K53" i="34"/>
  <c r="AW52" i="34"/>
  <c r="AY52" i="34" s="1"/>
  <c r="AV52" i="34"/>
  <c r="AX52" i="34" s="1"/>
  <c r="AS52" i="34"/>
  <c r="AU52" i="34" s="1"/>
  <c r="AR52" i="34"/>
  <c r="AT52" i="34" s="1"/>
  <c r="AH52" i="34"/>
  <c r="L52" i="34"/>
  <c r="K52" i="34"/>
  <c r="AW51" i="34"/>
  <c r="AY51" i="34" s="1"/>
  <c r="AV51" i="34"/>
  <c r="AX51" i="34" s="1"/>
  <c r="AS51" i="34"/>
  <c r="AU51" i="34" s="1"/>
  <c r="AR51" i="34"/>
  <c r="AT51" i="34" s="1"/>
  <c r="AH51" i="34"/>
  <c r="L51" i="34"/>
  <c r="K51" i="34"/>
  <c r="AW50" i="34"/>
  <c r="AY50" i="34" s="1"/>
  <c r="AV50" i="34"/>
  <c r="AX50" i="34" s="1"/>
  <c r="AS50" i="34"/>
  <c r="AU50" i="34" s="1"/>
  <c r="AR50" i="34"/>
  <c r="AT50" i="34" s="1"/>
  <c r="AH50" i="34"/>
  <c r="L50" i="34"/>
  <c r="K50" i="34"/>
  <c r="AW49" i="34"/>
  <c r="AY49" i="34" s="1"/>
  <c r="AV49" i="34"/>
  <c r="AX49" i="34" s="1"/>
  <c r="AS49" i="34"/>
  <c r="AU49" i="34" s="1"/>
  <c r="AR49" i="34"/>
  <c r="AT49" i="34" s="1"/>
  <c r="AH49" i="34"/>
  <c r="L49" i="34"/>
  <c r="K49" i="34"/>
  <c r="AW48" i="34"/>
  <c r="AY48" i="34" s="1"/>
  <c r="AV48" i="34"/>
  <c r="AX48" i="34" s="1"/>
  <c r="AS48" i="34"/>
  <c r="AU48" i="34" s="1"/>
  <c r="AR48" i="34"/>
  <c r="AT48" i="34" s="1"/>
  <c r="AH48" i="34"/>
  <c r="L48" i="34"/>
  <c r="K48" i="34"/>
  <c r="AY47" i="34"/>
  <c r="AW47" i="34"/>
  <c r="AV47" i="34"/>
  <c r="AX47" i="34" s="1"/>
  <c r="AU47" i="34"/>
  <c r="AS47" i="34"/>
  <c r="AR47" i="34"/>
  <c r="AT47" i="34" s="1"/>
  <c r="AH47" i="34"/>
  <c r="L47" i="34"/>
  <c r="K47" i="34"/>
  <c r="AW46" i="34"/>
  <c r="AY46" i="34" s="1"/>
  <c r="AV46" i="34"/>
  <c r="AX46" i="34" s="1"/>
  <c r="AS46" i="34"/>
  <c r="AU46" i="34" s="1"/>
  <c r="AR46" i="34"/>
  <c r="AT46" i="34" s="1"/>
  <c r="AH46" i="34"/>
  <c r="L46" i="34"/>
  <c r="K46" i="34"/>
  <c r="AW45" i="34"/>
  <c r="AY45" i="34" s="1"/>
  <c r="AV45" i="34"/>
  <c r="AX45" i="34" s="1"/>
  <c r="AS45" i="34"/>
  <c r="AU45" i="34" s="1"/>
  <c r="AR45" i="34"/>
  <c r="AT45" i="34" s="1"/>
  <c r="AH45" i="34"/>
  <c r="L45" i="34"/>
  <c r="K45" i="34"/>
  <c r="AW44" i="34"/>
  <c r="AY44" i="34" s="1"/>
  <c r="AV44" i="34"/>
  <c r="AX44" i="34" s="1"/>
  <c r="AS44" i="34"/>
  <c r="AU44" i="34" s="1"/>
  <c r="AR44" i="34"/>
  <c r="AT44" i="34" s="1"/>
  <c r="AH44" i="34"/>
  <c r="L44" i="34"/>
  <c r="K44" i="34"/>
  <c r="AW43" i="34"/>
  <c r="AY43" i="34" s="1"/>
  <c r="AV43" i="34"/>
  <c r="AX43" i="34" s="1"/>
  <c r="AU43" i="34"/>
  <c r="AS43" i="34"/>
  <c r="AR43" i="34"/>
  <c r="AT43" i="34" s="1"/>
  <c r="AH43" i="34"/>
  <c r="L43" i="34"/>
  <c r="K43" i="34"/>
  <c r="AW42" i="34"/>
  <c r="AY42" i="34" s="1"/>
  <c r="AV42" i="34"/>
  <c r="AX42" i="34" s="1"/>
  <c r="AS42" i="34"/>
  <c r="AU42" i="34" s="1"/>
  <c r="AR42" i="34"/>
  <c r="AT42" i="34" s="1"/>
  <c r="AH42" i="34"/>
  <c r="L42" i="34"/>
  <c r="K42" i="34"/>
  <c r="AW41" i="34"/>
  <c r="AY41" i="34" s="1"/>
  <c r="AV41" i="34"/>
  <c r="AX41" i="34" s="1"/>
  <c r="AS41" i="34"/>
  <c r="AU41" i="34" s="1"/>
  <c r="AR41" i="34"/>
  <c r="AT41" i="34" s="1"/>
  <c r="AH41" i="34"/>
  <c r="L41" i="34"/>
  <c r="K41" i="34"/>
  <c r="AW40" i="34"/>
  <c r="AY40" i="34" s="1"/>
  <c r="AV40" i="34"/>
  <c r="AX40" i="34" s="1"/>
  <c r="AS40" i="34"/>
  <c r="AU40" i="34" s="1"/>
  <c r="AR40" i="34"/>
  <c r="AT40" i="34" s="1"/>
  <c r="AH40" i="34"/>
  <c r="L40" i="34"/>
  <c r="K40" i="34"/>
  <c r="AW39" i="34"/>
  <c r="AY39" i="34" s="1"/>
  <c r="AV39" i="34"/>
  <c r="AX39" i="34" s="1"/>
  <c r="AS39" i="34"/>
  <c r="AU39" i="34" s="1"/>
  <c r="AR39" i="34"/>
  <c r="AT39" i="34" s="1"/>
  <c r="AH39" i="34"/>
  <c r="L39" i="34"/>
  <c r="K39" i="34"/>
  <c r="AW38" i="34"/>
  <c r="AY38" i="34" s="1"/>
  <c r="AV38" i="34"/>
  <c r="AX38" i="34" s="1"/>
  <c r="AS38" i="34"/>
  <c r="AU38" i="34" s="1"/>
  <c r="AR38" i="34"/>
  <c r="AT38" i="34" s="1"/>
  <c r="AH38" i="34"/>
  <c r="L38" i="34"/>
  <c r="K38" i="34"/>
  <c r="AW37" i="34"/>
  <c r="AY37" i="34" s="1"/>
  <c r="AV37" i="34"/>
  <c r="AX37" i="34" s="1"/>
  <c r="AS37" i="34"/>
  <c r="AU37" i="34" s="1"/>
  <c r="AR37" i="34"/>
  <c r="AT37" i="34" s="1"/>
  <c r="AH37" i="34"/>
  <c r="L37" i="34"/>
  <c r="K37" i="34"/>
  <c r="AW36" i="34"/>
  <c r="AY36" i="34" s="1"/>
  <c r="AV36" i="34"/>
  <c r="AX36" i="34" s="1"/>
  <c r="AS36" i="34"/>
  <c r="AU36" i="34" s="1"/>
  <c r="AR36" i="34"/>
  <c r="AT36" i="34" s="1"/>
  <c r="AH36" i="34"/>
  <c r="L36" i="34"/>
  <c r="K36" i="34"/>
  <c r="AY35" i="34"/>
  <c r="AW35" i="34"/>
  <c r="AV35" i="34"/>
  <c r="AX35" i="34" s="1"/>
  <c r="AU35" i="34"/>
  <c r="AS35" i="34"/>
  <c r="AR35" i="34"/>
  <c r="AT35" i="34" s="1"/>
  <c r="AH35" i="34"/>
  <c r="L35" i="34"/>
  <c r="K35" i="34"/>
  <c r="AW34" i="34"/>
  <c r="AY34" i="34" s="1"/>
  <c r="AV34" i="34"/>
  <c r="AX34" i="34" s="1"/>
  <c r="AS34" i="34"/>
  <c r="AU34" i="34" s="1"/>
  <c r="AR34" i="34"/>
  <c r="AT34" i="34" s="1"/>
  <c r="AH34" i="34"/>
  <c r="L34" i="34"/>
  <c r="K34" i="34"/>
  <c r="AW33" i="34"/>
  <c r="AY33" i="34" s="1"/>
  <c r="AV33" i="34"/>
  <c r="AX33" i="34" s="1"/>
  <c r="AS33" i="34"/>
  <c r="AU33" i="34" s="1"/>
  <c r="AR33" i="34"/>
  <c r="AT33" i="34" s="1"/>
  <c r="AH33" i="34"/>
  <c r="L33" i="34"/>
  <c r="K33" i="34"/>
  <c r="AY32" i="34"/>
  <c r="AW32" i="34"/>
  <c r="AV32" i="34"/>
  <c r="AX32" i="34" s="1"/>
  <c r="AS32" i="34"/>
  <c r="AU32" i="34" s="1"/>
  <c r="AR32" i="34"/>
  <c r="AT32" i="34" s="1"/>
  <c r="AH32" i="34"/>
  <c r="L32" i="34"/>
  <c r="K32" i="34"/>
  <c r="AY31" i="34"/>
  <c r="AW31" i="34"/>
  <c r="AV31" i="34"/>
  <c r="AX31" i="34" s="1"/>
  <c r="AS31" i="34"/>
  <c r="AU31" i="34" s="1"/>
  <c r="AR31" i="34"/>
  <c r="AT31" i="34" s="1"/>
  <c r="AH31" i="34"/>
  <c r="L31" i="34"/>
  <c r="K31" i="34"/>
  <c r="AW30" i="34"/>
  <c r="AY30" i="34" s="1"/>
  <c r="AV30" i="34"/>
  <c r="AX30" i="34" s="1"/>
  <c r="AS30" i="34"/>
  <c r="AU30" i="34" s="1"/>
  <c r="AR30" i="34"/>
  <c r="AT30" i="34" s="1"/>
  <c r="AH30" i="34"/>
  <c r="L30" i="34"/>
  <c r="K30" i="34"/>
  <c r="AW29" i="34"/>
  <c r="AY29" i="34" s="1"/>
  <c r="AV29" i="34"/>
  <c r="AX29" i="34" s="1"/>
  <c r="AS29" i="34"/>
  <c r="AU29" i="34" s="1"/>
  <c r="AR29" i="34"/>
  <c r="AT29" i="34" s="1"/>
  <c r="AH29" i="34"/>
  <c r="L29" i="34"/>
  <c r="K29" i="34"/>
  <c r="AW28" i="34"/>
  <c r="AY28" i="34" s="1"/>
  <c r="AV28" i="34"/>
  <c r="AX28" i="34" s="1"/>
  <c r="AS28" i="34"/>
  <c r="AU28" i="34" s="1"/>
  <c r="AR28" i="34"/>
  <c r="AT28" i="34" s="1"/>
  <c r="AH28" i="34"/>
  <c r="L28" i="34"/>
  <c r="K28" i="34"/>
  <c r="AW27" i="34"/>
  <c r="AY27" i="34" s="1"/>
  <c r="AV27" i="34"/>
  <c r="AX27" i="34" s="1"/>
  <c r="AT27" i="34"/>
  <c r="AS27" i="34"/>
  <c r="AU27" i="34" s="1"/>
  <c r="AR27" i="34"/>
  <c r="AH27" i="34"/>
  <c r="L27" i="34"/>
  <c r="K27" i="34"/>
  <c r="AW26" i="34"/>
  <c r="AY26" i="34" s="1"/>
  <c r="AV26" i="34"/>
  <c r="AX26" i="34" s="1"/>
  <c r="AS26" i="34"/>
  <c r="AU26" i="34" s="1"/>
  <c r="AR26" i="34"/>
  <c r="AT26" i="34" s="1"/>
  <c r="AH26" i="34"/>
  <c r="L26" i="34"/>
  <c r="K26" i="34"/>
  <c r="AW25" i="34"/>
  <c r="AY25" i="34" s="1"/>
  <c r="AV25" i="34"/>
  <c r="AX25" i="34" s="1"/>
  <c r="AS25" i="34"/>
  <c r="AU25" i="34" s="1"/>
  <c r="AR25" i="34"/>
  <c r="AT25" i="34" s="1"/>
  <c r="AH25" i="34"/>
  <c r="L25" i="34"/>
  <c r="K25" i="34"/>
  <c r="AW24" i="34"/>
  <c r="AY24" i="34" s="1"/>
  <c r="AV24" i="34"/>
  <c r="AX24" i="34" s="1"/>
  <c r="AS24" i="34"/>
  <c r="AU24" i="34" s="1"/>
  <c r="AR24" i="34"/>
  <c r="AT24" i="34" s="1"/>
  <c r="AH24" i="34"/>
  <c r="L24" i="34"/>
  <c r="K24" i="34"/>
  <c r="AW23" i="34"/>
  <c r="AY23" i="34" s="1"/>
  <c r="AV23" i="34"/>
  <c r="AX23" i="34" s="1"/>
  <c r="AS23" i="34"/>
  <c r="AU23" i="34" s="1"/>
  <c r="AR23" i="34"/>
  <c r="AT23" i="34" s="1"/>
  <c r="AH23" i="34"/>
  <c r="L23" i="34"/>
  <c r="K23" i="34"/>
  <c r="AW22" i="34"/>
  <c r="AY22" i="34" s="1"/>
  <c r="AV22" i="34"/>
  <c r="AX22" i="34" s="1"/>
  <c r="AS22" i="34"/>
  <c r="AU22" i="34" s="1"/>
  <c r="AR22" i="34"/>
  <c r="AT22" i="34" s="1"/>
  <c r="AH22" i="34"/>
  <c r="L22" i="34"/>
  <c r="K22" i="34"/>
  <c r="AW21" i="34"/>
  <c r="AY21" i="34" s="1"/>
  <c r="AV21" i="34"/>
  <c r="AX21" i="34" s="1"/>
  <c r="AS21" i="34"/>
  <c r="AU21" i="34" s="1"/>
  <c r="AR21" i="34"/>
  <c r="AT21" i="34" s="1"/>
  <c r="AH21" i="34"/>
  <c r="L21" i="34"/>
  <c r="K21" i="34"/>
  <c r="AW20" i="34"/>
  <c r="AY20" i="34" s="1"/>
  <c r="AV20" i="34"/>
  <c r="AX20" i="34" s="1"/>
  <c r="AS20" i="34"/>
  <c r="AU20" i="34" s="1"/>
  <c r="AR20" i="34"/>
  <c r="AT20" i="34" s="1"/>
  <c r="AH20" i="34"/>
  <c r="L20" i="34"/>
  <c r="K20" i="34"/>
  <c r="AW19" i="34"/>
  <c r="AY19" i="34" s="1"/>
  <c r="AV19" i="34"/>
  <c r="AX19" i="34" s="1"/>
  <c r="AS19" i="34"/>
  <c r="AU19" i="34" s="1"/>
  <c r="AR19" i="34"/>
  <c r="AT19" i="34" s="1"/>
  <c r="AH19" i="34"/>
  <c r="L19" i="34"/>
  <c r="K19" i="34"/>
  <c r="AW18" i="34"/>
  <c r="AY18" i="34" s="1"/>
  <c r="AV18" i="34"/>
  <c r="AX18" i="34" s="1"/>
  <c r="AS18" i="34"/>
  <c r="AU18" i="34" s="1"/>
  <c r="AR18" i="34"/>
  <c r="AT18" i="34" s="1"/>
  <c r="AH18" i="34"/>
  <c r="L18" i="34"/>
  <c r="K18" i="34"/>
  <c r="AW17" i="34"/>
  <c r="AY17" i="34" s="1"/>
  <c r="AV17" i="34"/>
  <c r="AX17" i="34" s="1"/>
  <c r="AS17" i="34"/>
  <c r="AU17" i="34" s="1"/>
  <c r="AR17" i="34"/>
  <c r="AT17" i="34" s="1"/>
  <c r="AH17" i="34"/>
  <c r="L17" i="34"/>
  <c r="K17" i="34"/>
  <c r="AW16" i="34"/>
  <c r="AY16" i="34" s="1"/>
  <c r="AV16" i="34"/>
  <c r="AX16" i="34" s="1"/>
  <c r="AS16" i="34"/>
  <c r="AU16" i="34" s="1"/>
  <c r="AR16" i="34"/>
  <c r="AT16" i="34" s="1"/>
  <c r="AH16" i="34"/>
  <c r="L16" i="34"/>
  <c r="K16" i="34"/>
  <c r="AW15" i="34"/>
  <c r="AY15" i="34" s="1"/>
  <c r="AV15" i="34"/>
  <c r="AX15" i="34" s="1"/>
  <c r="AS15" i="34"/>
  <c r="AU15" i="34" s="1"/>
  <c r="AR15" i="34"/>
  <c r="AT15" i="34" s="1"/>
  <c r="AH15" i="34"/>
  <c r="L15" i="34"/>
  <c r="K15" i="34"/>
  <c r="AW14" i="34"/>
  <c r="AY14" i="34" s="1"/>
  <c r="AV14" i="34"/>
  <c r="AX14" i="34" s="1"/>
  <c r="AS14" i="34"/>
  <c r="AU14" i="34" s="1"/>
  <c r="AR14" i="34"/>
  <c r="AT14" i="34" s="1"/>
  <c r="AH14" i="34"/>
  <c r="L14" i="34"/>
  <c r="K14" i="34"/>
  <c r="AW13" i="34"/>
  <c r="AY13" i="34" s="1"/>
  <c r="AV13" i="34"/>
  <c r="AX13" i="34" s="1"/>
  <c r="AS13" i="34"/>
  <c r="AU13" i="34" s="1"/>
  <c r="AR13" i="34"/>
  <c r="AT13" i="34" s="1"/>
  <c r="AH13" i="34"/>
  <c r="L13" i="34"/>
  <c r="K13" i="34"/>
  <c r="AW12" i="34"/>
  <c r="AY12" i="34" s="1"/>
  <c r="AV12" i="34"/>
  <c r="AX12" i="34" s="1"/>
  <c r="AS12" i="34"/>
  <c r="AU12" i="34" s="1"/>
  <c r="AR12" i="34"/>
  <c r="AT12" i="34" s="1"/>
  <c r="AH12" i="34"/>
  <c r="L12" i="34"/>
  <c r="K12" i="34"/>
  <c r="AW11" i="34"/>
  <c r="AY11" i="34" s="1"/>
  <c r="AV11" i="34"/>
  <c r="AX11" i="34" s="1"/>
  <c r="AU11" i="34"/>
  <c r="AS11" i="34"/>
  <c r="AR11" i="34"/>
  <c r="AT11" i="34" s="1"/>
  <c r="AH11" i="34"/>
  <c r="L11" i="34"/>
  <c r="K11" i="34"/>
  <c r="AW10" i="34"/>
  <c r="AY10" i="34" s="1"/>
  <c r="AV10" i="34"/>
  <c r="AX10" i="34" s="1"/>
  <c r="AS10" i="34"/>
  <c r="AU10" i="34" s="1"/>
  <c r="AR10" i="34"/>
  <c r="AT10" i="34" s="1"/>
  <c r="AH10" i="34"/>
  <c r="L10" i="34"/>
  <c r="K10" i="34"/>
  <c r="AW9" i="34"/>
  <c r="AY9" i="34" s="1"/>
  <c r="AV9" i="34"/>
  <c r="AX9" i="34" s="1"/>
  <c r="AS9" i="34"/>
  <c r="AU9" i="34" s="1"/>
  <c r="AR9" i="34"/>
  <c r="AT9" i="34" s="1"/>
  <c r="AH9" i="34"/>
  <c r="L9" i="34"/>
  <c r="K9" i="34"/>
  <c r="AW8" i="34"/>
  <c r="AY8" i="34" s="1"/>
  <c r="AV8" i="34"/>
  <c r="AX8" i="34" s="1"/>
  <c r="AS8" i="34"/>
  <c r="AU8" i="34" s="1"/>
  <c r="AR8" i="34"/>
  <c r="AT8" i="34" s="1"/>
  <c r="AH8" i="34"/>
  <c r="L8" i="34"/>
  <c r="K8" i="34"/>
  <c r="AY7" i="34"/>
  <c r="AW7" i="34"/>
  <c r="AV7" i="34"/>
  <c r="AX7" i="34" s="1"/>
  <c r="AS7" i="34"/>
  <c r="AU7" i="34" s="1"/>
  <c r="AR7" i="34"/>
  <c r="AT7" i="34" s="1"/>
  <c r="AH7" i="34"/>
  <c r="L7" i="34"/>
  <c r="K7" i="34"/>
  <c r="AW6" i="34"/>
  <c r="AY6" i="34" s="1"/>
  <c r="AV6" i="34"/>
  <c r="AX6" i="34" s="1"/>
  <c r="AS6" i="34"/>
  <c r="AU6" i="34" s="1"/>
  <c r="AR6" i="34"/>
  <c r="AT6" i="34" s="1"/>
  <c r="AH6" i="34"/>
  <c r="L6" i="34"/>
  <c r="K6" i="34"/>
  <c r="AW5" i="34"/>
  <c r="AY5" i="34" s="1"/>
  <c r="AV5" i="34"/>
  <c r="AX5" i="34" s="1"/>
  <c r="AS5" i="34"/>
  <c r="AU5" i="34" s="1"/>
  <c r="AR5" i="34"/>
  <c r="AT5" i="34" s="1"/>
  <c r="AH5" i="34"/>
  <c r="L5" i="34"/>
  <c r="K5" i="34"/>
  <c r="AW4" i="34"/>
  <c r="AY4" i="34" s="1"/>
  <c r="AV4" i="34"/>
  <c r="AX4" i="34" s="1"/>
  <c r="AS4" i="34"/>
  <c r="AU4" i="34" s="1"/>
  <c r="AR4" i="34"/>
  <c r="AT4" i="34" s="1"/>
  <c r="AH4" i="34"/>
  <c r="L4" i="34"/>
  <c r="K4" i="34"/>
  <c r="AW3" i="34"/>
  <c r="AY3" i="34" s="1"/>
  <c r="AV3" i="34"/>
  <c r="AX3" i="34" s="1"/>
  <c r="AS3" i="34"/>
  <c r="AU3" i="34" s="1"/>
  <c r="AR3" i="34"/>
  <c r="AT3" i="34" s="1"/>
  <c r="AH3" i="34"/>
  <c r="L3" i="34"/>
  <c r="K3" i="34"/>
  <c r="L119" i="33"/>
  <c r="E118" i="33"/>
  <c r="R116" i="33"/>
  <c r="Q116" i="33"/>
  <c r="P116" i="33"/>
  <c r="O116" i="33"/>
  <c r="N116" i="33"/>
  <c r="M116" i="33"/>
  <c r="L116" i="33"/>
  <c r="K116" i="33"/>
  <c r="J116" i="33"/>
  <c r="I116" i="33"/>
  <c r="H116" i="33"/>
  <c r="G116" i="33"/>
  <c r="F116" i="33"/>
  <c r="E116" i="33"/>
  <c r="R113" i="33"/>
  <c r="Q113" i="33"/>
  <c r="P113" i="33"/>
  <c r="L113" i="33"/>
  <c r="K113" i="33"/>
  <c r="J113" i="33"/>
  <c r="I113" i="33"/>
  <c r="F113" i="33"/>
  <c r="E113" i="33"/>
  <c r="R112" i="33"/>
  <c r="Q112" i="33"/>
  <c r="P112" i="33"/>
  <c r="O112" i="33"/>
  <c r="N112" i="33"/>
  <c r="M112" i="33"/>
  <c r="L112" i="33"/>
  <c r="K112" i="33"/>
  <c r="I112" i="33"/>
  <c r="H112" i="33"/>
  <c r="G112" i="33"/>
  <c r="F112" i="33"/>
  <c r="E112" i="33"/>
  <c r="O111" i="33"/>
  <c r="N111" i="33"/>
  <c r="M111" i="33"/>
  <c r="J111" i="33"/>
  <c r="R110" i="33"/>
  <c r="Q110" i="33"/>
  <c r="P110" i="33"/>
  <c r="O110" i="33"/>
  <c r="N110" i="33"/>
  <c r="M110" i="33"/>
  <c r="L110" i="33"/>
  <c r="K110" i="33"/>
  <c r="J110" i="33"/>
  <c r="I110" i="33"/>
  <c r="H110" i="33"/>
  <c r="G110" i="33"/>
  <c r="F110" i="33"/>
  <c r="E110" i="33"/>
  <c r="R107" i="33"/>
  <c r="Q107" i="33"/>
  <c r="Q119" i="33" s="1"/>
  <c r="P107" i="33"/>
  <c r="P119" i="33" s="1"/>
  <c r="L107" i="33"/>
  <c r="K107" i="33"/>
  <c r="K119" i="33" s="1"/>
  <c r="J107" i="33"/>
  <c r="J119" i="33" s="1"/>
  <c r="I107" i="33"/>
  <c r="I119" i="33" s="1"/>
  <c r="H107" i="33"/>
  <c r="F107" i="33"/>
  <c r="F119" i="33" s="1"/>
  <c r="E107" i="33"/>
  <c r="R106" i="33"/>
  <c r="R118" i="33" s="1"/>
  <c r="Q106" i="33"/>
  <c r="Q118" i="33" s="1"/>
  <c r="P106" i="33"/>
  <c r="P118" i="33" s="1"/>
  <c r="O106" i="33"/>
  <c r="N106" i="33"/>
  <c r="N118" i="33" s="1"/>
  <c r="M106" i="33"/>
  <c r="M118" i="33" s="1"/>
  <c r="L106" i="33"/>
  <c r="L118" i="33" s="1"/>
  <c r="K106" i="33"/>
  <c r="I106" i="33"/>
  <c r="I118" i="33" s="1"/>
  <c r="H106" i="33"/>
  <c r="H118" i="33" s="1"/>
  <c r="G106" i="33"/>
  <c r="G118" i="33" s="1"/>
  <c r="F106" i="33"/>
  <c r="F118" i="33" s="1"/>
  <c r="E106" i="33"/>
  <c r="D106" i="33"/>
  <c r="Q105" i="33"/>
  <c r="P105" i="33"/>
  <c r="O105" i="33"/>
  <c r="O117" i="33" s="1"/>
  <c r="N105" i="33"/>
  <c r="N117" i="33" s="1"/>
  <c r="M105" i="33"/>
  <c r="M117" i="33" s="1"/>
  <c r="J105" i="33"/>
  <c r="I105" i="33"/>
  <c r="H105" i="33"/>
  <c r="E105" i="33"/>
  <c r="D105" i="33"/>
  <c r="R104" i="33"/>
  <c r="Q104" i="33"/>
  <c r="P104" i="33"/>
  <c r="O104" i="33"/>
  <c r="N104" i="33"/>
  <c r="M104" i="33"/>
  <c r="L104" i="33"/>
  <c r="K104" i="33"/>
  <c r="J104" i="33"/>
  <c r="I104" i="33"/>
  <c r="H104" i="33"/>
  <c r="G104" i="33"/>
  <c r="F104" i="33"/>
  <c r="E104" i="33"/>
  <c r="R99" i="33"/>
  <c r="Q99" i="33"/>
  <c r="P99" i="33"/>
  <c r="L99" i="33"/>
  <c r="K99" i="33"/>
  <c r="J99" i="33"/>
  <c r="I99" i="33"/>
  <c r="F99" i="33"/>
  <c r="E99" i="33"/>
  <c r="R98" i="33"/>
  <c r="Q98" i="33"/>
  <c r="P98" i="33"/>
  <c r="O98" i="33"/>
  <c r="N98" i="33"/>
  <c r="M98" i="33"/>
  <c r="L98" i="33"/>
  <c r="K98" i="33"/>
  <c r="I98" i="33"/>
  <c r="H98" i="33"/>
  <c r="G98" i="33"/>
  <c r="F98" i="33"/>
  <c r="E98" i="33"/>
  <c r="O97" i="33"/>
  <c r="N97" i="33"/>
  <c r="M97" i="33"/>
  <c r="J97" i="33"/>
  <c r="R96" i="33"/>
  <c r="Q96" i="33"/>
  <c r="P96" i="33"/>
  <c r="O96" i="33"/>
  <c r="N96" i="33"/>
  <c r="M96" i="33"/>
  <c r="L96" i="33"/>
  <c r="K96" i="33"/>
  <c r="J96" i="33"/>
  <c r="I96" i="33"/>
  <c r="H96" i="33"/>
  <c r="G96" i="33"/>
  <c r="F96" i="33"/>
  <c r="E96" i="33"/>
  <c r="O93" i="33"/>
  <c r="N93" i="33"/>
  <c r="N94" i="33" s="1"/>
  <c r="M93" i="33"/>
  <c r="M94" i="33" s="1"/>
  <c r="H93" i="33"/>
  <c r="G93" i="33"/>
  <c r="D93" i="33"/>
  <c r="J92" i="33"/>
  <c r="J94" i="33" s="1"/>
  <c r="D92" i="33"/>
  <c r="R91" i="33"/>
  <c r="R94" i="33" s="1"/>
  <c r="Q91" i="33"/>
  <c r="Q94" i="33" s="1"/>
  <c r="P91" i="33"/>
  <c r="P94" i="33" s="1"/>
  <c r="L91" i="33"/>
  <c r="L94" i="33" s="1"/>
  <c r="K91" i="33"/>
  <c r="K94" i="33" s="1"/>
  <c r="I91" i="33"/>
  <c r="I94" i="33" s="1"/>
  <c r="H91" i="33"/>
  <c r="H94" i="33" s="1"/>
  <c r="G91" i="33"/>
  <c r="F91" i="33"/>
  <c r="F94" i="33" s="1"/>
  <c r="F100" i="33" s="1"/>
  <c r="E91" i="33"/>
  <c r="E94" i="33" s="1"/>
  <c r="D91" i="33"/>
  <c r="R90" i="33"/>
  <c r="Q90" i="33"/>
  <c r="P90" i="33"/>
  <c r="O90" i="33"/>
  <c r="N90" i="33"/>
  <c r="M90" i="33"/>
  <c r="L90" i="33"/>
  <c r="K90" i="33"/>
  <c r="J90" i="33"/>
  <c r="I90" i="33"/>
  <c r="H90" i="33"/>
  <c r="G90" i="33"/>
  <c r="F90" i="33"/>
  <c r="E90" i="33"/>
  <c r="Q88" i="33"/>
  <c r="Q100" i="33" s="1"/>
  <c r="P88" i="33"/>
  <c r="I88" i="33"/>
  <c r="H88" i="33"/>
  <c r="E88" i="33"/>
  <c r="O87" i="33"/>
  <c r="O88" i="33" s="1"/>
  <c r="N87" i="33"/>
  <c r="M87" i="33"/>
  <c r="H87" i="33"/>
  <c r="G87" i="33"/>
  <c r="D87" i="33"/>
  <c r="T86" i="33"/>
  <c r="J86" i="33"/>
  <c r="J88" i="33" s="1"/>
  <c r="D86" i="33"/>
  <c r="R85" i="33"/>
  <c r="R88" i="33" s="1"/>
  <c r="Q85" i="33"/>
  <c r="P85" i="33"/>
  <c r="L85" i="33"/>
  <c r="K85" i="33"/>
  <c r="K88" i="33" s="1"/>
  <c r="I85" i="33"/>
  <c r="H85" i="33"/>
  <c r="G85" i="33"/>
  <c r="G88" i="33" s="1"/>
  <c r="F85" i="33"/>
  <c r="F88" i="33" s="1"/>
  <c r="E85" i="33"/>
  <c r="D85" i="33"/>
  <c r="R84" i="33"/>
  <c r="Q84" i="33"/>
  <c r="P84" i="33"/>
  <c r="O84" i="33"/>
  <c r="N84" i="33"/>
  <c r="M84" i="33"/>
  <c r="L84" i="33"/>
  <c r="K84" i="33"/>
  <c r="J84" i="33"/>
  <c r="I84" i="33"/>
  <c r="H84" i="33"/>
  <c r="G84" i="33"/>
  <c r="F84" i="33"/>
  <c r="E84" i="33"/>
  <c r="R80" i="33"/>
  <c r="Q80" i="33"/>
  <c r="P80" i="33"/>
  <c r="L80" i="33"/>
  <c r="K80" i="33"/>
  <c r="J80" i="33"/>
  <c r="I80" i="33"/>
  <c r="F80" i="33"/>
  <c r="E80" i="33"/>
  <c r="R79" i="33"/>
  <c r="Q79" i="33"/>
  <c r="P79" i="33"/>
  <c r="O79" i="33"/>
  <c r="N79" i="33"/>
  <c r="M79" i="33"/>
  <c r="L79" i="33"/>
  <c r="K79" i="33"/>
  <c r="I79" i="33"/>
  <c r="H79" i="33"/>
  <c r="G79" i="33"/>
  <c r="F79" i="33"/>
  <c r="E79" i="33"/>
  <c r="O78" i="33"/>
  <c r="N78" i="33"/>
  <c r="M78" i="33"/>
  <c r="J78" i="33"/>
  <c r="O74" i="33"/>
  <c r="O75" i="33" s="1"/>
  <c r="N74" i="33"/>
  <c r="N75" i="33" s="1"/>
  <c r="M74" i="33"/>
  <c r="M113" i="33" s="1"/>
  <c r="H74" i="33"/>
  <c r="G74" i="33"/>
  <c r="G113" i="33" s="1"/>
  <c r="D74" i="33"/>
  <c r="J73" i="33"/>
  <c r="J75" i="33" s="1"/>
  <c r="D73" i="33"/>
  <c r="R72" i="33"/>
  <c r="R75" i="33" s="1"/>
  <c r="Q72" i="33"/>
  <c r="Q111" i="33" s="1"/>
  <c r="Q114" i="33" s="1"/>
  <c r="P72" i="33"/>
  <c r="P78" i="33" s="1"/>
  <c r="L72" i="33"/>
  <c r="K72" i="33"/>
  <c r="K75" i="33" s="1"/>
  <c r="I72" i="33"/>
  <c r="I111" i="33" s="1"/>
  <c r="I114" i="33" s="1"/>
  <c r="H72" i="33"/>
  <c r="G72" i="33"/>
  <c r="F72" i="33"/>
  <c r="F75" i="33" s="1"/>
  <c r="E72" i="33"/>
  <c r="E111" i="33" s="1"/>
  <c r="E114" i="33" s="1"/>
  <c r="D72" i="33"/>
  <c r="D111" i="33" s="1"/>
  <c r="R71" i="33"/>
  <c r="Q71" i="33"/>
  <c r="P71" i="33"/>
  <c r="O71" i="33"/>
  <c r="N71" i="33"/>
  <c r="M71" i="33"/>
  <c r="L71" i="33"/>
  <c r="K71" i="33"/>
  <c r="J71" i="33"/>
  <c r="I71" i="33"/>
  <c r="H71" i="33"/>
  <c r="G71" i="33"/>
  <c r="F71" i="33"/>
  <c r="E71" i="33"/>
  <c r="Q69" i="33"/>
  <c r="P69" i="33"/>
  <c r="M69" i="33"/>
  <c r="I69" i="33"/>
  <c r="H69" i="33"/>
  <c r="E69" i="33"/>
  <c r="O68" i="33"/>
  <c r="O107" i="33" s="1"/>
  <c r="N68" i="33"/>
  <c r="M68" i="33"/>
  <c r="H68" i="33"/>
  <c r="G68" i="33"/>
  <c r="G107" i="33" s="1"/>
  <c r="D68" i="33"/>
  <c r="T67" i="33"/>
  <c r="J67" i="33"/>
  <c r="J106" i="33" s="1"/>
  <c r="D67" i="33"/>
  <c r="R66" i="33"/>
  <c r="Q66" i="33"/>
  <c r="P66" i="33"/>
  <c r="L66" i="33"/>
  <c r="K66" i="33"/>
  <c r="I66" i="33"/>
  <c r="H66" i="33"/>
  <c r="G66" i="33"/>
  <c r="F66" i="33"/>
  <c r="E66" i="33"/>
  <c r="D66" i="33"/>
  <c r="AW60" i="33"/>
  <c r="AY60" i="33" s="1"/>
  <c r="AV60" i="33"/>
  <c r="AX60" i="33" s="1"/>
  <c r="AS60" i="33"/>
  <c r="AU60" i="33" s="1"/>
  <c r="AR60" i="33"/>
  <c r="AT60" i="33" s="1"/>
  <c r="AH60" i="33"/>
  <c r="L60" i="33"/>
  <c r="K60" i="33"/>
  <c r="AW59" i="33"/>
  <c r="AY59" i="33" s="1"/>
  <c r="AV59" i="33"/>
  <c r="AX59" i="33" s="1"/>
  <c r="AS59" i="33"/>
  <c r="AU59" i="33" s="1"/>
  <c r="AR59" i="33"/>
  <c r="AT59" i="33" s="1"/>
  <c r="AH59" i="33"/>
  <c r="L59" i="33"/>
  <c r="K59" i="33"/>
  <c r="AW58" i="33"/>
  <c r="AY58" i="33" s="1"/>
  <c r="AV58" i="33"/>
  <c r="AX58" i="33" s="1"/>
  <c r="AS58" i="33"/>
  <c r="AU58" i="33" s="1"/>
  <c r="AR58" i="33"/>
  <c r="AT58" i="33" s="1"/>
  <c r="AH58" i="33"/>
  <c r="L58" i="33"/>
  <c r="K58" i="33"/>
  <c r="AW57" i="33"/>
  <c r="AY57" i="33" s="1"/>
  <c r="AV57" i="33"/>
  <c r="AX57" i="33" s="1"/>
  <c r="AS57" i="33"/>
  <c r="AU57" i="33" s="1"/>
  <c r="AR57" i="33"/>
  <c r="AT57" i="33" s="1"/>
  <c r="AH57" i="33"/>
  <c r="L57" i="33"/>
  <c r="K57" i="33"/>
  <c r="AW56" i="33"/>
  <c r="AY56" i="33" s="1"/>
  <c r="AV56" i="33"/>
  <c r="AX56" i="33" s="1"/>
  <c r="AS56" i="33"/>
  <c r="AU56" i="33" s="1"/>
  <c r="AR56" i="33"/>
  <c r="AT56" i="33" s="1"/>
  <c r="AH56" i="33"/>
  <c r="L56" i="33"/>
  <c r="K56" i="33"/>
  <c r="AW55" i="33"/>
  <c r="AY55" i="33" s="1"/>
  <c r="AV55" i="33"/>
  <c r="AX55" i="33" s="1"/>
  <c r="AS55" i="33"/>
  <c r="AU55" i="33" s="1"/>
  <c r="AR55" i="33"/>
  <c r="AT55" i="33" s="1"/>
  <c r="AH55" i="33"/>
  <c r="L55" i="33"/>
  <c r="K55" i="33"/>
  <c r="AW54" i="33"/>
  <c r="AY54" i="33" s="1"/>
  <c r="AV54" i="33"/>
  <c r="AX54" i="33" s="1"/>
  <c r="AS54" i="33"/>
  <c r="AU54" i="33" s="1"/>
  <c r="AR54" i="33"/>
  <c r="AT54" i="33" s="1"/>
  <c r="AH54" i="33"/>
  <c r="L54" i="33"/>
  <c r="K54" i="33"/>
  <c r="AW53" i="33"/>
  <c r="AY53" i="33" s="1"/>
  <c r="AV53" i="33"/>
  <c r="AX53" i="33" s="1"/>
  <c r="AU53" i="33"/>
  <c r="AS53" i="33"/>
  <c r="AR53" i="33"/>
  <c r="AT53" i="33" s="1"/>
  <c r="AH53" i="33"/>
  <c r="L53" i="33"/>
  <c r="K53" i="33"/>
  <c r="AW52" i="33"/>
  <c r="AY52" i="33" s="1"/>
  <c r="AV52" i="33"/>
  <c r="AX52" i="33" s="1"/>
  <c r="AS52" i="33"/>
  <c r="AU52" i="33" s="1"/>
  <c r="AR52" i="33"/>
  <c r="AT52" i="33" s="1"/>
  <c r="AH52" i="33"/>
  <c r="L52" i="33"/>
  <c r="K52" i="33"/>
  <c r="AW51" i="33"/>
  <c r="AY51" i="33" s="1"/>
  <c r="AV51" i="33"/>
  <c r="AX51" i="33" s="1"/>
  <c r="AS51" i="33"/>
  <c r="AU51" i="33" s="1"/>
  <c r="AR51" i="33"/>
  <c r="AT51" i="33" s="1"/>
  <c r="AH51" i="33"/>
  <c r="L51" i="33"/>
  <c r="K51" i="33"/>
  <c r="AW50" i="33"/>
  <c r="AY50" i="33" s="1"/>
  <c r="AV50" i="33"/>
  <c r="AX50" i="33" s="1"/>
  <c r="AS50" i="33"/>
  <c r="AU50" i="33" s="1"/>
  <c r="AR50" i="33"/>
  <c r="AT50" i="33" s="1"/>
  <c r="AH50" i="33"/>
  <c r="L50" i="33"/>
  <c r="K50" i="33"/>
  <c r="AW49" i="33"/>
  <c r="AY49" i="33" s="1"/>
  <c r="AV49" i="33"/>
  <c r="AX49" i="33" s="1"/>
  <c r="AS49" i="33"/>
  <c r="AU49" i="33" s="1"/>
  <c r="AR49" i="33"/>
  <c r="AT49" i="33" s="1"/>
  <c r="AH49" i="33"/>
  <c r="L49" i="33"/>
  <c r="K49" i="33"/>
  <c r="AW48" i="33"/>
  <c r="AY48" i="33" s="1"/>
  <c r="AV48" i="33"/>
  <c r="AX48" i="33" s="1"/>
  <c r="AU48" i="33"/>
  <c r="AS48" i="33"/>
  <c r="AR48" i="33"/>
  <c r="AT48" i="33" s="1"/>
  <c r="AH48" i="33"/>
  <c r="L48" i="33"/>
  <c r="K48" i="33"/>
  <c r="AW47" i="33"/>
  <c r="AY47" i="33" s="1"/>
  <c r="AV47" i="33"/>
  <c r="AX47" i="33" s="1"/>
  <c r="AS47" i="33"/>
  <c r="AU47" i="33" s="1"/>
  <c r="AR47" i="33"/>
  <c r="AT47" i="33" s="1"/>
  <c r="AH47" i="33"/>
  <c r="L47" i="33"/>
  <c r="K47" i="33"/>
  <c r="AW46" i="33"/>
  <c r="AY46" i="33" s="1"/>
  <c r="AV46" i="33"/>
  <c r="AX46" i="33" s="1"/>
  <c r="AS46" i="33"/>
  <c r="AU46" i="33" s="1"/>
  <c r="AR46" i="33"/>
  <c r="AT46" i="33" s="1"/>
  <c r="AH46" i="33"/>
  <c r="L46" i="33"/>
  <c r="K46" i="33"/>
  <c r="AW45" i="33"/>
  <c r="AY45" i="33" s="1"/>
  <c r="AV45" i="33"/>
  <c r="AX45" i="33" s="1"/>
  <c r="AS45" i="33"/>
  <c r="AU45" i="33" s="1"/>
  <c r="AR45" i="33"/>
  <c r="AT45" i="33" s="1"/>
  <c r="AH45" i="33"/>
  <c r="L45" i="33"/>
  <c r="K45" i="33"/>
  <c r="AW44" i="33"/>
  <c r="AY44" i="33" s="1"/>
  <c r="AV44" i="33"/>
  <c r="AX44" i="33" s="1"/>
  <c r="AS44" i="33"/>
  <c r="AU44" i="33" s="1"/>
  <c r="AR44" i="33"/>
  <c r="AT44" i="33" s="1"/>
  <c r="AH44" i="33"/>
  <c r="L44" i="33"/>
  <c r="K44" i="33"/>
  <c r="AW43" i="33"/>
  <c r="AY43" i="33" s="1"/>
  <c r="AV43" i="33"/>
  <c r="AX43" i="33" s="1"/>
  <c r="AS43" i="33"/>
  <c r="AU43" i="33" s="1"/>
  <c r="AR43" i="33"/>
  <c r="AT43" i="33" s="1"/>
  <c r="AH43" i="33"/>
  <c r="L43" i="33"/>
  <c r="K43" i="33"/>
  <c r="AW42" i="33"/>
  <c r="AY42" i="33" s="1"/>
  <c r="AV42" i="33"/>
  <c r="AX42" i="33" s="1"/>
  <c r="AS42" i="33"/>
  <c r="AU42" i="33" s="1"/>
  <c r="AR42" i="33"/>
  <c r="AT42" i="33" s="1"/>
  <c r="AH42" i="33"/>
  <c r="L42" i="33"/>
  <c r="K42" i="33"/>
  <c r="AW41" i="33"/>
  <c r="AY41" i="33" s="1"/>
  <c r="AV41" i="33"/>
  <c r="AX41" i="33" s="1"/>
  <c r="AS41" i="33"/>
  <c r="AU41" i="33" s="1"/>
  <c r="AR41" i="33"/>
  <c r="AT41" i="33" s="1"/>
  <c r="AH41" i="33"/>
  <c r="L41" i="33"/>
  <c r="K41" i="33"/>
  <c r="AW40" i="33"/>
  <c r="AY40" i="33" s="1"/>
  <c r="AV40" i="33"/>
  <c r="AX40" i="33" s="1"/>
  <c r="AU40" i="33"/>
  <c r="AS40" i="33"/>
  <c r="AR40" i="33"/>
  <c r="AT40" i="33" s="1"/>
  <c r="AH40" i="33"/>
  <c r="L40" i="33"/>
  <c r="K40" i="33"/>
  <c r="AW39" i="33"/>
  <c r="AY39" i="33" s="1"/>
  <c r="AV39" i="33"/>
  <c r="AX39" i="33" s="1"/>
  <c r="AS39" i="33"/>
  <c r="AU39" i="33" s="1"/>
  <c r="AR39" i="33"/>
  <c r="AT39" i="33" s="1"/>
  <c r="AH39" i="33"/>
  <c r="L39" i="33"/>
  <c r="K39" i="33"/>
  <c r="AW38" i="33"/>
  <c r="AY38" i="33" s="1"/>
  <c r="AV38" i="33"/>
  <c r="AX38" i="33" s="1"/>
  <c r="AS38" i="33"/>
  <c r="AU38" i="33" s="1"/>
  <c r="AR38" i="33"/>
  <c r="AT38" i="33" s="1"/>
  <c r="AH38" i="33"/>
  <c r="L38" i="33"/>
  <c r="K38" i="33"/>
  <c r="AW37" i="33"/>
  <c r="AY37" i="33" s="1"/>
  <c r="AV37" i="33"/>
  <c r="AX37" i="33" s="1"/>
  <c r="AS37" i="33"/>
  <c r="AU37" i="33" s="1"/>
  <c r="AR37" i="33"/>
  <c r="AT37" i="33" s="1"/>
  <c r="AH37" i="33"/>
  <c r="L37" i="33"/>
  <c r="K37" i="33"/>
  <c r="AW36" i="33"/>
  <c r="AY36" i="33" s="1"/>
  <c r="AV36" i="33"/>
  <c r="AX36" i="33" s="1"/>
  <c r="AS36" i="33"/>
  <c r="AU36" i="33" s="1"/>
  <c r="AR36" i="33"/>
  <c r="AT36" i="33" s="1"/>
  <c r="AH36" i="33"/>
  <c r="L36" i="33"/>
  <c r="K36" i="33"/>
  <c r="AW35" i="33"/>
  <c r="AY35" i="33" s="1"/>
  <c r="AV35" i="33"/>
  <c r="AX35" i="33" s="1"/>
  <c r="AS35" i="33"/>
  <c r="AU35" i="33" s="1"/>
  <c r="AR35" i="33"/>
  <c r="AT35" i="33" s="1"/>
  <c r="AH35" i="33"/>
  <c r="L35" i="33"/>
  <c r="K35" i="33"/>
  <c r="AW34" i="33"/>
  <c r="AY34" i="33" s="1"/>
  <c r="AV34" i="33"/>
  <c r="AX34" i="33" s="1"/>
  <c r="AS34" i="33"/>
  <c r="AU34" i="33" s="1"/>
  <c r="AR34" i="33"/>
  <c r="AT34" i="33" s="1"/>
  <c r="AH34" i="33"/>
  <c r="L34" i="33"/>
  <c r="K34" i="33"/>
  <c r="AW33" i="33"/>
  <c r="AY33" i="33" s="1"/>
  <c r="AV33" i="33"/>
  <c r="AX33" i="33" s="1"/>
  <c r="AS33" i="33"/>
  <c r="AU33" i="33" s="1"/>
  <c r="AR33" i="33"/>
  <c r="AT33" i="33" s="1"/>
  <c r="AH33" i="33"/>
  <c r="L33" i="33"/>
  <c r="K33" i="33"/>
  <c r="AW32" i="33"/>
  <c r="AY32" i="33" s="1"/>
  <c r="AV32" i="33"/>
  <c r="AX32" i="33" s="1"/>
  <c r="AU32" i="33"/>
  <c r="AS32" i="33"/>
  <c r="AR32" i="33"/>
  <c r="AT32" i="33" s="1"/>
  <c r="AH32" i="33"/>
  <c r="L32" i="33"/>
  <c r="K32" i="33"/>
  <c r="AW31" i="33"/>
  <c r="AY31" i="33" s="1"/>
  <c r="AV31" i="33"/>
  <c r="AX31" i="33" s="1"/>
  <c r="AS31" i="33"/>
  <c r="AU31" i="33" s="1"/>
  <c r="AR31" i="33"/>
  <c r="AT31" i="33" s="1"/>
  <c r="AH31" i="33"/>
  <c r="L31" i="33"/>
  <c r="K31" i="33"/>
  <c r="AW30" i="33"/>
  <c r="AY30" i="33" s="1"/>
  <c r="AV30" i="33"/>
  <c r="AX30" i="33" s="1"/>
  <c r="AS30" i="33"/>
  <c r="AU30" i="33" s="1"/>
  <c r="AR30" i="33"/>
  <c r="AT30" i="33" s="1"/>
  <c r="AH30" i="33"/>
  <c r="L30" i="33"/>
  <c r="K30" i="33"/>
  <c r="AW29" i="33"/>
  <c r="AY29" i="33" s="1"/>
  <c r="AV29" i="33"/>
  <c r="AX29" i="33" s="1"/>
  <c r="AS29" i="33"/>
  <c r="AU29" i="33" s="1"/>
  <c r="AR29" i="33"/>
  <c r="AT29" i="33" s="1"/>
  <c r="AH29" i="33"/>
  <c r="L29" i="33"/>
  <c r="K29" i="33"/>
  <c r="AW28" i="33"/>
  <c r="AY28" i="33" s="1"/>
  <c r="AV28" i="33"/>
  <c r="AX28" i="33" s="1"/>
  <c r="AS28" i="33"/>
  <c r="AU28" i="33" s="1"/>
  <c r="AR28" i="33"/>
  <c r="AT28" i="33" s="1"/>
  <c r="AH28" i="33"/>
  <c r="L28" i="33"/>
  <c r="K28" i="33"/>
  <c r="AW27" i="33"/>
  <c r="AY27" i="33" s="1"/>
  <c r="AV27" i="33"/>
  <c r="AX27" i="33" s="1"/>
  <c r="AS27" i="33"/>
  <c r="AU27" i="33" s="1"/>
  <c r="AR27" i="33"/>
  <c r="AT27" i="33" s="1"/>
  <c r="AH27" i="33"/>
  <c r="L27" i="33"/>
  <c r="K27" i="33"/>
  <c r="AW26" i="33"/>
  <c r="AY26" i="33" s="1"/>
  <c r="AV26" i="33"/>
  <c r="AX26" i="33" s="1"/>
  <c r="AS26" i="33"/>
  <c r="AU26" i="33" s="1"/>
  <c r="AR26" i="33"/>
  <c r="AT26" i="33" s="1"/>
  <c r="AH26" i="33"/>
  <c r="L26" i="33"/>
  <c r="K26" i="33"/>
  <c r="AW25" i="33"/>
  <c r="AY25" i="33" s="1"/>
  <c r="AV25" i="33"/>
  <c r="AX25" i="33" s="1"/>
  <c r="AS25" i="33"/>
  <c r="AU25" i="33" s="1"/>
  <c r="AR25" i="33"/>
  <c r="AT25" i="33" s="1"/>
  <c r="AH25" i="33"/>
  <c r="L25" i="33"/>
  <c r="K25" i="33"/>
  <c r="AW24" i="33"/>
  <c r="AY24" i="33" s="1"/>
  <c r="AV24" i="33"/>
  <c r="AX24" i="33" s="1"/>
  <c r="AU24" i="33"/>
  <c r="AS24" i="33"/>
  <c r="AR24" i="33"/>
  <c r="AT24" i="33" s="1"/>
  <c r="AH24" i="33"/>
  <c r="L24" i="33"/>
  <c r="K24" i="33"/>
  <c r="AW23" i="33"/>
  <c r="AY23" i="33" s="1"/>
  <c r="AV23" i="33"/>
  <c r="AX23" i="33" s="1"/>
  <c r="AS23" i="33"/>
  <c r="AU23" i="33" s="1"/>
  <c r="AR23" i="33"/>
  <c r="AT23" i="33" s="1"/>
  <c r="AH23" i="33"/>
  <c r="L23" i="33"/>
  <c r="K23" i="33"/>
  <c r="AW22" i="33"/>
  <c r="AY22" i="33" s="1"/>
  <c r="AV22" i="33"/>
  <c r="AX22" i="33" s="1"/>
  <c r="AS22" i="33"/>
  <c r="AU22" i="33" s="1"/>
  <c r="AR22" i="33"/>
  <c r="AT22" i="33" s="1"/>
  <c r="AH22" i="33"/>
  <c r="L22" i="33"/>
  <c r="K22" i="33"/>
  <c r="AW21" i="33"/>
  <c r="AY21" i="33" s="1"/>
  <c r="AV21" i="33"/>
  <c r="AX21" i="33" s="1"/>
  <c r="AS21" i="33"/>
  <c r="AU21" i="33" s="1"/>
  <c r="AR21" i="33"/>
  <c r="AT21" i="33" s="1"/>
  <c r="AH21" i="33"/>
  <c r="L21" i="33"/>
  <c r="K21" i="33"/>
  <c r="AW20" i="33"/>
  <c r="AY20" i="33" s="1"/>
  <c r="AV20" i="33"/>
  <c r="AX20" i="33" s="1"/>
  <c r="AS20" i="33"/>
  <c r="AU20" i="33" s="1"/>
  <c r="AR20" i="33"/>
  <c r="AT20" i="33" s="1"/>
  <c r="AH20" i="33"/>
  <c r="L20" i="33"/>
  <c r="K20" i="33"/>
  <c r="AW19" i="33"/>
  <c r="AY19" i="33" s="1"/>
  <c r="AV19" i="33"/>
  <c r="AX19" i="33" s="1"/>
  <c r="AS19" i="33"/>
  <c r="AU19" i="33" s="1"/>
  <c r="AR19" i="33"/>
  <c r="AT19" i="33" s="1"/>
  <c r="AH19" i="33"/>
  <c r="L19" i="33"/>
  <c r="K19" i="33"/>
  <c r="AW18" i="33"/>
  <c r="AY18" i="33" s="1"/>
  <c r="AV18" i="33"/>
  <c r="AX18" i="33" s="1"/>
  <c r="AS18" i="33"/>
  <c r="AU18" i="33" s="1"/>
  <c r="AR18" i="33"/>
  <c r="AT18" i="33" s="1"/>
  <c r="AH18" i="33"/>
  <c r="L18" i="33"/>
  <c r="K18" i="33"/>
  <c r="AW17" i="33"/>
  <c r="AY17" i="33" s="1"/>
  <c r="AV17" i="33"/>
  <c r="AX17" i="33" s="1"/>
  <c r="AS17" i="33"/>
  <c r="AU17" i="33" s="1"/>
  <c r="AR17" i="33"/>
  <c r="AT17" i="33" s="1"/>
  <c r="AH17" i="33"/>
  <c r="L17" i="33"/>
  <c r="K17" i="33"/>
  <c r="AW16" i="33"/>
  <c r="AY16" i="33" s="1"/>
  <c r="AV16" i="33"/>
  <c r="AX16" i="33" s="1"/>
  <c r="AU16" i="33"/>
  <c r="AS16" i="33"/>
  <c r="AR16" i="33"/>
  <c r="AT16" i="33" s="1"/>
  <c r="AH16" i="33"/>
  <c r="L16" i="33"/>
  <c r="K16" i="33"/>
  <c r="AW15" i="33"/>
  <c r="AY15" i="33" s="1"/>
  <c r="AV15" i="33"/>
  <c r="AX15" i="33" s="1"/>
  <c r="AS15" i="33"/>
  <c r="AU15" i="33" s="1"/>
  <c r="AR15" i="33"/>
  <c r="AT15" i="33" s="1"/>
  <c r="AH15" i="33"/>
  <c r="L15" i="33"/>
  <c r="K15" i="33"/>
  <c r="AW14" i="33"/>
  <c r="AY14" i="33" s="1"/>
  <c r="AV14" i="33"/>
  <c r="AX14" i="33" s="1"/>
  <c r="AS14" i="33"/>
  <c r="AU14" i="33" s="1"/>
  <c r="AR14" i="33"/>
  <c r="AT14" i="33" s="1"/>
  <c r="AH14" i="33"/>
  <c r="L14" i="33"/>
  <c r="K14" i="33"/>
  <c r="AW13" i="33"/>
  <c r="AY13" i="33" s="1"/>
  <c r="AV13" i="33"/>
  <c r="AX13" i="33" s="1"/>
  <c r="AS13" i="33"/>
  <c r="AU13" i="33" s="1"/>
  <c r="AR13" i="33"/>
  <c r="AT13" i="33" s="1"/>
  <c r="AH13" i="33"/>
  <c r="L13" i="33"/>
  <c r="K13" i="33"/>
  <c r="AW12" i="33"/>
  <c r="AY12" i="33" s="1"/>
  <c r="AV12" i="33"/>
  <c r="AX12" i="33" s="1"/>
  <c r="AS12" i="33"/>
  <c r="AU12" i="33" s="1"/>
  <c r="AR12" i="33"/>
  <c r="AT12" i="33" s="1"/>
  <c r="AH12" i="33"/>
  <c r="L12" i="33"/>
  <c r="K12" i="33"/>
  <c r="AW11" i="33"/>
  <c r="AY11" i="33" s="1"/>
  <c r="AV11" i="33"/>
  <c r="AX11" i="33" s="1"/>
  <c r="AS11" i="33"/>
  <c r="AU11" i="33" s="1"/>
  <c r="AR11" i="33"/>
  <c r="AT11" i="33" s="1"/>
  <c r="AH11" i="33"/>
  <c r="L11" i="33"/>
  <c r="K11" i="33"/>
  <c r="AW10" i="33"/>
  <c r="AY10" i="33" s="1"/>
  <c r="AV10" i="33"/>
  <c r="AX10" i="33" s="1"/>
  <c r="AS10" i="33"/>
  <c r="AU10" i="33" s="1"/>
  <c r="AR10" i="33"/>
  <c r="AT10" i="33" s="1"/>
  <c r="AH10" i="33"/>
  <c r="L10" i="33"/>
  <c r="K10" i="33"/>
  <c r="AW9" i="33"/>
  <c r="AY9" i="33" s="1"/>
  <c r="AV9" i="33"/>
  <c r="AX9" i="33" s="1"/>
  <c r="AS9" i="33"/>
  <c r="AU9" i="33" s="1"/>
  <c r="AR9" i="33"/>
  <c r="AT9" i="33" s="1"/>
  <c r="AH9" i="33"/>
  <c r="L9" i="33"/>
  <c r="K9" i="33"/>
  <c r="AW8" i="33"/>
  <c r="AY8" i="33" s="1"/>
  <c r="AV8" i="33"/>
  <c r="AX8" i="33" s="1"/>
  <c r="AU8" i="33"/>
  <c r="AS8" i="33"/>
  <c r="AR8" i="33"/>
  <c r="AT8" i="33" s="1"/>
  <c r="AH8" i="33"/>
  <c r="L8" i="33"/>
  <c r="K8" i="33"/>
  <c r="AW7" i="33"/>
  <c r="AY7" i="33" s="1"/>
  <c r="AV7" i="33"/>
  <c r="AX7" i="33" s="1"/>
  <c r="AS7" i="33"/>
  <c r="AU7" i="33" s="1"/>
  <c r="AR7" i="33"/>
  <c r="AT7" i="33" s="1"/>
  <c r="AH7" i="33"/>
  <c r="L7" i="33"/>
  <c r="K7" i="33"/>
  <c r="AW6" i="33"/>
  <c r="AY6" i="33" s="1"/>
  <c r="AV6" i="33"/>
  <c r="AX6" i="33" s="1"/>
  <c r="AS6" i="33"/>
  <c r="AU6" i="33" s="1"/>
  <c r="AR6" i="33"/>
  <c r="AT6" i="33" s="1"/>
  <c r="AH6" i="33"/>
  <c r="L6" i="33"/>
  <c r="K6" i="33"/>
  <c r="AW5" i="33"/>
  <c r="AY5" i="33" s="1"/>
  <c r="AV5" i="33"/>
  <c r="AX5" i="33" s="1"/>
  <c r="AS5" i="33"/>
  <c r="AU5" i="33" s="1"/>
  <c r="AR5" i="33"/>
  <c r="AT5" i="33" s="1"/>
  <c r="AH5" i="33"/>
  <c r="L5" i="33"/>
  <c r="K5" i="33"/>
  <c r="AW4" i="33"/>
  <c r="AY4" i="33" s="1"/>
  <c r="AV4" i="33"/>
  <c r="AX4" i="33" s="1"/>
  <c r="AS4" i="33"/>
  <c r="AU4" i="33" s="1"/>
  <c r="AR4" i="33"/>
  <c r="AT4" i="33" s="1"/>
  <c r="AH4" i="33"/>
  <c r="L4" i="33"/>
  <c r="K4" i="33"/>
  <c r="AW3" i="33"/>
  <c r="AY3" i="33" s="1"/>
  <c r="AV3" i="33"/>
  <c r="AX3" i="33" s="1"/>
  <c r="AS3" i="33"/>
  <c r="AU3" i="33" s="1"/>
  <c r="AR3" i="33"/>
  <c r="AT3" i="33" s="1"/>
  <c r="AH3" i="33"/>
  <c r="L3" i="33"/>
  <c r="K3" i="33"/>
  <c r="R116" i="32"/>
  <c r="Q116" i="32"/>
  <c r="P116" i="32"/>
  <c r="O116" i="32"/>
  <c r="N116" i="32"/>
  <c r="M116" i="32"/>
  <c r="L116" i="32"/>
  <c r="K116" i="32"/>
  <c r="J116" i="32"/>
  <c r="I116" i="32"/>
  <c r="H116" i="32"/>
  <c r="G116" i="32"/>
  <c r="F116" i="32"/>
  <c r="E116" i="32"/>
  <c r="R113" i="32"/>
  <c r="Q113" i="32"/>
  <c r="P113" i="32"/>
  <c r="L113" i="32"/>
  <c r="K113" i="32"/>
  <c r="J113" i="32"/>
  <c r="I113" i="32"/>
  <c r="F113" i="32"/>
  <c r="E113" i="32"/>
  <c r="R112" i="32"/>
  <c r="Q112" i="32"/>
  <c r="P112" i="32"/>
  <c r="O112" i="32"/>
  <c r="N112" i="32"/>
  <c r="M112" i="32"/>
  <c r="L112" i="32"/>
  <c r="K112" i="32"/>
  <c r="I112" i="32"/>
  <c r="H112" i="32"/>
  <c r="G112" i="32"/>
  <c r="F112" i="32"/>
  <c r="E112" i="32"/>
  <c r="O111" i="32"/>
  <c r="N111" i="32"/>
  <c r="M111" i="32"/>
  <c r="J111" i="32"/>
  <c r="R110" i="32"/>
  <c r="Q110" i="32"/>
  <c r="P110" i="32"/>
  <c r="O110" i="32"/>
  <c r="N110" i="32"/>
  <c r="M110" i="32"/>
  <c r="L110" i="32"/>
  <c r="K110" i="32"/>
  <c r="J110" i="32"/>
  <c r="I110" i="32"/>
  <c r="H110" i="32"/>
  <c r="G110" i="32"/>
  <c r="F110" i="32"/>
  <c r="E110" i="32"/>
  <c r="R107" i="32"/>
  <c r="R119" i="32" s="1"/>
  <c r="Q107" i="32"/>
  <c r="Q119" i="32" s="1"/>
  <c r="P107" i="32"/>
  <c r="P119" i="32" s="1"/>
  <c r="L107" i="32"/>
  <c r="L119" i="32" s="1"/>
  <c r="K107" i="32"/>
  <c r="K119" i="32" s="1"/>
  <c r="J107" i="32"/>
  <c r="J119" i="32" s="1"/>
  <c r="I107" i="32"/>
  <c r="I119" i="32" s="1"/>
  <c r="H107" i="32"/>
  <c r="F107" i="32"/>
  <c r="F119" i="32" s="1"/>
  <c r="E107" i="32"/>
  <c r="R106" i="32"/>
  <c r="R118" i="32" s="1"/>
  <c r="Q106" i="32"/>
  <c r="Q118" i="32" s="1"/>
  <c r="P106" i="32"/>
  <c r="P118" i="32" s="1"/>
  <c r="O106" i="32"/>
  <c r="O118" i="32" s="1"/>
  <c r="N106" i="32"/>
  <c r="N118" i="32" s="1"/>
  <c r="M106" i="32"/>
  <c r="M118" i="32" s="1"/>
  <c r="L106" i="32"/>
  <c r="L118" i="32" s="1"/>
  <c r="K106" i="32"/>
  <c r="K118" i="32" s="1"/>
  <c r="I106" i="32"/>
  <c r="I118" i="32" s="1"/>
  <c r="H106" i="32"/>
  <c r="H118" i="32" s="1"/>
  <c r="G106" i="32"/>
  <c r="G118" i="32" s="1"/>
  <c r="F106" i="32"/>
  <c r="F118" i="32" s="1"/>
  <c r="E106" i="32"/>
  <c r="D106" i="32"/>
  <c r="P105" i="32"/>
  <c r="O105" i="32"/>
  <c r="O117" i="32" s="1"/>
  <c r="N105" i="32"/>
  <c r="N117" i="32" s="1"/>
  <c r="M105" i="32"/>
  <c r="M117" i="32" s="1"/>
  <c r="L105" i="32"/>
  <c r="J105" i="32"/>
  <c r="J117" i="32" s="1"/>
  <c r="R104" i="32"/>
  <c r="Q104" i="32"/>
  <c r="P104" i="32"/>
  <c r="O104" i="32"/>
  <c r="N104" i="32"/>
  <c r="M104" i="32"/>
  <c r="L104" i="32"/>
  <c r="K104" i="32"/>
  <c r="J104" i="32"/>
  <c r="I104" i="32"/>
  <c r="H104" i="32"/>
  <c r="G104" i="32"/>
  <c r="F104" i="32"/>
  <c r="E104" i="32"/>
  <c r="R99" i="32"/>
  <c r="Q99" i="32"/>
  <c r="P99" i="32"/>
  <c r="L99" i="32"/>
  <c r="K99" i="32"/>
  <c r="J99" i="32"/>
  <c r="I99" i="32"/>
  <c r="F99" i="32"/>
  <c r="E99" i="32"/>
  <c r="R98" i="32"/>
  <c r="Q98" i="32"/>
  <c r="P98" i="32"/>
  <c r="O98" i="32"/>
  <c r="N98" i="32"/>
  <c r="M98" i="32"/>
  <c r="L98" i="32"/>
  <c r="K98" i="32"/>
  <c r="I98" i="32"/>
  <c r="H98" i="32"/>
  <c r="G98" i="32"/>
  <c r="F98" i="32"/>
  <c r="E98" i="32"/>
  <c r="O97" i="32"/>
  <c r="N97" i="32"/>
  <c r="M97" i="32"/>
  <c r="J97" i="32"/>
  <c r="R96" i="32"/>
  <c r="Q96" i="32"/>
  <c r="P96" i="32"/>
  <c r="O96" i="32"/>
  <c r="N96" i="32"/>
  <c r="M96" i="32"/>
  <c r="L96" i="32"/>
  <c r="K96" i="32"/>
  <c r="J96" i="32"/>
  <c r="I96" i="32"/>
  <c r="H96" i="32"/>
  <c r="G96" i="32"/>
  <c r="F96" i="32"/>
  <c r="E96" i="32"/>
  <c r="O93" i="32"/>
  <c r="O94" i="32" s="1"/>
  <c r="N93" i="32"/>
  <c r="N94" i="32" s="1"/>
  <c r="M93" i="32"/>
  <c r="M94" i="32" s="1"/>
  <c r="H93" i="32"/>
  <c r="G93" i="32"/>
  <c r="G99" i="32" s="1"/>
  <c r="D93" i="32"/>
  <c r="J92" i="32"/>
  <c r="J94" i="32" s="1"/>
  <c r="J100" i="32" s="1"/>
  <c r="D92" i="32"/>
  <c r="R91" i="32"/>
  <c r="R94" i="32" s="1"/>
  <c r="Q91" i="32"/>
  <c r="Q94" i="32" s="1"/>
  <c r="P91" i="32"/>
  <c r="P94" i="32" s="1"/>
  <c r="L91" i="32"/>
  <c r="L94" i="32" s="1"/>
  <c r="K91" i="32"/>
  <c r="K94" i="32" s="1"/>
  <c r="I91" i="32"/>
  <c r="I94" i="32" s="1"/>
  <c r="H91" i="32"/>
  <c r="H94" i="32" s="1"/>
  <c r="G91" i="32"/>
  <c r="F91" i="32"/>
  <c r="E91" i="32"/>
  <c r="E94" i="32" s="1"/>
  <c r="D91" i="32"/>
  <c r="R90" i="32"/>
  <c r="Q90" i="32"/>
  <c r="P90" i="32"/>
  <c r="O90" i="32"/>
  <c r="N90" i="32"/>
  <c r="M90" i="32"/>
  <c r="L90" i="32"/>
  <c r="K90" i="32"/>
  <c r="J90" i="32"/>
  <c r="I90" i="32"/>
  <c r="H90" i="32"/>
  <c r="G90" i="32"/>
  <c r="F90" i="32"/>
  <c r="E90" i="32"/>
  <c r="Q88" i="32"/>
  <c r="Q100" i="32" s="1"/>
  <c r="P88" i="32"/>
  <c r="I88" i="32"/>
  <c r="H88" i="32"/>
  <c r="E88" i="32"/>
  <c r="O87" i="32"/>
  <c r="O88" i="32" s="1"/>
  <c r="N87" i="32"/>
  <c r="N88" i="32" s="1"/>
  <c r="M87" i="32"/>
  <c r="H87" i="32"/>
  <c r="G87" i="32"/>
  <c r="T87" i="32" s="1"/>
  <c r="D87" i="32"/>
  <c r="T86" i="32"/>
  <c r="J86" i="32"/>
  <c r="J88" i="32" s="1"/>
  <c r="D86" i="32"/>
  <c r="D98" i="32" s="1"/>
  <c r="R85" i="32"/>
  <c r="R88" i="32" s="1"/>
  <c r="Q85" i="32"/>
  <c r="P85" i="32"/>
  <c r="L85" i="32"/>
  <c r="K85" i="32"/>
  <c r="I85" i="32"/>
  <c r="H85" i="32"/>
  <c r="G85" i="32"/>
  <c r="F85" i="32"/>
  <c r="F88" i="32" s="1"/>
  <c r="E85" i="32"/>
  <c r="D85" i="32"/>
  <c r="R84" i="32"/>
  <c r="Q84" i="32"/>
  <c r="P84" i="32"/>
  <c r="O84" i="32"/>
  <c r="N84" i="32"/>
  <c r="M84" i="32"/>
  <c r="L84" i="32"/>
  <c r="K84" i="32"/>
  <c r="J84" i="32"/>
  <c r="I84" i="32"/>
  <c r="H84" i="32"/>
  <c r="G84" i="32"/>
  <c r="F84" i="32"/>
  <c r="E84" i="32"/>
  <c r="R80" i="32"/>
  <c r="Q80" i="32"/>
  <c r="P80" i="32"/>
  <c r="L80" i="32"/>
  <c r="K80" i="32"/>
  <c r="J80" i="32"/>
  <c r="I80" i="32"/>
  <c r="F80" i="32"/>
  <c r="E80" i="32"/>
  <c r="R79" i="32"/>
  <c r="Q79" i="32"/>
  <c r="P79" i="32"/>
  <c r="O79" i="32"/>
  <c r="N79" i="32"/>
  <c r="M79" i="32"/>
  <c r="L79" i="32"/>
  <c r="K79" i="32"/>
  <c r="I79" i="32"/>
  <c r="H79" i="32"/>
  <c r="G79" i="32"/>
  <c r="F79" i="32"/>
  <c r="E79" i="32"/>
  <c r="Q78" i="32"/>
  <c r="O78" i="32"/>
  <c r="N78" i="32"/>
  <c r="M78" i="32"/>
  <c r="J78" i="32"/>
  <c r="I75" i="32"/>
  <c r="O74" i="32"/>
  <c r="O75" i="32" s="1"/>
  <c r="N74" i="32"/>
  <c r="N75" i="32" s="1"/>
  <c r="M74" i="32"/>
  <c r="H74" i="32"/>
  <c r="H113" i="32" s="1"/>
  <c r="G74" i="32"/>
  <c r="D74" i="32"/>
  <c r="J73" i="32"/>
  <c r="J75" i="32" s="1"/>
  <c r="D73" i="32"/>
  <c r="D112" i="32" s="1"/>
  <c r="D118" i="32" s="1"/>
  <c r="R72" i="32"/>
  <c r="R75" i="32" s="1"/>
  <c r="Q72" i="32"/>
  <c r="Q75" i="32" s="1"/>
  <c r="P72" i="32"/>
  <c r="L72" i="32"/>
  <c r="L111" i="32" s="1"/>
  <c r="L114" i="32" s="1"/>
  <c r="K72" i="32"/>
  <c r="I72" i="32"/>
  <c r="H72" i="32"/>
  <c r="G72" i="32"/>
  <c r="F72" i="32"/>
  <c r="F75" i="32" s="1"/>
  <c r="E72" i="32"/>
  <c r="E78" i="32" s="1"/>
  <c r="D72" i="32"/>
  <c r="D111" i="32" s="1"/>
  <c r="R71" i="32"/>
  <c r="Q71" i="32"/>
  <c r="P71" i="32"/>
  <c r="O71" i="32"/>
  <c r="N71" i="32"/>
  <c r="M71" i="32"/>
  <c r="L71" i="32"/>
  <c r="K71" i="32"/>
  <c r="J71" i="32"/>
  <c r="I71" i="32"/>
  <c r="H71" i="32"/>
  <c r="G71" i="32"/>
  <c r="F71" i="32"/>
  <c r="E71" i="32"/>
  <c r="Q69" i="32"/>
  <c r="P69" i="32"/>
  <c r="M69" i="32"/>
  <c r="J69" i="32"/>
  <c r="I69" i="32"/>
  <c r="H69" i="32"/>
  <c r="E69" i="32"/>
  <c r="D69" i="32"/>
  <c r="O68" i="32"/>
  <c r="O107" i="32" s="1"/>
  <c r="N68" i="32"/>
  <c r="M68" i="32"/>
  <c r="M107" i="32" s="1"/>
  <c r="H68" i="32"/>
  <c r="G68" i="32"/>
  <c r="G107" i="32" s="1"/>
  <c r="D68" i="32"/>
  <c r="D107" i="32" s="1"/>
  <c r="T67" i="32"/>
  <c r="J67" i="32"/>
  <c r="J106" i="32" s="1"/>
  <c r="D67" i="32"/>
  <c r="R66" i="32"/>
  <c r="Q66" i="32"/>
  <c r="Q105" i="32" s="1"/>
  <c r="P66" i="32"/>
  <c r="L66" i="32"/>
  <c r="K66" i="32"/>
  <c r="I66" i="32"/>
  <c r="I105" i="32" s="1"/>
  <c r="H66" i="32"/>
  <c r="G66" i="32"/>
  <c r="F66" i="32"/>
  <c r="E66" i="32"/>
  <c r="E105" i="32" s="1"/>
  <c r="D66" i="32"/>
  <c r="D105" i="32" s="1"/>
  <c r="AW60" i="32"/>
  <c r="AY60" i="32" s="1"/>
  <c r="AV60" i="32"/>
  <c r="AX60" i="32" s="1"/>
  <c r="AS60" i="32"/>
  <c r="AU60" i="32" s="1"/>
  <c r="AR60" i="32"/>
  <c r="AT60" i="32" s="1"/>
  <c r="AH60" i="32"/>
  <c r="L60" i="32"/>
  <c r="K60" i="32"/>
  <c r="AW59" i="32"/>
  <c r="AY59" i="32" s="1"/>
  <c r="AV59" i="32"/>
  <c r="AX59" i="32" s="1"/>
  <c r="AS59" i="32"/>
  <c r="AU59" i="32" s="1"/>
  <c r="AR59" i="32"/>
  <c r="AT59" i="32" s="1"/>
  <c r="AH59" i="32"/>
  <c r="L59" i="32"/>
  <c r="K59" i="32"/>
  <c r="AW58" i="32"/>
  <c r="AY58" i="32" s="1"/>
  <c r="AV58" i="32"/>
  <c r="AX58" i="32" s="1"/>
  <c r="AS58" i="32"/>
  <c r="AU58" i="32" s="1"/>
  <c r="AR58" i="32"/>
  <c r="AT58" i="32" s="1"/>
  <c r="AH58" i="32"/>
  <c r="L58" i="32"/>
  <c r="K58" i="32"/>
  <c r="AW57" i="32"/>
  <c r="AY57" i="32" s="1"/>
  <c r="AV57" i="32"/>
  <c r="AX57" i="32" s="1"/>
  <c r="AS57" i="32"/>
  <c r="AU57" i="32" s="1"/>
  <c r="AR57" i="32"/>
  <c r="AT57" i="32" s="1"/>
  <c r="AH57" i="32"/>
  <c r="L57" i="32"/>
  <c r="K57" i="32"/>
  <c r="AW56" i="32"/>
  <c r="AY56" i="32" s="1"/>
  <c r="AV56" i="32"/>
  <c r="AX56" i="32" s="1"/>
  <c r="AS56" i="32"/>
  <c r="AU56" i="32" s="1"/>
  <c r="AR56" i="32"/>
  <c r="AT56" i="32" s="1"/>
  <c r="AH56" i="32"/>
  <c r="L56" i="32"/>
  <c r="K56" i="32"/>
  <c r="AW55" i="32"/>
  <c r="AY55" i="32" s="1"/>
  <c r="AV55" i="32"/>
  <c r="AX55" i="32" s="1"/>
  <c r="AS55" i="32"/>
  <c r="AU55" i="32" s="1"/>
  <c r="AR55" i="32"/>
  <c r="AT55" i="32" s="1"/>
  <c r="AH55" i="32"/>
  <c r="L55" i="32"/>
  <c r="K55" i="32"/>
  <c r="AW54" i="32"/>
  <c r="AY54" i="32" s="1"/>
  <c r="AV54" i="32"/>
  <c r="AX54" i="32" s="1"/>
  <c r="AS54" i="32"/>
  <c r="AU54" i="32" s="1"/>
  <c r="AR54" i="32"/>
  <c r="AT54" i="32" s="1"/>
  <c r="AH54" i="32"/>
  <c r="L54" i="32"/>
  <c r="K54" i="32"/>
  <c r="AW53" i="32"/>
  <c r="AY53" i="32" s="1"/>
  <c r="AV53" i="32"/>
  <c r="AX53" i="32" s="1"/>
  <c r="AS53" i="32"/>
  <c r="AU53" i="32" s="1"/>
  <c r="AR53" i="32"/>
  <c r="AT53" i="32" s="1"/>
  <c r="AH53" i="32"/>
  <c r="L53" i="32"/>
  <c r="K53" i="32"/>
  <c r="AW52" i="32"/>
  <c r="AY52" i="32" s="1"/>
  <c r="AV52" i="32"/>
  <c r="AX52" i="32" s="1"/>
  <c r="AS52" i="32"/>
  <c r="AU52" i="32" s="1"/>
  <c r="AR52" i="32"/>
  <c r="AT52" i="32" s="1"/>
  <c r="AH52" i="32"/>
  <c r="L52" i="32"/>
  <c r="K52" i="32"/>
  <c r="AW51" i="32"/>
  <c r="AY51" i="32" s="1"/>
  <c r="AV51" i="32"/>
  <c r="AX51" i="32" s="1"/>
  <c r="AS51" i="32"/>
  <c r="AU51" i="32" s="1"/>
  <c r="AR51" i="32"/>
  <c r="AT51" i="32" s="1"/>
  <c r="AH51" i="32"/>
  <c r="L51" i="32"/>
  <c r="K51" i="32"/>
  <c r="AW50" i="32"/>
  <c r="AY50" i="32" s="1"/>
  <c r="AV50" i="32"/>
  <c r="AX50" i="32" s="1"/>
  <c r="AS50" i="32"/>
  <c r="AU50" i="32" s="1"/>
  <c r="AR50" i="32"/>
  <c r="AT50" i="32" s="1"/>
  <c r="AH50" i="32"/>
  <c r="L50" i="32"/>
  <c r="K50" i="32"/>
  <c r="AW49" i="32"/>
  <c r="AY49" i="32" s="1"/>
  <c r="AV49" i="32"/>
  <c r="AX49" i="32" s="1"/>
  <c r="AS49" i="32"/>
  <c r="AU49" i="32" s="1"/>
  <c r="AR49" i="32"/>
  <c r="AT49" i="32" s="1"/>
  <c r="AH49" i="32"/>
  <c r="L49" i="32"/>
  <c r="K49" i="32"/>
  <c r="AW48" i="32"/>
  <c r="AY48" i="32" s="1"/>
  <c r="AV48" i="32"/>
  <c r="AX48" i="32" s="1"/>
  <c r="AS48" i="32"/>
  <c r="AU48" i="32" s="1"/>
  <c r="AR48" i="32"/>
  <c r="AT48" i="32" s="1"/>
  <c r="AH48" i="32"/>
  <c r="L48" i="32"/>
  <c r="K48" i="32"/>
  <c r="AW47" i="32"/>
  <c r="AY47" i="32" s="1"/>
  <c r="AV47" i="32"/>
  <c r="AX47" i="32" s="1"/>
  <c r="AS47" i="32"/>
  <c r="AU47" i="32" s="1"/>
  <c r="AR47" i="32"/>
  <c r="AT47" i="32" s="1"/>
  <c r="AH47" i="32"/>
  <c r="L47" i="32"/>
  <c r="K47" i="32"/>
  <c r="AW46" i="32"/>
  <c r="AY46" i="32" s="1"/>
  <c r="AV46" i="32"/>
  <c r="AX46" i="32" s="1"/>
  <c r="AS46" i="32"/>
  <c r="AU46" i="32" s="1"/>
  <c r="AR46" i="32"/>
  <c r="AT46" i="32" s="1"/>
  <c r="AH46" i="32"/>
  <c r="L46" i="32"/>
  <c r="K46" i="32"/>
  <c r="AW45" i="32"/>
  <c r="AY45" i="32" s="1"/>
  <c r="AV45" i="32"/>
  <c r="AX45" i="32" s="1"/>
  <c r="AS45" i="32"/>
  <c r="AU45" i="32" s="1"/>
  <c r="AR45" i="32"/>
  <c r="AT45" i="32" s="1"/>
  <c r="AH45" i="32"/>
  <c r="L45" i="32"/>
  <c r="K45" i="32"/>
  <c r="AW44" i="32"/>
  <c r="AY44" i="32" s="1"/>
  <c r="AV44" i="32"/>
  <c r="AX44" i="32" s="1"/>
  <c r="AS44" i="32"/>
  <c r="AU44" i="32" s="1"/>
  <c r="AR44" i="32"/>
  <c r="AT44" i="32" s="1"/>
  <c r="AH44" i="32"/>
  <c r="L44" i="32"/>
  <c r="K44" i="32"/>
  <c r="AW43" i="32"/>
  <c r="AY43" i="32" s="1"/>
  <c r="AV43" i="32"/>
  <c r="AX43" i="32" s="1"/>
  <c r="AS43" i="32"/>
  <c r="AU43" i="32" s="1"/>
  <c r="AR43" i="32"/>
  <c r="AT43" i="32" s="1"/>
  <c r="AH43" i="32"/>
  <c r="L43" i="32"/>
  <c r="K43" i="32"/>
  <c r="AW42" i="32"/>
  <c r="AY42" i="32" s="1"/>
  <c r="AV42" i="32"/>
  <c r="AX42" i="32" s="1"/>
  <c r="AS42" i="32"/>
  <c r="AU42" i="32" s="1"/>
  <c r="AR42" i="32"/>
  <c r="AT42" i="32" s="1"/>
  <c r="AH42" i="32"/>
  <c r="L42" i="32"/>
  <c r="K42" i="32"/>
  <c r="AW41" i="32"/>
  <c r="AY41" i="32" s="1"/>
  <c r="AV41" i="32"/>
  <c r="AX41" i="32" s="1"/>
  <c r="AT41" i="32"/>
  <c r="AS41" i="32"/>
  <c r="AU41" i="32" s="1"/>
  <c r="AR41" i="32"/>
  <c r="AH41" i="32"/>
  <c r="L41" i="32"/>
  <c r="K41" i="32"/>
  <c r="AW40" i="32"/>
  <c r="AY40" i="32" s="1"/>
  <c r="AV40" i="32"/>
  <c r="AX40" i="32" s="1"/>
  <c r="AT40" i="32"/>
  <c r="AS40" i="32"/>
  <c r="AU40" i="32" s="1"/>
  <c r="AR40" i="32"/>
  <c r="AH40" i="32"/>
  <c r="L40" i="32"/>
  <c r="K40" i="32"/>
  <c r="AW39" i="32"/>
  <c r="AY39" i="32" s="1"/>
  <c r="AV39" i="32"/>
  <c r="AX39" i="32" s="1"/>
  <c r="AS39" i="32"/>
  <c r="AU39" i="32" s="1"/>
  <c r="AR39" i="32"/>
  <c r="AT39" i="32" s="1"/>
  <c r="AH39" i="32"/>
  <c r="L39" i="32"/>
  <c r="K39" i="32"/>
  <c r="AW38" i="32"/>
  <c r="AY38" i="32" s="1"/>
  <c r="AV38" i="32"/>
  <c r="AX38" i="32" s="1"/>
  <c r="AS38" i="32"/>
  <c r="AU38" i="32" s="1"/>
  <c r="AR38" i="32"/>
  <c r="AT38" i="32" s="1"/>
  <c r="AH38" i="32"/>
  <c r="L38" i="32"/>
  <c r="K38" i="32"/>
  <c r="AW37" i="32"/>
  <c r="AY37" i="32" s="1"/>
  <c r="AV37" i="32"/>
  <c r="AX37" i="32" s="1"/>
  <c r="AS37" i="32"/>
  <c r="AU37" i="32" s="1"/>
  <c r="AR37" i="32"/>
  <c r="AT37" i="32" s="1"/>
  <c r="AH37" i="32"/>
  <c r="L37" i="32"/>
  <c r="K37" i="32"/>
  <c r="AW36" i="32"/>
  <c r="AY36" i="32" s="1"/>
  <c r="AV36" i="32"/>
  <c r="AX36" i="32" s="1"/>
  <c r="AS36" i="32"/>
  <c r="AU36" i="32" s="1"/>
  <c r="AR36" i="32"/>
  <c r="AT36" i="32" s="1"/>
  <c r="AH36" i="32"/>
  <c r="L36" i="32"/>
  <c r="K36" i="32"/>
  <c r="AW35" i="32"/>
  <c r="AY35" i="32" s="1"/>
  <c r="AV35" i="32"/>
  <c r="AX35" i="32" s="1"/>
  <c r="AS35" i="32"/>
  <c r="AU35" i="32" s="1"/>
  <c r="AR35" i="32"/>
  <c r="AT35" i="32" s="1"/>
  <c r="AH35" i="32"/>
  <c r="L35" i="32"/>
  <c r="K35" i="32"/>
  <c r="AW34" i="32"/>
  <c r="AY34" i="32" s="1"/>
  <c r="AV34" i="32"/>
  <c r="AX34" i="32" s="1"/>
  <c r="AS34" i="32"/>
  <c r="AU34" i="32" s="1"/>
  <c r="AR34" i="32"/>
  <c r="AT34" i="32" s="1"/>
  <c r="AH34" i="32"/>
  <c r="L34" i="32"/>
  <c r="K34" i="32"/>
  <c r="AW33" i="32"/>
  <c r="AY33" i="32" s="1"/>
  <c r="AV33" i="32"/>
  <c r="AX33" i="32" s="1"/>
  <c r="AS33" i="32"/>
  <c r="AU33" i="32" s="1"/>
  <c r="AR33" i="32"/>
  <c r="AT33" i="32" s="1"/>
  <c r="AH33" i="32"/>
  <c r="L33" i="32"/>
  <c r="K33" i="32"/>
  <c r="AW32" i="32"/>
  <c r="AY32" i="32" s="1"/>
  <c r="AV32" i="32"/>
  <c r="AX32" i="32" s="1"/>
  <c r="AS32" i="32"/>
  <c r="AU32" i="32" s="1"/>
  <c r="AR32" i="32"/>
  <c r="AT32" i="32" s="1"/>
  <c r="AH32" i="32"/>
  <c r="L32" i="32"/>
  <c r="K32" i="32"/>
  <c r="AW31" i="32"/>
  <c r="AY31" i="32" s="1"/>
  <c r="AV31" i="32"/>
  <c r="AX31" i="32" s="1"/>
  <c r="AS31" i="32"/>
  <c r="AU31" i="32" s="1"/>
  <c r="AR31" i="32"/>
  <c r="AT31" i="32" s="1"/>
  <c r="AH31" i="32"/>
  <c r="L31" i="32"/>
  <c r="K31" i="32"/>
  <c r="AW30" i="32"/>
  <c r="AY30" i="32" s="1"/>
  <c r="AV30" i="32"/>
  <c r="AX30" i="32" s="1"/>
  <c r="AS30" i="32"/>
  <c r="AU30" i="32" s="1"/>
  <c r="AR30" i="32"/>
  <c r="AT30" i="32" s="1"/>
  <c r="AH30" i="32"/>
  <c r="L30" i="32"/>
  <c r="K30" i="32"/>
  <c r="AW29" i="32"/>
  <c r="AY29" i="32" s="1"/>
  <c r="AV29" i="32"/>
  <c r="AX29" i="32" s="1"/>
  <c r="AT29" i="32"/>
  <c r="AS29" i="32"/>
  <c r="AU29" i="32" s="1"/>
  <c r="AR29" i="32"/>
  <c r="AH29" i="32"/>
  <c r="L29" i="32"/>
  <c r="K29" i="32"/>
  <c r="AW28" i="32"/>
  <c r="AY28" i="32" s="1"/>
  <c r="AV28" i="32"/>
  <c r="AX28" i="32" s="1"/>
  <c r="AT28" i="32"/>
  <c r="AS28" i="32"/>
  <c r="AU28" i="32" s="1"/>
  <c r="AR28" i="32"/>
  <c r="AH28" i="32"/>
  <c r="L28" i="32"/>
  <c r="K28" i="32"/>
  <c r="AW27" i="32"/>
  <c r="AY27" i="32" s="1"/>
  <c r="AV27" i="32"/>
  <c r="AX27" i="32" s="1"/>
  <c r="AS27" i="32"/>
  <c r="AU27" i="32" s="1"/>
  <c r="AR27" i="32"/>
  <c r="AT27" i="32" s="1"/>
  <c r="AH27" i="32"/>
  <c r="L27" i="32"/>
  <c r="K27" i="32"/>
  <c r="AW26" i="32"/>
  <c r="AY26" i="32" s="1"/>
  <c r="AV26" i="32"/>
  <c r="AX26" i="32" s="1"/>
  <c r="AS26" i="32"/>
  <c r="AU26" i="32" s="1"/>
  <c r="AR26" i="32"/>
  <c r="AT26" i="32" s="1"/>
  <c r="AH26" i="32"/>
  <c r="L26" i="32"/>
  <c r="K26" i="32"/>
  <c r="AW25" i="32"/>
  <c r="AY25" i="32" s="1"/>
  <c r="AV25" i="32"/>
  <c r="AX25" i="32" s="1"/>
  <c r="AS25" i="32"/>
  <c r="AU25" i="32" s="1"/>
  <c r="AR25" i="32"/>
  <c r="AT25" i="32" s="1"/>
  <c r="AH25" i="32"/>
  <c r="L25" i="32"/>
  <c r="K25" i="32"/>
  <c r="AW24" i="32"/>
  <c r="AY24" i="32" s="1"/>
  <c r="AV24" i="32"/>
  <c r="AX24" i="32" s="1"/>
  <c r="AS24" i="32"/>
  <c r="AU24" i="32" s="1"/>
  <c r="AR24" i="32"/>
  <c r="AT24" i="32" s="1"/>
  <c r="AH24" i="32"/>
  <c r="L24" i="32"/>
  <c r="K24" i="32"/>
  <c r="AW23" i="32"/>
  <c r="AY23" i="32" s="1"/>
  <c r="AV23" i="32"/>
  <c r="AX23" i="32" s="1"/>
  <c r="AS23" i="32"/>
  <c r="AU23" i="32" s="1"/>
  <c r="AR23" i="32"/>
  <c r="AT23" i="32" s="1"/>
  <c r="AH23" i="32"/>
  <c r="L23" i="32"/>
  <c r="K23" i="32"/>
  <c r="AW22" i="32"/>
  <c r="AY22" i="32" s="1"/>
  <c r="AV22" i="32"/>
  <c r="AX22" i="32" s="1"/>
  <c r="AS22" i="32"/>
  <c r="AU22" i="32" s="1"/>
  <c r="AR22" i="32"/>
  <c r="AT22" i="32" s="1"/>
  <c r="AH22" i="32"/>
  <c r="L22" i="32"/>
  <c r="K22" i="32"/>
  <c r="AW21" i="32"/>
  <c r="AY21" i="32" s="1"/>
  <c r="AV21" i="32"/>
  <c r="AX21" i="32" s="1"/>
  <c r="AU21" i="32"/>
  <c r="AS21" i="32"/>
  <c r="AR21" i="32"/>
  <c r="AT21" i="32" s="1"/>
  <c r="AH21" i="32"/>
  <c r="L21" i="32"/>
  <c r="K21" i="32"/>
  <c r="AW20" i="32"/>
  <c r="AY20" i="32" s="1"/>
  <c r="AV20" i="32"/>
  <c r="AX20" i="32" s="1"/>
  <c r="AS20" i="32"/>
  <c r="AU20" i="32" s="1"/>
  <c r="AR20" i="32"/>
  <c r="AT20" i="32" s="1"/>
  <c r="AH20" i="32"/>
  <c r="L20" i="32"/>
  <c r="K20" i="32"/>
  <c r="AW19" i="32"/>
  <c r="AY19" i="32" s="1"/>
  <c r="AV19" i="32"/>
  <c r="AX19" i="32" s="1"/>
  <c r="AS19" i="32"/>
  <c r="AU19" i="32" s="1"/>
  <c r="AR19" i="32"/>
  <c r="AT19" i="32" s="1"/>
  <c r="AH19" i="32"/>
  <c r="L19" i="32"/>
  <c r="K19" i="32"/>
  <c r="AW18" i="32"/>
  <c r="AY18" i="32" s="1"/>
  <c r="AV18" i="32"/>
  <c r="AX18" i="32" s="1"/>
  <c r="AS18" i="32"/>
  <c r="AU18" i="32" s="1"/>
  <c r="AR18" i="32"/>
  <c r="AT18" i="32" s="1"/>
  <c r="AH18" i="32"/>
  <c r="L18" i="32"/>
  <c r="K18" i="32"/>
  <c r="AW17" i="32"/>
  <c r="AY17" i="32" s="1"/>
  <c r="AV17" i="32"/>
  <c r="AX17" i="32" s="1"/>
  <c r="AS17" i="32"/>
  <c r="AU17" i="32" s="1"/>
  <c r="AR17" i="32"/>
  <c r="AT17" i="32" s="1"/>
  <c r="AH17" i="32"/>
  <c r="L17" i="32"/>
  <c r="K17" i="32"/>
  <c r="AW16" i="32"/>
  <c r="AY16" i="32" s="1"/>
  <c r="AV16" i="32"/>
  <c r="AX16" i="32" s="1"/>
  <c r="AS16" i="32"/>
  <c r="AU16" i="32" s="1"/>
  <c r="AR16" i="32"/>
  <c r="AT16" i="32" s="1"/>
  <c r="AH16" i="32"/>
  <c r="L16" i="32"/>
  <c r="K16" i="32"/>
  <c r="AW15" i="32"/>
  <c r="AY15" i="32" s="1"/>
  <c r="AV15" i="32"/>
  <c r="AX15" i="32" s="1"/>
  <c r="AS15" i="32"/>
  <c r="AU15" i="32" s="1"/>
  <c r="AR15" i="32"/>
  <c r="AT15" i="32" s="1"/>
  <c r="AH15" i="32"/>
  <c r="L15" i="32"/>
  <c r="K15" i="32"/>
  <c r="AW14" i="32"/>
  <c r="AY14" i="32" s="1"/>
  <c r="AV14" i="32"/>
  <c r="AX14" i="32" s="1"/>
  <c r="AS14" i="32"/>
  <c r="AU14" i="32" s="1"/>
  <c r="AR14" i="32"/>
  <c r="AT14" i="32" s="1"/>
  <c r="AH14" i="32"/>
  <c r="L14" i="32"/>
  <c r="K14" i="32"/>
  <c r="AY13" i="32"/>
  <c r="AW13" i="32"/>
  <c r="AV13" i="32"/>
  <c r="AX13" i="32" s="1"/>
  <c r="AU13" i="32"/>
  <c r="AT13" i="32"/>
  <c r="AS13" i="32"/>
  <c r="AR13" i="32"/>
  <c r="AH13" i="32"/>
  <c r="L13" i="32"/>
  <c r="K13" i="32"/>
  <c r="AW12" i="32"/>
  <c r="AY12" i="32" s="1"/>
  <c r="AV12" i="32"/>
  <c r="AX12" i="32" s="1"/>
  <c r="AS12" i="32"/>
  <c r="AU12" i="32" s="1"/>
  <c r="AR12" i="32"/>
  <c r="AT12" i="32" s="1"/>
  <c r="AH12" i="32"/>
  <c r="L12" i="32"/>
  <c r="K12" i="32"/>
  <c r="AW11" i="32"/>
  <c r="AY11" i="32" s="1"/>
  <c r="AV11" i="32"/>
  <c r="AX11" i="32" s="1"/>
  <c r="AS11" i="32"/>
  <c r="AU11" i="32" s="1"/>
  <c r="AR11" i="32"/>
  <c r="AT11" i="32" s="1"/>
  <c r="AH11" i="32"/>
  <c r="L11" i="32"/>
  <c r="K11" i="32"/>
  <c r="AW10" i="32"/>
  <c r="AY10" i="32" s="1"/>
  <c r="AV10" i="32"/>
  <c r="AX10" i="32" s="1"/>
  <c r="AS10" i="32"/>
  <c r="AU10" i="32" s="1"/>
  <c r="AR10" i="32"/>
  <c r="AT10" i="32" s="1"/>
  <c r="AH10" i="32"/>
  <c r="L10" i="32"/>
  <c r="K10" i="32"/>
  <c r="AW9" i="32"/>
  <c r="AY9" i="32" s="1"/>
  <c r="AV9" i="32"/>
  <c r="AX9" i="32" s="1"/>
  <c r="AS9" i="32"/>
  <c r="AU9" i="32" s="1"/>
  <c r="AR9" i="32"/>
  <c r="AT9" i="32" s="1"/>
  <c r="AH9" i="32"/>
  <c r="L9" i="32"/>
  <c r="K9" i="32"/>
  <c r="AW8" i="32"/>
  <c r="AY8" i="32" s="1"/>
  <c r="AV8" i="32"/>
  <c r="AX8" i="32" s="1"/>
  <c r="AS8" i="32"/>
  <c r="AU8" i="32" s="1"/>
  <c r="AR8" i="32"/>
  <c r="AT8" i="32" s="1"/>
  <c r="AH8" i="32"/>
  <c r="L8" i="32"/>
  <c r="K8" i="32"/>
  <c r="AW7" i="32"/>
  <c r="AY7" i="32" s="1"/>
  <c r="AV7" i="32"/>
  <c r="AX7" i="32" s="1"/>
  <c r="AS7" i="32"/>
  <c r="AU7" i="32" s="1"/>
  <c r="AR7" i="32"/>
  <c r="AT7" i="32" s="1"/>
  <c r="AH7" i="32"/>
  <c r="L7" i="32"/>
  <c r="K7" i="32"/>
  <c r="AW6" i="32"/>
  <c r="AY6" i="32" s="1"/>
  <c r="AV6" i="32"/>
  <c r="AX6" i="32" s="1"/>
  <c r="AS6" i="32"/>
  <c r="AU6" i="32" s="1"/>
  <c r="AR6" i="32"/>
  <c r="AT6" i="32" s="1"/>
  <c r="AH6" i="32"/>
  <c r="L6" i="32"/>
  <c r="K6" i="32"/>
  <c r="AW5" i="32"/>
  <c r="AY5" i="32" s="1"/>
  <c r="AV5" i="32"/>
  <c r="AX5" i="32" s="1"/>
  <c r="AT5" i="32"/>
  <c r="AS5" i="32"/>
  <c r="AU5" i="32" s="1"/>
  <c r="AR5" i="32"/>
  <c r="AH5" i="32"/>
  <c r="L5" i="32"/>
  <c r="K5" i="32"/>
  <c r="AW4" i="32"/>
  <c r="AY4" i="32" s="1"/>
  <c r="AV4" i="32"/>
  <c r="AX4" i="32" s="1"/>
  <c r="AT4" i="32"/>
  <c r="AS4" i="32"/>
  <c r="AU4" i="32" s="1"/>
  <c r="AR4" i="32"/>
  <c r="AH4" i="32"/>
  <c r="L4" i="32"/>
  <c r="K4" i="32"/>
  <c r="AW3" i="32"/>
  <c r="AY3" i="32" s="1"/>
  <c r="AV3" i="32"/>
  <c r="AX3" i="32" s="1"/>
  <c r="AS3" i="32"/>
  <c r="AU3" i="32" s="1"/>
  <c r="AR3" i="32"/>
  <c r="AT3" i="32" s="1"/>
  <c r="AH3" i="32"/>
  <c r="L3" i="32"/>
  <c r="K3" i="32"/>
  <c r="L119" i="31"/>
  <c r="E118" i="31"/>
  <c r="R116" i="31"/>
  <c r="Q116" i="31"/>
  <c r="P116" i="31"/>
  <c r="O116" i="31"/>
  <c r="N116" i="31"/>
  <c r="M116" i="31"/>
  <c r="L116" i="31"/>
  <c r="K116" i="31"/>
  <c r="J116" i="31"/>
  <c r="I116" i="31"/>
  <c r="H116" i="31"/>
  <c r="G116" i="31"/>
  <c r="F116" i="31"/>
  <c r="E116" i="31"/>
  <c r="R113" i="31"/>
  <c r="Q113" i="31"/>
  <c r="P113" i="31"/>
  <c r="L113" i="31"/>
  <c r="K113" i="31"/>
  <c r="J113" i="31"/>
  <c r="I113" i="31"/>
  <c r="F113" i="31"/>
  <c r="E113" i="31"/>
  <c r="R112" i="31"/>
  <c r="Q112" i="31"/>
  <c r="P112" i="31"/>
  <c r="O112" i="31"/>
  <c r="N112" i="31"/>
  <c r="M112" i="31"/>
  <c r="L112" i="31"/>
  <c r="K112" i="31"/>
  <c r="I112" i="31"/>
  <c r="H112" i="31"/>
  <c r="G112" i="31"/>
  <c r="F112" i="31"/>
  <c r="E112" i="31"/>
  <c r="O111" i="31"/>
  <c r="N111" i="31"/>
  <c r="M111" i="31"/>
  <c r="J111" i="31"/>
  <c r="R110" i="31"/>
  <c r="Q110" i="31"/>
  <c r="P110" i="31"/>
  <c r="O110" i="31"/>
  <c r="N110" i="31"/>
  <c r="M110" i="31"/>
  <c r="L110" i="31"/>
  <c r="K110" i="31"/>
  <c r="J110" i="31"/>
  <c r="I110" i="31"/>
  <c r="H110" i="31"/>
  <c r="G110" i="31"/>
  <c r="F110" i="31"/>
  <c r="E110" i="31"/>
  <c r="R107" i="31"/>
  <c r="Q107" i="31"/>
  <c r="Q119" i="31" s="1"/>
  <c r="P107" i="31"/>
  <c r="P119" i="31" s="1"/>
  <c r="L107" i="31"/>
  <c r="K107" i="31"/>
  <c r="K119" i="31" s="1"/>
  <c r="J107" i="31"/>
  <c r="J119" i="31" s="1"/>
  <c r="I107" i="31"/>
  <c r="I119" i="31" s="1"/>
  <c r="H107" i="31"/>
  <c r="F107" i="31"/>
  <c r="F119" i="31" s="1"/>
  <c r="E107" i="31"/>
  <c r="E119" i="31" s="1"/>
  <c r="R106" i="31"/>
  <c r="R118" i="31" s="1"/>
  <c r="Q106" i="31"/>
  <c r="Q118" i="31" s="1"/>
  <c r="P106" i="31"/>
  <c r="P118" i="31" s="1"/>
  <c r="O106" i="31"/>
  <c r="N106" i="31"/>
  <c r="N118" i="31" s="1"/>
  <c r="M106" i="31"/>
  <c r="M118" i="31" s="1"/>
  <c r="L106" i="31"/>
  <c r="L118" i="31" s="1"/>
  <c r="K106" i="31"/>
  <c r="I106" i="31"/>
  <c r="I118" i="31" s="1"/>
  <c r="H106" i="31"/>
  <c r="H118" i="31" s="1"/>
  <c r="G106" i="31"/>
  <c r="G118" i="31" s="1"/>
  <c r="F106" i="31"/>
  <c r="F118" i="31" s="1"/>
  <c r="E106" i="31"/>
  <c r="D106" i="31"/>
  <c r="Q105" i="31"/>
  <c r="P105" i="31"/>
  <c r="O105" i="31"/>
  <c r="O117" i="31" s="1"/>
  <c r="N105" i="31"/>
  <c r="N117" i="31" s="1"/>
  <c r="M105" i="31"/>
  <c r="M117" i="31" s="1"/>
  <c r="J105" i="31"/>
  <c r="J117" i="31" s="1"/>
  <c r="I105" i="31"/>
  <c r="H105" i="31"/>
  <c r="E105" i="31"/>
  <c r="D105" i="31"/>
  <c r="R104" i="31"/>
  <c r="Q104" i="31"/>
  <c r="P104" i="31"/>
  <c r="O104" i="31"/>
  <c r="N104" i="31"/>
  <c r="M104" i="31"/>
  <c r="L104" i="31"/>
  <c r="K104" i="31"/>
  <c r="J104" i="31"/>
  <c r="I104" i="31"/>
  <c r="H104" i="31"/>
  <c r="G104" i="31"/>
  <c r="F104" i="31"/>
  <c r="E104" i="31"/>
  <c r="R99" i="31"/>
  <c r="Q99" i="31"/>
  <c r="P99" i="31"/>
  <c r="L99" i="31"/>
  <c r="K99" i="31"/>
  <c r="J99" i="31"/>
  <c r="I99" i="31"/>
  <c r="F99" i="31"/>
  <c r="E99" i="31"/>
  <c r="R98" i="31"/>
  <c r="Q98" i="31"/>
  <c r="P98" i="31"/>
  <c r="O98" i="31"/>
  <c r="N98" i="31"/>
  <c r="M98" i="31"/>
  <c r="L98" i="31"/>
  <c r="K98" i="31"/>
  <c r="I98" i="31"/>
  <c r="H98" i="31"/>
  <c r="G98" i="31"/>
  <c r="F98" i="31"/>
  <c r="E98" i="31"/>
  <c r="O97" i="31"/>
  <c r="N97" i="31"/>
  <c r="M97" i="31"/>
  <c r="J97" i="31"/>
  <c r="R96" i="31"/>
  <c r="Q96" i="31"/>
  <c r="P96" i="31"/>
  <c r="O96" i="31"/>
  <c r="N96" i="31"/>
  <c r="M96" i="31"/>
  <c r="L96" i="31"/>
  <c r="K96" i="31"/>
  <c r="J96" i="31"/>
  <c r="I96" i="31"/>
  <c r="H96" i="31"/>
  <c r="G96" i="31"/>
  <c r="F96" i="31"/>
  <c r="E96" i="31"/>
  <c r="O93" i="31"/>
  <c r="O94" i="31" s="1"/>
  <c r="N93" i="31"/>
  <c r="N94" i="31" s="1"/>
  <c r="M93" i="31"/>
  <c r="M94" i="31" s="1"/>
  <c r="H93" i="31"/>
  <c r="G93" i="31"/>
  <c r="G99" i="31" s="1"/>
  <c r="D93" i="31"/>
  <c r="J92" i="31"/>
  <c r="J94" i="31" s="1"/>
  <c r="D92" i="31"/>
  <c r="R91" i="31"/>
  <c r="R94" i="31" s="1"/>
  <c r="R100" i="31" s="1"/>
  <c r="Q91" i="31"/>
  <c r="Q94" i="31" s="1"/>
  <c r="P91" i="31"/>
  <c r="P94" i="31" s="1"/>
  <c r="L91" i="31"/>
  <c r="L94" i="31" s="1"/>
  <c r="K91" i="31"/>
  <c r="K94" i="31" s="1"/>
  <c r="I91" i="31"/>
  <c r="I94" i="31" s="1"/>
  <c r="H91" i="31"/>
  <c r="G91" i="31"/>
  <c r="G94" i="31" s="1"/>
  <c r="F91" i="31"/>
  <c r="F94" i="31" s="1"/>
  <c r="F100" i="31" s="1"/>
  <c r="E91" i="31"/>
  <c r="E94" i="31" s="1"/>
  <c r="D91" i="31"/>
  <c r="R90" i="31"/>
  <c r="Q90" i="31"/>
  <c r="P90" i="31"/>
  <c r="O90" i="31"/>
  <c r="N90" i="31"/>
  <c r="M90" i="31"/>
  <c r="L90" i="31"/>
  <c r="K90" i="31"/>
  <c r="J90" i="31"/>
  <c r="I90" i="31"/>
  <c r="H90" i="31"/>
  <c r="G90" i="31"/>
  <c r="F90" i="31"/>
  <c r="E90" i="31"/>
  <c r="Q88" i="31"/>
  <c r="P88" i="31"/>
  <c r="I88" i="31"/>
  <c r="H88" i="31"/>
  <c r="E88" i="31"/>
  <c r="O87" i="31"/>
  <c r="O88" i="31" s="1"/>
  <c r="O100" i="31" s="1"/>
  <c r="N87" i="31"/>
  <c r="N88" i="31" s="1"/>
  <c r="N100" i="31" s="1"/>
  <c r="M87" i="31"/>
  <c r="H87" i="31"/>
  <c r="G87" i="31"/>
  <c r="D87" i="31"/>
  <c r="D99" i="31" s="1"/>
  <c r="T86" i="31"/>
  <c r="J86" i="31"/>
  <c r="J88" i="31" s="1"/>
  <c r="D86" i="31"/>
  <c r="R85" i="31"/>
  <c r="R88" i="31" s="1"/>
  <c r="Q85" i="31"/>
  <c r="Q97" i="31" s="1"/>
  <c r="P85" i="31"/>
  <c r="L85" i="31"/>
  <c r="K85" i="31"/>
  <c r="K88" i="31" s="1"/>
  <c r="I85" i="31"/>
  <c r="I97" i="31" s="1"/>
  <c r="H85" i="31"/>
  <c r="G85" i="31"/>
  <c r="G88" i="31" s="1"/>
  <c r="F85" i="31"/>
  <c r="F88" i="31" s="1"/>
  <c r="E85" i="31"/>
  <c r="D85" i="31"/>
  <c r="R84" i="31"/>
  <c r="Q84" i="31"/>
  <c r="P84" i="31"/>
  <c r="O84" i="31"/>
  <c r="N84" i="31"/>
  <c r="M84" i="31"/>
  <c r="L84" i="31"/>
  <c r="K84" i="31"/>
  <c r="J84" i="31"/>
  <c r="I84" i="31"/>
  <c r="H84" i="31"/>
  <c r="G84" i="31"/>
  <c r="F84" i="31"/>
  <c r="E84" i="31"/>
  <c r="R80" i="31"/>
  <c r="Q80" i="31"/>
  <c r="P80" i="31"/>
  <c r="L80" i="31"/>
  <c r="K80" i="31"/>
  <c r="J80" i="31"/>
  <c r="I80" i="31"/>
  <c r="F80" i="31"/>
  <c r="E80" i="31"/>
  <c r="R79" i="31"/>
  <c r="Q79" i="31"/>
  <c r="P79" i="31"/>
  <c r="O79" i="31"/>
  <c r="N79" i="31"/>
  <c r="M79" i="31"/>
  <c r="L79" i="31"/>
  <c r="K79" i="31"/>
  <c r="I79" i="31"/>
  <c r="H79" i="31"/>
  <c r="G79" i="31"/>
  <c r="F79" i="31"/>
  <c r="E79" i="31"/>
  <c r="O78" i="31"/>
  <c r="N78" i="31"/>
  <c r="M78" i="31"/>
  <c r="J78" i="31"/>
  <c r="O74" i="31"/>
  <c r="O75" i="31" s="1"/>
  <c r="N74" i="31"/>
  <c r="N75" i="31" s="1"/>
  <c r="M74" i="31"/>
  <c r="H74" i="31"/>
  <c r="G74" i="31"/>
  <c r="G113" i="31" s="1"/>
  <c r="D74" i="31"/>
  <c r="D113" i="31" s="1"/>
  <c r="J73" i="31"/>
  <c r="J75" i="31" s="1"/>
  <c r="D73" i="31"/>
  <c r="R72" i="31"/>
  <c r="R75" i="31" s="1"/>
  <c r="Q72" i="31"/>
  <c r="Q111" i="31" s="1"/>
  <c r="Q114" i="31" s="1"/>
  <c r="P72" i="31"/>
  <c r="L72" i="31"/>
  <c r="K72" i="31"/>
  <c r="K75" i="31" s="1"/>
  <c r="I72" i="31"/>
  <c r="I111" i="31" s="1"/>
  <c r="I114" i="31" s="1"/>
  <c r="H72" i="31"/>
  <c r="G72" i="31"/>
  <c r="G75" i="31" s="1"/>
  <c r="F72" i="31"/>
  <c r="F75" i="31" s="1"/>
  <c r="E72" i="31"/>
  <c r="E111" i="31" s="1"/>
  <c r="E114" i="31" s="1"/>
  <c r="D72" i="31"/>
  <c r="R71" i="31"/>
  <c r="Q71" i="31"/>
  <c r="P71" i="31"/>
  <c r="O71" i="31"/>
  <c r="N71" i="31"/>
  <c r="M71" i="31"/>
  <c r="L71" i="31"/>
  <c r="K71" i="31"/>
  <c r="J71" i="31"/>
  <c r="I71" i="31"/>
  <c r="H71" i="31"/>
  <c r="G71" i="31"/>
  <c r="F71" i="31"/>
  <c r="E71" i="31"/>
  <c r="Q69" i="31"/>
  <c r="P69" i="31"/>
  <c r="I69" i="31"/>
  <c r="H69" i="31"/>
  <c r="E69" i="31"/>
  <c r="O68" i="31"/>
  <c r="O107" i="31" s="1"/>
  <c r="N68" i="31"/>
  <c r="M68" i="31"/>
  <c r="M107" i="31" s="1"/>
  <c r="H68" i="31"/>
  <c r="G68" i="31"/>
  <c r="G107" i="31" s="1"/>
  <c r="D68" i="31"/>
  <c r="D107" i="31" s="1"/>
  <c r="T67" i="31"/>
  <c r="J67" i="31"/>
  <c r="J106" i="31" s="1"/>
  <c r="D67" i="31"/>
  <c r="R66" i="31"/>
  <c r="Q66" i="31"/>
  <c r="P66" i="31"/>
  <c r="L66" i="31"/>
  <c r="L105" i="31" s="1"/>
  <c r="K66" i="31"/>
  <c r="I66" i="31"/>
  <c r="H66" i="31"/>
  <c r="G66" i="31"/>
  <c r="F66" i="31"/>
  <c r="T66" i="31" s="1"/>
  <c r="E66" i="31"/>
  <c r="D66" i="31"/>
  <c r="AW60" i="31"/>
  <c r="AY60" i="31" s="1"/>
  <c r="AV60" i="31"/>
  <c r="AX60" i="31" s="1"/>
  <c r="AS60" i="31"/>
  <c r="AU60" i="31" s="1"/>
  <c r="AR60" i="31"/>
  <c r="AT60" i="31" s="1"/>
  <c r="AH60" i="31"/>
  <c r="L60" i="31"/>
  <c r="K60" i="31"/>
  <c r="AW59" i="31"/>
  <c r="AY59" i="31" s="1"/>
  <c r="AV59" i="31"/>
  <c r="AX59" i="31" s="1"/>
  <c r="AS59" i="31"/>
  <c r="AU59" i="31" s="1"/>
  <c r="AR59" i="31"/>
  <c r="AT59" i="31" s="1"/>
  <c r="AH59" i="31"/>
  <c r="L59" i="31"/>
  <c r="K59" i="31"/>
  <c r="AW58" i="31"/>
  <c r="AY58" i="31" s="1"/>
  <c r="AV58" i="31"/>
  <c r="AX58" i="31" s="1"/>
  <c r="AS58" i="31"/>
  <c r="AU58" i="31" s="1"/>
  <c r="AR58" i="31"/>
  <c r="AT58" i="31" s="1"/>
  <c r="AH58" i="31"/>
  <c r="L58" i="31"/>
  <c r="K58" i="31"/>
  <c r="AW57" i="31"/>
  <c r="AY57" i="31" s="1"/>
  <c r="AV57" i="31"/>
  <c r="AX57" i="31" s="1"/>
  <c r="AS57" i="31"/>
  <c r="AU57" i="31" s="1"/>
  <c r="AR57" i="31"/>
  <c r="AT57" i="31" s="1"/>
  <c r="AH57" i="31"/>
  <c r="L57" i="31"/>
  <c r="K57" i="31"/>
  <c r="AY56" i="31"/>
  <c r="AW56" i="31"/>
  <c r="AV56" i="31"/>
  <c r="AX56" i="31" s="1"/>
  <c r="AT56" i="31"/>
  <c r="AS56" i="31"/>
  <c r="AU56" i="31" s="1"/>
  <c r="AR56" i="31"/>
  <c r="AH56" i="31"/>
  <c r="L56" i="31"/>
  <c r="K56" i="31"/>
  <c r="AW55" i="31"/>
  <c r="AY55" i="31" s="1"/>
  <c r="AV55" i="31"/>
  <c r="AX55" i="31" s="1"/>
  <c r="AS55" i="31"/>
  <c r="AU55" i="31" s="1"/>
  <c r="AR55" i="31"/>
  <c r="AT55" i="31" s="1"/>
  <c r="AH55" i="31"/>
  <c r="L55" i="31"/>
  <c r="K55" i="31"/>
  <c r="AW54" i="31"/>
  <c r="AY54" i="31" s="1"/>
  <c r="AV54" i="31"/>
  <c r="AX54" i="31" s="1"/>
  <c r="AS54" i="31"/>
  <c r="AU54" i="31" s="1"/>
  <c r="AR54" i="31"/>
  <c r="AT54" i="31" s="1"/>
  <c r="AH54" i="31"/>
  <c r="L54" i="31"/>
  <c r="K54" i="31"/>
  <c r="AW53" i="31"/>
  <c r="AY53" i="31" s="1"/>
  <c r="AV53" i="31"/>
  <c r="AX53" i="31" s="1"/>
  <c r="AS53" i="31"/>
  <c r="AU53" i="31" s="1"/>
  <c r="AR53" i="31"/>
  <c r="AT53" i="31" s="1"/>
  <c r="AH53" i="31"/>
  <c r="L53" i="31"/>
  <c r="K53" i="31"/>
  <c r="AW52" i="31"/>
  <c r="AY52" i="31" s="1"/>
  <c r="AV52" i="31"/>
  <c r="AX52" i="31" s="1"/>
  <c r="AS52" i="31"/>
  <c r="AU52" i="31" s="1"/>
  <c r="AR52" i="31"/>
  <c r="AT52" i="31" s="1"/>
  <c r="AH52" i="31"/>
  <c r="L52" i="31"/>
  <c r="K52" i="31"/>
  <c r="AW51" i="31"/>
  <c r="AY51" i="31" s="1"/>
  <c r="AV51" i="31"/>
  <c r="AX51" i="31" s="1"/>
  <c r="AS51" i="31"/>
  <c r="AU51" i="31" s="1"/>
  <c r="AR51" i="31"/>
  <c r="AT51" i="31" s="1"/>
  <c r="AH51" i="31"/>
  <c r="L51" i="31"/>
  <c r="K51" i="31"/>
  <c r="AW50" i="31"/>
  <c r="AY50" i="31" s="1"/>
  <c r="AV50" i="31"/>
  <c r="AX50" i="31" s="1"/>
  <c r="AS50" i="31"/>
  <c r="AU50" i="31" s="1"/>
  <c r="AR50" i="31"/>
  <c r="AT50" i="31" s="1"/>
  <c r="AH50" i="31"/>
  <c r="L50" i="31"/>
  <c r="K50" i="31"/>
  <c r="AW49" i="31"/>
  <c r="AY49" i="31" s="1"/>
  <c r="AV49" i="31"/>
  <c r="AX49" i="31" s="1"/>
  <c r="AS49" i="31"/>
  <c r="AU49" i="31" s="1"/>
  <c r="AR49" i="31"/>
  <c r="AT49" i="31" s="1"/>
  <c r="AH49" i="31"/>
  <c r="L49" i="31"/>
  <c r="K49" i="31"/>
  <c r="AW48" i="31"/>
  <c r="AY48" i="31" s="1"/>
  <c r="AV48" i="31"/>
  <c r="AX48" i="31" s="1"/>
  <c r="AU48" i="31"/>
  <c r="AS48" i="31"/>
  <c r="AR48" i="31"/>
  <c r="AT48" i="31" s="1"/>
  <c r="AH48" i="31"/>
  <c r="L48" i="31"/>
  <c r="K48" i="31"/>
  <c r="AW47" i="31"/>
  <c r="AY47" i="31" s="1"/>
  <c r="AV47" i="31"/>
  <c r="AX47" i="31" s="1"/>
  <c r="AS47" i="31"/>
  <c r="AU47" i="31" s="1"/>
  <c r="AR47" i="31"/>
  <c r="AT47" i="31" s="1"/>
  <c r="AH47" i="31"/>
  <c r="L47" i="31"/>
  <c r="K47" i="31"/>
  <c r="AW46" i="31"/>
  <c r="AY46" i="31" s="1"/>
  <c r="AV46" i="31"/>
  <c r="AX46" i="31" s="1"/>
  <c r="AS46" i="31"/>
  <c r="AU46" i="31" s="1"/>
  <c r="AR46" i="31"/>
  <c r="AT46" i="31" s="1"/>
  <c r="AH46" i="31"/>
  <c r="L46" i="31"/>
  <c r="K46" i="31"/>
  <c r="AW45" i="31"/>
  <c r="AY45" i="31" s="1"/>
  <c r="AV45" i="31"/>
  <c r="AX45" i="31" s="1"/>
  <c r="AS45" i="31"/>
  <c r="AU45" i="31" s="1"/>
  <c r="AR45" i="31"/>
  <c r="AT45" i="31" s="1"/>
  <c r="AH45" i="31"/>
  <c r="L45" i="31"/>
  <c r="K45" i="31"/>
  <c r="AW44" i="31"/>
  <c r="AY44" i="31" s="1"/>
  <c r="AV44" i="31"/>
  <c r="AX44" i="31" s="1"/>
  <c r="AS44" i="31"/>
  <c r="AU44" i="31" s="1"/>
  <c r="AR44" i="31"/>
  <c r="AT44" i="31" s="1"/>
  <c r="AH44" i="31"/>
  <c r="L44" i="31"/>
  <c r="K44" i="31"/>
  <c r="AW43" i="31"/>
  <c r="AY43" i="31" s="1"/>
  <c r="AV43" i="31"/>
  <c r="AX43" i="31" s="1"/>
  <c r="AT43" i="31"/>
  <c r="AS43" i="31"/>
  <c r="AU43" i="31" s="1"/>
  <c r="AR43" i="31"/>
  <c r="AH43" i="31"/>
  <c r="L43" i="31"/>
  <c r="K43" i="31"/>
  <c r="AW42" i="31"/>
  <c r="AY42" i="31" s="1"/>
  <c r="AV42" i="31"/>
  <c r="AX42" i="31" s="1"/>
  <c r="AS42" i="31"/>
  <c r="AU42" i="31" s="1"/>
  <c r="AR42" i="31"/>
  <c r="AT42" i="31" s="1"/>
  <c r="AH42" i="31"/>
  <c r="L42" i="31"/>
  <c r="K42" i="31"/>
  <c r="AW41" i="31"/>
  <c r="AY41" i="31" s="1"/>
  <c r="AV41" i="31"/>
  <c r="AX41" i="31" s="1"/>
  <c r="AS41" i="31"/>
  <c r="AU41" i="31" s="1"/>
  <c r="AR41" i="31"/>
  <c r="AT41" i="31" s="1"/>
  <c r="AH41" i="31"/>
  <c r="L41" i="31"/>
  <c r="K41" i="31"/>
  <c r="AW40" i="31"/>
  <c r="AY40" i="31" s="1"/>
  <c r="AV40" i="31"/>
  <c r="AX40" i="31" s="1"/>
  <c r="AU40" i="31"/>
  <c r="AS40" i="31"/>
  <c r="AR40" i="31"/>
  <c r="AT40" i="31" s="1"/>
  <c r="AH40" i="31"/>
  <c r="L40" i="31"/>
  <c r="K40" i="31"/>
  <c r="AW39" i="31"/>
  <c r="AY39" i="31" s="1"/>
  <c r="AV39" i="31"/>
  <c r="AX39" i="31" s="1"/>
  <c r="AS39" i="31"/>
  <c r="AU39" i="31" s="1"/>
  <c r="AR39" i="31"/>
  <c r="AT39" i="31" s="1"/>
  <c r="AH39" i="31"/>
  <c r="L39" i="31"/>
  <c r="K39" i="31"/>
  <c r="AW38" i="31"/>
  <c r="AY38" i="31" s="1"/>
  <c r="AV38" i="31"/>
  <c r="AX38" i="31" s="1"/>
  <c r="AS38" i="31"/>
  <c r="AU38" i="31" s="1"/>
  <c r="AR38" i="31"/>
  <c r="AT38" i="31" s="1"/>
  <c r="AH38" i="31"/>
  <c r="L38" i="31"/>
  <c r="K38" i="31"/>
  <c r="AW37" i="31"/>
  <c r="AY37" i="31" s="1"/>
  <c r="AV37" i="31"/>
  <c r="AX37" i="31" s="1"/>
  <c r="AS37" i="31"/>
  <c r="AU37" i="31" s="1"/>
  <c r="AR37" i="31"/>
  <c r="AT37" i="31" s="1"/>
  <c r="AH37" i="31"/>
  <c r="L37" i="31"/>
  <c r="K37" i="31"/>
  <c r="AW36" i="31"/>
  <c r="AY36" i="31" s="1"/>
  <c r="AV36" i="31"/>
  <c r="AX36" i="31" s="1"/>
  <c r="AS36" i="31"/>
  <c r="AU36" i="31" s="1"/>
  <c r="AR36" i="31"/>
  <c r="AT36" i="31" s="1"/>
  <c r="AH36" i="31"/>
  <c r="L36" i="31"/>
  <c r="K36" i="31"/>
  <c r="AW35" i="31"/>
  <c r="AY35" i="31" s="1"/>
  <c r="AV35" i="31"/>
  <c r="AX35" i="31" s="1"/>
  <c r="AS35" i="31"/>
  <c r="AU35" i="31" s="1"/>
  <c r="AR35" i="31"/>
  <c r="AT35" i="31" s="1"/>
  <c r="AH35" i="31"/>
  <c r="L35" i="31"/>
  <c r="K35" i="31"/>
  <c r="AW34" i="31"/>
  <c r="AY34" i="31" s="1"/>
  <c r="AV34" i="31"/>
  <c r="AX34" i="31" s="1"/>
  <c r="AS34" i="31"/>
  <c r="AU34" i="31" s="1"/>
  <c r="AR34" i="31"/>
  <c r="AT34" i="31" s="1"/>
  <c r="AH34" i="31"/>
  <c r="L34" i="31"/>
  <c r="K34" i="31"/>
  <c r="AW33" i="31"/>
  <c r="AY33" i="31" s="1"/>
  <c r="AV33" i="31"/>
  <c r="AX33" i="31" s="1"/>
  <c r="AS33" i="31"/>
  <c r="AU33" i="31" s="1"/>
  <c r="AR33" i="31"/>
  <c r="AT33" i="31" s="1"/>
  <c r="AH33" i="31"/>
  <c r="L33" i="31"/>
  <c r="K33" i="31"/>
  <c r="AW32" i="31"/>
  <c r="AY32" i="31" s="1"/>
  <c r="AV32" i="31"/>
  <c r="AX32" i="31" s="1"/>
  <c r="AS32" i="31"/>
  <c r="AU32" i="31" s="1"/>
  <c r="AR32" i="31"/>
  <c r="AT32" i="31" s="1"/>
  <c r="AH32" i="31"/>
  <c r="L32" i="31"/>
  <c r="K32" i="31"/>
  <c r="AW31" i="31"/>
  <c r="AY31" i="31" s="1"/>
  <c r="AV31" i="31"/>
  <c r="AX31" i="31" s="1"/>
  <c r="AS31" i="31"/>
  <c r="AU31" i="31" s="1"/>
  <c r="AR31" i="31"/>
  <c r="AT31" i="31" s="1"/>
  <c r="AH31" i="31"/>
  <c r="L31" i="31"/>
  <c r="K31" i="31"/>
  <c r="AW30" i="31"/>
  <c r="AY30" i="31" s="1"/>
  <c r="AV30" i="31"/>
  <c r="AX30" i="31" s="1"/>
  <c r="AS30" i="31"/>
  <c r="AU30" i="31" s="1"/>
  <c r="AR30" i="31"/>
  <c r="AT30" i="31" s="1"/>
  <c r="AH30" i="31"/>
  <c r="L30" i="31"/>
  <c r="K30" i="31"/>
  <c r="AW29" i="31"/>
  <c r="AY29" i="31" s="1"/>
  <c r="AV29" i="31"/>
  <c r="AX29" i="31" s="1"/>
  <c r="AS29" i="31"/>
  <c r="AU29" i="31" s="1"/>
  <c r="AR29" i="31"/>
  <c r="AT29" i="31" s="1"/>
  <c r="AH29" i="31"/>
  <c r="L29" i="31"/>
  <c r="K29" i="31"/>
  <c r="AW28" i="31"/>
  <c r="AY28" i="31" s="1"/>
  <c r="AV28" i="31"/>
  <c r="AX28" i="31" s="1"/>
  <c r="AS28" i="31"/>
  <c r="AU28" i="31" s="1"/>
  <c r="AR28" i="31"/>
  <c r="AT28" i="31" s="1"/>
  <c r="AH28" i="31"/>
  <c r="L28" i="31"/>
  <c r="K28" i="31"/>
  <c r="AW27" i="31"/>
  <c r="AY27" i="31" s="1"/>
  <c r="AV27" i="31"/>
  <c r="AX27" i="31" s="1"/>
  <c r="AS27" i="31"/>
  <c r="AU27" i="31" s="1"/>
  <c r="AR27" i="31"/>
  <c r="AT27" i="31" s="1"/>
  <c r="AH27" i="31"/>
  <c r="L27" i="31"/>
  <c r="K27" i="31"/>
  <c r="AW26" i="31"/>
  <c r="AY26" i="31" s="1"/>
  <c r="AV26" i="31"/>
  <c r="AX26" i="31" s="1"/>
  <c r="AS26" i="31"/>
  <c r="AU26" i="31" s="1"/>
  <c r="AR26" i="31"/>
  <c r="AT26" i="31" s="1"/>
  <c r="AH26" i="31"/>
  <c r="L26" i="31"/>
  <c r="K26" i="31"/>
  <c r="AW25" i="31"/>
  <c r="AY25" i="31" s="1"/>
  <c r="AV25" i="31"/>
  <c r="AX25" i="31" s="1"/>
  <c r="AS25" i="31"/>
  <c r="AU25" i="31" s="1"/>
  <c r="AR25" i="31"/>
  <c r="AT25" i="31" s="1"/>
  <c r="AH25" i="31"/>
  <c r="L25" i="31"/>
  <c r="K25" i="31"/>
  <c r="AW24" i="31"/>
  <c r="AY24" i="31" s="1"/>
  <c r="AV24" i="31"/>
  <c r="AX24" i="31" s="1"/>
  <c r="AU24" i="31"/>
  <c r="AS24" i="31"/>
  <c r="AR24" i="31"/>
  <c r="AT24" i="31" s="1"/>
  <c r="AH24" i="31"/>
  <c r="L24" i="31"/>
  <c r="K24" i="31"/>
  <c r="AW23" i="31"/>
  <c r="AY23" i="31" s="1"/>
  <c r="AV23" i="31"/>
  <c r="AX23" i="31" s="1"/>
  <c r="AS23" i="31"/>
  <c r="AU23" i="31" s="1"/>
  <c r="AR23" i="31"/>
  <c r="AT23" i="31" s="1"/>
  <c r="AH23" i="31"/>
  <c r="L23" i="31"/>
  <c r="K23" i="31"/>
  <c r="AW22" i="31"/>
  <c r="AY22" i="31" s="1"/>
  <c r="AV22" i="31"/>
  <c r="AX22" i="31" s="1"/>
  <c r="AS22" i="31"/>
  <c r="AU22" i="31" s="1"/>
  <c r="AR22" i="31"/>
  <c r="AT22" i="31" s="1"/>
  <c r="AH22" i="31"/>
  <c r="L22" i="31"/>
  <c r="K22" i="31"/>
  <c r="AW21" i="31"/>
  <c r="AY21" i="31" s="1"/>
  <c r="AV21" i="31"/>
  <c r="AX21" i="31" s="1"/>
  <c r="AS21" i="31"/>
  <c r="AU21" i="31" s="1"/>
  <c r="AR21" i="31"/>
  <c r="AT21" i="31" s="1"/>
  <c r="AH21" i="31"/>
  <c r="L21" i="31"/>
  <c r="K21" i="31"/>
  <c r="AW20" i="31"/>
  <c r="AY20" i="31" s="1"/>
  <c r="AV20" i="31"/>
  <c r="AX20" i="31" s="1"/>
  <c r="AS20" i="31"/>
  <c r="AU20" i="31" s="1"/>
  <c r="AR20" i="31"/>
  <c r="AT20" i="31" s="1"/>
  <c r="AH20" i="31"/>
  <c r="L20" i="31"/>
  <c r="K20" i="31"/>
  <c r="AW19" i="31"/>
  <c r="AY19" i="31" s="1"/>
  <c r="AV19" i="31"/>
  <c r="AX19" i="31" s="1"/>
  <c r="AS19" i="31"/>
  <c r="AU19" i="31" s="1"/>
  <c r="AR19" i="31"/>
  <c r="AT19" i="31" s="1"/>
  <c r="AH19" i="31"/>
  <c r="L19" i="31"/>
  <c r="K19" i="31"/>
  <c r="AW18" i="31"/>
  <c r="AY18" i="31" s="1"/>
  <c r="AV18" i="31"/>
  <c r="AX18" i="31" s="1"/>
  <c r="AS18" i="31"/>
  <c r="AU18" i="31" s="1"/>
  <c r="AR18" i="31"/>
  <c r="AT18" i="31" s="1"/>
  <c r="AH18" i="31"/>
  <c r="L18" i="31"/>
  <c r="K18" i="31"/>
  <c r="AW17" i="31"/>
  <c r="AY17" i="31" s="1"/>
  <c r="AV17" i="31"/>
  <c r="AX17" i="31" s="1"/>
  <c r="AS17" i="31"/>
  <c r="AU17" i="31" s="1"/>
  <c r="AR17" i="31"/>
  <c r="AT17" i="31" s="1"/>
  <c r="AH17" i="31"/>
  <c r="L17" i="31"/>
  <c r="K17" i="31"/>
  <c r="AW16" i="31"/>
  <c r="AY16" i="31" s="1"/>
  <c r="AV16" i="31"/>
  <c r="AX16" i="31" s="1"/>
  <c r="AU16" i="31"/>
  <c r="AS16" i="31"/>
  <c r="AR16" i="31"/>
  <c r="AT16" i="31" s="1"/>
  <c r="AH16" i="31"/>
  <c r="L16" i="31"/>
  <c r="K16" i="31"/>
  <c r="AW15" i="31"/>
  <c r="AY15" i="31" s="1"/>
  <c r="AV15" i="31"/>
  <c r="AX15" i="31" s="1"/>
  <c r="AT15" i="31"/>
  <c r="AS15" i="31"/>
  <c r="AU15" i="31" s="1"/>
  <c r="AR15" i="31"/>
  <c r="AH15" i="31"/>
  <c r="L15" i="31"/>
  <c r="K15" i="31"/>
  <c r="AW14" i="31"/>
  <c r="AY14" i="31" s="1"/>
  <c r="AV14" i="31"/>
  <c r="AX14" i="31" s="1"/>
  <c r="AT14" i="31"/>
  <c r="AS14" i="31"/>
  <c r="AU14" i="31" s="1"/>
  <c r="AR14" i="31"/>
  <c r="AH14" i="31"/>
  <c r="L14" i="31"/>
  <c r="K14" i="31"/>
  <c r="AW13" i="31"/>
  <c r="AY13" i="31" s="1"/>
  <c r="AV13" i="31"/>
  <c r="AX13" i="31" s="1"/>
  <c r="AS13" i="31"/>
  <c r="AU13" i="31" s="1"/>
  <c r="AR13" i="31"/>
  <c r="AT13" i="31" s="1"/>
  <c r="AH13" i="31"/>
  <c r="L13" i="31"/>
  <c r="K13" i="31"/>
  <c r="AW12" i="31"/>
  <c r="AY12" i="31" s="1"/>
  <c r="AV12" i="31"/>
  <c r="AX12" i="31" s="1"/>
  <c r="AS12" i="31"/>
  <c r="AU12" i="31" s="1"/>
  <c r="AR12" i="31"/>
  <c r="AT12" i="31" s="1"/>
  <c r="AH12" i="31"/>
  <c r="L12" i="31"/>
  <c r="K12" i="31"/>
  <c r="AW11" i="31"/>
  <c r="AY11" i="31" s="1"/>
  <c r="AV11" i="31"/>
  <c r="AX11" i="31" s="1"/>
  <c r="AS11" i="31"/>
  <c r="AU11" i="31" s="1"/>
  <c r="AR11" i="31"/>
  <c r="AT11" i="31" s="1"/>
  <c r="AH11" i="31"/>
  <c r="L11" i="31"/>
  <c r="K11" i="31"/>
  <c r="AW10" i="31"/>
  <c r="AY10" i="31" s="1"/>
  <c r="AV10" i="31"/>
  <c r="AX10" i="31" s="1"/>
  <c r="AS10" i="31"/>
  <c r="AU10" i="31" s="1"/>
  <c r="AR10" i="31"/>
  <c r="AT10" i="31" s="1"/>
  <c r="AH10" i="31"/>
  <c r="L10" i="31"/>
  <c r="K10" i="31"/>
  <c r="AW9" i="31"/>
  <c r="AY9" i="31" s="1"/>
  <c r="AV9" i="31"/>
  <c r="AX9" i="31" s="1"/>
  <c r="AS9" i="31"/>
  <c r="AU9" i="31" s="1"/>
  <c r="AR9" i="31"/>
  <c r="AT9" i="31" s="1"/>
  <c r="AH9" i="31"/>
  <c r="L9" i="31"/>
  <c r="K9" i="31"/>
  <c r="AW8" i="31"/>
  <c r="AY8" i="31" s="1"/>
  <c r="AV8" i="31"/>
  <c r="AX8" i="31" s="1"/>
  <c r="AS8" i="31"/>
  <c r="AU8" i="31" s="1"/>
  <c r="AR8" i="31"/>
  <c r="AT8" i="31" s="1"/>
  <c r="AH8" i="31"/>
  <c r="L8" i="31"/>
  <c r="K8" i="31"/>
  <c r="AW7" i="31"/>
  <c r="AY7" i="31" s="1"/>
  <c r="AV7" i="31"/>
  <c r="AX7" i="31" s="1"/>
  <c r="AS7" i="31"/>
  <c r="AU7" i="31" s="1"/>
  <c r="AR7" i="31"/>
  <c r="AT7" i="31" s="1"/>
  <c r="AH7" i="31"/>
  <c r="L7" i="31"/>
  <c r="K7" i="31"/>
  <c r="AW6" i="31"/>
  <c r="AY6" i="31" s="1"/>
  <c r="AV6" i="31"/>
  <c r="AX6" i="31" s="1"/>
  <c r="AS6" i="31"/>
  <c r="AU6" i="31" s="1"/>
  <c r="AR6" i="31"/>
  <c r="AT6" i="31" s="1"/>
  <c r="AH6" i="31"/>
  <c r="L6" i="31"/>
  <c r="K6" i="31"/>
  <c r="AW5" i="31"/>
  <c r="AY5" i="31" s="1"/>
  <c r="AV5" i="31"/>
  <c r="AX5" i="31" s="1"/>
  <c r="AS5" i="31"/>
  <c r="AU5" i="31" s="1"/>
  <c r="AR5" i="31"/>
  <c r="AT5" i="31" s="1"/>
  <c r="AH5" i="31"/>
  <c r="L5" i="31"/>
  <c r="K5" i="31"/>
  <c r="AW4" i="31"/>
  <c r="AY4" i="31" s="1"/>
  <c r="AV4" i="31"/>
  <c r="AX4" i="31" s="1"/>
  <c r="AS4" i="31"/>
  <c r="AU4" i="31" s="1"/>
  <c r="AR4" i="31"/>
  <c r="AT4" i="31" s="1"/>
  <c r="AH4" i="31"/>
  <c r="L4" i="31"/>
  <c r="K4" i="31"/>
  <c r="AW3" i="31"/>
  <c r="AY3" i="31" s="1"/>
  <c r="AV3" i="31"/>
  <c r="AX3" i="31" s="1"/>
  <c r="AS3" i="31"/>
  <c r="AU3" i="31" s="1"/>
  <c r="AR3" i="31"/>
  <c r="AT3" i="31" s="1"/>
  <c r="AH3" i="31"/>
  <c r="L3" i="31"/>
  <c r="K3" i="31"/>
  <c r="J106" i="34" l="1"/>
  <c r="H114" i="34"/>
  <c r="Q100" i="34"/>
  <c r="T86" i="34"/>
  <c r="F100" i="34"/>
  <c r="G99" i="34"/>
  <c r="H88" i="34"/>
  <c r="E105" i="34"/>
  <c r="E108" i="34" s="1"/>
  <c r="I88" i="34"/>
  <c r="G94" i="34"/>
  <c r="H105" i="34"/>
  <c r="H107" i="34"/>
  <c r="H119" i="34" s="1"/>
  <c r="Q105" i="34"/>
  <c r="G113" i="34"/>
  <c r="P88" i="34"/>
  <c r="D105" i="34"/>
  <c r="P105" i="34"/>
  <c r="G85" i="37"/>
  <c r="P85" i="37"/>
  <c r="D76" i="37"/>
  <c r="D104" i="37"/>
  <c r="H104" i="37"/>
  <c r="N104" i="37"/>
  <c r="E94" i="37"/>
  <c r="I94" i="37"/>
  <c r="Q94" i="37"/>
  <c r="D95" i="37"/>
  <c r="T83" i="37"/>
  <c r="L102" i="37"/>
  <c r="L105" i="37" s="1"/>
  <c r="D66" i="37"/>
  <c r="H75" i="37"/>
  <c r="D85" i="37"/>
  <c r="D97" i="37" s="1"/>
  <c r="F66" i="37"/>
  <c r="J66" i="37"/>
  <c r="N66" i="37"/>
  <c r="L85" i="37"/>
  <c r="N97" i="37"/>
  <c r="D102" i="37"/>
  <c r="P102" i="37"/>
  <c r="E102" i="37"/>
  <c r="G102" i="37"/>
  <c r="I102" i="37"/>
  <c r="I105" i="37" s="1"/>
  <c r="Q102" i="37"/>
  <c r="Q105" i="37" s="1"/>
  <c r="T64" i="37"/>
  <c r="H66" i="37"/>
  <c r="D96" i="37"/>
  <c r="J97" i="37"/>
  <c r="D103" i="37"/>
  <c r="F116" i="37"/>
  <c r="D109" i="37"/>
  <c r="D115" i="37" s="1"/>
  <c r="H96" i="37"/>
  <c r="D91" i="37"/>
  <c r="H91" i="37"/>
  <c r="H97" i="37" s="1"/>
  <c r="G97" i="37"/>
  <c r="L94" i="37"/>
  <c r="T89" i="37"/>
  <c r="H110" i="37"/>
  <c r="H77" i="37"/>
  <c r="D94" i="37"/>
  <c r="H94" i="37"/>
  <c r="D108" i="37"/>
  <c r="H108" i="37"/>
  <c r="P108" i="37"/>
  <c r="P111" i="37" s="1"/>
  <c r="J76" i="37"/>
  <c r="T76" i="37" s="1"/>
  <c r="I111" i="36"/>
  <c r="I114" i="36" s="1"/>
  <c r="Q111" i="36"/>
  <c r="Q114" i="36" s="1"/>
  <c r="G113" i="36"/>
  <c r="G119" i="36" s="1"/>
  <c r="R100" i="36"/>
  <c r="D99" i="36"/>
  <c r="N100" i="36"/>
  <c r="I100" i="36"/>
  <c r="G94" i="36"/>
  <c r="E111" i="36"/>
  <c r="D113" i="36"/>
  <c r="D119" i="36" s="1"/>
  <c r="E75" i="36"/>
  <c r="E81" i="36" s="1"/>
  <c r="M113" i="36"/>
  <c r="M119" i="36" s="1"/>
  <c r="Q75" i="36"/>
  <c r="Q81" i="36" s="1"/>
  <c r="I78" i="36"/>
  <c r="F100" i="36"/>
  <c r="O99" i="36"/>
  <c r="I75" i="35"/>
  <c r="G94" i="35"/>
  <c r="Q78" i="35"/>
  <c r="G113" i="35"/>
  <c r="T113" i="35" s="1"/>
  <c r="H114" i="35"/>
  <c r="D94" i="35"/>
  <c r="E78" i="35"/>
  <c r="D97" i="35"/>
  <c r="H97" i="35"/>
  <c r="P97" i="35"/>
  <c r="H99" i="35"/>
  <c r="T92" i="35"/>
  <c r="O99" i="35"/>
  <c r="M114" i="35"/>
  <c r="J112" i="35"/>
  <c r="T112" i="35" s="1"/>
  <c r="H80" i="35"/>
  <c r="I100" i="35"/>
  <c r="P75" i="35"/>
  <c r="H78" i="35"/>
  <c r="E97" i="35"/>
  <c r="J98" i="35"/>
  <c r="T98" i="35" s="1"/>
  <c r="E117" i="35"/>
  <c r="G119" i="33"/>
  <c r="I75" i="33"/>
  <c r="K100" i="33"/>
  <c r="R100" i="33"/>
  <c r="G94" i="33"/>
  <c r="Q78" i="33"/>
  <c r="Q75" i="33"/>
  <c r="Q81" i="33" s="1"/>
  <c r="E81" i="33"/>
  <c r="I78" i="33"/>
  <c r="O113" i="33"/>
  <c r="O119" i="33" s="1"/>
  <c r="E75" i="33"/>
  <c r="I100" i="33"/>
  <c r="E117" i="33"/>
  <c r="K100" i="34"/>
  <c r="R100" i="34"/>
  <c r="G97" i="34"/>
  <c r="D94" i="34"/>
  <c r="T92" i="34"/>
  <c r="E78" i="34"/>
  <c r="H100" i="34"/>
  <c r="I78" i="34"/>
  <c r="J98" i="34"/>
  <c r="T98" i="34" s="1"/>
  <c r="Q75" i="34"/>
  <c r="Q81" i="34" s="1"/>
  <c r="E81" i="34"/>
  <c r="G94" i="32"/>
  <c r="L97" i="32"/>
  <c r="O100" i="32"/>
  <c r="H97" i="32"/>
  <c r="P97" i="32"/>
  <c r="H99" i="32"/>
  <c r="D79" i="32"/>
  <c r="H80" i="32"/>
  <c r="D94" i="32"/>
  <c r="T74" i="32"/>
  <c r="D97" i="32"/>
  <c r="T92" i="32"/>
  <c r="G100" i="31"/>
  <c r="L97" i="31"/>
  <c r="D98" i="31"/>
  <c r="D94" i="31"/>
  <c r="H94" i="31"/>
  <c r="L111" i="31"/>
  <c r="L114" i="31" s="1"/>
  <c r="D112" i="31"/>
  <c r="D118" i="31" s="1"/>
  <c r="H113" i="31"/>
  <c r="H119" i="31" s="1"/>
  <c r="I78" i="31"/>
  <c r="D119" i="31"/>
  <c r="E75" i="31"/>
  <c r="O119" i="31"/>
  <c r="D111" i="31"/>
  <c r="D117" i="31" s="1"/>
  <c r="H111" i="31"/>
  <c r="P111" i="31"/>
  <c r="P114" i="31" s="1"/>
  <c r="Q75" i="31"/>
  <c r="K100" i="31"/>
  <c r="I117" i="31"/>
  <c r="O113" i="31"/>
  <c r="G97" i="33"/>
  <c r="D110" i="37"/>
  <c r="D116" i="37" s="1"/>
  <c r="D77" i="37"/>
  <c r="E81" i="31"/>
  <c r="Q81" i="31"/>
  <c r="T73" i="31"/>
  <c r="H75" i="31"/>
  <c r="D78" i="31"/>
  <c r="P78" i="31"/>
  <c r="D97" i="31"/>
  <c r="H97" i="31"/>
  <c r="P97" i="31"/>
  <c r="J100" i="31"/>
  <c r="H99" i="31"/>
  <c r="T92" i="31"/>
  <c r="O114" i="31"/>
  <c r="D75" i="32"/>
  <c r="D81" i="32" s="1"/>
  <c r="D94" i="33"/>
  <c r="J112" i="31"/>
  <c r="J114" i="31" s="1"/>
  <c r="N110" i="37"/>
  <c r="N111" i="37" s="1"/>
  <c r="N77" i="37"/>
  <c r="N72" i="37"/>
  <c r="H81" i="31"/>
  <c r="I75" i="31"/>
  <c r="I81" i="31" s="1"/>
  <c r="E78" i="31"/>
  <c r="Q78" i="31"/>
  <c r="E97" i="31"/>
  <c r="H100" i="31"/>
  <c r="J98" i="31"/>
  <c r="T98" i="31" s="1"/>
  <c r="O99" i="31"/>
  <c r="Q117" i="31"/>
  <c r="K111" i="31"/>
  <c r="K114" i="31" s="1"/>
  <c r="R111" i="31"/>
  <c r="R114" i="31" s="1"/>
  <c r="H111" i="32"/>
  <c r="H114" i="32" s="1"/>
  <c r="H75" i="32"/>
  <c r="H81" i="32" s="1"/>
  <c r="P111" i="32"/>
  <c r="P114" i="32" s="1"/>
  <c r="P78" i="32"/>
  <c r="P75" i="32"/>
  <c r="P81" i="32" s="1"/>
  <c r="J112" i="32"/>
  <c r="J114" i="32" s="1"/>
  <c r="T73" i="32"/>
  <c r="E100" i="32"/>
  <c r="G119" i="31"/>
  <c r="P81" i="31"/>
  <c r="P100" i="31"/>
  <c r="P75" i="31"/>
  <c r="H78" i="31"/>
  <c r="D79" i="31"/>
  <c r="H80" i="31"/>
  <c r="T93" i="31"/>
  <c r="H117" i="31"/>
  <c r="T93" i="33"/>
  <c r="G99" i="33"/>
  <c r="O94" i="33"/>
  <c r="O100" i="33" s="1"/>
  <c r="O99" i="33"/>
  <c r="L78" i="32"/>
  <c r="I81" i="32"/>
  <c r="Q81" i="32"/>
  <c r="E111" i="32"/>
  <c r="E114" i="32" s="1"/>
  <c r="I111" i="32"/>
  <c r="I114" i="32" s="1"/>
  <c r="Q111" i="32"/>
  <c r="Q114" i="32" s="1"/>
  <c r="M113" i="32"/>
  <c r="M119" i="32" s="1"/>
  <c r="E75" i="32"/>
  <c r="E81" i="32" s="1"/>
  <c r="M75" i="32"/>
  <c r="M81" i="32" s="1"/>
  <c r="I78" i="32"/>
  <c r="E97" i="32"/>
  <c r="I97" i="32"/>
  <c r="Q97" i="32"/>
  <c r="J98" i="32"/>
  <c r="T98" i="32" s="1"/>
  <c r="N99" i="32"/>
  <c r="H111" i="33"/>
  <c r="H117" i="33" s="1"/>
  <c r="H78" i="33"/>
  <c r="P111" i="33"/>
  <c r="P114" i="33" s="1"/>
  <c r="P75" i="33"/>
  <c r="P81" i="33" s="1"/>
  <c r="H113" i="33"/>
  <c r="H80" i="33"/>
  <c r="D78" i="33"/>
  <c r="G100" i="33"/>
  <c r="D98" i="33"/>
  <c r="P100" i="33"/>
  <c r="P117" i="33"/>
  <c r="F111" i="33"/>
  <c r="F114" i="33" s="1"/>
  <c r="J112" i="33"/>
  <c r="J114" i="33" s="1"/>
  <c r="P81" i="36"/>
  <c r="D111" i="36"/>
  <c r="D117" i="36" s="1"/>
  <c r="D78" i="36"/>
  <c r="H111" i="36"/>
  <c r="H117" i="36" s="1"/>
  <c r="H75" i="36"/>
  <c r="H81" i="36" s="1"/>
  <c r="H78" i="36"/>
  <c r="P111" i="36"/>
  <c r="P114" i="36" s="1"/>
  <c r="P78" i="36"/>
  <c r="J75" i="36"/>
  <c r="T73" i="36"/>
  <c r="J112" i="36"/>
  <c r="T112" i="36" s="1"/>
  <c r="P75" i="36"/>
  <c r="H78" i="32"/>
  <c r="J81" i="32"/>
  <c r="D113" i="32"/>
  <c r="D114" i="32" s="1"/>
  <c r="D99" i="32"/>
  <c r="I100" i="32"/>
  <c r="O99" i="32"/>
  <c r="L117" i="32"/>
  <c r="T112" i="32"/>
  <c r="T73" i="33"/>
  <c r="H75" i="33"/>
  <c r="H81" i="33" s="1"/>
  <c r="E78" i="33"/>
  <c r="D97" i="33"/>
  <c r="H97" i="33"/>
  <c r="P97" i="33"/>
  <c r="J100" i="33"/>
  <c r="H99" i="33"/>
  <c r="E100" i="33"/>
  <c r="T92" i="33"/>
  <c r="J98" i="33"/>
  <c r="T98" i="33" s="1"/>
  <c r="O114" i="33"/>
  <c r="E100" i="34"/>
  <c r="K111" i="34"/>
  <c r="K114" i="34" s="1"/>
  <c r="R111" i="34"/>
  <c r="R114" i="34" s="1"/>
  <c r="N75" i="35"/>
  <c r="N113" i="35"/>
  <c r="P100" i="32"/>
  <c r="H119" i="33"/>
  <c r="K111" i="33"/>
  <c r="K114" i="33" s="1"/>
  <c r="R111" i="33"/>
  <c r="R114" i="33" s="1"/>
  <c r="F75" i="34"/>
  <c r="F111" i="34"/>
  <c r="F114" i="34" s="1"/>
  <c r="F75" i="35"/>
  <c r="F111" i="35"/>
  <c r="F114" i="35" s="1"/>
  <c r="K75" i="35"/>
  <c r="K111" i="35"/>
  <c r="K114" i="35" s="1"/>
  <c r="R75" i="35"/>
  <c r="R111" i="35"/>
  <c r="R114" i="35" s="1"/>
  <c r="H100" i="35"/>
  <c r="G119" i="34"/>
  <c r="P75" i="34"/>
  <c r="P81" i="34" s="1"/>
  <c r="H78" i="34"/>
  <c r="D79" i="34"/>
  <c r="H80" i="34"/>
  <c r="E97" i="34"/>
  <c r="I97" i="34"/>
  <c r="Q97" i="34"/>
  <c r="M99" i="34"/>
  <c r="P117" i="34"/>
  <c r="I81" i="35"/>
  <c r="T74" i="35"/>
  <c r="D79" i="35"/>
  <c r="K100" i="35"/>
  <c r="R100" i="35"/>
  <c r="T93" i="35"/>
  <c r="L97" i="36"/>
  <c r="D98" i="36"/>
  <c r="P100" i="36"/>
  <c r="H94" i="36"/>
  <c r="H100" i="36" s="1"/>
  <c r="J94" i="36"/>
  <c r="J100" i="36" s="1"/>
  <c r="T92" i="36"/>
  <c r="F72" i="37"/>
  <c r="F108" i="37"/>
  <c r="F111" i="37" s="1"/>
  <c r="P97" i="37"/>
  <c r="I100" i="34"/>
  <c r="T93" i="34"/>
  <c r="O99" i="34"/>
  <c r="J112" i="34"/>
  <c r="J114" i="34" s="1"/>
  <c r="O113" i="34"/>
  <c r="O119" i="34" s="1"/>
  <c r="G119" i="35"/>
  <c r="P81" i="35"/>
  <c r="E75" i="35"/>
  <c r="Q75" i="35"/>
  <c r="Q81" i="35" s="1"/>
  <c r="I78" i="35"/>
  <c r="G100" i="35"/>
  <c r="D98" i="35"/>
  <c r="P100" i="35"/>
  <c r="H120" i="35"/>
  <c r="D118" i="35"/>
  <c r="H119" i="35"/>
  <c r="E120" i="35"/>
  <c r="O114" i="35"/>
  <c r="O113" i="35"/>
  <c r="J98" i="36"/>
  <c r="T98" i="36" s="1"/>
  <c r="G72" i="37"/>
  <c r="L108" i="37"/>
  <c r="L111" i="37" s="1"/>
  <c r="L117" i="37" s="1"/>
  <c r="L75" i="37"/>
  <c r="L72" i="37"/>
  <c r="L78" i="37" s="1"/>
  <c r="D112" i="33"/>
  <c r="D118" i="33" s="1"/>
  <c r="D79" i="33"/>
  <c r="E97" i="33"/>
  <c r="I97" i="33"/>
  <c r="Q97" i="33"/>
  <c r="M99" i="33"/>
  <c r="H100" i="33"/>
  <c r="M114" i="33"/>
  <c r="H81" i="34"/>
  <c r="E111" i="34"/>
  <c r="I111" i="34"/>
  <c r="I114" i="34" s="1"/>
  <c r="Q111" i="34"/>
  <c r="Q114" i="34" s="1"/>
  <c r="T73" i="34"/>
  <c r="M113" i="34"/>
  <c r="M114" i="34" s="1"/>
  <c r="H75" i="34"/>
  <c r="D78" i="34"/>
  <c r="P78" i="34"/>
  <c r="G100" i="34"/>
  <c r="D98" i="34"/>
  <c r="O100" i="34"/>
  <c r="P100" i="34"/>
  <c r="D118" i="34"/>
  <c r="J118" i="35"/>
  <c r="E81" i="35"/>
  <c r="T73" i="35"/>
  <c r="H75" i="35"/>
  <c r="H81" i="35" s="1"/>
  <c r="D78" i="35"/>
  <c r="P78" i="35"/>
  <c r="E100" i="35"/>
  <c r="G99" i="35"/>
  <c r="T99" i="35" s="1"/>
  <c r="L111" i="36"/>
  <c r="L114" i="36" s="1"/>
  <c r="D112" i="36"/>
  <c r="D118" i="36" s="1"/>
  <c r="H113" i="36"/>
  <c r="H119" i="36" s="1"/>
  <c r="T93" i="36"/>
  <c r="J109" i="37"/>
  <c r="J115" i="37" s="1"/>
  <c r="N96" i="37"/>
  <c r="D97" i="36"/>
  <c r="H97" i="36"/>
  <c r="P97" i="36"/>
  <c r="H99" i="36"/>
  <c r="E100" i="36"/>
  <c r="Q100" i="36"/>
  <c r="O114" i="36"/>
  <c r="J72" i="37"/>
  <c r="J78" i="37" s="1"/>
  <c r="J95" i="37"/>
  <c r="T95" i="37" s="1"/>
  <c r="O119" i="36"/>
  <c r="I75" i="36"/>
  <c r="I81" i="36" s="1"/>
  <c r="E78" i="36"/>
  <c r="Q78" i="36"/>
  <c r="E97" i="36"/>
  <c r="I97" i="36"/>
  <c r="Q97" i="36"/>
  <c r="M99" i="36"/>
  <c r="D94" i="36"/>
  <c r="E108" i="37"/>
  <c r="E111" i="37" s="1"/>
  <c r="I108" i="37"/>
  <c r="I111" i="37" s="1"/>
  <c r="Q108" i="37"/>
  <c r="Q111" i="37" s="1"/>
  <c r="T109" i="37"/>
  <c r="M104" i="37"/>
  <c r="M77" i="37"/>
  <c r="M66" i="37"/>
  <c r="T71" i="37"/>
  <c r="G110" i="37"/>
  <c r="M96" i="37"/>
  <c r="M85" i="37"/>
  <c r="M97" i="37" s="1"/>
  <c r="R102" i="37"/>
  <c r="R75" i="37"/>
  <c r="D72" i="37"/>
  <c r="D78" i="37" s="1"/>
  <c r="D75" i="37"/>
  <c r="P75" i="37"/>
  <c r="F94" i="37"/>
  <c r="P105" i="37"/>
  <c r="R108" i="37"/>
  <c r="R111" i="37" s="1"/>
  <c r="K102" i="37"/>
  <c r="K75" i="37"/>
  <c r="K66" i="37"/>
  <c r="K85" i="37"/>
  <c r="K97" i="37" s="1"/>
  <c r="K94" i="37"/>
  <c r="G104" i="37"/>
  <c r="G77" i="37"/>
  <c r="T65" i="37"/>
  <c r="O104" i="37"/>
  <c r="O77" i="37"/>
  <c r="O66" i="37"/>
  <c r="R66" i="37"/>
  <c r="R78" i="37" s="1"/>
  <c r="M110" i="37"/>
  <c r="M111" i="37" s="1"/>
  <c r="M72" i="37"/>
  <c r="F75" i="37"/>
  <c r="T84" i="37"/>
  <c r="L97" i="37"/>
  <c r="T90" i="37"/>
  <c r="R94" i="37"/>
  <c r="H102" i="37"/>
  <c r="T103" i="37"/>
  <c r="O72" i="37"/>
  <c r="O110" i="37"/>
  <c r="O111" i="37" s="1"/>
  <c r="F105" i="37"/>
  <c r="K72" i="37"/>
  <c r="K108" i="37"/>
  <c r="K111" i="37" s="1"/>
  <c r="H72" i="37"/>
  <c r="P72" i="37"/>
  <c r="P78" i="37" s="1"/>
  <c r="J114" i="37"/>
  <c r="T63" i="37"/>
  <c r="E66" i="37"/>
  <c r="I66" i="37"/>
  <c r="Q66" i="37"/>
  <c r="T69" i="37"/>
  <c r="E72" i="37"/>
  <c r="I72" i="37"/>
  <c r="Q72" i="37"/>
  <c r="E75" i="37"/>
  <c r="I75" i="37"/>
  <c r="Q75" i="37"/>
  <c r="T82" i="37"/>
  <c r="E85" i="37"/>
  <c r="E97" i="37" s="1"/>
  <c r="I85" i="37"/>
  <c r="I97" i="37" s="1"/>
  <c r="Q85" i="37"/>
  <c r="Q97" i="37" s="1"/>
  <c r="T88" i="37"/>
  <c r="G94" i="37"/>
  <c r="G96" i="37"/>
  <c r="O96" i="37"/>
  <c r="G108" i="37"/>
  <c r="E115" i="37"/>
  <c r="E116" i="37"/>
  <c r="J105" i="37"/>
  <c r="N105" i="37"/>
  <c r="G66" i="37"/>
  <c r="G75" i="37"/>
  <c r="L108" i="36"/>
  <c r="K105" i="36"/>
  <c r="K78" i="36"/>
  <c r="K69" i="36"/>
  <c r="M69" i="36"/>
  <c r="G105" i="36"/>
  <c r="G78" i="36"/>
  <c r="G69" i="36"/>
  <c r="N107" i="36"/>
  <c r="N80" i="36"/>
  <c r="N69" i="36"/>
  <c r="N81" i="36" s="1"/>
  <c r="T74" i="36"/>
  <c r="T87" i="36"/>
  <c r="O100" i="36"/>
  <c r="N99" i="36"/>
  <c r="H108" i="36"/>
  <c r="N113" i="36"/>
  <c r="N114" i="36" s="1"/>
  <c r="F105" i="36"/>
  <c r="T105" i="36" s="1"/>
  <c r="T108" i="36" s="1"/>
  <c r="F78" i="36"/>
  <c r="F69" i="36"/>
  <c r="F81" i="36" s="1"/>
  <c r="R105" i="36"/>
  <c r="R78" i="36"/>
  <c r="R69" i="36"/>
  <c r="R81" i="36" s="1"/>
  <c r="G75" i="36"/>
  <c r="G111" i="36"/>
  <c r="T72" i="36"/>
  <c r="G88" i="36"/>
  <c r="G100" i="36" s="1"/>
  <c r="G97" i="36"/>
  <c r="T85" i="36"/>
  <c r="D108" i="36"/>
  <c r="E114" i="36"/>
  <c r="D75" i="36"/>
  <c r="D81" i="36" s="1"/>
  <c r="L75" i="36"/>
  <c r="L81" i="36" s="1"/>
  <c r="D88" i="36"/>
  <c r="L88" i="36"/>
  <c r="L100" i="36" s="1"/>
  <c r="F97" i="36"/>
  <c r="T107" i="36"/>
  <c r="F111" i="36"/>
  <c r="F114" i="36" s="1"/>
  <c r="K75" i="36"/>
  <c r="K111" i="36"/>
  <c r="K114" i="36" s="1"/>
  <c r="M75" i="36"/>
  <c r="L78" i="36"/>
  <c r="D80" i="36"/>
  <c r="M80" i="36"/>
  <c r="K88" i="36"/>
  <c r="K100" i="36" s="1"/>
  <c r="K97" i="36"/>
  <c r="M88" i="36"/>
  <c r="M100" i="36" s="1"/>
  <c r="T91" i="36"/>
  <c r="R97" i="36"/>
  <c r="I117" i="36"/>
  <c r="P108" i="36"/>
  <c r="P120" i="36" s="1"/>
  <c r="R111" i="36"/>
  <c r="R114" i="36" s="1"/>
  <c r="E108" i="36"/>
  <c r="I108" i="36"/>
  <c r="I120" i="36" s="1"/>
  <c r="M108" i="36"/>
  <c r="Q108" i="36"/>
  <c r="E117" i="36"/>
  <c r="E118" i="36"/>
  <c r="E119" i="36"/>
  <c r="J69" i="36"/>
  <c r="J79" i="36"/>
  <c r="T79" i="36" s="1"/>
  <c r="J108" i="36"/>
  <c r="N108" i="36"/>
  <c r="T68" i="36"/>
  <c r="T69" i="36" s="1"/>
  <c r="O69" i="36"/>
  <c r="O81" i="36" s="1"/>
  <c r="G80" i="36"/>
  <c r="O80" i="36"/>
  <c r="O108" i="36"/>
  <c r="O120" i="36" s="1"/>
  <c r="Q117" i="35"/>
  <c r="Q108" i="35"/>
  <c r="Q120" i="35" s="1"/>
  <c r="K105" i="35"/>
  <c r="K78" i="35"/>
  <c r="K69" i="35"/>
  <c r="K81" i="35" s="1"/>
  <c r="R105" i="35"/>
  <c r="R78" i="35"/>
  <c r="R69" i="35"/>
  <c r="L97" i="35"/>
  <c r="L88" i="35"/>
  <c r="L100" i="35" s="1"/>
  <c r="N88" i="35"/>
  <c r="N100" i="35" s="1"/>
  <c r="N99" i="35"/>
  <c r="G105" i="35"/>
  <c r="G78" i="35"/>
  <c r="G69" i="35"/>
  <c r="L105" i="35"/>
  <c r="L78" i="35"/>
  <c r="L69" i="35"/>
  <c r="D107" i="35"/>
  <c r="D80" i="35"/>
  <c r="D69" i="35"/>
  <c r="N107" i="35"/>
  <c r="N119" i="35" s="1"/>
  <c r="N80" i="35"/>
  <c r="N69" i="35"/>
  <c r="T87" i="35"/>
  <c r="I117" i="35"/>
  <c r="I108" i="35"/>
  <c r="I120" i="35" s="1"/>
  <c r="J114" i="35"/>
  <c r="P108" i="35"/>
  <c r="P120" i="35" s="1"/>
  <c r="F105" i="35"/>
  <c r="F78" i="35"/>
  <c r="F69" i="35"/>
  <c r="M107" i="35"/>
  <c r="M119" i="35" s="1"/>
  <c r="M80" i="35"/>
  <c r="T85" i="35"/>
  <c r="T88" i="35" s="1"/>
  <c r="D99" i="35"/>
  <c r="D88" i="35"/>
  <c r="D100" i="35" s="1"/>
  <c r="H117" i="35"/>
  <c r="M69" i="35"/>
  <c r="G75" i="35"/>
  <c r="G111" i="35"/>
  <c r="L111" i="35"/>
  <c r="L114" i="35" s="1"/>
  <c r="L75" i="35"/>
  <c r="T72" i="35"/>
  <c r="D113" i="35"/>
  <c r="D114" i="35" s="1"/>
  <c r="D75" i="35"/>
  <c r="J100" i="35"/>
  <c r="Q100" i="35"/>
  <c r="G97" i="35"/>
  <c r="P117" i="35"/>
  <c r="T107" i="35"/>
  <c r="E119" i="35"/>
  <c r="J119" i="35"/>
  <c r="M108" i="35"/>
  <c r="M120" i="35" s="1"/>
  <c r="N114" i="35"/>
  <c r="O119" i="35"/>
  <c r="K97" i="35"/>
  <c r="R97" i="35"/>
  <c r="T106" i="35"/>
  <c r="R119" i="35"/>
  <c r="M75" i="35"/>
  <c r="M88" i="35"/>
  <c r="M100" i="35" s="1"/>
  <c r="T91" i="35"/>
  <c r="F97" i="35"/>
  <c r="K118" i="35"/>
  <c r="O118" i="35"/>
  <c r="J69" i="35"/>
  <c r="J81" i="35" s="1"/>
  <c r="J79" i="35"/>
  <c r="T79" i="35" s="1"/>
  <c r="J108" i="35"/>
  <c r="N108" i="35"/>
  <c r="T68" i="35"/>
  <c r="T69" i="35" s="1"/>
  <c r="O69" i="35"/>
  <c r="O81" i="35" s="1"/>
  <c r="G80" i="35"/>
  <c r="O80" i="35"/>
  <c r="O108" i="35"/>
  <c r="G75" i="34"/>
  <c r="G111" i="34"/>
  <c r="G114" i="34" s="1"/>
  <c r="L111" i="34"/>
  <c r="L114" i="34" s="1"/>
  <c r="L75" i="34"/>
  <c r="T72" i="34"/>
  <c r="D113" i="34"/>
  <c r="D114" i="34" s="1"/>
  <c r="D75" i="34"/>
  <c r="E119" i="34"/>
  <c r="T74" i="34"/>
  <c r="Q108" i="34"/>
  <c r="G118" i="34"/>
  <c r="P108" i="34"/>
  <c r="P120" i="34" s="1"/>
  <c r="O114" i="34"/>
  <c r="F105" i="34"/>
  <c r="F78" i="34"/>
  <c r="F69" i="34"/>
  <c r="K105" i="34"/>
  <c r="K78" i="34"/>
  <c r="K69" i="34"/>
  <c r="K81" i="34" s="1"/>
  <c r="R105" i="34"/>
  <c r="R78" i="34"/>
  <c r="R69" i="34"/>
  <c r="R81" i="34" s="1"/>
  <c r="M107" i="34"/>
  <c r="M80" i="34"/>
  <c r="L97" i="34"/>
  <c r="L88" i="34"/>
  <c r="L100" i="34" s="1"/>
  <c r="T85" i="34"/>
  <c r="D99" i="34"/>
  <c r="D88" i="34"/>
  <c r="N88" i="34"/>
  <c r="N100" i="34" s="1"/>
  <c r="N99" i="34"/>
  <c r="N113" i="34"/>
  <c r="D117" i="34"/>
  <c r="G105" i="34"/>
  <c r="G78" i="34"/>
  <c r="G69" i="34"/>
  <c r="G81" i="34" s="1"/>
  <c r="L105" i="34"/>
  <c r="L78" i="34"/>
  <c r="L69" i="34"/>
  <c r="T66" i="34"/>
  <c r="D107" i="34"/>
  <c r="D80" i="34"/>
  <c r="D69" i="34"/>
  <c r="N107" i="34"/>
  <c r="N119" i="34" s="1"/>
  <c r="N80" i="34"/>
  <c r="N69" i="34"/>
  <c r="N81" i="34" s="1"/>
  <c r="I81" i="34"/>
  <c r="T87" i="34"/>
  <c r="I117" i="34"/>
  <c r="I108" i="34"/>
  <c r="I120" i="34" s="1"/>
  <c r="K97" i="34"/>
  <c r="R97" i="34"/>
  <c r="T106" i="34"/>
  <c r="R119" i="34"/>
  <c r="M75" i="34"/>
  <c r="M81" i="34" s="1"/>
  <c r="M88" i="34"/>
  <c r="M100" i="34" s="1"/>
  <c r="T91" i="34"/>
  <c r="F97" i="34"/>
  <c r="K118" i="34"/>
  <c r="O118" i="34"/>
  <c r="J69" i="34"/>
  <c r="J81" i="34" s="1"/>
  <c r="J79" i="34"/>
  <c r="T79" i="34" s="1"/>
  <c r="J108" i="34"/>
  <c r="J120" i="34" s="1"/>
  <c r="N108" i="34"/>
  <c r="T68" i="34"/>
  <c r="O69" i="34"/>
  <c r="O81" i="34" s="1"/>
  <c r="G80" i="34"/>
  <c r="O80" i="34"/>
  <c r="O108" i="34"/>
  <c r="L111" i="33"/>
  <c r="L114" i="33" s="1"/>
  <c r="L75" i="33"/>
  <c r="E119" i="33"/>
  <c r="Q117" i="33"/>
  <c r="Q108" i="33"/>
  <c r="Q120" i="33" s="1"/>
  <c r="F105" i="33"/>
  <c r="F78" i="33"/>
  <c r="F69" i="33"/>
  <c r="F81" i="33" s="1"/>
  <c r="K105" i="33"/>
  <c r="K78" i="33"/>
  <c r="K69" i="33"/>
  <c r="K81" i="33" s="1"/>
  <c r="R105" i="33"/>
  <c r="R78" i="33"/>
  <c r="R69" i="33"/>
  <c r="R81" i="33" s="1"/>
  <c r="M107" i="33"/>
  <c r="M80" i="33"/>
  <c r="L97" i="33"/>
  <c r="L88" i="33"/>
  <c r="L100" i="33" s="1"/>
  <c r="T85" i="33"/>
  <c r="T88" i="33" s="1"/>
  <c r="D99" i="33"/>
  <c r="D88" i="33"/>
  <c r="D100" i="33" s="1"/>
  <c r="N88" i="33"/>
  <c r="N100" i="33" s="1"/>
  <c r="N99" i="33"/>
  <c r="E108" i="33"/>
  <c r="E120" i="33" s="1"/>
  <c r="N113" i="33"/>
  <c r="T113" i="33" s="1"/>
  <c r="D117" i="33"/>
  <c r="G75" i="33"/>
  <c r="G111" i="33"/>
  <c r="G114" i="33" s="1"/>
  <c r="T72" i="33"/>
  <c r="D113" i="33"/>
  <c r="D75" i="33"/>
  <c r="T74" i="33"/>
  <c r="P108" i="33"/>
  <c r="P120" i="33" s="1"/>
  <c r="G105" i="33"/>
  <c r="G78" i="33"/>
  <c r="G69" i="33"/>
  <c r="G81" i="33" s="1"/>
  <c r="L105" i="33"/>
  <c r="L78" i="33"/>
  <c r="L69" i="33"/>
  <c r="T66" i="33"/>
  <c r="D107" i="33"/>
  <c r="D80" i="33"/>
  <c r="D69" i="33"/>
  <c r="D81" i="33" s="1"/>
  <c r="N107" i="33"/>
  <c r="N80" i="33"/>
  <c r="N69" i="33"/>
  <c r="N81" i="33" s="1"/>
  <c r="I81" i="33"/>
  <c r="T87" i="33"/>
  <c r="I117" i="33"/>
  <c r="I108" i="33"/>
  <c r="I120" i="33" s="1"/>
  <c r="H108" i="33"/>
  <c r="K97" i="33"/>
  <c r="R97" i="33"/>
  <c r="J117" i="33"/>
  <c r="T106" i="33"/>
  <c r="R119" i="33"/>
  <c r="M75" i="33"/>
  <c r="M81" i="33" s="1"/>
  <c r="M88" i="33"/>
  <c r="M100" i="33" s="1"/>
  <c r="T91" i="33"/>
  <c r="F97" i="33"/>
  <c r="T105" i="33"/>
  <c r="K118" i="33"/>
  <c r="O118" i="33"/>
  <c r="J69" i="33"/>
  <c r="J81" i="33" s="1"/>
  <c r="J79" i="33"/>
  <c r="T79" i="33" s="1"/>
  <c r="J108" i="33"/>
  <c r="T68" i="33"/>
  <c r="O69" i="33"/>
  <c r="O81" i="33" s="1"/>
  <c r="G80" i="33"/>
  <c r="O80" i="33"/>
  <c r="O108" i="33"/>
  <c r="F94" i="32"/>
  <c r="F100" i="32" s="1"/>
  <c r="T91" i="32"/>
  <c r="F111" i="32"/>
  <c r="F114" i="32" s="1"/>
  <c r="D108" i="32"/>
  <c r="D117" i="32"/>
  <c r="R100" i="32"/>
  <c r="N100" i="32"/>
  <c r="E117" i="32"/>
  <c r="E108" i="32"/>
  <c r="I117" i="32"/>
  <c r="I108" i="32"/>
  <c r="I120" i="32" s="1"/>
  <c r="Q117" i="32"/>
  <c r="Q108" i="32"/>
  <c r="Q120" i="32" s="1"/>
  <c r="P108" i="32"/>
  <c r="R97" i="32"/>
  <c r="H119" i="32"/>
  <c r="L108" i="32"/>
  <c r="L120" i="32" s="1"/>
  <c r="F105" i="32"/>
  <c r="F78" i="32"/>
  <c r="F69" i="32"/>
  <c r="F81" i="32" s="1"/>
  <c r="K105" i="32"/>
  <c r="K78" i="32"/>
  <c r="K69" i="32"/>
  <c r="R105" i="32"/>
  <c r="R78" i="32"/>
  <c r="R69" i="32"/>
  <c r="R81" i="32" s="1"/>
  <c r="L69" i="32"/>
  <c r="K75" i="32"/>
  <c r="K111" i="32"/>
  <c r="K114" i="32" s="1"/>
  <c r="L75" i="32"/>
  <c r="D78" i="32"/>
  <c r="D88" i="32"/>
  <c r="L88" i="32"/>
  <c r="L100" i="32" s="1"/>
  <c r="T93" i="32"/>
  <c r="R111" i="32"/>
  <c r="R114" i="32" s="1"/>
  <c r="G105" i="32"/>
  <c r="G78" i="32"/>
  <c r="G69" i="32"/>
  <c r="T66" i="32"/>
  <c r="T69" i="32" s="1"/>
  <c r="N107" i="32"/>
  <c r="T107" i="32" s="1"/>
  <c r="N80" i="32"/>
  <c r="N69" i="32"/>
  <c r="N81" i="32" s="1"/>
  <c r="G75" i="32"/>
  <c r="G111" i="32"/>
  <c r="T72" i="32"/>
  <c r="D80" i="32"/>
  <c r="M80" i="32"/>
  <c r="K88" i="32"/>
  <c r="K100" i="32" s="1"/>
  <c r="K97" i="32"/>
  <c r="M99" i="32"/>
  <c r="M88" i="32"/>
  <c r="M100" i="32" s="1"/>
  <c r="H105" i="32"/>
  <c r="T106" i="32"/>
  <c r="N113" i="32"/>
  <c r="N114" i="32" s="1"/>
  <c r="G88" i="32"/>
  <c r="G100" i="32" s="1"/>
  <c r="G97" i="32"/>
  <c r="T85" i="32"/>
  <c r="T88" i="32" s="1"/>
  <c r="H100" i="32"/>
  <c r="F97" i="32"/>
  <c r="M108" i="32"/>
  <c r="G113" i="32"/>
  <c r="G119" i="32" s="1"/>
  <c r="O113" i="32"/>
  <c r="O114" i="32" s="1"/>
  <c r="E118" i="32"/>
  <c r="E119" i="32"/>
  <c r="J79" i="32"/>
  <c r="T79" i="32" s="1"/>
  <c r="J108" i="32"/>
  <c r="N108" i="32"/>
  <c r="T68" i="32"/>
  <c r="O69" i="32"/>
  <c r="O81" i="32" s="1"/>
  <c r="G80" i="32"/>
  <c r="O80" i="32"/>
  <c r="O108" i="32"/>
  <c r="L108" i="31"/>
  <c r="L120" i="31" s="1"/>
  <c r="L117" i="31"/>
  <c r="D108" i="31"/>
  <c r="T69" i="31"/>
  <c r="K105" i="31"/>
  <c r="K78" i="31"/>
  <c r="K69" i="31"/>
  <c r="K81" i="31" s="1"/>
  <c r="G97" i="31"/>
  <c r="M108" i="31"/>
  <c r="G105" i="31"/>
  <c r="G78" i="31"/>
  <c r="G69" i="31"/>
  <c r="G81" i="31" s="1"/>
  <c r="N107" i="31"/>
  <c r="N80" i="31"/>
  <c r="N69" i="31"/>
  <c r="N81" i="31" s="1"/>
  <c r="T74" i="31"/>
  <c r="T87" i="31"/>
  <c r="I100" i="31"/>
  <c r="Q100" i="31"/>
  <c r="H108" i="31"/>
  <c r="P108" i="31"/>
  <c r="F111" i="31"/>
  <c r="F114" i="31" s="1"/>
  <c r="E117" i="31"/>
  <c r="R105" i="31"/>
  <c r="R78" i="31"/>
  <c r="R69" i="31"/>
  <c r="R81" i="31" s="1"/>
  <c r="M69" i="31"/>
  <c r="T107" i="31"/>
  <c r="E108" i="31"/>
  <c r="E120" i="31" s="1"/>
  <c r="N113" i="31"/>
  <c r="N114" i="31" s="1"/>
  <c r="D75" i="31"/>
  <c r="L75" i="31"/>
  <c r="D88" i="31"/>
  <c r="D100" i="31" s="1"/>
  <c r="L88" i="31"/>
  <c r="L100" i="31" s="1"/>
  <c r="K97" i="31"/>
  <c r="R97" i="31"/>
  <c r="N99" i="31"/>
  <c r="T106" i="31"/>
  <c r="R119" i="31"/>
  <c r="I108" i="31"/>
  <c r="I120" i="31" s="1"/>
  <c r="Q108" i="31"/>
  <c r="Q120" i="31" s="1"/>
  <c r="G111" i="31"/>
  <c r="G114" i="31" s="1"/>
  <c r="F105" i="31"/>
  <c r="T105" i="31" s="1"/>
  <c r="T108" i="31" s="1"/>
  <c r="F78" i="31"/>
  <c r="F69" i="31"/>
  <c r="F81" i="31" s="1"/>
  <c r="T72" i="31"/>
  <c r="T85" i="31"/>
  <c r="T88" i="31" s="1"/>
  <c r="D69" i="31"/>
  <c r="L69" i="31"/>
  <c r="M113" i="31"/>
  <c r="M119" i="31" s="1"/>
  <c r="M75" i="31"/>
  <c r="L78" i="31"/>
  <c r="D80" i="31"/>
  <c r="M80" i="31"/>
  <c r="M99" i="31"/>
  <c r="E100" i="31"/>
  <c r="M88" i="31"/>
  <c r="M100" i="31" s="1"/>
  <c r="T91" i="31"/>
  <c r="F97" i="31"/>
  <c r="K118" i="31"/>
  <c r="O118" i="31"/>
  <c r="J69" i="31"/>
  <c r="J81" i="31" s="1"/>
  <c r="J79" i="31"/>
  <c r="T79" i="31" s="1"/>
  <c r="J108" i="31"/>
  <c r="N108" i="31"/>
  <c r="T68" i="31"/>
  <c r="O69" i="31"/>
  <c r="O81" i="31" s="1"/>
  <c r="G80" i="31"/>
  <c r="O80" i="31"/>
  <c r="O108" i="31"/>
  <c r="L3" i="4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K3" i="4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H108" i="34" l="1"/>
  <c r="H120" i="34" s="1"/>
  <c r="H117" i="34"/>
  <c r="T113" i="34"/>
  <c r="T102" i="37"/>
  <c r="E105" i="37"/>
  <c r="J111" i="37"/>
  <c r="J117" i="37" s="1"/>
  <c r="D114" i="37"/>
  <c r="H116" i="37"/>
  <c r="G111" i="37"/>
  <c r="T85" i="37"/>
  <c r="Q117" i="37"/>
  <c r="G105" i="37"/>
  <c r="N78" i="37"/>
  <c r="G78" i="37"/>
  <c r="T115" i="37"/>
  <c r="T94" i="37"/>
  <c r="T66" i="37"/>
  <c r="H78" i="37"/>
  <c r="F78" i="37"/>
  <c r="D105" i="37"/>
  <c r="D111" i="37"/>
  <c r="E114" i="37"/>
  <c r="N117" i="37"/>
  <c r="F117" i="37"/>
  <c r="H111" i="37"/>
  <c r="T77" i="37"/>
  <c r="P114" i="37"/>
  <c r="Q114" i="37"/>
  <c r="N116" i="37"/>
  <c r="F114" i="37"/>
  <c r="T96" i="37"/>
  <c r="P117" i="37"/>
  <c r="J114" i="36"/>
  <c r="J118" i="36"/>
  <c r="T118" i="36" s="1"/>
  <c r="E120" i="36"/>
  <c r="P117" i="36"/>
  <c r="T99" i="36"/>
  <c r="Q120" i="36"/>
  <c r="T94" i="36"/>
  <c r="Q117" i="36"/>
  <c r="G114" i="36"/>
  <c r="L120" i="36"/>
  <c r="T80" i="36"/>
  <c r="J120" i="36"/>
  <c r="L117" i="36"/>
  <c r="M114" i="36"/>
  <c r="M120" i="36" s="1"/>
  <c r="T78" i="36"/>
  <c r="T81" i="36" s="1"/>
  <c r="O120" i="35"/>
  <c r="N120" i="35"/>
  <c r="R81" i="35"/>
  <c r="J120" i="35"/>
  <c r="F81" i="35"/>
  <c r="T78" i="35"/>
  <c r="D114" i="33"/>
  <c r="N119" i="33"/>
  <c r="J120" i="33"/>
  <c r="O120" i="33"/>
  <c r="T80" i="33"/>
  <c r="T112" i="33"/>
  <c r="T80" i="34"/>
  <c r="Q120" i="34"/>
  <c r="T94" i="34"/>
  <c r="D100" i="34"/>
  <c r="T112" i="34"/>
  <c r="D81" i="34"/>
  <c r="L81" i="34"/>
  <c r="Q117" i="34"/>
  <c r="F81" i="34"/>
  <c r="M114" i="32"/>
  <c r="T99" i="32"/>
  <c r="N120" i="32"/>
  <c r="D119" i="32"/>
  <c r="D100" i="32"/>
  <c r="T75" i="31"/>
  <c r="P117" i="31"/>
  <c r="D114" i="31"/>
  <c r="D120" i="31" s="1"/>
  <c r="H114" i="31"/>
  <c r="H120" i="31" s="1"/>
  <c r="D81" i="31"/>
  <c r="O120" i="31"/>
  <c r="T94" i="31"/>
  <c r="P120" i="31"/>
  <c r="T99" i="31"/>
  <c r="N114" i="33"/>
  <c r="T97" i="34"/>
  <c r="T80" i="35"/>
  <c r="T81" i="35" s="1"/>
  <c r="T118" i="35"/>
  <c r="T75" i="35"/>
  <c r="T75" i="36"/>
  <c r="T75" i="37"/>
  <c r="I117" i="37"/>
  <c r="K78" i="37"/>
  <c r="H114" i="33"/>
  <c r="H120" i="33" s="1"/>
  <c r="T97" i="33"/>
  <c r="T80" i="31"/>
  <c r="J120" i="31"/>
  <c r="T80" i="32"/>
  <c r="J120" i="32"/>
  <c r="P117" i="32"/>
  <c r="D120" i="32"/>
  <c r="T94" i="33"/>
  <c r="O120" i="34"/>
  <c r="D119" i="34"/>
  <c r="T99" i="34"/>
  <c r="T78" i="34"/>
  <c r="T97" i="35"/>
  <c r="T100" i="35" s="1"/>
  <c r="N81" i="35"/>
  <c r="J81" i="36"/>
  <c r="T113" i="36"/>
  <c r="T97" i="36"/>
  <c r="T100" i="36" s="1"/>
  <c r="H114" i="36"/>
  <c r="H120" i="36" s="1"/>
  <c r="N119" i="36"/>
  <c r="I114" i="37"/>
  <c r="L114" i="37"/>
  <c r="O116" i="37"/>
  <c r="J118" i="33"/>
  <c r="T112" i="31"/>
  <c r="T75" i="33"/>
  <c r="J118" i="31"/>
  <c r="T118" i="31" s="1"/>
  <c r="T97" i="32"/>
  <c r="T100" i="32" s="1"/>
  <c r="P120" i="32"/>
  <c r="T97" i="31"/>
  <c r="T100" i="31" s="1"/>
  <c r="T78" i="31"/>
  <c r="T81" i="31" s="1"/>
  <c r="T111" i="31"/>
  <c r="T75" i="32"/>
  <c r="K81" i="32"/>
  <c r="T78" i="32"/>
  <c r="T81" i="32" s="1"/>
  <c r="T118" i="33"/>
  <c r="T99" i="33"/>
  <c r="T78" i="33"/>
  <c r="T81" i="33" s="1"/>
  <c r="T111" i="34"/>
  <c r="T94" i="35"/>
  <c r="D119" i="35"/>
  <c r="G81" i="35"/>
  <c r="N120" i="36"/>
  <c r="T119" i="36"/>
  <c r="D100" i="36"/>
  <c r="D114" i="36"/>
  <c r="D120" i="36" s="1"/>
  <c r="K81" i="36"/>
  <c r="E117" i="37"/>
  <c r="T110" i="37"/>
  <c r="M116" i="37"/>
  <c r="E114" i="34"/>
  <c r="E120" i="34" s="1"/>
  <c r="E117" i="34"/>
  <c r="J118" i="34"/>
  <c r="T118" i="34" s="1"/>
  <c r="J118" i="32"/>
  <c r="T118" i="32" s="1"/>
  <c r="R114" i="37"/>
  <c r="R105" i="37"/>
  <c r="R117" i="37" s="1"/>
  <c r="O105" i="37"/>
  <c r="O117" i="37" s="1"/>
  <c r="M105" i="37"/>
  <c r="M117" i="37" s="1"/>
  <c r="T91" i="37"/>
  <c r="Q78" i="37"/>
  <c r="G114" i="37"/>
  <c r="I78" i="37"/>
  <c r="H105" i="37"/>
  <c r="H117" i="37" s="1"/>
  <c r="H114" i="37"/>
  <c r="T108" i="37"/>
  <c r="O78" i="37"/>
  <c r="K114" i="37"/>
  <c r="K105" i="37"/>
  <c r="K117" i="37" s="1"/>
  <c r="M78" i="37"/>
  <c r="T72" i="37"/>
  <c r="E78" i="37"/>
  <c r="T104" i="37"/>
  <c r="G116" i="37"/>
  <c r="G117" i="36"/>
  <c r="G108" i="36"/>
  <c r="G120" i="36" s="1"/>
  <c r="F117" i="36"/>
  <c r="F108" i="36"/>
  <c r="F120" i="36" s="1"/>
  <c r="K117" i="36"/>
  <c r="K108" i="36"/>
  <c r="K120" i="36" s="1"/>
  <c r="T111" i="36"/>
  <c r="T88" i="36"/>
  <c r="R117" i="36"/>
  <c r="R108" i="36"/>
  <c r="R120" i="36" s="1"/>
  <c r="G81" i="36"/>
  <c r="M81" i="36"/>
  <c r="T119" i="35"/>
  <c r="D108" i="35"/>
  <c r="D120" i="35" s="1"/>
  <c r="L81" i="35"/>
  <c r="R117" i="35"/>
  <c r="R108" i="35"/>
  <c r="R120" i="35" s="1"/>
  <c r="G114" i="35"/>
  <c r="T111" i="35"/>
  <c r="T114" i="35" s="1"/>
  <c r="F117" i="35"/>
  <c r="F108" i="35"/>
  <c r="F120" i="35" s="1"/>
  <c r="D81" i="35"/>
  <c r="G117" i="35"/>
  <c r="G108" i="35"/>
  <c r="M81" i="35"/>
  <c r="K117" i="35"/>
  <c r="K108" i="35"/>
  <c r="K120" i="35" s="1"/>
  <c r="T105" i="35"/>
  <c r="T108" i="35" s="1"/>
  <c r="L108" i="35"/>
  <c r="L120" i="35" s="1"/>
  <c r="L117" i="35"/>
  <c r="T81" i="34"/>
  <c r="L108" i="34"/>
  <c r="L120" i="34" s="1"/>
  <c r="L117" i="34"/>
  <c r="T105" i="34"/>
  <c r="T69" i="34"/>
  <c r="F117" i="34"/>
  <c r="F108" i="34"/>
  <c r="F120" i="34" s="1"/>
  <c r="N114" i="34"/>
  <c r="N120" i="34" s="1"/>
  <c r="T88" i="34"/>
  <c r="M119" i="34"/>
  <c r="T119" i="34" s="1"/>
  <c r="M108" i="34"/>
  <c r="M120" i="34" s="1"/>
  <c r="K117" i="34"/>
  <c r="K108" i="34"/>
  <c r="K120" i="34" s="1"/>
  <c r="D108" i="34"/>
  <c r="D120" i="34" s="1"/>
  <c r="T75" i="34"/>
  <c r="G117" i="34"/>
  <c r="G108" i="34"/>
  <c r="G120" i="34" s="1"/>
  <c r="R117" i="34"/>
  <c r="R108" i="34"/>
  <c r="R120" i="34" s="1"/>
  <c r="T107" i="34"/>
  <c r="R117" i="33"/>
  <c r="R108" i="33"/>
  <c r="R120" i="33" s="1"/>
  <c r="L81" i="33"/>
  <c r="M119" i="33"/>
  <c r="T119" i="33" s="1"/>
  <c r="M108" i="33"/>
  <c r="M120" i="33" s="1"/>
  <c r="G117" i="33"/>
  <c r="G108" i="33"/>
  <c r="G120" i="33" s="1"/>
  <c r="F117" i="33"/>
  <c r="F108" i="33"/>
  <c r="F120" i="33" s="1"/>
  <c r="T69" i="33"/>
  <c r="N108" i="33"/>
  <c r="N120" i="33" s="1"/>
  <c r="T111" i="33"/>
  <c r="T114" i="33" s="1"/>
  <c r="D119" i="33"/>
  <c r="L108" i="33"/>
  <c r="L120" i="33" s="1"/>
  <c r="L117" i="33"/>
  <c r="D108" i="33"/>
  <c r="D120" i="33" s="1"/>
  <c r="K117" i="33"/>
  <c r="K108" i="33"/>
  <c r="K120" i="33" s="1"/>
  <c r="T107" i="33"/>
  <c r="T108" i="33" s="1"/>
  <c r="O120" i="32"/>
  <c r="M120" i="32"/>
  <c r="O119" i="32"/>
  <c r="G81" i="32"/>
  <c r="F117" i="32"/>
  <c r="F108" i="32"/>
  <c r="F120" i="32" s="1"/>
  <c r="T105" i="32"/>
  <c r="T108" i="32" s="1"/>
  <c r="T113" i="32"/>
  <c r="L81" i="32"/>
  <c r="H108" i="32"/>
  <c r="H120" i="32" s="1"/>
  <c r="H117" i="32"/>
  <c r="K117" i="32"/>
  <c r="K108" i="32"/>
  <c r="K120" i="32" s="1"/>
  <c r="T94" i="32"/>
  <c r="G114" i="32"/>
  <c r="N119" i="32"/>
  <c r="T119" i="32" s="1"/>
  <c r="G117" i="32"/>
  <c r="G108" i="32"/>
  <c r="R117" i="32"/>
  <c r="R108" i="32"/>
  <c r="R120" i="32" s="1"/>
  <c r="T111" i="32"/>
  <c r="E120" i="32"/>
  <c r="N119" i="31"/>
  <c r="T119" i="31" s="1"/>
  <c r="K117" i="31"/>
  <c r="K108" i="31"/>
  <c r="K120" i="31" s="1"/>
  <c r="T113" i="31"/>
  <c r="F117" i="31"/>
  <c r="F108" i="31"/>
  <c r="F120" i="31" s="1"/>
  <c r="G117" i="31"/>
  <c r="G108" i="31"/>
  <c r="G120" i="31" s="1"/>
  <c r="L81" i="31"/>
  <c r="R117" i="31"/>
  <c r="R108" i="31"/>
  <c r="R120" i="31" s="1"/>
  <c r="M114" i="31"/>
  <c r="M120" i="31" s="1"/>
  <c r="N120" i="31"/>
  <c r="M81" i="31"/>
  <c r="AR3" i="4"/>
  <c r="AT3" i="4" s="1"/>
  <c r="AS3" i="4"/>
  <c r="AU3" i="4" s="1"/>
  <c r="AV3" i="4"/>
  <c r="AX3" i="4" s="1"/>
  <c r="AW3" i="4"/>
  <c r="AY3" i="4" s="1"/>
  <c r="AR4" i="4"/>
  <c r="AT4" i="4" s="1"/>
  <c r="AS4" i="4"/>
  <c r="AU4" i="4" s="1"/>
  <c r="AV4" i="4"/>
  <c r="AX4" i="4" s="1"/>
  <c r="AW4" i="4"/>
  <c r="AY4" i="4" s="1"/>
  <c r="AR5" i="4"/>
  <c r="AT5" i="4" s="1"/>
  <c r="AS5" i="4"/>
  <c r="AU5" i="4" s="1"/>
  <c r="AV5" i="4"/>
  <c r="AX5" i="4" s="1"/>
  <c r="AW5" i="4"/>
  <c r="AY5" i="4" s="1"/>
  <c r="AR6" i="4"/>
  <c r="AT6" i="4" s="1"/>
  <c r="AS6" i="4"/>
  <c r="AU6" i="4" s="1"/>
  <c r="AV6" i="4"/>
  <c r="AX6" i="4" s="1"/>
  <c r="AW6" i="4"/>
  <c r="AY6" i="4" s="1"/>
  <c r="AR7" i="4"/>
  <c r="AT7" i="4" s="1"/>
  <c r="AS7" i="4"/>
  <c r="AU7" i="4" s="1"/>
  <c r="AV7" i="4"/>
  <c r="AX7" i="4" s="1"/>
  <c r="AW7" i="4"/>
  <c r="AY7" i="4" s="1"/>
  <c r="AR8" i="4"/>
  <c r="AT8" i="4" s="1"/>
  <c r="AS8" i="4"/>
  <c r="AU8" i="4" s="1"/>
  <c r="AV8" i="4"/>
  <c r="AX8" i="4" s="1"/>
  <c r="AW8" i="4"/>
  <c r="AY8" i="4" s="1"/>
  <c r="AR9" i="4"/>
  <c r="AT9" i="4" s="1"/>
  <c r="AS9" i="4"/>
  <c r="AU9" i="4" s="1"/>
  <c r="AV9" i="4"/>
  <c r="AX9" i="4" s="1"/>
  <c r="AW9" i="4"/>
  <c r="AY9" i="4" s="1"/>
  <c r="AR10" i="4"/>
  <c r="AT10" i="4" s="1"/>
  <c r="AS10" i="4"/>
  <c r="AU10" i="4" s="1"/>
  <c r="AV10" i="4"/>
  <c r="AX10" i="4" s="1"/>
  <c r="AW10" i="4"/>
  <c r="AY10" i="4" s="1"/>
  <c r="AR11" i="4"/>
  <c r="AT11" i="4" s="1"/>
  <c r="AS11" i="4"/>
  <c r="AU11" i="4" s="1"/>
  <c r="AV11" i="4"/>
  <c r="AX11" i="4" s="1"/>
  <c r="AW11" i="4"/>
  <c r="AY11" i="4" s="1"/>
  <c r="AR12" i="4"/>
  <c r="AT12" i="4" s="1"/>
  <c r="AS12" i="4"/>
  <c r="AU12" i="4" s="1"/>
  <c r="AV12" i="4"/>
  <c r="AX12" i="4" s="1"/>
  <c r="AW12" i="4"/>
  <c r="AY12" i="4" s="1"/>
  <c r="AR13" i="4"/>
  <c r="AT13" i="4" s="1"/>
  <c r="AS13" i="4"/>
  <c r="AU13" i="4" s="1"/>
  <c r="AV13" i="4"/>
  <c r="AX13" i="4" s="1"/>
  <c r="AW13" i="4"/>
  <c r="AY13" i="4" s="1"/>
  <c r="AR14" i="4"/>
  <c r="AT14" i="4" s="1"/>
  <c r="AS14" i="4"/>
  <c r="AU14" i="4" s="1"/>
  <c r="AV14" i="4"/>
  <c r="AX14" i="4" s="1"/>
  <c r="AW14" i="4"/>
  <c r="AY14" i="4" s="1"/>
  <c r="AR15" i="4"/>
  <c r="AT15" i="4" s="1"/>
  <c r="AS15" i="4"/>
  <c r="AU15" i="4" s="1"/>
  <c r="AV15" i="4"/>
  <c r="AX15" i="4" s="1"/>
  <c r="AW15" i="4"/>
  <c r="AY15" i="4" s="1"/>
  <c r="AR16" i="4"/>
  <c r="AT16" i="4" s="1"/>
  <c r="AS16" i="4"/>
  <c r="AU16" i="4" s="1"/>
  <c r="AV16" i="4"/>
  <c r="AX16" i="4" s="1"/>
  <c r="AW16" i="4"/>
  <c r="AY16" i="4" s="1"/>
  <c r="AR17" i="4"/>
  <c r="AT17" i="4" s="1"/>
  <c r="AS17" i="4"/>
  <c r="AU17" i="4" s="1"/>
  <c r="AV17" i="4"/>
  <c r="AX17" i="4" s="1"/>
  <c r="AW17" i="4"/>
  <c r="AY17" i="4" s="1"/>
  <c r="AR18" i="4"/>
  <c r="AT18" i="4" s="1"/>
  <c r="AS18" i="4"/>
  <c r="AU18" i="4" s="1"/>
  <c r="AV18" i="4"/>
  <c r="AX18" i="4" s="1"/>
  <c r="AW18" i="4"/>
  <c r="AY18" i="4" s="1"/>
  <c r="AR19" i="4"/>
  <c r="AT19" i="4" s="1"/>
  <c r="AS19" i="4"/>
  <c r="AU19" i="4" s="1"/>
  <c r="AV19" i="4"/>
  <c r="AX19" i="4" s="1"/>
  <c r="AW19" i="4"/>
  <c r="AY19" i="4" s="1"/>
  <c r="AR20" i="4"/>
  <c r="AT20" i="4" s="1"/>
  <c r="AS20" i="4"/>
  <c r="AU20" i="4" s="1"/>
  <c r="AV20" i="4"/>
  <c r="AX20" i="4" s="1"/>
  <c r="AW20" i="4"/>
  <c r="AY20" i="4" s="1"/>
  <c r="AR21" i="4"/>
  <c r="AT21" i="4" s="1"/>
  <c r="AS21" i="4"/>
  <c r="AU21" i="4" s="1"/>
  <c r="AV21" i="4"/>
  <c r="AX21" i="4" s="1"/>
  <c r="AW21" i="4"/>
  <c r="AY21" i="4" s="1"/>
  <c r="AR22" i="4"/>
  <c r="AT22" i="4" s="1"/>
  <c r="AS22" i="4"/>
  <c r="AU22" i="4" s="1"/>
  <c r="AV22" i="4"/>
  <c r="AX22" i="4" s="1"/>
  <c r="AW22" i="4"/>
  <c r="AY22" i="4" s="1"/>
  <c r="AR23" i="4"/>
  <c r="AT23" i="4" s="1"/>
  <c r="AS23" i="4"/>
  <c r="AU23" i="4" s="1"/>
  <c r="AV23" i="4"/>
  <c r="AX23" i="4" s="1"/>
  <c r="AW23" i="4"/>
  <c r="AY23" i="4" s="1"/>
  <c r="AR24" i="4"/>
  <c r="AT24" i="4" s="1"/>
  <c r="AS24" i="4"/>
  <c r="AU24" i="4" s="1"/>
  <c r="AV24" i="4"/>
  <c r="AX24" i="4" s="1"/>
  <c r="AW24" i="4"/>
  <c r="AY24" i="4" s="1"/>
  <c r="AR25" i="4"/>
  <c r="AT25" i="4" s="1"/>
  <c r="AS25" i="4"/>
  <c r="AU25" i="4" s="1"/>
  <c r="AV25" i="4"/>
  <c r="AX25" i="4" s="1"/>
  <c r="AW25" i="4"/>
  <c r="AY25" i="4" s="1"/>
  <c r="AR26" i="4"/>
  <c r="AT26" i="4" s="1"/>
  <c r="AS26" i="4"/>
  <c r="AU26" i="4" s="1"/>
  <c r="AV26" i="4"/>
  <c r="AX26" i="4" s="1"/>
  <c r="AW26" i="4"/>
  <c r="AY26" i="4" s="1"/>
  <c r="AR27" i="4"/>
  <c r="AT27" i="4" s="1"/>
  <c r="AS27" i="4"/>
  <c r="AU27" i="4" s="1"/>
  <c r="AV27" i="4"/>
  <c r="AX27" i="4" s="1"/>
  <c r="AW27" i="4"/>
  <c r="AY27" i="4" s="1"/>
  <c r="AR28" i="4"/>
  <c r="AT28" i="4" s="1"/>
  <c r="AS28" i="4"/>
  <c r="AU28" i="4" s="1"/>
  <c r="AV28" i="4"/>
  <c r="AX28" i="4" s="1"/>
  <c r="AW28" i="4"/>
  <c r="AY28" i="4" s="1"/>
  <c r="AR29" i="4"/>
  <c r="AT29" i="4" s="1"/>
  <c r="AS29" i="4"/>
  <c r="AU29" i="4" s="1"/>
  <c r="AV29" i="4"/>
  <c r="AX29" i="4" s="1"/>
  <c r="AW29" i="4"/>
  <c r="AY29" i="4" s="1"/>
  <c r="AR30" i="4"/>
  <c r="AT30" i="4" s="1"/>
  <c r="AS30" i="4"/>
  <c r="AU30" i="4" s="1"/>
  <c r="AV30" i="4"/>
  <c r="AX30" i="4" s="1"/>
  <c r="AW30" i="4"/>
  <c r="AY30" i="4" s="1"/>
  <c r="AR31" i="4"/>
  <c r="AT31" i="4" s="1"/>
  <c r="AS31" i="4"/>
  <c r="AU31" i="4" s="1"/>
  <c r="AV31" i="4"/>
  <c r="AX31" i="4" s="1"/>
  <c r="AW31" i="4"/>
  <c r="AY31" i="4" s="1"/>
  <c r="AR32" i="4"/>
  <c r="AT32" i="4" s="1"/>
  <c r="AS32" i="4"/>
  <c r="AU32" i="4" s="1"/>
  <c r="AV32" i="4"/>
  <c r="AX32" i="4" s="1"/>
  <c r="AW32" i="4"/>
  <c r="AY32" i="4" s="1"/>
  <c r="AR33" i="4"/>
  <c r="AT33" i="4" s="1"/>
  <c r="AS33" i="4"/>
  <c r="AU33" i="4" s="1"/>
  <c r="AV33" i="4"/>
  <c r="AX33" i="4" s="1"/>
  <c r="AW33" i="4"/>
  <c r="AY33" i="4" s="1"/>
  <c r="AR34" i="4"/>
  <c r="AT34" i="4" s="1"/>
  <c r="AS34" i="4"/>
  <c r="AU34" i="4" s="1"/>
  <c r="AV34" i="4"/>
  <c r="AX34" i="4" s="1"/>
  <c r="AW34" i="4"/>
  <c r="AY34" i="4" s="1"/>
  <c r="AR35" i="4"/>
  <c r="AT35" i="4" s="1"/>
  <c r="AS35" i="4"/>
  <c r="AU35" i="4" s="1"/>
  <c r="AV35" i="4"/>
  <c r="AX35" i="4" s="1"/>
  <c r="AW35" i="4"/>
  <c r="AY35" i="4" s="1"/>
  <c r="AR36" i="4"/>
  <c r="AT36" i="4" s="1"/>
  <c r="AS36" i="4"/>
  <c r="AU36" i="4" s="1"/>
  <c r="AV36" i="4"/>
  <c r="AX36" i="4" s="1"/>
  <c r="AW36" i="4"/>
  <c r="AY36" i="4" s="1"/>
  <c r="AR37" i="4"/>
  <c r="AT37" i="4" s="1"/>
  <c r="AS37" i="4"/>
  <c r="AU37" i="4" s="1"/>
  <c r="AV37" i="4"/>
  <c r="AX37" i="4" s="1"/>
  <c r="AW37" i="4"/>
  <c r="AY37" i="4" s="1"/>
  <c r="AR38" i="4"/>
  <c r="AT38" i="4" s="1"/>
  <c r="AS38" i="4"/>
  <c r="AU38" i="4" s="1"/>
  <c r="AV38" i="4"/>
  <c r="AX38" i="4" s="1"/>
  <c r="AW38" i="4"/>
  <c r="AY38" i="4" s="1"/>
  <c r="AR39" i="4"/>
  <c r="AT39" i="4" s="1"/>
  <c r="AS39" i="4"/>
  <c r="AU39" i="4" s="1"/>
  <c r="AV39" i="4"/>
  <c r="AX39" i="4" s="1"/>
  <c r="AW39" i="4"/>
  <c r="AY39" i="4" s="1"/>
  <c r="AR40" i="4"/>
  <c r="AT40" i="4" s="1"/>
  <c r="AS40" i="4"/>
  <c r="AU40" i="4" s="1"/>
  <c r="AV40" i="4"/>
  <c r="AX40" i="4" s="1"/>
  <c r="AW40" i="4"/>
  <c r="AY40" i="4" s="1"/>
  <c r="AR41" i="4"/>
  <c r="AT41" i="4" s="1"/>
  <c r="AS41" i="4"/>
  <c r="AU41" i="4" s="1"/>
  <c r="AV41" i="4"/>
  <c r="AX41" i="4" s="1"/>
  <c r="AW41" i="4"/>
  <c r="AY41" i="4" s="1"/>
  <c r="AR42" i="4"/>
  <c r="AT42" i="4" s="1"/>
  <c r="AS42" i="4"/>
  <c r="AU42" i="4" s="1"/>
  <c r="AV42" i="4"/>
  <c r="AX42" i="4" s="1"/>
  <c r="AW42" i="4"/>
  <c r="AY42" i="4" s="1"/>
  <c r="AR43" i="4"/>
  <c r="AT43" i="4" s="1"/>
  <c r="AS43" i="4"/>
  <c r="AU43" i="4" s="1"/>
  <c r="AV43" i="4"/>
  <c r="AX43" i="4" s="1"/>
  <c r="AW43" i="4"/>
  <c r="AY43" i="4" s="1"/>
  <c r="AR44" i="4"/>
  <c r="AT44" i="4" s="1"/>
  <c r="AS44" i="4"/>
  <c r="AU44" i="4" s="1"/>
  <c r="AV44" i="4"/>
  <c r="AX44" i="4" s="1"/>
  <c r="AW44" i="4"/>
  <c r="AY44" i="4" s="1"/>
  <c r="AR45" i="4"/>
  <c r="AT45" i="4" s="1"/>
  <c r="AS45" i="4"/>
  <c r="AU45" i="4" s="1"/>
  <c r="AV45" i="4"/>
  <c r="AX45" i="4" s="1"/>
  <c r="AW45" i="4"/>
  <c r="AY45" i="4" s="1"/>
  <c r="AR46" i="4"/>
  <c r="AT46" i="4" s="1"/>
  <c r="AS46" i="4"/>
  <c r="AU46" i="4" s="1"/>
  <c r="AV46" i="4"/>
  <c r="AX46" i="4" s="1"/>
  <c r="AW46" i="4"/>
  <c r="AY46" i="4" s="1"/>
  <c r="AR47" i="4"/>
  <c r="AT47" i="4" s="1"/>
  <c r="AS47" i="4"/>
  <c r="AU47" i="4" s="1"/>
  <c r="AV47" i="4"/>
  <c r="AX47" i="4" s="1"/>
  <c r="AW47" i="4"/>
  <c r="AY47" i="4" s="1"/>
  <c r="AR48" i="4"/>
  <c r="AT48" i="4" s="1"/>
  <c r="AS48" i="4"/>
  <c r="AU48" i="4" s="1"/>
  <c r="AV48" i="4"/>
  <c r="AX48" i="4" s="1"/>
  <c r="AW48" i="4"/>
  <c r="AY48" i="4" s="1"/>
  <c r="AR49" i="4"/>
  <c r="AT49" i="4" s="1"/>
  <c r="AS49" i="4"/>
  <c r="AU49" i="4" s="1"/>
  <c r="AV49" i="4"/>
  <c r="AX49" i="4" s="1"/>
  <c r="AW49" i="4"/>
  <c r="AY49" i="4" s="1"/>
  <c r="T114" i="34" l="1"/>
  <c r="T97" i="37"/>
  <c r="T105" i="37"/>
  <c r="D117" i="37"/>
  <c r="G117" i="37"/>
  <c r="T78" i="37"/>
  <c r="T116" i="37"/>
  <c r="T111" i="37"/>
  <c r="T114" i="36"/>
  <c r="T117" i="36"/>
  <c r="T120" i="36" s="1"/>
  <c r="T100" i="33"/>
  <c r="G120" i="32"/>
  <c r="T114" i="32"/>
  <c r="T114" i="31"/>
  <c r="T117" i="31"/>
  <c r="T120" i="31" s="1"/>
  <c r="T117" i="32"/>
  <c r="T120" i="32" s="1"/>
  <c r="T114" i="37"/>
  <c r="T117" i="37" s="1"/>
  <c r="T100" i="34"/>
  <c r="G120" i="35"/>
  <c r="T117" i="35"/>
  <c r="T120" i="35" s="1"/>
  <c r="T117" i="34"/>
  <c r="T120" i="34" s="1"/>
  <c r="T108" i="34"/>
  <c r="T117" i="33"/>
  <c r="T120" i="33" s="1"/>
  <c r="AH4" i="4" l="1"/>
  <c r="AH8" i="4"/>
  <c r="AH12" i="4"/>
  <c r="AH16" i="4"/>
  <c r="AH20" i="4"/>
  <c r="AH24" i="4"/>
  <c r="AH28" i="4"/>
  <c r="AH32" i="4"/>
  <c r="AH36" i="4"/>
  <c r="AH40" i="4"/>
  <c r="AH44" i="4"/>
  <c r="AH48" i="4"/>
  <c r="AH5" i="4"/>
  <c r="AH6" i="4"/>
  <c r="AH7" i="4"/>
  <c r="AH9" i="4"/>
  <c r="AH10" i="4"/>
  <c r="AH11" i="4"/>
  <c r="AH13" i="4"/>
  <c r="AH14" i="4"/>
  <c r="AH15" i="4"/>
  <c r="AH17" i="4"/>
  <c r="AH18" i="4"/>
  <c r="AH19" i="4"/>
  <c r="AH21" i="4"/>
  <c r="AH22" i="4"/>
  <c r="AH23" i="4"/>
  <c r="AH25" i="4"/>
  <c r="AH26" i="4"/>
  <c r="AH27" i="4"/>
  <c r="AH29" i="4"/>
  <c r="AH30" i="4"/>
  <c r="AH31" i="4"/>
  <c r="AH33" i="4"/>
  <c r="AH34" i="4"/>
  <c r="AH35" i="4"/>
  <c r="AH37" i="4"/>
  <c r="AH38" i="4"/>
  <c r="AH39" i="4"/>
  <c r="AH41" i="4"/>
  <c r="AH42" i="4"/>
  <c r="AH43" i="4"/>
  <c r="AH45" i="4"/>
  <c r="AH46" i="4"/>
  <c r="AH47" i="4"/>
  <c r="AH49" i="4"/>
  <c r="D7" i="2" l="1"/>
  <c r="D16" i="2" s="1"/>
  <c r="Q7" i="2"/>
  <c r="M7" i="2"/>
  <c r="J7" i="2"/>
  <c r="C7" i="2"/>
  <c r="C16" i="2" s="1"/>
  <c r="O82" i="4"/>
  <c r="O83" i="4" s="1"/>
  <c r="N82" i="4"/>
  <c r="N83" i="4" s="1"/>
  <c r="M82" i="4"/>
  <c r="M83" i="4" s="1"/>
  <c r="H82" i="4"/>
  <c r="G82" i="4"/>
  <c r="J81" i="4"/>
  <c r="J83" i="4" s="1"/>
  <c r="D81" i="4"/>
  <c r="R80" i="4"/>
  <c r="R83" i="4" s="1"/>
  <c r="Q80" i="4"/>
  <c r="Q83" i="4" s="1"/>
  <c r="P80" i="4"/>
  <c r="P83" i="4" s="1"/>
  <c r="L80" i="4"/>
  <c r="L83" i="4" s="1"/>
  <c r="K80" i="4"/>
  <c r="K83" i="4" s="1"/>
  <c r="I80" i="4"/>
  <c r="I83" i="4" s="1"/>
  <c r="H80" i="4"/>
  <c r="G80" i="4"/>
  <c r="F80" i="4"/>
  <c r="F83" i="4" s="1"/>
  <c r="E80" i="4"/>
  <c r="E83" i="4" s="1"/>
  <c r="D82" i="4"/>
  <c r="D80" i="4"/>
  <c r="O63" i="4"/>
  <c r="O64" i="4" s="1"/>
  <c r="N63" i="4"/>
  <c r="N64" i="4" s="1"/>
  <c r="M63" i="4"/>
  <c r="H63" i="4"/>
  <c r="G63" i="4"/>
  <c r="D63" i="4"/>
  <c r="J62" i="4"/>
  <c r="D62" i="4"/>
  <c r="R61" i="4"/>
  <c r="R64" i="4" s="1"/>
  <c r="Q61" i="4"/>
  <c r="P61" i="4"/>
  <c r="P64" i="4" s="1"/>
  <c r="L61" i="4"/>
  <c r="L64" i="4" s="1"/>
  <c r="K61" i="4"/>
  <c r="K64" i="4" s="1"/>
  <c r="I61" i="4"/>
  <c r="H61" i="4"/>
  <c r="G61" i="4"/>
  <c r="F61" i="4"/>
  <c r="E61" i="4"/>
  <c r="D61" i="4"/>
  <c r="E15" i="6"/>
  <c r="E14" i="6"/>
  <c r="E13" i="6"/>
  <c r="E12" i="6"/>
  <c r="E11" i="6"/>
  <c r="E10" i="6"/>
  <c r="E9" i="6"/>
  <c r="E8" i="6"/>
  <c r="E7" i="6"/>
  <c r="E6" i="6"/>
  <c r="E5" i="6"/>
  <c r="E4" i="6"/>
  <c r="J4" i="3"/>
  <c r="J12" i="3" s="1"/>
  <c r="I4" i="3"/>
  <c r="I12" i="3" s="1"/>
  <c r="G4" i="3"/>
  <c r="E4" i="3"/>
  <c r="R102" i="4"/>
  <c r="Q102" i="4"/>
  <c r="P102" i="4"/>
  <c r="L102" i="4"/>
  <c r="K102" i="4"/>
  <c r="J102" i="4"/>
  <c r="I102" i="4"/>
  <c r="F102" i="4"/>
  <c r="E102" i="4"/>
  <c r="R101" i="4"/>
  <c r="Q101" i="4"/>
  <c r="P101" i="4"/>
  <c r="O101" i="4"/>
  <c r="N101" i="4"/>
  <c r="M101" i="4"/>
  <c r="L101" i="4"/>
  <c r="K101" i="4"/>
  <c r="I101" i="4"/>
  <c r="H101" i="4"/>
  <c r="G101" i="4"/>
  <c r="F101" i="4"/>
  <c r="E101" i="4"/>
  <c r="O100" i="4"/>
  <c r="N100" i="4"/>
  <c r="M100" i="4"/>
  <c r="J100" i="4"/>
  <c r="R96" i="4"/>
  <c r="Q96" i="4"/>
  <c r="P96" i="4"/>
  <c r="L96" i="4"/>
  <c r="K96" i="4"/>
  <c r="J96" i="4"/>
  <c r="I96" i="4"/>
  <c r="F96" i="4"/>
  <c r="E96" i="4"/>
  <c r="R95" i="4"/>
  <c r="Q95" i="4"/>
  <c r="P95" i="4"/>
  <c r="O95" i="4"/>
  <c r="N95" i="4"/>
  <c r="M95" i="4"/>
  <c r="L95" i="4"/>
  <c r="K95" i="4"/>
  <c r="I95" i="4"/>
  <c r="H95" i="4"/>
  <c r="G95" i="4"/>
  <c r="F95" i="4"/>
  <c r="E95" i="4"/>
  <c r="O94" i="4"/>
  <c r="N94" i="4"/>
  <c r="M94" i="4"/>
  <c r="J94" i="4"/>
  <c r="R88" i="4"/>
  <c r="Q88" i="4"/>
  <c r="P88" i="4"/>
  <c r="L88" i="4"/>
  <c r="K88" i="4"/>
  <c r="J88" i="4"/>
  <c r="I88" i="4"/>
  <c r="F88" i="4"/>
  <c r="E88" i="4"/>
  <c r="R87" i="4"/>
  <c r="Q87" i="4"/>
  <c r="P87" i="4"/>
  <c r="O87" i="4"/>
  <c r="N87" i="4"/>
  <c r="M87" i="4"/>
  <c r="L87" i="4"/>
  <c r="K87" i="4"/>
  <c r="I87" i="4"/>
  <c r="H87" i="4"/>
  <c r="G87" i="4"/>
  <c r="F87" i="4"/>
  <c r="E87" i="4"/>
  <c r="O86" i="4"/>
  <c r="N86" i="4"/>
  <c r="M86" i="4"/>
  <c r="J86" i="4"/>
  <c r="O76" i="4"/>
  <c r="O77" i="4" s="1"/>
  <c r="N76" i="4"/>
  <c r="M76" i="4"/>
  <c r="H76" i="4"/>
  <c r="G76" i="4"/>
  <c r="D76" i="4"/>
  <c r="J75" i="4"/>
  <c r="J77" i="4" s="1"/>
  <c r="D75" i="4"/>
  <c r="R74" i="4"/>
  <c r="R77" i="4" s="1"/>
  <c r="Q74" i="4"/>
  <c r="P74" i="4"/>
  <c r="P77" i="4" s="1"/>
  <c r="L74" i="4"/>
  <c r="K74" i="4"/>
  <c r="I74" i="4"/>
  <c r="H74" i="4"/>
  <c r="G74" i="4"/>
  <c r="F74" i="4"/>
  <c r="F77" i="4" s="1"/>
  <c r="E74" i="4"/>
  <c r="D74" i="4"/>
  <c r="R69" i="4"/>
  <c r="Q69" i="4"/>
  <c r="P69" i="4"/>
  <c r="L69" i="4"/>
  <c r="K69" i="4"/>
  <c r="J69" i="4"/>
  <c r="I69" i="4"/>
  <c r="F69" i="4"/>
  <c r="E69" i="4"/>
  <c r="R68" i="4"/>
  <c r="Q68" i="4"/>
  <c r="P68" i="4"/>
  <c r="O68" i="4"/>
  <c r="N68" i="4"/>
  <c r="M68" i="4"/>
  <c r="L68" i="4"/>
  <c r="K68" i="4"/>
  <c r="I68" i="4"/>
  <c r="H68" i="4"/>
  <c r="G68" i="4"/>
  <c r="F68" i="4"/>
  <c r="E68" i="4"/>
  <c r="O67" i="4"/>
  <c r="N67" i="4"/>
  <c r="M67" i="4"/>
  <c r="J67" i="4"/>
  <c r="O57" i="4"/>
  <c r="O58" i="4" s="1"/>
  <c r="N57" i="4"/>
  <c r="N58" i="4" s="1"/>
  <c r="M57" i="4"/>
  <c r="H57" i="4"/>
  <c r="G57" i="4"/>
  <c r="D57" i="4"/>
  <c r="J56" i="4"/>
  <c r="D56" i="4"/>
  <c r="R55" i="4"/>
  <c r="Q55" i="4"/>
  <c r="P55" i="4"/>
  <c r="L55" i="4"/>
  <c r="K55" i="4"/>
  <c r="K58" i="4" s="1"/>
  <c r="I55" i="4"/>
  <c r="H55" i="4"/>
  <c r="G55" i="4"/>
  <c r="F55" i="4"/>
  <c r="E55" i="4"/>
  <c r="D55" i="4"/>
  <c r="Q79" i="4"/>
  <c r="P60" i="4"/>
  <c r="O93" i="4"/>
  <c r="M73" i="4"/>
  <c r="K105" i="4"/>
  <c r="I99" i="4"/>
  <c r="H73" i="4"/>
  <c r="G105" i="4"/>
  <c r="AO12" i="3"/>
  <c r="AB12" i="3"/>
  <c r="AB13" i="3" s="1"/>
  <c r="K11" i="3"/>
  <c r="G11" i="3"/>
  <c r="E10" i="3"/>
  <c r="AA10" i="3"/>
  <c r="Y10" i="3"/>
  <c r="Q10" i="3"/>
  <c r="D10" i="3"/>
  <c r="AA9" i="3"/>
  <c r="Y9" i="3"/>
  <c r="W9" i="3"/>
  <c r="Q9" i="3"/>
  <c r="D9" i="3"/>
  <c r="AA8" i="3"/>
  <c r="Y8" i="3"/>
  <c r="W8" i="3"/>
  <c r="Q8" i="3"/>
  <c r="D8" i="3"/>
  <c r="E7" i="3"/>
  <c r="Q7" i="3"/>
  <c r="Y7" i="3"/>
  <c r="AA6" i="3"/>
  <c r="Y6" i="3"/>
  <c r="W6" i="3"/>
  <c r="Q6" i="3"/>
  <c r="D6" i="3"/>
  <c r="AA5" i="3"/>
  <c r="Q5" i="3"/>
  <c r="D5" i="3"/>
  <c r="X16" i="2"/>
  <c r="B16" i="2"/>
  <c r="Z4" i="3" l="1"/>
  <c r="Z12" i="3" s="1"/>
  <c r="Y5" i="3"/>
  <c r="E5" i="3"/>
  <c r="E12" i="3" s="1"/>
  <c r="E8" i="3"/>
  <c r="H8" i="3" s="1"/>
  <c r="K8" i="3" s="1"/>
  <c r="H5" i="3"/>
  <c r="K5" i="3" s="1"/>
  <c r="W5" i="3"/>
  <c r="E9" i="3"/>
  <c r="T9" i="3" s="1"/>
  <c r="E6" i="3"/>
  <c r="T6" i="3" s="1"/>
  <c r="H10" i="3"/>
  <c r="K10" i="3" s="1"/>
  <c r="W10" i="3"/>
  <c r="T7" i="2"/>
  <c r="T16" i="2" s="1"/>
  <c r="N88" i="4"/>
  <c r="U7" i="2"/>
  <c r="U16" i="2" s="1"/>
  <c r="D68" i="4"/>
  <c r="P67" i="4"/>
  <c r="G107" i="4"/>
  <c r="L107" i="4"/>
  <c r="P107" i="4"/>
  <c r="L108" i="4"/>
  <c r="O106" i="4"/>
  <c r="H107" i="4"/>
  <c r="M107" i="4"/>
  <c r="Q107" i="4"/>
  <c r="I108" i="4"/>
  <c r="P108" i="4"/>
  <c r="D87" i="4"/>
  <c r="D86" i="4"/>
  <c r="K93" i="4"/>
  <c r="Q86" i="4"/>
  <c r="Q85" i="4"/>
  <c r="I86" i="4"/>
  <c r="S7" i="2"/>
  <c r="L86" i="4"/>
  <c r="G67" i="4"/>
  <c r="N96" i="4"/>
  <c r="N97" i="4" s="1"/>
  <c r="G64" i="4"/>
  <c r="O69" i="4"/>
  <c r="H88" i="4"/>
  <c r="R7" i="2"/>
  <c r="AN4" i="3"/>
  <c r="AN12" i="3" s="1"/>
  <c r="D102" i="4"/>
  <c r="J89" i="4"/>
  <c r="R89" i="4"/>
  <c r="P89" i="4"/>
  <c r="F89" i="4"/>
  <c r="E86" i="4"/>
  <c r="D88" i="4"/>
  <c r="L67" i="4"/>
  <c r="H67" i="4"/>
  <c r="D64" i="4"/>
  <c r="D4" i="3" s="1"/>
  <c r="AG4" i="3"/>
  <c r="AG12" i="3" s="1"/>
  <c r="G58" i="4"/>
  <c r="O70" i="4"/>
  <c r="AH4" i="3"/>
  <c r="AH12" i="3" s="1"/>
  <c r="T63" i="4"/>
  <c r="M106" i="4"/>
  <c r="F107" i="4"/>
  <c r="K107" i="4"/>
  <c r="O107" i="4"/>
  <c r="K108" i="4"/>
  <c r="AE4" i="3"/>
  <c r="AE12" i="3" s="1"/>
  <c r="AI4" i="3"/>
  <c r="AI12" i="3" s="1"/>
  <c r="AM4" i="3"/>
  <c r="AM12" i="3" s="1"/>
  <c r="D58" i="4"/>
  <c r="N70" i="4"/>
  <c r="AC4" i="3"/>
  <c r="AC12" i="3" s="1"/>
  <c r="AC13" i="3" s="1"/>
  <c r="AK4" i="3"/>
  <c r="AK12" i="3" s="1"/>
  <c r="J106" i="4"/>
  <c r="I107" i="4"/>
  <c r="J108" i="4"/>
  <c r="Q108" i="4"/>
  <c r="AD4" i="3"/>
  <c r="AD12" i="3" s="1"/>
  <c r="AL4" i="3"/>
  <c r="AL12" i="3" s="1"/>
  <c r="D69" i="4"/>
  <c r="P58" i="4"/>
  <c r="P70" i="4" s="1"/>
  <c r="L58" i="4"/>
  <c r="L70" i="4" s="1"/>
  <c r="N69" i="4"/>
  <c r="AF4" i="3"/>
  <c r="AF12" i="3" s="1"/>
  <c r="AJ4" i="3"/>
  <c r="AJ12" i="3" s="1"/>
  <c r="G77" i="4"/>
  <c r="G100" i="4"/>
  <c r="L100" i="4"/>
  <c r="L103" i="4" s="1"/>
  <c r="O4" i="3" s="1"/>
  <c r="O12" i="3" s="1"/>
  <c r="D101" i="4"/>
  <c r="D83" i="4"/>
  <c r="H83" i="4"/>
  <c r="F100" i="4"/>
  <c r="F103" i="4" s="1"/>
  <c r="K100" i="4"/>
  <c r="K103" i="4" s="1"/>
  <c r="G102" i="4"/>
  <c r="O102" i="4"/>
  <c r="O103" i="4" s="1"/>
  <c r="G83" i="4"/>
  <c r="K94" i="4"/>
  <c r="R94" i="4"/>
  <c r="R97" i="4" s="1"/>
  <c r="M102" i="4"/>
  <c r="M103" i="4" s="1"/>
  <c r="L77" i="4"/>
  <c r="L89" i="4" s="1"/>
  <c r="F94" i="4"/>
  <c r="G96" i="4"/>
  <c r="O96" i="4"/>
  <c r="D100" i="4"/>
  <c r="H100" i="4"/>
  <c r="P100" i="4"/>
  <c r="P103" i="4" s="1"/>
  <c r="T75" i="4"/>
  <c r="N77" i="4"/>
  <c r="N89" i="4" s="1"/>
  <c r="T81" i="4"/>
  <c r="F86" i="4"/>
  <c r="G94" i="4"/>
  <c r="G106" i="4" s="1"/>
  <c r="L94" i="4"/>
  <c r="L106" i="4" s="1"/>
  <c r="R100" i="4"/>
  <c r="N102" i="4"/>
  <c r="N103" i="4" s="1"/>
  <c r="D94" i="4"/>
  <c r="H94" i="4"/>
  <c r="T82" i="4"/>
  <c r="J87" i="4"/>
  <c r="T87" i="4" s="1"/>
  <c r="D96" i="4"/>
  <c r="D108" i="4" s="1"/>
  <c r="L99" i="4"/>
  <c r="L85" i="4"/>
  <c r="L79" i="4"/>
  <c r="L105" i="4"/>
  <c r="L93" i="4"/>
  <c r="L73" i="4"/>
  <c r="E94" i="4"/>
  <c r="E67" i="4"/>
  <c r="E58" i="4"/>
  <c r="T55" i="4"/>
  <c r="Q94" i="4"/>
  <c r="Q67" i="4"/>
  <c r="Q58" i="4"/>
  <c r="L60" i="4"/>
  <c r="K70" i="4"/>
  <c r="H96" i="4"/>
  <c r="H69" i="4"/>
  <c r="H58" i="4"/>
  <c r="T57" i="4"/>
  <c r="J64" i="4"/>
  <c r="J101" i="4"/>
  <c r="J103" i="4" s="1"/>
  <c r="P4" i="3" s="1"/>
  <c r="P12" i="3" s="1"/>
  <c r="T62" i="4"/>
  <c r="H86" i="4"/>
  <c r="H77" i="4"/>
  <c r="H89" i="4" s="1"/>
  <c r="P86" i="4"/>
  <c r="P94" i="4"/>
  <c r="D77" i="4"/>
  <c r="D89" i="4" s="1"/>
  <c r="H99" i="4"/>
  <c r="H85" i="4"/>
  <c r="H79" i="4"/>
  <c r="H105" i="4"/>
  <c r="H93" i="4"/>
  <c r="P99" i="4"/>
  <c r="P85" i="4"/>
  <c r="P79" i="4"/>
  <c r="P105" i="4"/>
  <c r="P93" i="4"/>
  <c r="P73" i="4"/>
  <c r="I94" i="4"/>
  <c r="I67" i="4"/>
  <c r="I58" i="4"/>
  <c r="H102" i="4"/>
  <c r="H64" i="4"/>
  <c r="J95" i="4"/>
  <c r="T95" i="4" s="1"/>
  <c r="J58" i="4"/>
  <c r="J68" i="4"/>
  <c r="T68" i="4" s="1"/>
  <c r="T56" i="4"/>
  <c r="H60" i="4"/>
  <c r="E100" i="4"/>
  <c r="E64" i="4"/>
  <c r="T61" i="4"/>
  <c r="I100" i="4"/>
  <c r="I103" i="4" s="1"/>
  <c r="I64" i="4"/>
  <c r="Q100" i="4"/>
  <c r="Q103" i="4" s="1"/>
  <c r="Q64" i="4"/>
  <c r="E105" i="4"/>
  <c r="E93" i="4"/>
  <c r="I105" i="4"/>
  <c r="I93" i="4"/>
  <c r="M105" i="4"/>
  <c r="M93" i="4"/>
  <c r="Q105" i="4"/>
  <c r="Q93" i="4"/>
  <c r="M96" i="4"/>
  <c r="M108" i="4" s="1"/>
  <c r="M69" i="4"/>
  <c r="E60" i="4"/>
  <c r="I60" i="4"/>
  <c r="M60" i="4"/>
  <c r="Q60" i="4"/>
  <c r="D67" i="4"/>
  <c r="R67" i="4"/>
  <c r="I73" i="4"/>
  <c r="O73" i="4"/>
  <c r="M88" i="4"/>
  <c r="M77" i="4"/>
  <c r="M89" i="4" s="1"/>
  <c r="E79" i="4"/>
  <c r="E85" i="4"/>
  <c r="M99" i="4"/>
  <c r="F105" i="4"/>
  <c r="F93" i="4"/>
  <c r="F99" i="4"/>
  <c r="F85" i="4"/>
  <c r="F79" i="4"/>
  <c r="F73" i="4"/>
  <c r="J105" i="4"/>
  <c r="J93" i="4"/>
  <c r="J99" i="4"/>
  <c r="J85" i="4"/>
  <c r="J79" i="4"/>
  <c r="J73" i="4"/>
  <c r="N105" i="4"/>
  <c r="N93" i="4"/>
  <c r="N99" i="4"/>
  <c r="N85" i="4"/>
  <c r="N79" i="4"/>
  <c r="N73" i="4"/>
  <c r="R105" i="4"/>
  <c r="R93" i="4"/>
  <c r="R99" i="4"/>
  <c r="R85" i="4"/>
  <c r="R79" i="4"/>
  <c r="R73" i="4"/>
  <c r="M58" i="4"/>
  <c r="F60" i="4"/>
  <c r="J60" i="4"/>
  <c r="N60" i="4"/>
  <c r="R60" i="4"/>
  <c r="M64" i="4"/>
  <c r="G69" i="4"/>
  <c r="E73" i="4"/>
  <c r="K73" i="4"/>
  <c r="K77" i="4"/>
  <c r="K89" i="4" s="1"/>
  <c r="K86" i="4"/>
  <c r="I79" i="4"/>
  <c r="I85" i="4"/>
  <c r="R86" i="4"/>
  <c r="D95" i="4"/>
  <c r="F108" i="4"/>
  <c r="R108" i="4"/>
  <c r="Q99" i="4"/>
  <c r="G99" i="4"/>
  <c r="G85" i="4"/>
  <c r="G79" i="4"/>
  <c r="K99" i="4"/>
  <c r="K85" i="4"/>
  <c r="K79" i="4"/>
  <c r="O99" i="4"/>
  <c r="O85" i="4"/>
  <c r="O79" i="4"/>
  <c r="F58" i="4"/>
  <c r="R58" i="4"/>
  <c r="R70" i="4" s="1"/>
  <c r="G60" i="4"/>
  <c r="K60" i="4"/>
  <c r="O60" i="4"/>
  <c r="F64" i="4"/>
  <c r="F67" i="4"/>
  <c r="K67" i="4"/>
  <c r="G73" i="4"/>
  <c r="Q73" i="4"/>
  <c r="T76" i="4"/>
  <c r="O89" i="4"/>
  <c r="M79" i="4"/>
  <c r="M85" i="4"/>
  <c r="G93" i="4"/>
  <c r="N106" i="4"/>
  <c r="N107" i="4"/>
  <c r="R107" i="4"/>
  <c r="E99" i="4"/>
  <c r="O105" i="4"/>
  <c r="T74" i="4"/>
  <c r="E77" i="4"/>
  <c r="E89" i="4" s="1"/>
  <c r="I77" i="4"/>
  <c r="I89" i="4" s="1"/>
  <c r="Q77" i="4"/>
  <c r="Q89" i="4" s="1"/>
  <c r="T80" i="4"/>
  <c r="G86" i="4"/>
  <c r="G88" i="4"/>
  <c r="O88" i="4"/>
  <c r="E107" i="4"/>
  <c r="E108" i="4"/>
  <c r="G7" i="3"/>
  <c r="T7" i="3"/>
  <c r="S7" i="3"/>
  <c r="T10" i="3"/>
  <c r="S10" i="3"/>
  <c r="G10" i="3"/>
  <c r="R10" i="3" s="1"/>
  <c r="S5" i="3"/>
  <c r="T5" i="3"/>
  <c r="G8" i="3"/>
  <c r="R8" i="3" s="1"/>
  <c r="T8" i="3"/>
  <c r="G9" i="3"/>
  <c r="R9" i="3" s="1"/>
  <c r="S9" i="3"/>
  <c r="H9" i="3"/>
  <c r="K9" i="3" s="1"/>
  <c r="H6" i="3"/>
  <c r="K6" i="3" s="1"/>
  <c r="G6" i="3"/>
  <c r="R6" i="3" s="1"/>
  <c r="H7" i="3"/>
  <c r="K7" i="3" s="1"/>
  <c r="W7" i="3"/>
  <c r="AA7" i="3"/>
  <c r="F4" i="3"/>
  <c r="D7" i="3"/>
  <c r="Z7" i="2"/>
  <c r="M16" i="2"/>
  <c r="N7" i="2"/>
  <c r="V7" i="2"/>
  <c r="F7" i="2"/>
  <c r="G70" i="4" l="1"/>
  <c r="G108" i="4"/>
  <c r="S6" i="3"/>
  <c r="S8" i="3"/>
  <c r="G5" i="3"/>
  <c r="R5" i="3" s="1"/>
  <c r="O108" i="4"/>
  <c r="U4" i="3"/>
  <c r="O97" i="4"/>
  <c r="O109" i="4" s="1"/>
  <c r="R4" i="3"/>
  <c r="O7" i="2"/>
  <c r="G7" i="2"/>
  <c r="L7" i="2"/>
  <c r="G89" i="4"/>
  <c r="F106" i="4"/>
  <c r="AD13" i="3"/>
  <c r="AE13" i="3" s="1"/>
  <c r="AF13" i="3" s="1"/>
  <c r="K106" i="4"/>
  <c r="D12" i="3"/>
  <c r="M70" i="4"/>
  <c r="X4" i="3" s="1"/>
  <c r="V4" i="3"/>
  <c r="R106" i="4"/>
  <c r="F70" i="4"/>
  <c r="N108" i="4"/>
  <c r="I70" i="4"/>
  <c r="D107" i="4"/>
  <c r="T69" i="4"/>
  <c r="G97" i="4"/>
  <c r="L97" i="4"/>
  <c r="L109" i="4" s="1"/>
  <c r="M4" i="3" s="1"/>
  <c r="M12" i="3" s="1"/>
  <c r="K97" i="4"/>
  <c r="K109" i="4" s="1"/>
  <c r="T67" i="4"/>
  <c r="G103" i="4"/>
  <c r="D70" i="4"/>
  <c r="C4" i="3" s="1"/>
  <c r="B4" i="3"/>
  <c r="E7" i="2" s="1"/>
  <c r="T102" i="4"/>
  <c r="H103" i="4"/>
  <c r="H106" i="4"/>
  <c r="D103" i="4"/>
  <c r="T86" i="4"/>
  <c r="F97" i="4"/>
  <c r="F109" i="4" s="1"/>
  <c r="D106" i="4"/>
  <c r="D97" i="4"/>
  <c r="T83" i="4"/>
  <c r="R103" i="4"/>
  <c r="R109" i="4" s="1"/>
  <c r="N109" i="4"/>
  <c r="T101" i="4"/>
  <c r="T96" i="4"/>
  <c r="J107" i="4"/>
  <c r="T107" i="4" s="1"/>
  <c r="J97" i="4"/>
  <c r="J109" i="4" s="1"/>
  <c r="T88" i="4"/>
  <c r="E103" i="4"/>
  <c r="T100" i="4"/>
  <c r="J70" i="4"/>
  <c r="I106" i="4"/>
  <c r="I97" i="4"/>
  <c r="I109" i="4" s="1"/>
  <c r="H70" i="4"/>
  <c r="T58" i="4"/>
  <c r="H108" i="4"/>
  <c r="H97" i="4"/>
  <c r="T64" i="4"/>
  <c r="P106" i="4"/>
  <c r="P97" i="4"/>
  <c r="P109" i="4" s="1"/>
  <c r="Q106" i="4"/>
  <c r="Q97" i="4"/>
  <c r="Q109" i="4" s="1"/>
  <c r="T94" i="4"/>
  <c r="E106" i="4"/>
  <c r="E97" i="4"/>
  <c r="E109" i="4" s="1"/>
  <c r="M97" i="4"/>
  <c r="M109" i="4" s="1"/>
  <c r="T77" i="4"/>
  <c r="Q70" i="4"/>
  <c r="E70" i="4"/>
  <c r="F12" i="3"/>
  <c r="R7" i="3"/>
  <c r="G12" i="3"/>
  <c r="F16" i="2"/>
  <c r="Z16" i="2"/>
  <c r="AA7" i="2"/>
  <c r="AA16" i="2" s="1"/>
  <c r="V16" i="2"/>
  <c r="Y7" i="2"/>
  <c r="Y16" i="2" s="1"/>
  <c r="W7" i="2"/>
  <c r="K7" i="2"/>
  <c r="C12" i="3" l="1"/>
  <c r="H7" i="2"/>
  <c r="I7" i="2" s="1"/>
  <c r="P7" i="2"/>
  <c r="T89" i="4"/>
  <c r="D109" i="4"/>
  <c r="T70" i="4"/>
  <c r="T103" i="4"/>
  <c r="Q4" i="3"/>
  <c r="Y4" i="3"/>
  <c r="Y12" i="3" s="1"/>
  <c r="X12" i="3"/>
  <c r="V12" i="3"/>
  <c r="W4" i="3"/>
  <c r="W12" i="3" s="1"/>
  <c r="G109" i="4"/>
  <c r="H109" i="4"/>
  <c r="N4" i="3"/>
  <c r="N12" i="3" s="1"/>
  <c r="T108" i="4"/>
  <c r="H4" i="3"/>
  <c r="B12" i="3"/>
  <c r="AF14" i="3" s="1"/>
  <c r="T4" i="3"/>
  <c r="S4" i="3"/>
  <c r="AA4" i="3"/>
  <c r="T106" i="4"/>
  <c r="T97" i="4"/>
  <c r="AG13" i="3"/>
  <c r="Q12" i="3"/>
  <c r="R12" i="3"/>
  <c r="AE14" i="3" l="1"/>
  <c r="T109" i="4"/>
  <c r="L4" i="3"/>
  <c r="L12" i="3" s="1"/>
  <c r="E17" i="3"/>
  <c r="AC14" i="3"/>
  <c r="AD14" i="3"/>
  <c r="AA12" i="3"/>
  <c r="S12" i="3"/>
  <c r="AB14" i="3"/>
  <c r="T12" i="3"/>
  <c r="K4" i="3"/>
  <c r="K12" i="3" s="1"/>
  <c r="H12" i="3"/>
  <c r="AG14" i="3"/>
  <c r="AH13" i="3"/>
  <c r="AH14" i="3" l="1"/>
  <c r="AI13" i="3"/>
  <c r="AI14" i="3" l="1"/>
  <c r="AJ13" i="3"/>
  <c r="AJ14" i="3" l="1"/>
  <c r="AK13" i="3"/>
  <c r="AK14" i="3" l="1"/>
  <c r="AL13" i="3"/>
  <c r="AL14" i="3" l="1"/>
  <c r="AM13" i="3"/>
  <c r="AM14" i="3" l="1"/>
  <c r="AN13" i="3"/>
  <c r="AN14" i="3" l="1"/>
  <c r="AO13" i="3"/>
  <c r="AO14" i="3" s="1"/>
</calcChain>
</file>

<file path=xl/sharedStrings.xml><?xml version="1.0" encoding="utf-8"?>
<sst xmlns="http://schemas.openxmlformats.org/spreadsheetml/2006/main" count="1891" uniqueCount="264">
  <si>
    <t>Budget comptable du portefeuille</t>
  </si>
  <si>
    <t>Appuis</t>
  </si>
  <si>
    <t>Budget Définitif</t>
  </si>
  <si>
    <t>Budget</t>
  </si>
  <si>
    <t>Nombre</t>
  </si>
  <si>
    <t>Budget exercice 
décalé</t>
  </si>
  <si>
    <t>en % du portefeuille
 total</t>
  </si>
  <si>
    <t>Dossiers</t>
  </si>
  <si>
    <t>Avancement décalés</t>
  </si>
  <si>
    <t>Budget 31/12</t>
  </si>
  <si>
    <t>en % du portefeuille</t>
  </si>
  <si>
    <t>Avancement 31/12</t>
  </si>
  <si>
    <t>BONI</t>
  </si>
  <si>
    <t>MALI</t>
  </si>
  <si>
    <t>Disponibilités</t>
  </si>
  <si>
    <t>Réalisés</t>
  </si>
  <si>
    <t>Disponibilités après appuis</t>
  </si>
  <si>
    <t>y compris dispo</t>
  </si>
  <si>
    <t>Sur ou sous réalisation</t>
  </si>
  <si>
    <t>Budget validé
 par DT début
 de campagne</t>
  </si>
  <si>
    <t>Montant lettre de mission</t>
  </si>
  <si>
    <t xml:space="preserve">Budget du comptable 
portefeuille </t>
  </si>
  <si>
    <t>Dossiers
total</t>
  </si>
  <si>
    <t xml:space="preserve">Montant </t>
  </si>
  <si>
    <t xml:space="preserve">% </t>
  </si>
  <si>
    <t>%</t>
  </si>
  <si>
    <t>Montant</t>
  </si>
  <si>
    <t>Tps 
restant
nécessaire</t>
  </si>
  <si>
    <t>Tps
restant
nécessaire</t>
  </si>
  <si>
    <t>Heures</t>
  </si>
  <si>
    <t>affectation pic</t>
  </si>
  <si>
    <t>Aurélie</t>
  </si>
  <si>
    <t>Total</t>
  </si>
  <si>
    <t>SIGNATURES</t>
  </si>
  <si>
    <t>Dossiers restant à produire</t>
  </si>
  <si>
    <t>Nombre de dossiers</t>
  </si>
  <si>
    <t>Réalisées</t>
  </si>
  <si>
    <t>Solde</t>
  </si>
  <si>
    <t>Base visa V5</t>
  </si>
  <si>
    <t>Nombre de dossier</t>
  </si>
  <si>
    <t>DECALES</t>
  </si>
  <si>
    <t xml:space="preserve">Avancement </t>
  </si>
  <si>
    <t>NOMBRE total</t>
  </si>
  <si>
    <t>NOMBRE de décalés</t>
  </si>
  <si>
    <t>NOMBRE de dossiers
31 12</t>
  </si>
  <si>
    <t>NOMBRE SIGNE CE JOUR</t>
  </si>
  <si>
    <t>NOMBRE de dossiers décalés</t>
  </si>
  <si>
    <t xml:space="preserve">Nombre de dossiers 31 12 </t>
  </si>
  <si>
    <t>RESTE A SIGNER</t>
  </si>
  <si>
    <t xml:space="preserve">Dossier en attente de visa
SM </t>
  </si>
  <si>
    <t xml:space="preserve">Dossier en attente de visa
FM </t>
  </si>
  <si>
    <t>Reste à signer en déduction des visas en attente dans la base</t>
  </si>
  <si>
    <t>SARL / SAS/
INDIV / ASSO /
EARL / SCEA / ETA</t>
  </si>
  <si>
    <t xml:space="preserve">SCI </t>
  </si>
  <si>
    <t>SARL / SAS/
INDIV / ASSO</t>
  </si>
  <si>
    <t>BNC
/
PROF LIB</t>
  </si>
  <si>
    <t>Avancement% décalés</t>
  </si>
  <si>
    <t>Avancement %
31/12/2019</t>
  </si>
  <si>
    <t>Avancement Total du Portefeuille</t>
  </si>
  <si>
    <t>Avancement y compris dossiers en attente base</t>
  </si>
  <si>
    <t>DELAI MOYEN
en jours
(à titre indicatif)</t>
  </si>
  <si>
    <t>NOMBRE PCR</t>
  </si>
  <si>
    <t>% PCR</t>
  </si>
  <si>
    <t>NOMBRE RA NOS</t>
  </si>
  <si>
    <t>% RA NOS</t>
  </si>
  <si>
    <t>REFUS</t>
  </si>
  <si>
    <t>% REFUS</t>
  </si>
  <si>
    <t>DOSSIERS SIGNES AVANT JUIN</t>
  </si>
  <si>
    <t>DOSSIERS SIGNES EN JUIN</t>
  </si>
  <si>
    <t>DOSSIERS SIGNES EN JUILLET</t>
  </si>
  <si>
    <t>DOSSIERS SIGNES EN AOUT</t>
  </si>
  <si>
    <t>DOSSIERS SIGNES EN SEPTEMBRE</t>
  </si>
  <si>
    <t>DOSSIERS SIGNES EN OCTOBRE</t>
  </si>
  <si>
    <t>DOSSIERS SIGNES EN NOVEMBRE</t>
  </si>
  <si>
    <t>DOSSIERS SIGNES EN DECEMBRE</t>
  </si>
  <si>
    <t>DOSSIERS SIGNES EN  JANVIER</t>
  </si>
  <si>
    <t>DOSSIERS SIGNES EN FEVRIER</t>
  </si>
  <si>
    <t>DOSSIERS SIGNES EN MARS</t>
  </si>
  <si>
    <t>DOSSIERS SIGNES EN AVRIL</t>
  </si>
  <si>
    <t>DOSSIERS SIGNES EN MAI</t>
  </si>
  <si>
    <t>Delphine</t>
  </si>
  <si>
    <t>Frédérique</t>
  </si>
  <si>
    <t>Sébastien</t>
  </si>
  <si>
    <t>Eric</t>
  </si>
  <si>
    <t>Guillaume</t>
  </si>
  <si>
    <t>Marie-Pierre</t>
  </si>
  <si>
    <t>TOTAL</t>
  </si>
  <si>
    <t>CUMUL</t>
  </si>
  <si>
    <t>% AVANCEMENT</t>
  </si>
  <si>
    <t>N° DOSSIER</t>
  </si>
  <si>
    <t>NOM DOSSIER</t>
  </si>
  <si>
    <t>TYPE DE MARCHE</t>
  </si>
  <si>
    <t>DATE DE CLOTURE</t>
  </si>
  <si>
    <t>REGIME JURIDIQUE</t>
  </si>
  <si>
    <t>REGIME IMPOSITION</t>
  </si>
  <si>
    <t>DATE
DE DEPOT</t>
  </si>
  <si>
    <t>DATE SIGNATURE</t>
  </si>
  <si>
    <t>MOIS</t>
  </si>
  <si>
    <t>DELAI</t>
  </si>
  <si>
    <t>PCR</t>
  </si>
  <si>
    <t>RA NOS</t>
  </si>
  <si>
    <t xml:space="preserve">QUI </t>
  </si>
  <si>
    <t>CR</t>
  </si>
  <si>
    <t>CR FAIT PAR LE COMPTABLE</t>
  </si>
  <si>
    <t>Prénom
AAC</t>
  </si>
  <si>
    <t>GRILLE ENJEUX</t>
  </si>
  <si>
    <t>Visa
Validé
enjeu 4 ou attestation enjeu</t>
  </si>
  <si>
    <t>VISA VCOMPTA</t>
  </si>
  <si>
    <t>MOTIF</t>
  </si>
  <si>
    <t>ACS</t>
  </si>
  <si>
    <t>SNC</t>
  </si>
  <si>
    <t>IR</t>
  </si>
  <si>
    <t>SARL</t>
  </si>
  <si>
    <t>COMPTABLE</t>
  </si>
  <si>
    <t>IS</t>
  </si>
  <si>
    <t>EURL</t>
  </si>
  <si>
    <t>INDIVIDUEL</t>
  </si>
  <si>
    <t>CONSEILLER</t>
  </si>
  <si>
    <t>SAS</t>
  </si>
  <si>
    <t>SCI</t>
  </si>
  <si>
    <t>PORTEFEUILLE</t>
  </si>
  <si>
    <t>BNC</t>
  </si>
  <si>
    <t>AGRI</t>
  </si>
  <si>
    <t>TOTAL DOSSIERS</t>
  </si>
  <si>
    <t>Association</t>
  </si>
  <si>
    <t>PROFESSION LIBERALE</t>
  </si>
  <si>
    <t>EARL</t>
  </si>
  <si>
    <t>ETA</t>
  </si>
  <si>
    <t>SCEA</t>
  </si>
  <si>
    <t>GROUPEMENT</t>
  </si>
  <si>
    <t>EIRL</t>
  </si>
  <si>
    <t>AUTRE</t>
  </si>
  <si>
    <t>dossiers déposés</t>
  </si>
  <si>
    <t>Reste à produire</t>
  </si>
  <si>
    <t>Données</t>
  </si>
  <si>
    <t>Année de campagne</t>
  </si>
  <si>
    <t>ASSOCIATION</t>
  </si>
  <si>
    <t>AUTRES</t>
  </si>
  <si>
    <t>DELPHINE</t>
  </si>
  <si>
    <t>FREDERIQUE</t>
  </si>
  <si>
    <t>SEBASTIEN</t>
  </si>
  <si>
    <t>ERIC</t>
  </si>
  <si>
    <t>GUILLAUME</t>
  </si>
  <si>
    <t>AURELIE T</t>
  </si>
  <si>
    <t>MARIE PIERRE</t>
  </si>
  <si>
    <t>AG
SIGNEE</t>
  </si>
  <si>
    <t>COMMENTAIRES</t>
  </si>
  <si>
    <t>Attestation
à faire signer par l'EC</t>
  </si>
  <si>
    <t>AAC</t>
  </si>
  <si>
    <t>AURELIE S</t>
  </si>
  <si>
    <t>PRENOM CONSEILLER</t>
  </si>
  <si>
    <t>THOMAS B</t>
  </si>
  <si>
    <t>KARINE V</t>
  </si>
  <si>
    <t>SYLVIE B</t>
  </si>
  <si>
    <t>OLIVIER F</t>
  </si>
  <si>
    <t>DIAN D</t>
  </si>
  <si>
    <t>HENRI A</t>
  </si>
  <si>
    <t>PCR COMPTABLE €</t>
  </si>
  <si>
    <t>PCR CONSEILLER €</t>
  </si>
  <si>
    <t>RA FAIT PAR LE
COMPTABLE €</t>
  </si>
  <si>
    <t>RA FAITE PAR LE CONSEILLER €</t>
  </si>
  <si>
    <t>POINT DE PILOTAGE €</t>
  </si>
  <si>
    <t>SAISIE PAR UNE AAC €</t>
  </si>
  <si>
    <t>SAISIE PAR LE COMPTABLE €</t>
  </si>
  <si>
    <t>TRAVAUX 
DE REVISION €</t>
  </si>
  <si>
    <t>DECLARATION TVA AAC €</t>
  </si>
  <si>
    <t>DECLARATION TVA COMPTABLE €</t>
  </si>
  <si>
    <t>MONTANT
RESPONSABLE RELATION CLIENT €</t>
  </si>
  <si>
    <t xml:space="preserve">TPS PASSE
COMPTABLE H
</t>
  </si>
  <si>
    <t>TPS PASSE 
AAC H</t>
  </si>
  <si>
    <t>BONI COMPTABLE</t>
  </si>
  <si>
    <t>MALI COMPTABLE</t>
  </si>
  <si>
    <t>BONI AAC</t>
  </si>
  <si>
    <t>MALI AAC</t>
  </si>
  <si>
    <t>Taux Horaire compta</t>
  </si>
  <si>
    <t>Taux Horaire AAC</t>
  </si>
  <si>
    <t>PRENOM DU COMPTABLE</t>
  </si>
  <si>
    <t>YANN L</t>
  </si>
  <si>
    <t>MONTANT TOTAL LETTRE DE MISION €</t>
  </si>
  <si>
    <t>ECART DE SAISE avec LETTRE DE MISSION €</t>
  </si>
  <si>
    <t>NBRE DOSSIER MALI AAC</t>
  </si>
  <si>
    <t>NOMBRE DOSSIER BONI AAC</t>
  </si>
  <si>
    <t>NOMBRE DOSSIER BONI COMPTABLE</t>
  </si>
  <si>
    <t>NOMBRE DE DOSSIER MALI COMPTABLE</t>
  </si>
  <si>
    <t>ABONNE COURT 
ABONNE LONG</t>
  </si>
  <si>
    <t>RECONDUCTION AUTOMATIQUE OS</t>
  </si>
  <si>
    <t>MISE EN PLACE SCAN BY CERFRANCE</t>
  </si>
  <si>
    <t>PRENOM PERSONNE AYANT DEPLOYEE SCAN BY CERFRANCE</t>
  </si>
  <si>
    <t>PICKING</t>
  </si>
  <si>
    <t>SCAN BY CERFRANCE</t>
  </si>
  <si>
    <t>SECRETAIRE</t>
  </si>
  <si>
    <t>MARIE M</t>
  </si>
  <si>
    <t>FABIENNE R</t>
  </si>
  <si>
    <t>LISTES</t>
  </si>
  <si>
    <t>SECRETAIRES AAC COMPTABLES</t>
  </si>
  <si>
    <t>Non car le client souhaite garder le scan</t>
  </si>
  <si>
    <t>Non – Cessation d’activité</t>
  </si>
  <si>
    <t>Non – Arrêt de travaux pour le moment</t>
  </si>
  <si>
    <t>essai1</t>
  </si>
  <si>
    <t>ABONNE COURT</t>
  </si>
  <si>
    <t>OUI</t>
  </si>
  <si>
    <t>Non car pour le moment pas disponible</t>
  </si>
  <si>
    <t>Non car dossier trop volumineux</t>
  </si>
  <si>
    <t>Non car le client fait la saisie sur place</t>
  </si>
  <si>
    <t>ESSAI3</t>
  </si>
  <si>
    <t>NON</t>
  </si>
  <si>
    <t>DECLARATION DE TVA</t>
  </si>
  <si>
    <t>PRENOM REALISATION TVA</t>
  </si>
  <si>
    <t>MENSUELLE</t>
  </si>
  <si>
    <t>X</t>
  </si>
  <si>
    <t>essai2</t>
  </si>
  <si>
    <t>AGOA COMPTABLE €</t>
  </si>
  <si>
    <t>AGOA CONSEILLER €</t>
  </si>
  <si>
    <t>VISA JURIDIQUE €</t>
  </si>
  <si>
    <t>Oui  ( CFC + SCAN BY CERFRANCE)</t>
  </si>
  <si>
    <t>N/C</t>
  </si>
  <si>
    <t>EDI</t>
  </si>
  <si>
    <t>Colonne1</t>
  </si>
  <si>
    <t>SUIVI RSA</t>
  </si>
  <si>
    <t>RSA EN DATE DU</t>
  </si>
  <si>
    <t>DIVERS</t>
  </si>
  <si>
    <t>Réponses</t>
  </si>
  <si>
    <t>A FAIRE</t>
  </si>
  <si>
    <t>A TERMINER</t>
  </si>
  <si>
    <t>N/A</t>
  </si>
  <si>
    <t>AURELIE_T</t>
  </si>
  <si>
    <t>MARIE_PIERRE</t>
  </si>
  <si>
    <t>AUTRE COMPTABLE</t>
  </si>
  <si>
    <t>DECLARATION DES REVENUS</t>
  </si>
  <si>
    <t>NOMBRE DE DECLARATION</t>
  </si>
  <si>
    <t/>
  </si>
  <si>
    <t>Colonne2</t>
  </si>
  <si>
    <t>Colonne3</t>
  </si>
  <si>
    <t>Colonne4</t>
  </si>
  <si>
    <t>09/03/2020</t>
  </si>
  <si>
    <t>16/04/2020</t>
  </si>
  <si>
    <t>36</t>
  </si>
  <si>
    <t>16</t>
  </si>
  <si>
    <t>2</t>
  </si>
  <si>
    <t>PIERRE</t>
  </si>
  <si>
    <t>860083</t>
  </si>
  <si>
    <t>860112</t>
  </si>
  <si>
    <t>TRIMESTRIELLE</t>
  </si>
  <si>
    <t>ANNUELLE</t>
  </si>
  <si>
    <t>EXERCICE</t>
  </si>
  <si>
    <t>ABONNE LONG</t>
  </si>
  <si>
    <t>31/12/2019</t>
  </si>
  <si>
    <t>31/01/2020</t>
  </si>
  <si>
    <t>8600001</t>
  </si>
  <si>
    <t>01/02/2020</t>
  </si>
  <si>
    <t>1</t>
  </si>
  <si>
    <t>essai 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</si>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</sst>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dd/mm/yy;@"/>
    <numFmt numFmtId="165" formatCode="000000"/>
    <numFmt numFmtId="166" formatCode="#,##0\ &quot;€&quot;"/>
    <numFmt numFmtId="167" formatCode="_-* #,##0\ &quot;€&quot;_-;\-* #,##0\ &quot;€&quot;_-;_-* &quot;-&quot;??\ &quot;€&quot;_-;_-@_-"/>
  </numFmts>
  <fonts count="1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u/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color indexed="10"/>
      <name val="Calibri"/>
      <family val="2"/>
    </font>
    <font>
      <sz val="10"/>
      <name val="Calibri"/>
      <family val="2"/>
    </font>
    <font>
      <sz val="10"/>
      <color indexed="8"/>
      <name val="MS Sans Serif"/>
      <family val="2"/>
    </font>
    <font>
      <sz val="11"/>
      <color indexed="10"/>
      <name val="Calibri"/>
      <family val="2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45B5ED"/>
        <bgColor indexed="64"/>
      </patternFill>
    </fill>
    <fill>
      <patternFill patternType="solid">
        <fgColor rgb="FF3AF6F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/>
    <xf numFmtId="0" fontId="5" fillId="0" borderId="0"/>
    <xf numFmtId="0" fontId="10" fillId="0" borderId="0"/>
    <xf numFmtId="0" fontId="5" fillId="0" borderId="0" applyNumberFormat="0" applyFont="0" applyFill="0" applyBorder="0" applyAlignment="0" applyProtection="0"/>
    <xf numFmtId="44" fontId="13" fillId="0" borderId="0" applyFont="0" applyFill="0" applyBorder="0" applyAlignment="0" applyProtection="0"/>
  </cellStyleXfs>
  <cellXfs count="311">
    <xf numFmtId="0" fontId="0" fillId="0" borderId="0" xfId="0"/>
    <xf numFmtId="0" fontId="0" fillId="3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6" borderId="4" xfId="0" applyFill="1" applyBorder="1" applyAlignment="1">
      <alignment horizontal="center" wrapText="1"/>
    </xf>
    <xf numFmtId="0" fontId="0" fillId="6" borderId="4" xfId="0" applyFill="1" applyBorder="1" applyAlignment="1">
      <alignment horizontal="center"/>
    </xf>
    <xf numFmtId="0" fontId="0" fillId="8" borderId="4" xfId="0" applyFill="1" applyBorder="1"/>
    <xf numFmtId="0" fontId="0" fillId="5" borderId="4" xfId="0" applyFill="1" applyBorder="1"/>
    <xf numFmtId="0" fontId="0" fillId="9" borderId="7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wrapText="1"/>
    </xf>
    <xf numFmtId="0" fontId="0" fillId="6" borderId="7" xfId="0" applyFill="1" applyBorder="1" applyAlignment="1"/>
    <xf numFmtId="0" fontId="0" fillId="6" borderId="7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7" xfId="0" applyFill="1" applyBorder="1" applyAlignment="1">
      <alignment horizontal="center" wrapText="1"/>
    </xf>
    <xf numFmtId="0" fontId="0" fillId="6" borderId="5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5" xfId="0" applyFill="1" applyBorder="1" applyAlignment="1">
      <alignment horizontal="center" wrapText="1"/>
    </xf>
    <xf numFmtId="0" fontId="0" fillId="3" borderId="5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7" xfId="0" applyFill="1" applyBorder="1" applyAlignment="1">
      <alignment horizontal="center" vertical="center"/>
    </xf>
    <xf numFmtId="0" fontId="0" fillId="9" borderId="8" xfId="0" applyFill="1" applyBorder="1"/>
    <xf numFmtId="44" fontId="1" fillId="9" borderId="9" xfId="1" applyFont="1" applyFill="1" applyBorder="1"/>
    <xf numFmtId="44" fontId="1" fillId="2" borderId="9" xfId="1" applyFont="1" applyFill="1" applyBorder="1"/>
    <xf numFmtId="0" fontId="0" fillId="2" borderId="9" xfId="0" applyFill="1" applyBorder="1"/>
    <xf numFmtId="0" fontId="0" fillId="6" borderId="9" xfId="0" applyFill="1" applyBorder="1" applyAlignment="1">
      <alignment horizontal="center"/>
    </xf>
    <xf numFmtId="9" fontId="1" fillId="6" borderId="9" xfId="2" applyFont="1" applyFill="1" applyBorder="1" applyAlignment="1">
      <alignment horizontal="center"/>
    </xf>
    <xf numFmtId="0" fontId="1" fillId="6" borderId="9" xfId="2" applyNumberFormat="1" applyFont="1" applyFill="1" applyBorder="1" applyAlignment="1">
      <alignment horizontal="center"/>
    </xf>
    <xf numFmtId="44" fontId="1" fillId="7" borderId="9" xfId="1" applyFont="1" applyFill="1" applyBorder="1" applyAlignment="1">
      <alignment horizontal="center"/>
    </xf>
    <xf numFmtId="9" fontId="1" fillId="7" borderId="9" xfId="2" applyFont="1" applyFill="1" applyBorder="1" applyAlignment="1">
      <alignment horizontal="center"/>
    </xf>
    <xf numFmtId="0" fontId="1" fillId="7" borderId="9" xfId="2" applyNumberFormat="1" applyFont="1" applyFill="1" applyBorder="1" applyAlignment="1">
      <alignment horizontal="center"/>
    </xf>
    <xf numFmtId="0" fontId="0" fillId="6" borderId="9" xfId="0" applyFill="1" applyBorder="1"/>
    <xf numFmtId="9" fontId="1" fillId="6" borderId="10" xfId="2" applyFont="1" applyFill="1" applyBorder="1"/>
    <xf numFmtId="44" fontId="1" fillId="7" borderId="10" xfId="1" applyFont="1" applyFill="1" applyBorder="1"/>
    <xf numFmtId="9" fontId="1" fillId="7" borderId="10" xfId="2" applyFont="1" applyFill="1" applyBorder="1" applyAlignment="1">
      <alignment horizontal="center" vertical="center"/>
    </xf>
    <xf numFmtId="0" fontId="1" fillId="7" borderId="10" xfId="2" applyNumberFormat="1" applyFont="1" applyFill="1" applyBorder="1" applyAlignment="1">
      <alignment horizontal="center" vertical="center"/>
    </xf>
    <xf numFmtId="44" fontId="1" fillId="3" borderId="10" xfId="1" applyFont="1" applyFill="1" applyBorder="1"/>
    <xf numFmtId="44" fontId="1" fillId="8" borderId="9" xfId="1" applyFont="1" applyFill="1" applyBorder="1" applyAlignment="1">
      <alignment horizontal="center"/>
    </xf>
    <xf numFmtId="0" fontId="1" fillId="8" borderId="9" xfId="1" applyNumberFormat="1" applyFont="1" applyFill="1" applyBorder="1" applyAlignment="1">
      <alignment horizontal="center"/>
    </xf>
    <xf numFmtId="44" fontId="1" fillId="5" borderId="9" xfId="1" applyFont="1" applyFill="1" applyBorder="1"/>
    <xf numFmtId="44" fontId="0" fillId="8" borderId="11" xfId="0" applyNumberFormat="1" applyFill="1" applyBorder="1"/>
    <xf numFmtId="0" fontId="0" fillId="9" borderId="12" xfId="0" applyFill="1" applyBorder="1"/>
    <xf numFmtId="44" fontId="1" fillId="9" borderId="4" xfId="1" applyFont="1" applyFill="1" applyBorder="1"/>
    <xf numFmtId="44" fontId="1" fillId="2" borderId="4" xfId="1" applyFont="1" applyFill="1" applyBorder="1"/>
    <xf numFmtId="0" fontId="0" fillId="2" borderId="4" xfId="0" applyFill="1" applyBorder="1"/>
    <xf numFmtId="0" fontId="0" fillId="6" borderId="4" xfId="0" applyFill="1" applyBorder="1"/>
    <xf numFmtId="0" fontId="0" fillId="6" borderId="4" xfId="0" applyNumberFormat="1" applyFill="1" applyBorder="1"/>
    <xf numFmtId="44" fontId="1" fillId="7" borderId="4" xfId="1" applyFont="1" applyFill="1" applyBorder="1"/>
    <xf numFmtId="0" fontId="0" fillId="7" borderId="4" xfId="0" applyNumberFormat="1" applyFill="1" applyBorder="1"/>
    <xf numFmtId="0" fontId="0" fillId="6" borderId="1" xfId="0" applyFill="1" applyBorder="1"/>
    <xf numFmtId="44" fontId="1" fillId="7" borderId="1" xfId="1" applyFont="1" applyFill="1" applyBorder="1"/>
    <xf numFmtId="0" fontId="0" fillId="7" borderId="1" xfId="0" applyFill="1" applyBorder="1"/>
    <xf numFmtId="0" fontId="0" fillId="7" borderId="1" xfId="0" applyNumberFormat="1" applyFill="1" applyBorder="1"/>
    <xf numFmtId="44" fontId="1" fillId="3" borderId="1" xfId="1" applyFont="1" applyFill="1" applyBorder="1"/>
    <xf numFmtId="44" fontId="1" fillId="8" borderId="4" xfId="1" applyFont="1" applyFill="1" applyBorder="1" applyAlignment="1">
      <alignment horizontal="center"/>
    </xf>
    <xf numFmtId="0" fontId="1" fillId="8" borderId="4" xfId="1" applyNumberFormat="1" applyFont="1" applyFill="1" applyBorder="1" applyAlignment="1">
      <alignment horizontal="center"/>
    </xf>
    <xf numFmtId="44" fontId="1" fillId="5" borderId="4" xfId="1" applyFont="1" applyFill="1" applyBorder="1"/>
    <xf numFmtId="0" fontId="0" fillId="5" borderId="13" xfId="0" applyFill="1" applyBorder="1"/>
    <xf numFmtId="0" fontId="0" fillId="9" borderId="14" xfId="0" applyFill="1" applyBorder="1"/>
    <xf numFmtId="44" fontId="1" fillId="9" borderId="7" xfId="1" applyFont="1" applyFill="1" applyBorder="1"/>
    <xf numFmtId="44" fontId="1" fillId="2" borderId="7" xfId="1" applyFont="1" applyFill="1" applyBorder="1"/>
    <xf numFmtId="0" fontId="0" fillId="2" borderId="7" xfId="0" applyFill="1" applyBorder="1"/>
    <xf numFmtId="0" fontId="0" fillId="6" borderId="7" xfId="0" applyFill="1" applyBorder="1"/>
    <xf numFmtId="0" fontId="0" fillId="6" borderId="7" xfId="0" applyNumberFormat="1" applyFill="1" applyBorder="1"/>
    <xf numFmtId="44" fontId="1" fillId="7" borderId="7" xfId="1" applyFont="1" applyFill="1" applyBorder="1"/>
    <xf numFmtId="0" fontId="0" fillId="9" borderId="15" xfId="0" applyFill="1" applyBorder="1"/>
    <xf numFmtId="44" fontId="1" fillId="9" borderId="16" xfId="1" applyFont="1" applyFill="1" applyBorder="1"/>
    <xf numFmtId="44" fontId="1" fillId="2" borderId="16" xfId="1" applyFont="1" applyFill="1" applyBorder="1"/>
    <xf numFmtId="0" fontId="0" fillId="2" borderId="16" xfId="0" applyFill="1" applyBorder="1"/>
    <xf numFmtId="0" fontId="0" fillId="6" borderId="16" xfId="0" applyFill="1" applyBorder="1"/>
    <xf numFmtId="0" fontId="0" fillId="6" borderId="16" xfId="0" applyNumberFormat="1" applyFill="1" applyBorder="1"/>
    <xf numFmtId="44" fontId="1" fillId="7" borderId="16" xfId="1" applyFont="1" applyFill="1" applyBorder="1"/>
    <xf numFmtId="0" fontId="0" fillId="7" borderId="16" xfId="0" applyNumberFormat="1" applyFill="1" applyBorder="1"/>
    <xf numFmtId="0" fontId="0" fillId="6" borderId="17" xfId="0" applyFill="1" applyBorder="1"/>
    <xf numFmtId="44" fontId="1" fillId="7" borderId="17" xfId="1" applyFont="1" applyFill="1" applyBorder="1"/>
    <xf numFmtId="0" fontId="0" fillId="7" borderId="17" xfId="0" applyFill="1" applyBorder="1"/>
    <xf numFmtId="0" fontId="0" fillId="7" borderId="17" xfId="0" applyNumberFormat="1" applyFill="1" applyBorder="1"/>
    <xf numFmtId="44" fontId="1" fillId="3" borderId="17" xfId="1" applyFont="1" applyFill="1" applyBorder="1"/>
    <xf numFmtId="44" fontId="1" fillId="8" borderId="16" xfId="1" applyFont="1" applyFill="1" applyBorder="1" applyAlignment="1">
      <alignment horizontal="center"/>
    </xf>
    <xf numFmtId="0" fontId="1" fillId="8" borderId="16" xfId="1" applyNumberFormat="1" applyFont="1" applyFill="1" applyBorder="1" applyAlignment="1">
      <alignment horizontal="center"/>
    </xf>
    <xf numFmtId="44" fontId="1" fillId="5" borderId="16" xfId="1" applyFont="1" applyFill="1" applyBorder="1"/>
    <xf numFmtId="0" fontId="0" fillId="5" borderId="18" xfId="0" applyFill="1" applyBorder="1"/>
    <xf numFmtId="0" fontId="0" fillId="9" borderId="19" xfId="0" applyFill="1" applyBorder="1"/>
    <xf numFmtId="0" fontId="0" fillId="2" borderId="19" xfId="0" applyFill="1" applyBorder="1"/>
    <xf numFmtId="0" fontId="0" fillId="2" borderId="20" xfId="0" applyFill="1" applyBorder="1"/>
    <xf numFmtId="44" fontId="0" fillId="3" borderId="20" xfId="0" applyNumberFormat="1" applyFill="1" applyBorder="1"/>
    <xf numFmtId="44" fontId="0" fillId="4" borderId="19" xfId="0" applyNumberFormat="1" applyFill="1" applyBorder="1"/>
    <xf numFmtId="44" fontId="0" fillId="5" borderId="19" xfId="0" applyNumberFormat="1" applyFill="1" applyBorder="1"/>
    <xf numFmtId="0" fontId="0" fillId="0" borderId="0" xfId="0" applyAlignment="1"/>
    <xf numFmtId="0" fontId="0" fillId="0" borderId="0" xfId="0" applyFont="1"/>
    <xf numFmtId="0" fontId="0" fillId="0" borderId="0" xfId="0" applyFont="1" applyFill="1"/>
    <xf numFmtId="0" fontId="2" fillId="4" borderId="20" xfId="0" applyFont="1" applyFill="1" applyBorder="1" applyAlignment="1">
      <alignment horizontal="center" vertical="center"/>
    </xf>
    <xf numFmtId="0" fontId="4" fillId="10" borderId="4" xfId="0" applyFont="1" applyFill="1" applyBorder="1" applyAlignment="1"/>
    <xf numFmtId="0" fontId="6" fillId="0" borderId="4" xfId="3" applyFont="1" applyBorder="1" applyAlignment="1">
      <alignment horizontal="center" vertical="center" wrapText="1"/>
    </xf>
    <xf numFmtId="0" fontId="6" fillId="9" borderId="4" xfId="3" applyFont="1" applyFill="1" applyBorder="1" applyAlignment="1">
      <alignment horizontal="center" vertical="center" wrapText="1"/>
    </xf>
    <xf numFmtId="0" fontId="6" fillId="4" borderId="4" xfId="3" applyFont="1" applyFill="1" applyBorder="1" applyAlignment="1">
      <alignment horizontal="center" vertical="center" wrapText="1"/>
    </xf>
    <xf numFmtId="0" fontId="6" fillId="11" borderId="4" xfId="3" applyFont="1" applyFill="1" applyBorder="1" applyAlignment="1">
      <alignment horizontal="center" vertical="center" wrapText="1"/>
    </xf>
    <xf numFmtId="0" fontId="6" fillId="10" borderId="4" xfId="3" applyFont="1" applyFill="1" applyBorder="1" applyAlignment="1">
      <alignment horizontal="center" vertical="center" wrapText="1"/>
    </xf>
    <xf numFmtId="0" fontId="6" fillId="6" borderId="4" xfId="3" applyFont="1" applyFill="1" applyBorder="1" applyAlignment="1">
      <alignment horizontal="center" vertical="center" wrapText="1"/>
    </xf>
    <xf numFmtId="0" fontId="6" fillId="0" borderId="4" xfId="3" applyFont="1" applyFill="1" applyBorder="1" applyAlignment="1">
      <alignment horizontal="center" vertical="center" wrapText="1"/>
    </xf>
    <xf numFmtId="0" fontId="6" fillId="0" borderId="4" xfId="3" applyFont="1" applyFill="1" applyBorder="1" applyAlignment="1">
      <alignment horizontal="left" vertical="center" wrapText="1"/>
    </xf>
    <xf numFmtId="0" fontId="6" fillId="9" borderId="4" xfId="3" applyFont="1" applyFill="1" applyBorder="1"/>
    <xf numFmtId="0" fontId="6" fillId="4" borderId="4" xfId="3" applyFont="1" applyFill="1" applyBorder="1"/>
    <xf numFmtId="0" fontId="7" fillId="4" borderId="4" xfId="3" applyFont="1" applyFill="1" applyBorder="1"/>
    <xf numFmtId="0" fontId="0" fillId="11" borderId="4" xfId="0" applyFont="1" applyFill="1" applyBorder="1"/>
    <xf numFmtId="0" fontId="7" fillId="10" borderId="4" xfId="3" applyFont="1" applyFill="1" applyBorder="1"/>
    <xf numFmtId="0" fontId="7" fillId="10" borderId="4" xfId="3" applyFont="1" applyFill="1" applyBorder="1" applyAlignment="1">
      <alignment horizontal="right"/>
    </xf>
    <xf numFmtId="10" fontId="6" fillId="6" borderId="4" xfId="3" applyNumberFormat="1" applyFont="1" applyFill="1" applyBorder="1"/>
    <xf numFmtId="0" fontId="6" fillId="0" borderId="4" xfId="3" applyFont="1" applyBorder="1"/>
    <xf numFmtId="9" fontId="6" fillId="0" borderId="4" xfId="2" applyFont="1" applyBorder="1" applyAlignment="1">
      <alignment horizontal="center" vertical="center"/>
    </xf>
    <xf numFmtId="0" fontId="6" fillId="0" borderId="4" xfId="3" applyFont="1" applyFill="1" applyBorder="1"/>
    <xf numFmtId="0" fontId="6" fillId="11" borderId="4" xfId="3" applyFont="1" applyFill="1" applyBorder="1"/>
    <xf numFmtId="0" fontId="6" fillId="6" borderId="4" xfId="3" applyFont="1" applyFill="1" applyBorder="1"/>
    <xf numFmtId="9" fontId="6" fillId="0" borderId="4" xfId="2" applyFont="1" applyBorder="1"/>
    <xf numFmtId="0" fontId="7" fillId="12" borderId="4" xfId="3" applyFont="1" applyFill="1" applyBorder="1"/>
    <xf numFmtId="10" fontId="7" fillId="12" borderId="4" xfId="3" applyNumberFormat="1" applyFont="1" applyFill="1" applyBorder="1"/>
    <xf numFmtId="9" fontId="7" fillId="12" borderId="4" xfId="2" applyFont="1" applyFill="1" applyBorder="1"/>
    <xf numFmtId="10" fontId="7" fillId="12" borderId="4" xfId="2" applyNumberFormat="1" applyFont="1" applyFill="1" applyBorder="1"/>
    <xf numFmtId="0" fontId="8" fillId="0" borderId="0" xfId="3" applyFont="1"/>
    <xf numFmtId="0" fontId="6" fillId="0" borderId="0" xfId="3" applyFont="1"/>
    <xf numFmtId="0" fontId="6" fillId="0" borderId="4" xfId="0" applyFont="1" applyFill="1" applyBorder="1"/>
    <xf numFmtId="0" fontId="0" fillId="0" borderId="4" xfId="0" applyFont="1" applyBorder="1"/>
    <xf numFmtId="0" fontId="0" fillId="0" borderId="4" xfId="0" applyFont="1" applyFill="1" applyBorder="1"/>
    <xf numFmtId="0" fontId="0" fillId="0" borderId="4" xfId="0" applyBorder="1"/>
    <xf numFmtId="0" fontId="0" fillId="0" borderId="3" xfId="0" applyFont="1" applyFill="1" applyBorder="1"/>
    <xf numFmtId="0" fontId="4" fillId="0" borderId="1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1" xfId="0" applyFont="1" applyFill="1" applyBorder="1" applyAlignment="1"/>
    <xf numFmtId="0" fontId="0" fillId="0" borderId="2" xfId="0" applyFont="1" applyFill="1" applyBorder="1" applyAlignment="1"/>
    <xf numFmtId="0" fontId="0" fillId="0" borderId="3" xfId="0" applyFont="1" applyFill="1" applyBorder="1" applyAlignment="1"/>
    <xf numFmtId="0" fontId="0" fillId="0" borderId="2" xfId="0" applyFont="1" applyFill="1" applyBorder="1"/>
    <xf numFmtId="0" fontId="0" fillId="10" borderId="0" xfId="0" applyFont="1" applyFill="1"/>
    <xf numFmtId="0" fontId="0" fillId="10" borderId="4" xfId="0" applyFont="1" applyFill="1" applyBorder="1"/>
    <xf numFmtId="0" fontId="0" fillId="10" borderId="0" xfId="0" applyFont="1" applyFill="1" applyBorder="1"/>
    <xf numFmtId="0" fontId="4" fillId="10" borderId="1" xfId="0" applyFont="1" applyFill="1" applyBorder="1" applyAlignment="1">
      <alignment horizontal="center"/>
    </xf>
    <xf numFmtId="0" fontId="7" fillId="10" borderId="3" xfId="0" applyFont="1" applyFill="1" applyBorder="1" applyAlignment="1">
      <alignment horizontal="center"/>
    </xf>
    <xf numFmtId="0" fontId="7" fillId="10" borderId="4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 vertical="center"/>
    </xf>
    <xf numFmtId="0" fontId="6" fillId="10" borderId="4" xfId="0" applyFont="1" applyFill="1" applyBorder="1"/>
    <xf numFmtId="0" fontId="0" fillId="10" borderId="1" xfId="0" applyNumberFormat="1" applyFont="1" applyFill="1" applyBorder="1"/>
    <xf numFmtId="0" fontId="0" fillId="10" borderId="3" xfId="0" applyFont="1" applyFill="1" applyBorder="1"/>
    <xf numFmtId="0" fontId="0" fillId="10" borderId="1" xfId="0" applyFont="1" applyFill="1" applyBorder="1" applyAlignment="1">
      <alignment horizontal="center"/>
    </xf>
    <xf numFmtId="0" fontId="0" fillId="10" borderId="2" xfId="0" applyFont="1" applyFill="1" applyBorder="1" applyAlignment="1">
      <alignment horizontal="center"/>
    </xf>
    <xf numFmtId="0" fontId="0" fillId="10" borderId="3" xfId="0" applyFont="1" applyFill="1" applyBorder="1" applyAlignment="1">
      <alignment horizontal="center"/>
    </xf>
    <xf numFmtId="0" fontId="0" fillId="10" borderId="1" xfId="0" applyFont="1" applyFill="1" applyBorder="1"/>
    <xf numFmtId="0" fontId="0" fillId="10" borderId="1" xfId="0" applyFont="1" applyFill="1" applyBorder="1" applyAlignment="1"/>
    <xf numFmtId="0" fontId="0" fillId="10" borderId="2" xfId="0" applyFont="1" applyFill="1" applyBorder="1" applyAlignment="1"/>
    <xf numFmtId="0" fontId="0" fillId="10" borderId="3" xfId="0" applyFont="1" applyFill="1" applyBorder="1" applyAlignment="1"/>
    <xf numFmtId="0" fontId="0" fillId="10" borderId="2" xfId="0" applyFont="1" applyFill="1" applyBorder="1"/>
    <xf numFmtId="0" fontId="4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1" xfId="0" applyBorder="1"/>
    <xf numFmtId="0" fontId="0" fillId="0" borderId="4" xfId="0" applyFill="1" applyBorder="1"/>
    <xf numFmtId="0" fontId="0" fillId="0" borderId="1" xfId="0" applyNumberFormat="1" applyBorder="1"/>
    <xf numFmtId="0" fontId="0" fillId="0" borderId="1" xfId="0" applyFill="1" applyBorder="1"/>
    <xf numFmtId="0" fontId="0" fillId="0" borderId="0" xfId="0" applyFont="1" applyBorder="1" applyAlignment="1"/>
    <xf numFmtId="0" fontId="6" fillId="0" borderId="4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/>
    <xf numFmtId="0" fontId="0" fillId="0" borderId="0" xfId="0"/>
    <xf numFmtId="0" fontId="0" fillId="0" borderId="19" xfId="0" applyFont="1" applyBorder="1" applyAlignment="1" applyProtection="1">
      <alignment horizontal="center"/>
      <protection locked="0"/>
    </xf>
    <xf numFmtId="0" fontId="6" fillId="0" borderId="3" xfId="0" applyNumberFormat="1" applyFont="1" applyFill="1" applyBorder="1" applyAlignment="1" applyProtection="1">
      <alignment horizontal="center"/>
      <protection locked="0"/>
    </xf>
    <xf numFmtId="14" fontId="6" fillId="0" borderId="4" xfId="0" applyNumberFormat="1" applyFont="1" applyFill="1" applyBorder="1" applyAlignment="1" applyProtection="1">
      <alignment horizontal="center"/>
      <protection locked="0"/>
    </xf>
    <xf numFmtId="0" fontId="0" fillId="0" borderId="4" xfId="0" applyFont="1" applyBorder="1" applyAlignment="1" applyProtection="1">
      <alignment horizontal="center"/>
      <protection locked="0"/>
    </xf>
    <xf numFmtId="0" fontId="6" fillId="0" borderId="3" xfId="0" applyFont="1" applyFill="1" applyBorder="1" applyAlignment="1" applyProtection="1">
      <alignment horizontal="center"/>
      <protection locked="0"/>
    </xf>
    <xf numFmtId="0" fontId="12" fillId="0" borderId="4" xfId="6" quotePrefix="1" applyNumberFormat="1" applyFont="1" applyFill="1" applyBorder="1" applyAlignment="1" applyProtection="1">
      <alignment horizontal="center" vertical="top"/>
      <protection locked="0"/>
    </xf>
    <xf numFmtId="0" fontId="6" fillId="0" borderId="4" xfId="0" applyFont="1" applyFill="1" applyBorder="1" applyAlignment="1" applyProtection="1">
      <alignment horizontal="center" vertical="top"/>
      <protection locked="0"/>
    </xf>
    <xf numFmtId="0" fontId="0" fillId="0" borderId="4" xfId="0" applyFont="1" applyFill="1" applyBorder="1" applyAlignment="1" applyProtection="1">
      <alignment horizontal="center"/>
      <protection locked="0"/>
    </xf>
    <xf numFmtId="165" fontId="6" fillId="0" borderId="3" xfId="6" applyNumberFormat="1" applyFont="1" applyFill="1" applyBorder="1" applyAlignment="1" applyProtection="1">
      <alignment horizontal="center" vertical="center"/>
      <protection locked="0"/>
    </xf>
    <xf numFmtId="49" fontId="1" fillId="0" borderId="3" xfId="0" applyNumberFormat="1" applyFont="1" applyFill="1" applyBorder="1" applyAlignment="1" applyProtection="1">
      <alignment horizontal="center"/>
      <protection locked="0"/>
    </xf>
    <xf numFmtId="0" fontId="0" fillId="0" borderId="3" xfId="0" applyFont="1" applyFill="1" applyBorder="1" applyAlignment="1" applyProtection="1">
      <alignment horizontal="center"/>
      <protection locked="0"/>
    </xf>
    <xf numFmtId="49" fontId="6" fillId="0" borderId="3" xfId="0" applyNumberFormat="1" applyFont="1" applyFill="1" applyBorder="1" applyAlignment="1" applyProtection="1">
      <alignment horizontal="center"/>
      <protection locked="0"/>
    </xf>
    <xf numFmtId="49" fontId="0" fillId="0" borderId="3" xfId="0" applyNumberFormat="1" applyFont="1" applyFill="1" applyBorder="1" applyAlignment="1" applyProtection="1">
      <alignment horizontal="center"/>
      <protection locked="0"/>
    </xf>
    <xf numFmtId="0" fontId="6" fillId="0" borderId="6" xfId="0" applyNumberFormat="1" applyFont="1" applyFill="1" applyBorder="1" applyAlignment="1" applyProtection="1">
      <alignment horizontal="center"/>
      <protection locked="0"/>
    </xf>
    <xf numFmtId="0" fontId="6" fillId="0" borderId="7" xfId="0" applyFont="1" applyFill="1" applyBorder="1" applyAlignment="1" applyProtection="1">
      <alignment horizontal="center"/>
      <protection locked="0"/>
    </xf>
    <xf numFmtId="14" fontId="6" fillId="0" borderId="7" xfId="0" applyNumberFormat="1" applyFont="1" applyFill="1" applyBorder="1" applyAlignment="1" applyProtection="1">
      <alignment horizontal="center"/>
      <protection locked="0"/>
    </xf>
    <xf numFmtId="0" fontId="0" fillId="0" borderId="3" xfId="0" applyFont="1" applyBorder="1" applyAlignment="1" applyProtection="1">
      <alignment horizontal="center"/>
      <protection locked="0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6" xfId="0" applyFont="1" applyBorder="1" applyAlignment="1" applyProtection="1">
      <alignment horizontal="center"/>
      <protection locked="0"/>
    </xf>
    <xf numFmtId="0" fontId="6" fillId="0" borderId="4" xfId="0" applyFont="1" applyFill="1" applyBorder="1" applyAlignment="1" applyProtection="1">
      <alignment horizontal="center" vertical="center"/>
      <protection locked="0"/>
    </xf>
    <xf numFmtId="14" fontId="6" fillId="0" borderId="4" xfId="0" applyNumberFormat="1" applyFont="1" applyFill="1" applyBorder="1" applyAlignment="1" applyProtection="1">
      <alignment horizontal="center" vertical="center"/>
      <protection locked="0"/>
    </xf>
    <xf numFmtId="0" fontId="6" fillId="0" borderId="4" xfId="0" applyFont="1" applyFill="1" applyBorder="1" applyAlignment="1" applyProtection="1">
      <alignment horizontal="center" vertical="center"/>
    </xf>
    <xf numFmtId="0" fontId="6" fillId="0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19" xfId="0" applyFont="1" applyBorder="1" applyAlignment="1" applyProtection="1">
      <alignment horizontal="center" vertical="center"/>
      <protection locked="0"/>
    </xf>
    <xf numFmtId="0" fontId="13" fillId="0" borderId="19" xfId="0" applyFont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0" fontId="13" fillId="0" borderId="4" xfId="0" applyFont="1" applyBorder="1" applyAlignment="1" applyProtection="1">
      <alignment horizontal="center" vertical="center"/>
      <protection locked="0"/>
    </xf>
    <xf numFmtId="0" fontId="0" fillId="0" borderId="4" xfId="0" applyFont="1" applyFill="1" applyBorder="1" applyAlignment="1" applyProtection="1">
      <alignment horizontal="center" vertical="center"/>
      <protection locked="0"/>
    </xf>
    <xf numFmtId="0" fontId="11" fillId="0" borderId="4" xfId="0" applyFont="1" applyFill="1" applyBorder="1" applyAlignment="1" applyProtection="1">
      <alignment horizontal="center" vertical="center"/>
      <protection locked="0"/>
    </xf>
    <xf numFmtId="0" fontId="13" fillId="0" borderId="4" xfId="0" applyFont="1" applyFill="1" applyBorder="1" applyAlignment="1" applyProtection="1">
      <alignment horizontal="center" vertical="center"/>
      <protection locked="0"/>
    </xf>
    <xf numFmtId="14" fontId="6" fillId="0" borderId="4" xfId="0" applyNumberFormat="1" applyFont="1" applyBorder="1" applyAlignment="1" applyProtection="1">
      <alignment horizontal="center" vertical="center"/>
      <protection locked="0"/>
    </xf>
    <xf numFmtId="14" fontId="6" fillId="0" borderId="7" xfId="0" applyNumberFormat="1" applyFont="1" applyFill="1" applyBorder="1" applyAlignment="1" applyProtection="1">
      <alignment horizontal="center" vertical="center"/>
      <protection locked="0"/>
    </xf>
    <xf numFmtId="0" fontId="6" fillId="0" borderId="7" xfId="0" applyFont="1" applyFill="1" applyBorder="1" applyAlignment="1" applyProtection="1">
      <alignment horizontal="center" vertical="center"/>
      <protection locked="0"/>
    </xf>
    <xf numFmtId="0" fontId="0" fillId="0" borderId="7" xfId="0" applyFont="1" applyFill="1" applyBorder="1" applyAlignment="1" applyProtection="1">
      <alignment horizontal="center" vertical="center"/>
      <protection locked="0"/>
    </xf>
    <xf numFmtId="14" fontId="0" fillId="0" borderId="4" xfId="0" applyNumberFormat="1" applyFont="1" applyBorder="1" applyAlignment="1" applyProtection="1">
      <alignment horizontal="center" vertical="center"/>
      <protection locked="0"/>
    </xf>
    <xf numFmtId="14" fontId="0" fillId="0" borderId="7" xfId="0" applyNumberFormat="1" applyFont="1" applyBorder="1" applyAlignment="1" applyProtection="1">
      <alignment horizontal="center" vertical="center"/>
      <protection locked="0"/>
    </xf>
    <xf numFmtId="0" fontId="0" fillId="0" borderId="7" xfId="0" applyFont="1" applyBorder="1" applyAlignment="1" applyProtection="1">
      <alignment horizontal="center" vertical="center"/>
      <protection locked="0"/>
    </xf>
    <xf numFmtId="0" fontId="13" fillId="0" borderId="7" xfId="0" applyFont="1" applyBorder="1" applyAlignment="1" applyProtection="1">
      <alignment horizontal="center" vertical="center"/>
      <protection locked="0"/>
    </xf>
    <xf numFmtId="166" fontId="6" fillId="0" borderId="4" xfId="0" applyNumberFormat="1" applyFont="1" applyFill="1" applyBorder="1" applyAlignment="1" applyProtection="1">
      <alignment horizontal="center" vertical="center"/>
      <protection locked="0"/>
    </xf>
    <xf numFmtId="166" fontId="0" fillId="0" borderId="4" xfId="0" applyNumberFormat="1" applyFont="1" applyFill="1" applyBorder="1" applyAlignment="1" applyProtection="1">
      <alignment horizontal="center" vertical="center"/>
      <protection locked="0"/>
    </xf>
    <xf numFmtId="166" fontId="11" fillId="0" borderId="4" xfId="0" applyNumberFormat="1" applyFont="1" applyFill="1" applyBorder="1" applyAlignment="1" applyProtection="1">
      <alignment horizontal="center" vertical="center"/>
      <protection locked="0"/>
    </xf>
    <xf numFmtId="166" fontId="0" fillId="0" borderId="7" xfId="0" applyNumberFormat="1" applyFont="1" applyFill="1" applyBorder="1" applyAlignment="1" applyProtection="1">
      <alignment horizontal="center" vertical="center"/>
      <protection locked="0"/>
    </xf>
    <xf numFmtId="166" fontId="0" fillId="0" borderId="4" xfId="0" applyNumberFormat="1" applyFont="1" applyBorder="1" applyAlignment="1" applyProtection="1">
      <alignment horizontal="center" vertical="center"/>
      <protection locked="0"/>
    </xf>
    <xf numFmtId="166" fontId="0" fillId="0" borderId="7" xfId="0" applyNumberFormat="1" applyFont="1" applyBorder="1" applyAlignment="1" applyProtection="1">
      <alignment horizontal="center" vertical="center"/>
      <protection locked="0"/>
    </xf>
    <xf numFmtId="167" fontId="6" fillId="0" borderId="4" xfId="7" applyNumberFormat="1" applyFont="1" applyFill="1" applyBorder="1" applyAlignment="1" applyProtection="1">
      <alignment horizontal="center" vertical="center"/>
      <protection locked="0"/>
    </xf>
    <xf numFmtId="167" fontId="0" fillId="0" borderId="4" xfId="7" applyNumberFormat="1" applyFont="1" applyFill="1" applyBorder="1" applyAlignment="1" applyProtection="1">
      <alignment horizontal="center" vertical="center"/>
      <protection locked="0"/>
    </xf>
    <xf numFmtId="167" fontId="11" fillId="0" borderId="4" xfId="7" applyNumberFormat="1" applyFont="1" applyFill="1" applyBorder="1" applyAlignment="1" applyProtection="1">
      <alignment horizontal="center" vertical="center"/>
      <protection locked="0"/>
    </xf>
    <xf numFmtId="167" fontId="0" fillId="0" borderId="7" xfId="7" applyNumberFormat="1" applyFont="1" applyFill="1" applyBorder="1" applyAlignment="1" applyProtection="1">
      <alignment horizontal="center" vertical="center"/>
      <protection locked="0"/>
    </xf>
    <xf numFmtId="167" fontId="0" fillId="0" borderId="4" xfId="7" applyNumberFormat="1" applyFont="1" applyBorder="1" applyAlignment="1" applyProtection="1">
      <alignment horizontal="center" vertical="center"/>
      <protection locked="0"/>
    </xf>
    <xf numFmtId="167" fontId="0" fillId="0" borderId="7" xfId="7" applyNumberFormat="1" applyFont="1" applyBorder="1" applyAlignment="1" applyProtection="1">
      <alignment horizontal="center" vertical="center"/>
      <protection locked="0"/>
    </xf>
    <xf numFmtId="167" fontId="6" fillId="0" borderId="4" xfId="7" applyNumberFormat="1" applyFont="1" applyFill="1" applyBorder="1" applyAlignment="1" applyProtection="1">
      <protection locked="0"/>
    </xf>
    <xf numFmtId="167" fontId="0" fillId="0" borderId="4" xfId="7" applyNumberFormat="1" applyFont="1" applyFill="1" applyBorder="1" applyAlignment="1" applyProtection="1">
      <protection locked="0"/>
    </xf>
    <xf numFmtId="167" fontId="11" fillId="0" borderId="4" xfId="7" applyNumberFormat="1" applyFont="1" applyFill="1" applyBorder="1" applyAlignment="1" applyProtection="1">
      <protection locked="0"/>
    </xf>
    <xf numFmtId="167" fontId="0" fillId="0" borderId="7" xfId="7" applyNumberFormat="1" applyFont="1" applyFill="1" applyBorder="1" applyAlignment="1" applyProtection="1">
      <protection locked="0"/>
    </xf>
    <xf numFmtId="167" fontId="0" fillId="0" borderId="4" xfId="7" applyNumberFormat="1" applyFont="1" applyBorder="1" applyAlignment="1" applyProtection="1">
      <protection locked="0"/>
    </xf>
    <xf numFmtId="167" fontId="0" fillId="0" borderId="7" xfId="7" applyNumberFormat="1" applyFont="1" applyBorder="1" applyAlignment="1" applyProtection="1">
      <protection locked="0"/>
    </xf>
    <xf numFmtId="167" fontId="6" fillId="0" borderId="4" xfId="7" applyNumberFormat="1" applyFont="1" applyFill="1" applyBorder="1" applyAlignment="1" applyProtection="1">
      <alignment horizontal="center" vertical="center"/>
    </xf>
    <xf numFmtId="0" fontId="9" fillId="13" borderId="4" xfId="3" applyFont="1" applyFill="1" applyBorder="1" applyAlignment="1" applyProtection="1">
      <alignment horizontal="center" vertical="center" wrapText="1"/>
    </xf>
    <xf numFmtId="0" fontId="9" fillId="14" borderId="4" xfId="3" applyFont="1" applyFill="1" applyBorder="1" applyAlignment="1" applyProtection="1">
      <alignment horizontal="center" vertical="center" wrapText="1"/>
    </xf>
    <xf numFmtId="0" fontId="9" fillId="14" borderId="21" xfId="3" applyFont="1" applyFill="1" applyBorder="1" applyAlignment="1" applyProtection="1">
      <alignment horizontal="center" vertical="center" wrapText="1"/>
    </xf>
    <xf numFmtId="0" fontId="9" fillId="13" borderId="4" xfId="4" applyFont="1" applyFill="1" applyBorder="1" applyAlignment="1" applyProtection="1">
      <alignment horizontal="center" vertical="center" wrapText="1"/>
    </xf>
    <xf numFmtId="0" fontId="9" fillId="13" borderId="4" xfId="3" applyNumberFormat="1" applyFont="1" applyFill="1" applyBorder="1" applyAlignment="1" applyProtection="1">
      <alignment horizontal="center" vertical="center" wrapText="1"/>
    </xf>
    <xf numFmtId="0" fontId="9" fillId="13" borderId="4" xfId="5" applyNumberFormat="1" applyFont="1" applyFill="1" applyBorder="1" applyAlignment="1" applyProtection="1">
      <alignment horizontal="center" vertical="center" wrapText="1"/>
    </xf>
    <xf numFmtId="164" fontId="9" fillId="13" borderId="4" xfId="3" applyNumberFormat="1" applyFont="1" applyFill="1" applyBorder="1" applyAlignment="1" applyProtection="1">
      <alignment horizontal="center" vertical="center" wrapText="1"/>
    </xf>
    <xf numFmtId="0" fontId="9" fillId="15" borderId="21" xfId="3" applyFont="1" applyFill="1" applyBorder="1" applyAlignment="1" applyProtection="1">
      <alignment horizontal="center" vertical="center" wrapText="1"/>
    </xf>
    <xf numFmtId="0" fontId="6" fillId="15" borderId="3" xfId="3" applyFont="1" applyFill="1" applyBorder="1" applyAlignment="1" applyProtection="1">
      <alignment horizontal="center" vertical="center" wrapText="1"/>
    </xf>
    <xf numFmtId="0" fontId="6" fillId="15" borderId="4" xfId="3" applyFont="1" applyFill="1" applyBorder="1" applyAlignment="1" applyProtection="1">
      <alignment horizontal="center" vertical="center" wrapText="1"/>
    </xf>
    <xf numFmtId="0" fontId="9" fillId="15" borderId="4" xfId="4" applyFont="1" applyFill="1" applyBorder="1" applyAlignment="1" applyProtection="1">
      <alignment horizontal="center" vertical="center" wrapText="1"/>
    </xf>
    <xf numFmtId="0" fontId="9" fillId="15" borderId="4" xfId="5" applyNumberFormat="1" applyFont="1" applyFill="1" applyBorder="1" applyAlignment="1" applyProtection="1">
      <alignment horizontal="center" vertical="center" wrapText="1"/>
    </xf>
    <xf numFmtId="0" fontId="0" fillId="0" borderId="0" xfId="0" applyFill="1"/>
    <xf numFmtId="0" fontId="0" fillId="16" borderId="4" xfId="0" applyFont="1" applyFill="1" applyBorder="1"/>
    <xf numFmtId="0" fontId="4" fillId="10" borderId="4" xfId="0" applyFont="1" applyFill="1" applyBorder="1" applyAlignment="1">
      <alignment horizontal="center"/>
    </xf>
    <xf numFmtId="0" fontId="0" fillId="0" borderId="0" xfId="0"/>
    <xf numFmtId="0" fontId="15" fillId="0" borderId="0" xfId="0" applyFont="1" applyFill="1" applyAlignment="1"/>
    <xf numFmtId="0" fontId="14" fillId="0" borderId="0" xfId="0" applyFont="1" applyFill="1" applyAlignment="1"/>
    <xf numFmtId="0" fontId="0" fillId="0" borderId="19" xfId="0" applyBorder="1"/>
    <xf numFmtId="0" fontId="0" fillId="0" borderId="21" xfId="0" applyFill="1" applyBorder="1"/>
    <xf numFmtId="0" fontId="6" fillId="0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23" xfId="0" applyFill="1" applyBorder="1"/>
    <xf numFmtId="0" fontId="0" fillId="0" borderId="3" xfId="0" applyBorder="1"/>
    <xf numFmtId="0" fontId="0" fillId="0" borderId="24" xfId="0" applyBorder="1"/>
    <xf numFmtId="0" fontId="0" fillId="0" borderId="20" xfId="0" applyBorder="1"/>
    <xf numFmtId="0" fontId="0" fillId="0" borderId="4" xfId="0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6" borderId="5" xfId="0" applyFill="1" applyBorder="1" applyAlignment="1">
      <alignment horizontal="center" wrapText="1"/>
    </xf>
    <xf numFmtId="0" fontId="0" fillId="6" borderId="6" xfId="0" applyFill="1" applyBorder="1" applyAlignment="1">
      <alignment horizontal="center" wrapText="1"/>
    </xf>
    <xf numFmtId="0" fontId="0" fillId="7" borderId="1" xfId="0" applyFill="1" applyBorder="1" applyAlignment="1">
      <alignment horizontal="center" wrapText="1"/>
    </xf>
    <xf numFmtId="0" fontId="0" fillId="7" borderId="2" xfId="0" applyFill="1" applyBorder="1" applyAlignment="1">
      <alignment horizontal="center" wrapText="1"/>
    </xf>
    <xf numFmtId="0" fontId="0" fillId="7" borderId="3" xfId="0" applyFill="1" applyBorder="1" applyAlignment="1">
      <alignment horizontal="center" wrapText="1"/>
    </xf>
    <xf numFmtId="0" fontId="0" fillId="6" borderId="4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3" fillId="10" borderId="4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4" borderId="19" xfId="0" applyFont="1" applyFill="1" applyBorder="1" applyAlignment="1">
      <alignment horizontal="center"/>
    </xf>
    <xf numFmtId="0" fontId="2" fillId="11" borderId="4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16" fontId="4" fillId="10" borderId="4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7" xfId="0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/>
    </xf>
    <xf numFmtId="16" fontId="0" fillId="0" borderId="7" xfId="0" applyNumberFormat="1" applyFont="1" applyFill="1" applyBorder="1" applyAlignment="1">
      <alignment horizontal="center" vertical="center"/>
    </xf>
    <xf numFmtId="0" fontId="0" fillId="10" borderId="7" xfId="0" applyFont="1" applyFill="1" applyBorder="1" applyAlignment="1">
      <alignment horizontal="center" vertical="center"/>
    </xf>
    <xf numFmtId="0" fontId="0" fillId="0" borderId="0" xfId="0"/>
    <xf numFmtId="16" fontId="0" fillId="0" borderId="0" xfId="0" applyNumberFormat="1"/>
    <xf numFmtId="0" fontId="0" fillId="0" borderId="4" xfId="7" applyNumberFormat="1" applyFont="1" applyFill="1" applyBorder="1" applyAlignment="1" applyProtection="1">
      <alignment horizontal="center" vertical="center"/>
      <protection locked="0"/>
    </xf>
    <xf numFmtId="0" fontId="0" fillId="0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4" xfId="7" applyNumberFormat="1" applyFont="1" applyFill="1" applyBorder="1" applyAlignment="1" applyProtection="1">
      <protection locked="0"/>
    </xf>
    <xf numFmtId="0" fontId="6" fillId="0" borderId="4" xfId="7" applyNumberFormat="1" applyFont="1" applyFill="1" applyBorder="1" applyAlignment="1" applyProtection="1">
      <protection locked="0"/>
    </xf>
    <xf numFmtId="0" fontId="6" fillId="0" borderId="4" xfId="7" applyNumberFormat="1" applyFont="1" applyFill="1" applyBorder="1" applyAlignment="1" applyProtection="1">
      <alignment horizontal="center" vertical="center"/>
      <protection locked="0"/>
    </xf>
    <xf numFmtId="0" fontId="11" fillId="0" borderId="4" xfId="7" applyNumberFormat="1" applyFont="1" applyFill="1" applyBorder="1" applyAlignment="1" applyProtection="1">
      <alignment horizontal="center" vertical="center"/>
      <protection locked="0"/>
    </xf>
    <xf numFmtId="0" fontId="11" fillId="0" borderId="4" xfId="0" applyNumberFormat="1" applyFont="1" applyFill="1" applyBorder="1" applyAlignment="1" applyProtection="1">
      <alignment horizontal="center" vertical="center"/>
      <protection locked="0"/>
    </xf>
    <xf numFmtId="0" fontId="11" fillId="0" borderId="4" xfId="7" applyNumberFormat="1" applyFont="1" applyFill="1" applyBorder="1" applyAlignment="1" applyProtection="1">
      <protection locked="0"/>
    </xf>
    <xf numFmtId="0" fontId="0" fillId="0" borderId="7" xfId="7" applyNumberFormat="1" applyFont="1" applyFill="1" applyBorder="1" applyAlignment="1" applyProtection="1">
      <alignment horizontal="center" vertical="center"/>
      <protection locked="0"/>
    </xf>
    <xf numFmtId="0" fontId="0" fillId="0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7" xfId="7" applyNumberFormat="1" applyFont="1" applyFill="1" applyBorder="1" applyAlignment="1" applyProtection="1">
      <protection locked="0"/>
    </xf>
    <xf numFmtId="0" fontId="0" fillId="0" borderId="4" xfId="7" applyNumberFormat="1" applyFont="1" applyBorder="1" applyAlignment="1" applyProtection="1">
      <alignment horizontal="center" vertical="center"/>
      <protection locked="0"/>
    </xf>
    <xf numFmtId="0" fontId="0" fillId="0" borderId="4" xfId="0" applyNumberFormat="1" applyFont="1" applyBorder="1" applyAlignment="1" applyProtection="1">
      <alignment horizontal="center" vertical="center"/>
      <protection locked="0"/>
    </xf>
    <xf numFmtId="0" fontId="0" fillId="0" borderId="4" xfId="7" applyNumberFormat="1" applyFont="1" applyBorder="1" applyAlignment="1" applyProtection="1">
      <protection locked="0"/>
    </xf>
    <xf numFmtId="0" fontId="0" fillId="0" borderId="7" xfId="7" applyNumberFormat="1" applyFont="1" applyBorder="1" applyAlignment="1" applyProtection="1">
      <alignment horizontal="center" vertical="center"/>
      <protection locked="0"/>
    </xf>
    <xf numFmtId="0" fontId="0" fillId="0" borderId="7" xfId="0" applyNumberFormat="1" applyFont="1" applyBorder="1" applyAlignment="1" applyProtection="1">
      <alignment horizontal="center" vertical="center"/>
      <protection locked="0"/>
    </xf>
    <xf numFmtId="0" fontId="0" fillId="0" borderId="7" xfId="7" applyNumberFormat="1" applyFont="1" applyBorder="1" applyAlignment="1" applyProtection="1">
      <protection locked="0"/>
    </xf>
    <xf numFmtId="2" fontId="6" fillId="0" borderId="4" xfId="7" applyNumberFormat="1" applyFont="1" applyFill="1" applyBorder="1" applyAlignment="1" applyProtection="1">
      <protection locked="0"/>
    </xf>
    <xf numFmtId="2" fontId="0" fillId="0" borderId="4" xfId="7" applyNumberFormat="1" applyFont="1" applyFill="1" applyBorder="1" applyAlignment="1" applyProtection="1">
      <protection locked="0"/>
    </xf>
    <xf numFmtId="2" fontId="11" fillId="0" borderId="4" xfId="7" applyNumberFormat="1" applyFont="1" applyFill="1" applyBorder="1" applyAlignment="1" applyProtection="1">
      <protection locked="0"/>
    </xf>
    <xf numFmtId="2" fontId="0" fillId="0" borderId="7" xfId="7" applyNumberFormat="1" applyFont="1" applyFill="1" applyBorder="1" applyAlignment="1" applyProtection="1">
      <protection locked="0"/>
    </xf>
    <xf numFmtId="2" fontId="0" fillId="0" borderId="4" xfId="7" applyNumberFormat="1" applyFont="1" applyBorder="1" applyAlignment="1" applyProtection="1">
      <protection locked="0"/>
    </xf>
    <xf numFmtId="2" fontId="0" fillId="0" borderId="7" xfId="7" applyNumberFormat="1" applyFont="1" applyBorder="1" applyAlignment="1" applyProtection="1">
      <protection locked="0"/>
    </xf>
  </cellXfs>
  <cellStyles count="8">
    <cellStyle name="Monétaire" xfId="7" builtinId="4"/>
    <cellStyle name="Monétaire 2" xfId="1"/>
    <cellStyle name="Normal" xfId="0" builtinId="0"/>
    <cellStyle name="Normal 16" xfId="3"/>
    <cellStyle name="Normal 2" xfId="6"/>
    <cellStyle name="Normal 2 6" xfId="5"/>
    <cellStyle name="Normal 3" xfId="4"/>
    <cellStyle name="Pourcentage 2" xfId="2"/>
  </cellStyles>
  <dxfs count="594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indexed="64"/>
        </lef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45B5ED"/>
      <color rgb="FF3AF6F6"/>
      <color rgb="FFFFD72D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695325</xdr:colOff>
      <xdr:row>8</xdr:row>
      <xdr:rowOff>57150</xdr:rowOff>
    </xdr:from>
    <xdr:to>
      <xdr:col>5</xdr:col>
      <xdr:colOff>219075</xdr:colOff>
      <xdr:row>10</xdr:row>
      <xdr:rowOff>38100</xdr:rowOff>
    </xdr:to>
    <xdr:sp macro="[0]!Recherche_Modif" textlink="">
      <xdr:nvSpPr>
        <xdr:cNvPr id="2" name="ZoneTexte 1"/>
        <xdr:cNvSpPr txBox="1"/>
      </xdr:nvSpPr>
      <xdr:spPr>
        <a:xfrm>
          <a:off x="2219325" y="1581150"/>
          <a:ext cx="1809750" cy="3619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Saisie Visa</a:t>
          </a:r>
        </a:p>
      </xdr:txBody>
    </xdr:sp>
    <xdr:clientData fPrintsWithSheet="0"/>
  </xdr:twoCellAnchor>
  <xdr:twoCellAnchor>
    <xdr:from>
      <xdr:col>2</xdr:col>
      <xdr:colOff>685800</xdr:colOff>
      <xdr:row>11</xdr:row>
      <xdr:rowOff>57150</xdr:rowOff>
    </xdr:from>
    <xdr:to>
      <xdr:col>5</xdr:col>
      <xdr:colOff>200025</xdr:colOff>
      <xdr:row>13</xdr:row>
      <xdr:rowOff>19050</xdr:rowOff>
    </xdr:to>
    <xdr:sp macro="[0]!OuvreFormulaireSaisienouveauclient" textlink="">
      <xdr:nvSpPr>
        <xdr:cNvPr id="3" name="Rectangle à coins arrondis 2"/>
        <xdr:cNvSpPr/>
      </xdr:nvSpPr>
      <xdr:spPr>
        <a:xfrm>
          <a:off x="2209800" y="2152650"/>
          <a:ext cx="1800225" cy="342900"/>
        </a:xfrm>
        <a:prstGeom prst="roundRect">
          <a:avLst/>
        </a:prstGeom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Saisie</a:t>
          </a:r>
          <a:r>
            <a:rPr lang="fr-FR" sz="1100" baseline="0"/>
            <a:t> d'un nouveau client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72331" y="0"/>
          <a:ext cx="1224000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4" name="Rectangle avec coins arrondis du même côté 3"/>
        <xdr:cNvSpPr/>
      </xdr:nvSpPr>
      <xdr:spPr>
        <a:xfrm>
          <a:off x="35719" y="0"/>
          <a:ext cx="1607343" cy="440531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5" name="Rectangle avec coins arrondis du même côté 4"/>
        <xdr:cNvSpPr/>
      </xdr:nvSpPr>
      <xdr:spPr>
        <a:xfrm>
          <a:off x="3095625" y="0"/>
          <a:ext cx="1666875" cy="440531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4904471" y="0"/>
          <a:ext cx="3877235" cy="437029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9" name="Rectangle avec coins arrondis du même côté 8"/>
        <xdr:cNvSpPr/>
      </xdr:nvSpPr>
      <xdr:spPr>
        <a:xfrm>
          <a:off x="13704794" y="0"/>
          <a:ext cx="1601040" cy="437029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3" name="Flèche gauche 2"/>
        <xdr:cNvSpPr/>
      </xdr:nvSpPr>
      <xdr:spPr>
        <a:xfrm>
          <a:off x="65285471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10" name="Rectangle avec coins arrondis du même côté 9"/>
        <xdr:cNvSpPr/>
      </xdr:nvSpPr>
      <xdr:spPr>
        <a:xfrm>
          <a:off x="6241676" y="0"/>
          <a:ext cx="1243853" cy="437029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11" name="Flèche droite 10"/>
        <xdr:cNvSpPr/>
      </xdr:nvSpPr>
      <xdr:spPr>
        <a:xfrm>
          <a:off x="7138147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2" name="Rectangle avec coins arrondis du même côté 11"/>
        <xdr:cNvSpPr/>
      </xdr:nvSpPr>
      <xdr:spPr>
        <a:xfrm>
          <a:off x="7530353" y="0"/>
          <a:ext cx="1230303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6" name="Rectangle avec coins arrondis du même côté 15"/>
        <xdr:cNvSpPr/>
      </xdr:nvSpPr>
      <xdr:spPr>
        <a:xfrm>
          <a:off x="4784912" y="0"/>
          <a:ext cx="1434353" cy="437029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7" name="Flèche droite 16"/>
        <xdr:cNvSpPr/>
      </xdr:nvSpPr>
      <xdr:spPr>
        <a:xfrm>
          <a:off x="5950323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21" name="Rectangle avec coins arrondis du même côté 20"/>
        <xdr:cNvSpPr/>
      </xdr:nvSpPr>
      <xdr:spPr>
        <a:xfrm>
          <a:off x="68792912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22" name="Flèche gauche 21"/>
        <xdr:cNvSpPr/>
      </xdr:nvSpPr>
      <xdr:spPr>
        <a:xfrm>
          <a:off x="68882559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PORTEFEUILLE_DELPHINE" displayName="PORTEFEUILLE_DELPHINE" ref="A2:BK49" totalsRowShown="0" headerRowDxfId="593" dataDxfId="592" tableBorderDxfId="591" headerRowCellStyle="Normal 16">
  <autoFilter ref="A2:BK49"/>
  <tableColumns count="63">
    <tableColumn id="48" name="PRENOM DU COMPTABLE" dataDxfId="590"/>
    <tableColumn id="1" name="N° DOSSIER" dataDxfId="589"/>
    <tableColumn id="2" name="NOM DOSSIER" dataDxfId="588"/>
    <tableColumn id="3" name="TYPE DE MARCHE" dataDxfId="587"/>
    <tableColumn id="4" name="DATE DE CLOTURE" dataDxfId="586"/>
    <tableColumn id="5" name="REGIME JURIDIQUE" dataDxfId="585"/>
    <tableColumn id="6" name="REGIME IMPOSITION" dataDxfId="584"/>
    <tableColumn id="56" name="DECLARATION DE TVA" dataDxfId="583"/>
    <tableColumn id="7" name="DATE_x000a_DE DEPOT" dataDxfId="582"/>
    <tableColumn id="8" name="DATE SIGNATURE" dataDxfId="581"/>
    <tableColumn id="9" name="MOIS" dataDxfId="580">
      <calculatedColumnFormula>IF(I3="","",MONTH(I3))</calculatedColumnFormula>
    </tableColumn>
    <tableColumn id="10" name="DELAI" dataDxfId="579">
      <calculatedColumnFormula>IF(I3="","",DAYS360(E3,I3))</calculatedColumnFormula>
    </tableColumn>
    <tableColumn id="11" name="PCR" dataDxfId="578"/>
    <tableColumn id="12" name="RA NOS" dataDxfId="577"/>
    <tableColumn id="13" name="QUI " dataDxfId="576"/>
    <tableColumn id="14" name="CR" dataDxfId="575"/>
    <tableColumn id="15" name="CR FAIT PAR LE COMPTABLE" dataDxfId="574"/>
    <tableColumn id="16" name="AG_x000a_SIGNEE" dataDxfId="573"/>
    <tableColumn id="17" name="PCR COMPTABLE €" dataDxfId="80" dataCellStyle="Monétaire"/>
    <tableColumn id="18" name="PCR CONSEILLER €" dataDxfId="79"/>
    <tableColumn id="19" name="RA FAIT PAR LE_x000a_COMPTABLE €" dataDxfId="78" dataCellStyle="Monétaire"/>
    <tableColumn id="41" name="RA FAITE PAR LE CONSEILLER €" dataDxfId="77" dataCellStyle="Monétaire"/>
    <tableColumn id="21" name="POINT DE PILOTAGE €" dataDxfId="76" dataCellStyle="Monétaire"/>
    <tableColumn id="20" name="AGOA COMPTABLE €" dataDxfId="75" dataCellStyle="Monétaire"/>
    <tableColumn id="59" name="AGOA CONSEILLER €" dataDxfId="74" dataCellStyle="Monétaire"/>
    <tableColumn id="60" name="VISA JURIDIQUE €" dataDxfId="73" dataCellStyle="Monétaire"/>
    <tableColumn id="38" name="SAISIE PAR UNE AAC €" dataDxfId="72" dataCellStyle="Monétaire"/>
    <tableColumn id="43" name="SAISIE PAR LE COMPTABLE €" dataDxfId="71" dataCellStyle="Monétaire"/>
    <tableColumn id="39" name="TRAVAUX _x000a_DE REVISION €" dataDxfId="70" dataCellStyle="Monétaire"/>
    <tableColumn id="42" name="DECLARATION TVA AAC €" dataDxfId="69" dataCellStyle="Monétaire"/>
    <tableColumn id="45" name="DECLARATION TVA COMPTABLE €" dataDxfId="68" dataCellStyle="Monétaire"/>
    <tableColumn id="40" name="MONTANT_x000a_RESPONSABLE RELATION CLIENT €" dataDxfId="7" dataCellStyle="Monétaire"/>
    <tableColumn id="33" name="MONTANT TOTAL LETTRE DE MISION €" dataDxfId="6" dataCellStyle="Monétaire">
      <calculatedColumnFormula>SUM(PORTEFEUILLE_DELPHINE[[#This Row],[PCR COMPTABLE €]:[MONTANT
RESPONSABLE RELATION CLIENT €]])</calculatedColumnFormula>
    </tableColumn>
    <tableColumn id="34" name="ECART DE SAISE avec LETTRE DE MISSION €" dataDxfId="572" dataCellStyle="Monétaire">
      <calculatedColumnFormula>SUM(PORTEFEUILLE_DELPHINE[[#This Row],[PCR COMPTABLE €]:[MONTANT
RESPONSABLE RELATION CLIENT €]])-PORTEFEUILLE_DELPHINE[[#This Row],[MONTANT TOTAL LETTRE DE MISION €]]</calculatedColumnFormula>
    </tableColumn>
    <tableColumn id="22" name="Prénom_x000a_AAC" dataDxfId="571"/>
    <tableColumn id="36" name="PRENOM CONSEILLER" dataDxfId="570"/>
    <tableColumn id="57" name="PRENOM REALISATION TVA" dataDxfId="569"/>
    <tableColumn id="63" name="DECLARATION DES REVENUS" dataDxfId="568"/>
    <tableColumn id="61" name="NOMBRE DE DECLARATION" dataDxfId="567"/>
    <tableColumn id="54" name="ABONNE COURT _x000a_ABONNE LONG" dataDxfId="566"/>
    <tableColumn id="55" name="RECONDUCTION AUTOMATIQUE OS" dataDxfId="565"/>
    <tableColumn id="23" name="TPS PASSE_x000a_COMPTABLE H_x000a_" dataDxfId="564"/>
    <tableColumn id="37" name="TPS PASSE _x000a_AAC H" dataDxfId="563"/>
    <tableColumn id="47" name="BONI AAC" dataDxfId="562" dataCellStyle="Monétaire">
      <calculatedColumnFormula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calculatedColumnFormula>
    </tableColumn>
    <tableColumn id="46" name="MALI AAC" dataDxfId="561" dataCellStyle="Monétaire">
      <calculatedColumnFormula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calculatedColumnFormula>
    </tableColumn>
    <tableColumn id="44" name="NOMBRE DOSSIER BONI AAC" dataDxfId="560">
      <calculatedColumnFormula>IF(PORTEFEUILLE_DELPHINE[[#This Row],[BONI AAC]]&lt;&gt;0,1,"")</calculatedColumnFormula>
    </tableColumn>
    <tableColumn id="35" name="NBRE DOSSIER MALI AAC" dataDxfId="559">
      <calculatedColumnFormula>IF(PORTEFEUILLE_DELPHINE[[#This Row],[MALI AAC]]&lt;&gt;0,1,"")</calculatedColumnFormula>
    </tableColumn>
    <tableColumn id="24" name="BONI COMPTABLE" dataDxfId="558" dataCellStyle="Monétaire">
      <calculatedColumnFormula>IF(AP3&lt;&gt;"",IF((AP3*Paramètres!$H$4)-PORTEFEUILLE_DELPHINE[[#This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€]]-(DELPHINE!AP3*Paramètres!$H$4),0),0)</calculatedColumnFormula>
    </tableColumn>
    <tableColumn id="25" name="MALI COMPTABLE" dataDxfId="557" dataCellStyle="Monétaire">
      <calculatedColumnFormula>IF(AP3&lt;&gt;"",IF(((AP3*Paramètres!$H$4)-PORTEFEUILLE_DELPHINE[[#This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calculatedColumnFormula>
    </tableColumn>
    <tableColumn id="53" name="NOMBRE DOSSIER BONI COMPTABLE" dataDxfId="556">
      <calculatedColumnFormula>IF(PORTEFEUILLE_DELPHINE[[#This Row],[BONI COMPTABLE]]&lt;&gt;0,1,"")</calculatedColumnFormula>
    </tableColumn>
    <tableColumn id="52" name="NOMBRE DE DOSSIER MALI COMPTABLE" dataDxfId="555">
      <calculatedColumnFormula>IF(PORTEFEUILLE_DELPHINE[[#This Row],[MALI COMPTABLE]]&lt;&gt;0,1,"")</calculatedColumnFormula>
    </tableColumn>
    <tableColumn id="26" name="GRILLE ENJEUX" dataDxfId="554"/>
    <tableColumn id="27" name="Visa_x000a_Validé_x000a_enjeu 4 ou attestation enjeu" dataDxfId="553"/>
    <tableColumn id="28" name="VISA VCOMPTA" dataDxfId="552"/>
    <tableColumn id="29" name="REFUS" dataDxfId="551"/>
    <tableColumn id="30" name="MOTIF" dataDxfId="550"/>
    <tableColumn id="31" name="COMMENTAIRES" dataDxfId="549"/>
    <tableColumn id="32" name="DIVERS" dataDxfId="548"/>
    <tableColumn id="49" name="MISE EN PLACE SCAN BY CERFRANCE" dataDxfId="547"/>
    <tableColumn id="50" name="PRENOM PERSONNE AYANT DEPLOYEE SCAN BY CERFRANCE" dataDxfId="546"/>
    <tableColumn id="51" name="PICKING" dataDxfId="545"/>
    <tableColumn id="58" name="EDI" dataDxfId="544"/>
    <tableColumn id="62" name="Colonne1" dataDxfId="54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PORTEFEUILLE_FREDERIQUE" displayName="PORTEFEUILLE_FREDERIQUE" ref="A2:BK60" totalsRowShown="0" headerRowDxfId="542" dataDxfId="541" tableBorderDxfId="540" headerRowCellStyle="Normal 16">
  <autoFilter ref="A2:BK60"/>
  <tableColumns count="63">
    <tableColumn id="48" name="PRENOM DU COMPTABLE" dataDxfId="539"/>
    <tableColumn id="1" name="N° DOSSIER" dataDxfId="538"/>
    <tableColumn id="2" name="NOM DOSSIER" dataDxfId="537"/>
    <tableColumn id="3" name="TYPE DE MARCHE" dataDxfId="536"/>
    <tableColumn id="4" name="DATE DE CLOTURE" dataDxfId="535"/>
    <tableColumn id="5" name="REGIME JURIDIQUE" dataDxfId="534"/>
    <tableColumn id="6" name="REGIME IMPOSITION" dataDxfId="533"/>
    <tableColumn id="56" name="DECLARATION DE TVA" dataDxfId="532"/>
    <tableColumn id="7" name="DATE_x000a_DE DEPOT" dataDxfId="531"/>
    <tableColumn id="8" name="DATE SIGNATURE" dataDxfId="530"/>
    <tableColumn id="9" name="MOIS" dataDxfId="529">
      <calculatedColumnFormula>IF(I3="","",MONTH(I3))</calculatedColumnFormula>
    </tableColumn>
    <tableColumn id="10" name="DELAI" dataDxfId="528">
      <calculatedColumnFormula>IF(I3="","",DAYS360(E3,I3))</calculatedColumnFormula>
    </tableColumn>
    <tableColumn id="11" name="PCR" dataDxfId="527"/>
    <tableColumn id="12" name="RA NOS" dataDxfId="526"/>
    <tableColumn id="13" name="QUI " dataDxfId="525"/>
    <tableColumn id="14" name="CR" dataDxfId="524"/>
    <tableColumn id="15" name="CR FAIT PAR LE COMPTABLE" dataDxfId="523"/>
    <tableColumn id="16" name="AG_x000a_SIGNEE" dataDxfId="522"/>
    <tableColumn id="17" name="PCR COMPTABLE €" dataDxfId="521" dataCellStyle="Monétaire"/>
    <tableColumn id="18" name="PCR CONSEILLER €" dataDxfId="520"/>
    <tableColumn id="19" name="RA FAIT PAR LE_x000a_COMPTABLE €" dataDxfId="519" dataCellStyle="Monétaire"/>
    <tableColumn id="41" name="RA FAITE PAR LE CONSEILLER €" dataDxfId="518" dataCellStyle="Monétaire"/>
    <tableColumn id="21" name="POINT DE PILOTAGE €" dataDxfId="517" dataCellStyle="Monétaire"/>
    <tableColumn id="20" name="AGOA COMPTABLE €" dataDxfId="516" dataCellStyle="Monétaire"/>
    <tableColumn id="59" name="AGOA CONSEILLER €" dataDxfId="515" dataCellStyle="Monétaire"/>
    <tableColumn id="60" name="VISA JURIDIQUE €" dataDxfId="514" dataCellStyle="Monétaire"/>
    <tableColumn id="38" name="SAISIE PAR UNE AAC €" dataDxfId="513" dataCellStyle="Monétaire"/>
    <tableColumn id="43" name="SAISIE PAR LE COMPTABLE €" dataDxfId="512" dataCellStyle="Monétaire"/>
    <tableColumn id="39" name="TRAVAUX _x000a_DE REVISION €" dataDxfId="511" dataCellStyle="Monétaire"/>
    <tableColumn id="42" name="DECLARATION TVA AAC €" dataDxfId="510" dataCellStyle="Monétaire"/>
    <tableColumn id="45" name="DECLARATION TVA COMPTABLE €" dataDxfId="509" dataCellStyle="Monétaire"/>
    <tableColumn id="40" name="MONTANT_x000a_RESPONSABLE RELATION CLIENT €" dataDxfId="508" dataCellStyle="Monétaire"/>
    <tableColumn id="33" name="MONTANT TOTAL LETTRE DE MISION €" dataDxfId="507" dataCellStyle="Monétaire">
      <calculatedColumnFormula>SUM(PORTEFEUILLE_FREDERIQUE[[#This Row],[PCR COMPTABLE €]:[MONTANT
RESPONSABLE RELATION CLIENT €]])</calculatedColumnFormula>
    </tableColumn>
    <tableColumn id="34" name="ECART DE SAISE avec LETTRE DE MISSION €" dataDxfId="506" dataCellStyle="Monétaire">
      <calculatedColumnFormula>SUM(PORTEFEUILLE_FREDERIQUE[[#This Row],[PCR COMPTABLE €]:[MONTANT
RESPONSABLE RELATION CLIENT €]])-PORTEFEUILLE_FREDERIQUE[[#This Row],[MONTANT TOTAL LETTRE DE MISION €]]</calculatedColumnFormula>
    </tableColumn>
    <tableColumn id="22" name="Prénom_x000a_AAC" dataDxfId="505"/>
    <tableColumn id="36" name="PRENOM CONSEILLER" dataDxfId="504"/>
    <tableColumn id="57" name="PRENOM REALISATION TVA" dataDxfId="503"/>
    <tableColumn id="63" name="DECLARATION DES REVENUS" dataDxfId="502"/>
    <tableColumn id="61" name="NOMBRE DE DECLARATION" dataDxfId="501"/>
    <tableColumn id="54" name="ABONNE COURT _x000a_ABONNE LONG" dataDxfId="500"/>
    <tableColumn id="55" name="RECONDUCTION AUTOMATIQUE OS" dataDxfId="499"/>
    <tableColumn id="23" name="TPS PASSE_x000a_COMPTABLE H_x000a_" dataDxfId="498"/>
    <tableColumn id="37" name="TPS PASSE _x000a_AAC H" dataDxfId="497"/>
    <tableColumn id="47" name="BONI AAC" dataDxfId="496" dataCellStyle="Monétaire">
      <calculatedColumnFormula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calculatedColumnFormula>
    </tableColumn>
    <tableColumn id="46" name="MALI AAC" dataDxfId="495" dataCellStyle="Monétaire">
      <calculatedColumnFormula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calculatedColumnFormula>
    </tableColumn>
    <tableColumn id="44" name="NOMBRE DOSSIER BONI AAC" dataDxfId="494">
      <calculatedColumnFormula>IF(PORTEFEUILLE_FREDERIQUE[[#This Row],[BONI AAC]]&lt;&gt;0,1,"")</calculatedColumnFormula>
    </tableColumn>
    <tableColumn id="35" name="NBRE DOSSIER MALI AAC" dataDxfId="493">
      <calculatedColumnFormula>IF(PORTEFEUILLE_FREDERIQUE[[#This Row],[MALI AAC]]&lt;&gt;0,1,"")</calculatedColumnFormula>
    </tableColumn>
    <tableColumn id="24" name="BONI COMPTABLE" dataDxfId="492" dataCellStyle="Monétaire">
      <calculatedColumnFormula>IF(AP3&lt;&gt;"",IF((AP3*Paramètres!$H$4)-PORTEFEUILLE_FREDERIQUE[[#This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calculatedColumnFormula>
    </tableColumn>
    <tableColumn id="25" name="MALI COMPTABLE" dataDxfId="491" dataCellStyle="Monétaire">
      <calculatedColumnFormula>IF(AP3&lt;&gt;"",IF(((AP3*Paramètres!$H$4)-PORTEFEUILLE_FREDERIQUE[[#This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calculatedColumnFormula>
    </tableColumn>
    <tableColumn id="53" name="NOMBRE DOSSIER BONI COMPTABLE" dataDxfId="490">
      <calculatedColumnFormula>IF(PORTEFEUILLE_FREDERIQUE[[#This Row],[BONI COMPTABLE]]&lt;&gt;0,1,"")</calculatedColumnFormula>
    </tableColumn>
    <tableColumn id="52" name="NOMBRE DE DOSSIER MALI COMPTABLE" dataDxfId="489">
      <calculatedColumnFormula>IF(PORTEFEUILLE_FREDERIQUE[[#This Row],[MALI COMPTABLE]]&lt;&gt;0,1,"")</calculatedColumnFormula>
    </tableColumn>
    <tableColumn id="26" name="GRILLE ENJEUX" dataDxfId="488"/>
    <tableColumn id="27" name="Visa_x000a_Validé_x000a_enjeu 4 ou attestation enjeu" dataDxfId="487"/>
    <tableColumn id="28" name="VISA VCOMPTA" dataDxfId="486"/>
    <tableColumn id="29" name="REFUS" dataDxfId="485"/>
    <tableColumn id="30" name="MOTIF" dataDxfId="484"/>
    <tableColumn id="31" name="COMMENTAIRES" dataDxfId="483"/>
    <tableColumn id="32" name="Attestation_x000a_à faire signer par l'EC" dataDxfId="482"/>
    <tableColumn id="49" name="MISE EN PLACE SCAN BY CERFRANCE" dataDxfId="481"/>
    <tableColumn id="50" name="PRENOM PERSONNE AYANT DEPLOYEE SCAN BY CERFRANCE" dataDxfId="480"/>
    <tableColumn id="51" name="PICKING" dataDxfId="479"/>
    <tableColumn id="58" name="EDI" dataDxfId="478"/>
    <tableColumn id="62" name="Colonne1" dataDxfId="47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0" name="PORTEFEUILLE_AURELIE_T" displayName="PORTEFEUILLE_AURELIE_T" ref="A2:BK60" totalsRowShown="0" headerRowDxfId="476" dataDxfId="475" tableBorderDxfId="474" headerRowCellStyle="Normal 16">
  <autoFilter ref="A2:BK60"/>
  <tableColumns count="63">
    <tableColumn id="48" name="PRENOM DU COMPTABLE" dataDxfId="473"/>
    <tableColumn id="1" name="N° DOSSIER" dataDxfId="472"/>
    <tableColumn id="2" name="NOM DOSSIER" dataDxfId="471"/>
    <tableColumn id="3" name="TYPE DE MARCHE" dataDxfId="470"/>
    <tableColumn id="4" name="DATE DE CLOTURE" dataDxfId="469"/>
    <tableColumn id="5" name="REGIME JURIDIQUE" dataDxfId="468"/>
    <tableColumn id="6" name="REGIME IMPOSITION" dataDxfId="467"/>
    <tableColumn id="56" name="DECLARATION DE TVA" dataDxfId="466"/>
    <tableColumn id="7" name="DATE_x000a_DE DEPOT" dataDxfId="465"/>
    <tableColumn id="8" name="DATE SIGNATURE" dataDxfId="464"/>
    <tableColumn id="9" name="MOIS" dataDxfId="463">
      <calculatedColumnFormula>IF(I3="","",MONTH(I3))</calculatedColumnFormula>
    </tableColumn>
    <tableColumn id="10" name="DELAI" dataDxfId="462">
      <calculatedColumnFormula>IF(I3="","",DAYS360(E3,I3))</calculatedColumnFormula>
    </tableColumn>
    <tableColumn id="11" name="PCR" dataDxfId="461"/>
    <tableColumn id="12" name="RA NOS" dataDxfId="460"/>
    <tableColumn id="13" name="QUI " dataDxfId="459"/>
    <tableColumn id="14" name="CR" dataDxfId="458"/>
    <tableColumn id="15" name="CR FAIT PAR LE COMPTABLE" dataDxfId="457"/>
    <tableColumn id="16" name="AG_x000a_SIGNEE" dataDxfId="456"/>
    <tableColumn id="17" name="PCR COMPTABLE €" dataDxfId="455" dataCellStyle="Monétaire"/>
    <tableColumn id="18" name="PCR CONSEILLER €" dataDxfId="454"/>
    <tableColumn id="19" name="RA FAIT PAR LE_x000a_COMPTABLE €" dataDxfId="453" dataCellStyle="Monétaire"/>
    <tableColumn id="41" name="RA FAITE PAR LE CONSEILLER €" dataDxfId="452" dataCellStyle="Monétaire"/>
    <tableColumn id="21" name="POINT DE PILOTAGE €" dataDxfId="451" dataCellStyle="Monétaire"/>
    <tableColumn id="20" name="AGOA COMPTABLE €" dataDxfId="450" dataCellStyle="Monétaire"/>
    <tableColumn id="59" name="AGOA CONSEILLER €" dataDxfId="449" dataCellStyle="Monétaire"/>
    <tableColumn id="60" name="VISA JURIDIQUE €" dataDxfId="448" dataCellStyle="Monétaire"/>
    <tableColumn id="38" name="SAISIE PAR UNE AAC €" dataDxfId="447" dataCellStyle="Monétaire"/>
    <tableColumn id="43" name="SAISIE PAR LE COMPTABLE €" dataDxfId="446" dataCellStyle="Monétaire"/>
    <tableColumn id="39" name="TRAVAUX _x000a_DE REVISION €" dataDxfId="445" dataCellStyle="Monétaire"/>
    <tableColumn id="42" name="DECLARATION TVA AAC €" dataDxfId="444" dataCellStyle="Monétaire"/>
    <tableColumn id="45" name="DECLARATION TVA COMPTABLE €" dataDxfId="443" dataCellStyle="Monétaire"/>
    <tableColumn id="40" name="MONTANT_x000a_RESPONSABLE RELATION CLIENT €" dataDxfId="442" dataCellStyle="Monétaire"/>
    <tableColumn id="33" name="MONTANT TOTAL LETTRE DE MISION €" dataDxfId="441" dataCellStyle="Monétaire">
      <calculatedColumnFormula>SUM(PORTEFEUILLE_AURELIE_T[[#This Row],[PCR COMPTABLE €]:[MONTANT
RESPONSABLE RELATION CLIENT €]])</calculatedColumnFormula>
    </tableColumn>
    <tableColumn id="34" name="ECART DE SAISE avec LETTRE DE MISSION €" dataDxfId="440" dataCellStyle="Monétaire">
      <calculatedColumnFormula>SUM(PORTEFEUILLE_AURELIE_T[[#This Row],[PCR COMPTABLE €]:[MONTANT
RESPONSABLE RELATION CLIENT €]])-PORTEFEUILLE_AURELIE_T[[#This Row],[MONTANT TOTAL LETTRE DE MISION €]]</calculatedColumnFormula>
    </tableColumn>
    <tableColumn id="22" name="Prénom_x000a_AAC" dataDxfId="439"/>
    <tableColumn id="36" name="PRENOM CONSEILLER" dataDxfId="438"/>
    <tableColumn id="57" name="PRENOM REALISATION TVA" dataDxfId="437"/>
    <tableColumn id="63" name="DECLARATION DES REVENUS" dataDxfId="436"/>
    <tableColumn id="61" name="NOMBRE DE DECLARATION" dataDxfId="435"/>
    <tableColumn id="54" name="ABONNE COURT _x000a_ABONNE LONG" dataDxfId="434"/>
    <tableColumn id="55" name="RECONDUCTION AUTOMATIQUE OS" dataDxfId="433"/>
    <tableColumn id="23" name="TPS PASSE_x000a_COMPTABLE H_x000a_" dataDxfId="432"/>
    <tableColumn id="37" name="TPS PASSE _x000a_AAC H" dataDxfId="431"/>
    <tableColumn id="47" name="BONI AAC" dataDxfId="430" dataCellStyle="Monétaire">
      <calculatedColumnFormula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calculatedColumnFormula>
    </tableColumn>
    <tableColumn id="46" name="MALI AAC" dataDxfId="429" dataCellStyle="Monétaire">
      <calculatedColumnFormula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calculatedColumnFormula>
    </tableColumn>
    <tableColumn id="44" name="NOMBRE DOSSIER BONI AAC" dataDxfId="428">
      <calculatedColumnFormula>IF(PORTEFEUILLE_AURELIE_T[[#This Row],[BONI AAC]]&lt;&gt;0,1,"")</calculatedColumnFormula>
    </tableColumn>
    <tableColumn id="35" name="NBRE DOSSIER MALI AAC" dataDxfId="427">
      <calculatedColumnFormula>IF(PORTEFEUILLE_AURELIE_T[[#This Row],[MALI AAC]]&lt;&gt;0,1,"")</calculatedColumnFormula>
    </tableColumn>
    <tableColumn id="24" name="BONI COMPTABLE" dataDxfId="426" dataCellStyle="Monétaire">
      <calculatedColumnFormula>IF(AP3&lt;&gt;"",IF((AP3*Paramètres!$H$4)-PORTEFEUILLE_AURELIE_T[[#This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calculatedColumnFormula>
    </tableColumn>
    <tableColumn id="25" name="MALI COMPTABLE" dataDxfId="425" dataCellStyle="Monétaire">
      <calculatedColumnFormula>IF(AP3&lt;&gt;"",IF(((AP3*Paramètres!$H$4)-PORTEFEUILLE_AURELIE_T[[#This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calculatedColumnFormula>
    </tableColumn>
    <tableColumn id="53" name="NOMBRE DOSSIER BONI COMPTABLE" dataDxfId="424">
      <calculatedColumnFormula>IF(PORTEFEUILLE_AURELIE_T[[#This Row],[BONI COMPTABLE]]&lt;&gt;0,1,"")</calculatedColumnFormula>
    </tableColumn>
    <tableColumn id="52" name="NOMBRE DE DOSSIER MALI COMPTABLE" dataDxfId="423">
      <calculatedColumnFormula>IF(PORTEFEUILLE_AURELIE_T[[#This Row],[MALI COMPTABLE]]&lt;&gt;0,1,"")</calculatedColumnFormula>
    </tableColumn>
    <tableColumn id="26" name="GRILLE ENJEUX" dataDxfId="422"/>
    <tableColumn id="27" name="Visa_x000a_Validé_x000a_enjeu 4 ou attestation enjeu" dataDxfId="421"/>
    <tableColumn id="28" name="VISA VCOMPTA" dataDxfId="420"/>
    <tableColumn id="29" name="REFUS" dataDxfId="419"/>
    <tableColumn id="30" name="MOTIF" dataDxfId="418"/>
    <tableColumn id="31" name="COMMENTAIRES" dataDxfId="417"/>
    <tableColumn id="32" name="Attestation_x000a_à faire signer par l'EC" dataDxfId="416"/>
    <tableColumn id="49" name="MISE EN PLACE SCAN BY CERFRANCE" dataDxfId="415"/>
    <tableColumn id="50" name="PRENOM PERSONNE AYANT DEPLOYEE SCAN BY CERFRANCE" dataDxfId="414"/>
    <tableColumn id="51" name="PICKING" dataDxfId="413"/>
    <tableColumn id="58" name="EDI" dataDxfId="412"/>
    <tableColumn id="62" name="Colonne1" dataDxfId="41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2" name="PORTEFEUILLE_ERIC" displayName="PORTEFEUILLE_ERIC" ref="A2:BK60" totalsRowShown="0" headerRowDxfId="410" dataDxfId="409" tableBorderDxfId="408" headerRowCellStyle="Normal 16">
  <autoFilter ref="A2:BK60"/>
  <tableColumns count="63">
    <tableColumn id="48" name="PRENOM DU COMPTABLE" dataDxfId="407"/>
    <tableColumn id="1" name="N° DOSSIER" dataDxfId="406"/>
    <tableColumn id="2" name="NOM DOSSIER" dataDxfId="405"/>
    <tableColumn id="3" name="TYPE DE MARCHE" dataDxfId="404"/>
    <tableColumn id="4" name="DATE DE CLOTURE" dataDxfId="403"/>
    <tableColumn id="5" name="REGIME JURIDIQUE" dataDxfId="402"/>
    <tableColumn id="6" name="REGIME IMPOSITION" dataDxfId="401"/>
    <tableColumn id="56" name="DECLARATION DE TVA" dataDxfId="400"/>
    <tableColumn id="7" name="DATE_x000a_DE DEPOT" dataDxfId="399"/>
    <tableColumn id="8" name="DATE SIGNATURE" dataDxfId="398"/>
    <tableColumn id="9" name="MOIS" dataDxfId="397">
      <calculatedColumnFormula>IF(I3="","",MONTH(I3))</calculatedColumnFormula>
    </tableColumn>
    <tableColumn id="10" name="DELAI" dataDxfId="396">
      <calculatedColumnFormula>IF(I3="","",DAYS360(E3,I3))</calculatedColumnFormula>
    </tableColumn>
    <tableColumn id="11" name="PCR" dataDxfId="395"/>
    <tableColumn id="12" name="RA NOS" dataDxfId="394"/>
    <tableColumn id="13" name="QUI " dataDxfId="393"/>
    <tableColumn id="14" name="CR" dataDxfId="392"/>
    <tableColumn id="15" name="CR FAIT PAR LE COMPTABLE" dataDxfId="391"/>
    <tableColumn id="16" name="AG_x000a_SIGNEE" dataDxfId="390"/>
    <tableColumn id="17" name="PCR COMPTABLE €" dataDxfId="389" dataCellStyle="Monétaire"/>
    <tableColumn id="18" name="PCR CONSEILLER €" dataDxfId="388"/>
    <tableColumn id="19" name="RA FAIT PAR LE_x000a_COMPTABLE €" dataDxfId="387" dataCellStyle="Monétaire"/>
    <tableColumn id="41" name="RA FAITE PAR LE CONSEILLER €" dataDxfId="386" dataCellStyle="Monétaire"/>
    <tableColumn id="21" name="POINT DE PILOTAGE €" dataDxfId="385" dataCellStyle="Monétaire"/>
    <tableColumn id="20" name="AGOA COMPTABLE €" dataDxfId="384" dataCellStyle="Monétaire"/>
    <tableColumn id="59" name="AGOA CONSEILLER €" dataDxfId="383" dataCellStyle="Monétaire"/>
    <tableColumn id="60" name="VISA JURIDIQUE €" dataDxfId="382" dataCellStyle="Monétaire"/>
    <tableColumn id="38" name="SAISIE PAR UNE AAC €" dataDxfId="381" dataCellStyle="Monétaire"/>
    <tableColumn id="43" name="SAISIE PAR LE COMPTABLE €" dataDxfId="380" dataCellStyle="Monétaire"/>
    <tableColumn id="39" name="TRAVAUX _x000a_DE REVISION €" dataDxfId="379" dataCellStyle="Monétaire"/>
    <tableColumn id="42" name="DECLARATION TVA AAC €" dataDxfId="378" dataCellStyle="Monétaire"/>
    <tableColumn id="45" name="DECLARATION TVA COMPTABLE €" dataDxfId="377" dataCellStyle="Monétaire"/>
    <tableColumn id="40" name="MONTANT_x000a_RESPONSABLE RELATION CLIENT €" dataDxfId="376" dataCellStyle="Monétaire"/>
    <tableColumn id="33" name="MONTANT TOTAL LETTRE DE MISION €" dataDxfId="375" dataCellStyle="Monétaire">
      <calculatedColumnFormula>SUM(PORTEFEUILLE_ERIC[[#This Row],[PCR COMPTABLE €]:[MONTANT
RESPONSABLE RELATION CLIENT €]])</calculatedColumnFormula>
    </tableColumn>
    <tableColumn id="34" name="ECART DE SAISE avec LETTRE DE MISSION €" dataDxfId="374" dataCellStyle="Monétaire">
      <calculatedColumnFormula>SUM(PORTEFEUILLE_ERIC[[#This Row],[PCR COMPTABLE €]:[MONTANT
RESPONSABLE RELATION CLIENT €]])-PORTEFEUILLE_ERIC[[#This Row],[MONTANT TOTAL LETTRE DE MISION €]]</calculatedColumnFormula>
    </tableColumn>
    <tableColumn id="22" name="Prénom_x000a_AAC" dataDxfId="373"/>
    <tableColumn id="36" name="PRENOM CONSEILLER" dataDxfId="372"/>
    <tableColumn id="57" name="PRENOM REALISATION TVA" dataDxfId="371"/>
    <tableColumn id="63" name="DECLARATION DES REVENUS" dataDxfId="370"/>
    <tableColumn id="61" name="NOMBRE DE DECLARATION" dataDxfId="369"/>
    <tableColumn id="54" name="ABONNE COURT _x000a_ABONNE LONG" dataDxfId="368"/>
    <tableColumn id="55" name="RECONDUCTION AUTOMATIQUE OS" dataDxfId="367"/>
    <tableColumn id="23" name="TPS PASSE_x000a_COMPTABLE H_x000a_" dataDxfId="366"/>
    <tableColumn id="37" name="TPS PASSE _x000a_AAC H" dataDxfId="365"/>
    <tableColumn id="47" name="BONI AAC" dataDxfId="364" dataCellStyle="Monétaire">
      <calculatedColumnFormula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calculatedColumnFormula>
    </tableColumn>
    <tableColumn id="46" name="MALI AAC" dataDxfId="363" dataCellStyle="Monétaire">
      <calculatedColumnFormula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calculatedColumnFormula>
    </tableColumn>
    <tableColumn id="44" name="NOMBRE DOSSIER BONI AAC" dataDxfId="362">
      <calculatedColumnFormula>IF(PORTEFEUILLE_ERIC[[#This Row],[BONI AAC]]&lt;&gt;0,1,"")</calculatedColumnFormula>
    </tableColumn>
    <tableColumn id="35" name="NBRE DOSSIER MALI AAC" dataDxfId="361">
      <calculatedColumnFormula>IF(PORTEFEUILLE_ERIC[[#This Row],[MALI AAC]]&lt;&gt;0,1,"")</calculatedColumnFormula>
    </tableColumn>
    <tableColumn id="24" name="BONI COMPTABLE" dataDxfId="360" dataCellStyle="Monétaire">
      <calculatedColumnFormula>IF(AP3&lt;&gt;"",IF((AP3*Paramètres!$H$4)-PORTEFEUILLE_ERIC[[#This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calculatedColumnFormula>
    </tableColumn>
    <tableColumn id="25" name="MALI COMPTABLE" dataDxfId="359" dataCellStyle="Monétaire">
      <calculatedColumnFormula>IF(AP3&lt;&gt;"",IF(((AP3*Paramètres!$H$4)-PORTEFEUILLE_ERIC[[#This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calculatedColumnFormula>
    </tableColumn>
    <tableColumn id="53" name="NOMBRE DOSSIER BONI COMPTABLE" dataDxfId="358">
      <calculatedColumnFormula>IF(PORTEFEUILLE_ERIC[[#This Row],[BONI COMPTABLE]]&lt;&gt;0,1,"")</calculatedColumnFormula>
    </tableColumn>
    <tableColumn id="52" name="NOMBRE DE DOSSIER MALI COMPTABLE" dataDxfId="357">
      <calculatedColumnFormula>IF(PORTEFEUILLE_ERIC[[#This Row],[MALI COMPTABLE]]&lt;&gt;0,1,"")</calculatedColumnFormula>
    </tableColumn>
    <tableColumn id="26" name="GRILLE ENJEUX" dataDxfId="356"/>
    <tableColumn id="27" name="Visa_x000a_Validé_x000a_enjeu 4 ou attestation enjeu" dataDxfId="355"/>
    <tableColumn id="28" name="VISA VCOMPTA" dataDxfId="354"/>
    <tableColumn id="29" name="REFUS" dataDxfId="353"/>
    <tableColumn id="30" name="MOTIF" dataDxfId="352"/>
    <tableColumn id="31" name="COMMENTAIRES" dataDxfId="351"/>
    <tableColumn id="32" name="Attestation_x000a_à faire signer par l'EC" dataDxfId="350"/>
    <tableColumn id="49" name="MISE EN PLACE SCAN BY CERFRANCE" dataDxfId="349"/>
    <tableColumn id="50" name="PRENOM PERSONNE AYANT DEPLOYEE SCAN BY CERFRANCE" dataDxfId="348"/>
    <tableColumn id="51" name="PICKING" dataDxfId="347"/>
    <tableColumn id="58" name="EDI" dataDxfId="346"/>
    <tableColumn id="62" name="Colonne1" dataDxfId="34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1" name="PORTEFEUILLE_MARIE_PIERRE" displayName="PORTEFEUILLE_MARIE_PIERRE" ref="A2:BK60" totalsRowShown="0" headerRowDxfId="344" dataDxfId="343" tableBorderDxfId="342" headerRowCellStyle="Normal 16">
  <autoFilter ref="A2:BK60"/>
  <tableColumns count="63">
    <tableColumn id="48" name="PRENOM DU COMPTABLE" dataDxfId="341"/>
    <tableColumn id="1" name="N° DOSSIER" dataDxfId="340"/>
    <tableColumn id="2" name="NOM DOSSIER" dataDxfId="339"/>
    <tableColumn id="3" name="TYPE DE MARCHE" dataDxfId="338"/>
    <tableColumn id="4" name="DATE DE CLOTURE" dataDxfId="337"/>
    <tableColumn id="5" name="REGIME JURIDIQUE" dataDxfId="336"/>
    <tableColumn id="6" name="REGIME IMPOSITION" dataDxfId="335"/>
    <tableColumn id="56" name="DECLARATION DE TVA" dataDxfId="334"/>
    <tableColumn id="7" name="DATE_x000a_DE DEPOT" dataDxfId="333"/>
    <tableColumn id="8" name="DATE SIGNATURE" dataDxfId="332"/>
    <tableColumn id="9" name="MOIS" dataDxfId="331">
      <calculatedColumnFormula>IF(I3="","",MONTH(I3))</calculatedColumnFormula>
    </tableColumn>
    <tableColumn id="10" name="DELAI" dataDxfId="330">
      <calculatedColumnFormula>IF(I3="","",DAYS360(E3,I3))</calculatedColumnFormula>
    </tableColumn>
    <tableColumn id="11" name="PCR" dataDxfId="329"/>
    <tableColumn id="12" name="RA NOS" dataDxfId="328"/>
    <tableColumn id="13" name="QUI " dataDxfId="327"/>
    <tableColumn id="14" name="CR" dataDxfId="326"/>
    <tableColumn id="15" name="CR FAIT PAR LE COMPTABLE" dataDxfId="325"/>
    <tableColumn id="16" name="AG_x000a_SIGNEE" dataDxfId="324"/>
    <tableColumn id="17" name="PCR COMPTABLE €" dataDxfId="323" dataCellStyle="Monétaire"/>
    <tableColumn id="18" name="PCR CONSEILLER €" dataDxfId="322"/>
    <tableColumn id="19" name="RA FAIT PAR LE_x000a_COMPTABLE €" dataDxfId="321" dataCellStyle="Monétaire"/>
    <tableColumn id="41" name="RA FAITE PAR LE CONSEILLER €" dataDxfId="320" dataCellStyle="Monétaire"/>
    <tableColumn id="21" name="POINT DE PILOTAGE €" dataDxfId="319" dataCellStyle="Monétaire"/>
    <tableColumn id="20" name="AGOA COMPTABLE €" dataDxfId="318" dataCellStyle="Monétaire"/>
    <tableColumn id="59" name="AGOA CONSEILLER €" dataDxfId="317" dataCellStyle="Monétaire"/>
    <tableColumn id="60" name="VISA JURIDIQUE €" dataDxfId="316" dataCellStyle="Monétaire"/>
    <tableColumn id="38" name="SAISIE PAR UNE AAC €" dataDxfId="315" dataCellStyle="Monétaire"/>
    <tableColumn id="43" name="SAISIE PAR LE COMPTABLE €" dataDxfId="314" dataCellStyle="Monétaire"/>
    <tableColumn id="39" name="TRAVAUX _x000a_DE REVISION €" dataDxfId="313" dataCellStyle="Monétaire"/>
    <tableColumn id="42" name="DECLARATION TVA AAC €" dataDxfId="312" dataCellStyle="Monétaire"/>
    <tableColumn id="45" name="DECLARATION TVA COMPTABLE €" dataDxfId="311" dataCellStyle="Monétaire"/>
    <tableColumn id="40" name="MONTANT_x000a_RESPONSABLE RELATION CLIENT €" dataDxfId="310" dataCellStyle="Monétaire"/>
    <tableColumn id="33" name="MONTANT TOTAL LETTRE DE MISION €" dataDxfId="309" dataCellStyle="Monétaire">
      <calculatedColumnFormula>SUM(PORTEFEUILLE_MARIE_PIERRE[[#This Row],[PCR COMPTABLE €]:[MONTANT
RESPONSABLE RELATION CLIENT €]])</calculatedColumnFormula>
    </tableColumn>
    <tableColumn id="34" name="ECART DE SAISE avec LETTRE DE MISSION €" dataDxfId="308" dataCellStyle="Monétaire">
      <calculatedColumnFormula>SUM(PORTEFEUILLE_MARIE_PIERRE[[#This Row],[PCR COMPTABLE €]:[MONTANT
RESPONSABLE RELATION CLIENT €]])-PORTEFEUILLE_MARIE_PIERRE[[#This Row],[MONTANT TOTAL LETTRE DE MISION €]]</calculatedColumnFormula>
    </tableColumn>
    <tableColumn id="22" name="Prénom_x000a_AAC" dataDxfId="307"/>
    <tableColumn id="36" name="PRENOM CONSEILLER" dataDxfId="306"/>
    <tableColumn id="57" name="PRENOM REALISATION TVA" dataDxfId="305"/>
    <tableColumn id="63" name="DECLARATION DES REVENUS" dataDxfId="304"/>
    <tableColumn id="61" name="NOMBRE DE DECLARATION" dataDxfId="303"/>
    <tableColumn id="54" name="ABONNE COURT _x000a_ABONNE LONG" dataDxfId="302"/>
    <tableColumn id="55" name="RECONDUCTION AUTOMATIQUE OS" dataDxfId="301"/>
    <tableColumn id="23" name="TPS PASSE_x000a_COMPTABLE H_x000a_" dataDxfId="300"/>
    <tableColumn id="37" name="TPS PASSE _x000a_AAC H" dataDxfId="299"/>
    <tableColumn id="47" name="BONI AAC" dataDxfId="298" dataCellStyle="Monétaire">
      <calculatedColumnFormula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calculatedColumnFormula>
    </tableColumn>
    <tableColumn id="46" name="MALI AAC" dataDxfId="297" dataCellStyle="Monétaire">
      <calculatedColumnFormula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calculatedColumnFormula>
    </tableColumn>
    <tableColumn id="44" name="NOMBRE DOSSIER BONI AAC" dataDxfId="296">
      <calculatedColumnFormula>IF(PORTEFEUILLE_MARIE_PIERRE[[#This Row],[BONI AAC]]&lt;&gt;0,1,"")</calculatedColumnFormula>
    </tableColumn>
    <tableColumn id="35" name="NBRE DOSSIER MALI AAC" dataDxfId="295">
      <calculatedColumnFormula>IF(PORTEFEUILLE_MARIE_PIERRE[[#This Row],[MALI AAC]]&lt;&gt;0,1,"")</calculatedColumnFormula>
    </tableColumn>
    <tableColumn id="24" name="BONI COMPTABLE" dataDxfId="294" dataCellStyle="Monétaire">
      <calculatedColumnFormula>IF(AP3&lt;&gt;"",IF((AP3*Paramètres!$H$4)-PORTEFEUILLE_MARIE_PIERRE[[#This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calculatedColumnFormula>
    </tableColumn>
    <tableColumn id="25" name="MALI COMPTABLE" dataDxfId="293" dataCellStyle="Monétaire">
      <calculatedColumnFormula>IF(AP3&lt;&gt;"",IF(((AP3*Paramètres!$H$4)-PORTEFEUILLE_MARIE_PIERRE[[#This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calculatedColumnFormula>
    </tableColumn>
    <tableColumn id="53" name="NOMBRE DOSSIER BONI COMPTABLE" dataDxfId="292">
      <calculatedColumnFormula>IF(PORTEFEUILLE_MARIE_PIERRE[[#This Row],[BONI COMPTABLE]]&lt;&gt;0,1,"")</calculatedColumnFormula>
    </tableColumn>
    <tableColumn id="52" name="NOMBRE DE DOSSIER MALI COMPTABLE" dataDxfId="291">
      <calculatedColumnFormula>IF(PORTEFEUILLE_MARIE_PIERRE[[#This Row],[MALI COMPTABLE]]&lt;&gt;0,1,"")</calculatedColumnFormula>
    </tableColumn>
    <tableColumn id="26" name="GRILLE ENJEUX" dataDxfId="290"/>
    <tableColumn id="27" name="Visa_x000a_Validé_x000a_enjeu 4 ou attestation enjeu" dataDxfId="289"/>
    <tableColumn id="28" name="VISA VCOMPTA" dataDxfId="288"/>
    <tableColumn id="29" name="REFUS" dataDxfId="287"/>
    <tableColumn id="30" name="MOTIF" dataDxfId="286"/>
    <tableColumn id="31" name="COMMENTAIRES" dataDxfId="285"/>
    <tableColumn id="32" name="Attestation_x000a_à faire signer par l'EC" dataDxfId="284"/>
    <tableColumn id="49" name="MISE EN PLACE SCAN BY CERFRANCE" dataDxfId="283"/>
    <tableColumn id="50" name="PRENOM PERSONNE AYANT DEPLOYEE SCAN BY CERFRANCE" dataDxfId="282"/>
    <tableColumn id="51" name="PICKING" dataDxfId="281"/>
    <tableColumn id="58" name="EDI" dataDxfId="280"/>
    <tableColumn id="62" name="Colonne1" dataDxfId="279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3" name="PORTEFEUILLE_GUILLAUME" displayName="PORTEFEUILLE_GUILLAUME" ref="A2:BK60" totalsRowShown="0" headerRowDxfId="278" dataDxfId="277" tableBorderDxfId="276" headerRowCellStyle="Normal 16">
  <autoFilter ref="A2:BK60"/>
  <tableColumns count="63">
    <tableColumn id="48" name="PRENOM DU COMPTABLE" dataDxfId="275"/>
    <tableColumn id="1" name="N° DOSSIER" dataDxfId="274"/>
    <tableColumn id="2" name="NOM DOSSIER" dataDxfId="273"/>
    <tableColumn id="3" name="TYPE DE MARCHE" dataDxfId="272"/>
    <tableColumn id="4" name="DATE DE CLOTURE" dataDxfId="271"/>
    <tableColumn id="5" name="REGIME JURIDIQUE" dataDxfId="270"/>
    <tableColumn id="6" name="REGIME IMPOSITION" dataDxfId="269"/>
    <tableColumn id="56" name="DECLARATION DE TVA" dataDxfId="268"/>
    <tableColumn id="7" name="DATE_x000a_DE DEPOT" dataDxfId="267"/>
    <tableColumn id="8" name="DATE SIGNATURE" dataDxfId="266"/>
    <tableColumn id="9" name="MOIS" dataDxfId="265">
      <calculatedColumnFormula>IF(I3="","",MONTH(I3))</calculatedColumnFormula>
    </tableColumn>
    <tableColumn id="10" name="DELAI" dataDxfId="264">
      <calculatedColumnFormula>IF(I3="","",DAYS360(E3,I3))</calculatedColumnFormula>
    </tableColumn>
    <tableColumn id="11" name="PCR" dataDxfId="263"/>
    <tableColumn id="12" name="RA NOS" dataDxfId="262"/>
    <tableColumn id="13" name="QUI " dataDxfId="261"/>
    <tableColumn id="14" name="CR" dataDxfId="260"/>
    <tableColumn id="15" name="CR FAIT PAR LE COMPTABLE" dataDxfId="259"/>
    <tableColumn id="16" name="AG_x000a_SIGNEE" dataDxfId="258"/>
    <tableColumn id="17" name="PCR COMPTABLE €" dataDxfId="257" dataCellStyle="Monétaire"/>
    <tableColumn id="18" name="PCR CONSEILLER €" dataDxfId="256"/>
    <tableColumn id="19" name="RA FAIT PAR LE_x000a_COMPTABLE €" dataDxfId="255" dataCellStyle="Monétaire"/>
    <tableColumn id="41" name="RA FAITE PAR LE CONSEILLER €" dataDxfId="254" dataCellStyle="Monétaire"/>
    <tableColumn id="21" name="POINT DE PILOTAGE €" dataDxfId="253" dataCellStyle="Monétaire"/>
    <tableColumn id="20" name="AGOA COMPTABLE €" dataDxfId="252" dataCellStyle="Monétaire"/>
    <tableColumn id="59" name="AGOA CONSEILLER €" dataDxfId="251" dataCellStyle="Monétaire"/>
    <tableColumn id="60" name="VISA JURIDIQUE €" dataDxfId="250" dataCellStyle="Monétaire"/>
    <tableColumn id="38" name="SAISIE PAR UNE AAC €" dataDxfId="249" dataCellStyle="Monétaire"/>
    <tableColumn id="43" name="SAISIE PAR LE COMPTABLE €" dataDxfId="248" dataCellStyle="Monétaire"/>
    <tableColumn id="39" name="TRAVAUX _x000a_DE REVISION €" dataDxfId="247" dataCellStyle="Monétaire"/>
    <tableColumn id="42" name="DECLARATION TVA AAC €" dataDxfId="246" dataCellStyle="Monétaire"/>
    <tableColumn id="45" name="DECLARATION TVA COMPTABLE €" dataDxfId="245" dataCellStyle="Monétaire"/>
    <tableColumn id="40" name="MONTANT_x000a_RESPONSABLE RELATION CLIENT €" dataDxfId="244" dataCellStyle="Monétaire"/>
    <tableColumn id="33" name="MONTANT TOTAL LETTRE DE MISION €" dataDxfId="243" dataCellStyle="Monétaire">
      <calculatedColumnFormula>SUM(PORTEFEUILLE_GUILLAUME[[#This Row],[PCR COMPTABLE €]:[MONTANT
RESPONSABLE RELATION CLIENT €]])</calculatedColumnFormula>
    </tableColumn>
    <tableColumn id="34" name="ECART DE SAISE avec LETTRE DE MISSION €" dataDxfId="242" dataCellStyle="Monétaire">
      <calculatedColumnFormula>SUM(PORTEFEUILLE_GUILLAUME[[#This Row],[PCR COMPTABLE €]:[MONTANT
RESPONSABLE RELATION CLIENT €]])-PORTEFEUILLE_GUILLAUME[[#This Row],[MONTANT TOTAL LETTRE DE MISION €]]</calculatedColumnFormula>
    </tableColumn>
    <tableColumn id="22" name="Prénom_x000a_AAC" dataDxfId="241"/>
    <tableColumn id="36" name="PRENOM CONSEILLER" dataDxfId="240"/>
    <tableColumn id="57" name="PRENOM REALISATION TVA" dataDxfId="239"/>
    <tableColumn id="63" name="DECLARATION DES REVENUS" dataDxfId="238"/>
    <tableColumn id="61" name="NOMBRE DE DECLARATION" dataDxfId="237"/>
    <tableColumn id="54" name="ABONNE COURT _x000a_ABONNE LONG" dataDxfId="236"/>
    <tableColumn id="55" name="RECONDUCTION AUTOMATIQUE OS" dataDxfId="235"/>
    <tableColumn id="23" name="TPS PASSE_x000a_COMPTABLE H_x000a_" dataDxfId="234"/>
    <tableColumn id="37" name="TPS PASSE _x000a_AAC H" dataDxfId="233"/>
    <tableColumn id="47" name="BONI AAC" dataDxfId="232" dataCellStyle="Monétaire">
      <calculatedColumnFormula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calculatedColumnFormula>
    </tableColumn>
    <tableColumn id="46" name="MALI AAC" dataDxfId="231" dataCellStyle="Monétaire">
      <calculatedColumnFormula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calculatedColumnFormula>
    </tableColumn>
    <tableColumn id="44" name="NOMBRE DOSSIER BONI AAC" dataDxfId="230">
      <calculatedColumnFormula>IF(PORTEFEUILLE_GUILLAUME[[#This Row],[BONI AAC]]&lt;&gt;0,1,"")</calculatedColumnFormula>
    </tableColumn>
    <tableColumn id="35" name="NBRE DOSSIER MALI AAC" dataDxfId="229">
      <calculatedColumnFormula>IF(PORTEFEUILLE_GUILLAUME[[#This Row],[MALI AAC]]&lt;&gt;0,1,"")</calculatedColumnFormula>
    </tableColumn>
    <tableColumn id="24" name="BONI COMPTABLE" dataDxfId="228" dataCellStyle="Monétaire">
      <calculatedColumnFormula>IF(AP3&lt;&gt;"",IF((AP3*Paramètres!$H$4)-PORTEFEUILLE_GUILLAUME[[#This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calculatedColumnFormula>
    </tableColumn>
    <tableColumn id="25" name="MALI COMPTABLE" dataDxfId="227" dataCellStyle="Monétaire">
      <calculatedColumnFormula>IF(AP3&lt;&gt;"",IF(((AP3*Paramètres!$H$4)-PORTEFEUILLE_GUILLAUME[[#This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calculatedColumnFormula>
    </tableColumn>
    <tableColumn id="53" name="NOMBRE DOSSIER BONI COMPTABLE" dataDxfId="226">
      <calculatedColumnFormula>IF(PORTEFEUILLE_GUILLAUME[[#This Row],[BONI COMPTABLE]]&lt;&gt;0,1,"")</calculatedColumnFormula>
    </tableColumn>
    <tableColumn id="52" name="NOMBRE DE DOSSIER MALI COMPTABLE" dataDxfId="225">
      <calculatedColumnFormula>IF(PORTEFEUILLE_GUILLAUME[[#This Row],[MALI COMPTABLE]]&lt;&gt;0,1,"")</calculatedColumnFormula>
    </tableColumn>
    <tableColumn id="26" name="GRILLE ENJEUX" dataDxfId="224"/>
    <tableColumn id="27" name="Visa_x000a_Validé_x000a_enjeu 4 ou attestation enjeu" dataDxfId="223"/>
    <tableColumn id="28" name="VISA VCOMPTA" dataDxfId="222"/>
    <tableColumn id="29" name="REFUS" dataDxfId="221"/>
    <tableColumn id="30" name="MOTIF" dataDxfId="220"/>
    <tableColumn id="31" name="COMMENTAIRES" dataDxfId="219"/>
    <tableColumn id="32" name="Attestation_x000a_à faire signer par l'EC" dataDxfId="218"/>
    <tableColumn id="49" name="MISE EN PLACE SCAN BY CERFRANCE" dataDxfId="217"/>
    <tableColumn id="50" name="PRENOM PERSONNE AYANT DEPLOYEE SCAN BY CERFRANCE" dataDxfId="216"/>
    <tableColumn id="51" name="PICKING" dataDxfId="215"/>
    <tableColumn id="58" name="EDI" dataDxfId="214"/>
    <tableColumn id="62" name="Colonne1" dataDxfId="21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4" name="PORTEFEUILLE_SEBASTIEN" displayName="PORTEFEUILLE_SEBASTIEN" ref="A2:BK60" totalsRowShown="0" headerRowDxfId="212" dataDxfId="211" tableBorderDxfId="210" headerRowCellStyle="Normal 16">
  <autoFilter ref="A2:BK60"/>
  <tableColumns count="63">
    <tableColumn id="48" name="PRENOM DU COMPTABLE" dataDxfId="209"/>
    <tableColumn id="1" name="N° DOSSIER" dataDxfId="208"/>
    <tableColumn id="2" name="NOM DOSSIER" dataDxfId="207"/>
    <tableColumn id="3" name="TYPE DE MARCHE" dataDxfId="206"/>
    <tableColumn id="4" name="DATE DE CLOTURE" dataDxfId="205"/>
    <tableColumn id="5" name="REGIME JURIDIQUE" dataDxfId="204"/>
    <tableColumn id="6" name="REGIME IMPOSITION" dataDxfId="203"/>
    <tableColumn id="56" name="DECLARATION DE TVA" dataDxfId="202"/>
    <tableColumn id="7" name="DATE_x000a_DE DEPOT" dataDxfId="201"/>
    <tableColumn id="8" name="DATE SIGNATURE" dataDxfId="200"/>
    <tableColumn id="9" name="MOIS" dataDxfId="199">
      <calculatedColumnFormula>IF(I3="","",MONTH(I3))</calculatedColumnFormula>
    </tableColumn>
    <tableColumn id="10" name="DELAI" dataDxfId="198">
      <calculatedColumnFormula>IF(I3="","",DAYS360(E3,I3))</calculatedColumnFormula>
    </tableColumn>
    <tableColumn id="11" name="PCR" dataDxfId="197"/>
    <tableColumn id="12" name="RA NOS" dataDxfId="196"/>
    <tableColumn id="13" name="QUI " dataDxfId="195"/>
    <tableColumn id="14" name="CR" dataDxfId="194"/>
    <tableColumn id="15" name="CR FAIT PAR LE COMPTABLE" dataDxfId="193"/>
    <tableColumn id="16" name="AG_x000a_SIGNEE" dataDxfId="192"/>
    <tableColumn id="17" name="PCR COMPTABLE €" dataDxfId="191" dataCellStyle="Monétaire"/>
    <tableColumn id="18" name="PCR CONSEILLER €" dataDxfId="190"/>
    <tableColumn id="19" name="RA FAIT PAR LE_x000a_COMPTABLE €" dataDxfId="189" dataCellStyle="Monétaire"/>
    <tableColumn id="41" name="RA FAITE PAR LE CONSEILLER €" dataDxfId="188" dataCellStyle="Monétaire"/>
    <tableColumn id="21" name="POINT DE PILOTAGE €" dataDxfId="187" dataCellStyle="Monétaire"/>
    <tableColumn id="20" name="AGOA COMPTABLE €" dataDxfId="186" dataCellStyle="Monétaire"/>
    <tableColumn id="59" name="AGOA CONSEILLER €" dataDxfId="185" dataCellStyle="Monétaire"/>
    <tableColumn id="60" name="VISA JURIDIQUE €" dataDxfId="184" dataCellStyle="Monétaire"/>
    <tableColumn id="38" name="SAISIE PAR UNE AAC €" dataDxfId="183" dataCellStyle="Monétaire"/>
    <tableColumn id="43" name="SAISIE PAR LE COMPTABLE €" dataDxfId="182" dataCellStyle="Monétaire"/>
    <tableColumn id="39" name="TRAVAUX _x000a_DE REVISION €" dataDxfId="181" dataCellStyle="Monétaire"/>
    <tableColumn id="42" name="DECLARATION TVA AAC €" dataDxfId="180" dataCellStyle="Monétaire"/>
    <tableColumn id="45" name="DECLARATION TVA COMPTABLE €" dataDxfId="179" dataCellStyle="Monétaire"/>
    <tableColumn id="40" name="MONTANT_x000a_RESPONSABLE RELATION CLIENT €" dataDxfId="178" dataCellStyle="Monétaire"/>
    <tableColumn id="33" name="MONTANT TOTAL LETTRE DE MISION €" dataDxfId="177" dataCellStyle="Monétaire">
      <calculatedColumnFormula>SUM(PORTEFEUILLE_SEBASTIEN[[#This Row],[PCR COMPTABLE €]:[MONTANT
RESPONSABLE RELATION CLIENT €]])</calculatedColumnFormula>
    </tableColumn>
    <tableColumn id="34" name="ECART DE SAISE avec LETTRE DE MISSION €" dataDxfId="176" dataCellStyle="Monétaire">
      <calculatedColumnFormula>SUM(PORTEFEUILLE_SEBASTIEN[[#This Row],[PCR COMPTABLE €]:[MONTANT
RESPONSABLE RELATION CLIENT €]])-PORTEFEUILLE_SEBASTIEN[[#This Row],[MONTANT TOTAL LETTRE DE MISION €]]</calculatedColumnFormula>
    </tableColumn>
    <tableColumn id="22" name="Prénom_x000a_AAC" dataDxfId="175"/>
    <tableColumn id="36" name="PRENOM CONSEILLER" dataDxfId="174"/>
    <tableColumn id="57" name="PRENOM REALISATION TVA" dataDxfId="173"/>
    <tableColumn id="63" name="DECLARATION DES REVENUS" dataDxfId="172"/>
    <tableColumn id="61" name="NOMBRE DE DECLARATION" dataDxfId="171"/>
    <tableColumn id="54" name="ABONNE COURT _x000a_ABONNE LONG" dataDxfId="170"/>
    <tableColumn id="55" name="RECONDUCTION AUTOMATIQUE OS" dataDxfId="169"/>
    <tableColumn id="23" name="TPS PASSE_x000a_COMPTABLE H_x000a_" dataDxfId="168"/>
    <tableColumn id="37" name="TPS PASSE _x000a_AAC H" dataDxfId="167"/>
    <tableColumn id="47" name="BONI AAC" dataDxfId="166" dataCellStyle="Monétaire">
      <calculatedColumnFormula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calculatedColumnFormula>
    </tableColumn>
    <tableColumn id="46" name="MALI AAC" dataDxfId="165" dataCellStyle="Monétaire">
      <calculatedColumnFormula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calculatedColumnFormula>
    </tableColumn>
    <tableColumn id="44" name="NOMBRE DOSSIER BONI AAC" dataDxfId="164">
      <calculatedColumnFormula>IF(PORTEFEUILLE_SEBASTIEN[[#This Row],[BONI AAC]]&lt;&gt;0,1,"")</calculatedColumnFormula>
    </tableColumn>
    <tableColumn id="35" name="NBRE DOSSIER MALI AAC" dataDxfId="163">
      <calculatedColumnFormula>IF(PORTEFEUILLE_SEBASTIEN[[#This Row],[MALI AAC]]&lt;&gt;0,1,"")</calculatedColumnFormula>
    </tableColumn>
    <tableColumn id="24" name="BONI COMPTABLE" dataDxfId="162" dataCellStyle="Monétaire">
      <calculatedColumnFormula>IF(AP3&lt;&gt;"",IF((AP3*Paramètres!$H$4)-PORTEFEUILLE_SEBASTIEN[[#This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calculatedColumnFormula>
    </tableColumn>
    <tableColumn id="25" name="MALI COMPTABLE" dataDxfId="161" dataCellStyle="Monétaire">
      <calculatedColumnFormula>IF(AP3&lt;&gt;"",IF(((AP3*Paramètres!$H$4)-PORTEFEUILLE_SEBASTIEN[[#This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calculatedColumnFormula>
    </tableColumn>
    <tableColumn id="53" name="NOMBRE DOSSIER BONI COMPTABLE" dataDxfId="160">
      <calculatedColumnFormula>IF(PORTEFEUILLE_SEBASTIEN[[#This Row],[BONI COMPTABLE]]&lt;&gt;0,1,"")</calculatedColumnFormula>
    </tableColumn>
    <tableColumn id="52" name="NOMBRE DE DOSSIER MALI COMPTABLE" dataDxfId="159">
      <calculatedColumnFormula>IF(PORTEFEUILLE_SEBASTIEN[[#This Row],[MALI COMPTABLE]]&lt;&gt;0,1,"")</calculatedColumnFormula>
    </tableColumn>
    <tableColumn id="26" name="GRILLE ENJEUX" dataDxfId="158"/>
    <tableColumn id="27" name="Visa_x000a_Validé_x000a_enjeu 4 ou attestation enjeu" dataDxfId="157"/>
    <tableColumn id="28" name="VISA VCOMPTA" dataDxfId="156"/>
    <tableColumn id="29" name="REFUS" dataDxfId="155"/>
    <tableColumn id="30" name="MOTIF" dataDxfId="154"/>
    <tableColumn id="31" name="COMMENTAIRES" dataDxfId="153"/>
    <tableColumn id="32" name="Attestation_x000a_à faire signer par l'EC" dataDxfId="152"/>
    <tableColumn id="49" name="MISE EN PLACE SCAN BY CERFRANCE" dataDxfId="151"/>
    <tableColumn id="50" name="PRENOM PERSONNE AYANT DEPLOYEE SCAN BY CERFRANCE" dataDxfId="150"/>
    <tableColumn id="51" name="PICKING" dataDxfId="149"/>
    <tableColumn id="58" name="EDI" dataDxfId="148"/>
    <tableColumn id="62" name="Colonne1" dataDxfId="147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5" name="PORTEFEUILLE_AUTRE_COMPTABLE" displayName="PORTEFEUILLE_AUTRE_COMPTABLE" ref="A2:BK57" totalsRowShown="0" headerRowDxfId="146" dataDxfId="145" tableBorderDxfId="144" headerRowCellStyle="Normal 16">
  <autoFilter ref="A2:BK57"/>
  <tableColumns count="63">
    <tableColumn id="48" name="Colonne2" dataDxfId="143"/>
    <tableColumn id="1" name="Colonne3" dataDxfId="142"/>
    <tableColumn id="2" name="Colonne4" dataDxfId="141"/>
    <tableColumn id="3" name="TYPE DE MARCHE" dataDxfId="140"/>
    <tableColumn id="4" name="DATE DE CLOTURE" dataDxfId="139"/>
    <tableColumn id="5" name="REGIME JURIDIQUE" dataDxfId="138"/>
    <tableColumn id="6" name="REGIME IMPOSITION" dataDxfId="137"/>
    <tableColumn id="56" name="DECLARATION DE TVA" dataDxfId="136"/>
    <tableColumn id="7" name="DATE_x000a_DE DEPOT" dataDxfId="135"/>
    <tableColumn id="8" name="DATE SIGNATURE" dataDxfId="134"/>
    <tableColumn id="9" name="MOIS" dataDxfId="133">
      <calculatedColumnFormula>IF(I3="","",MONTH(I3))</calculatedColumnFormula>
    </tableColumn>
    <tableColumn id="10" name="DELAI" dataDxfId="132">
      <calculatedColumnFormula>IF(I3="","",DAYS360(E3,I3))</calculatedColumnFormula>
    </tableColumn>
    <tableColumn id="11" name="PCR" dataDxfId="131"/>
    <tableColumn id="12" name="RA NOS" dataDxfId="130"/>
    <tableColumn id="13" name="QUI " dataDxfId="129"/>
    <tableColumn id="14" name="CR" dataDxfId="128"/>
    <tableColumn id="15" name="CR FAIT PAR LE COMPTABLE" dataDxfId="127"/>
    <tableColumn id="16" name="AG_x000a_SIGNEE" dataDxfId="126"/>
    <tableColumn id="17" name="PCR COMPTABLE €" dataDxfId="125" dataCellStyle="Monétaire"/>
    <tableColumn id="18" name="PCR CONSEILLER €" dataDxfId="124"/>
    <tableColumn id="19" name="RA FAIT PAR LE_x000a_COMPTABLE €" dataDxfId="123" dataCellStyle="Monétaire"/>
    <tableColumn id="41" name="RA FAITE PAR LE CONSEILLER €" dataDxfId="122" dataCellStyle="Monétaire"/>
    <tableColumn id="21" name="POINT DE PILOTAGE €" dataDxfId="121" dataCellStyle="Monétaire"/>
    <tableColumn id="20" name="AGOA COMPTABLE €" dataDxfId="120" dataCellStyle="Monétaire"/>
    <tableColumn id="59" name="AGOA CONSEILLER €" dataDxfId="119" dataCellStyle="Monétaire"/>
    <tableColumn id="60" name="VISA JURIDIQUE €" dataDxfId="118" dataCellStyle="Monétaire"/>
    <tableColumn id="38" name="SAISIE PAR UNE AAC €" dataDxfId="117" dataCellStyle="Monétaire"/>
    <tableColumn id="43" name="SAISIE PAR LE COMPTABLE €" dataDxfId="116" dataCellStyle="Monétaire"/>
    <tableColumn id="39" name="TRAVAUX _x000a_DE REVISION €" dataDxfId="115" dataCellStyle="Monétaire"/>
    <tableColumn id="42" name="DECLARATION TVA AAC €" dataDxfId="114" dataCellStyle="Monétaire"/>
    <tableColumn id="45" name="DECLARATION TVA COMPTABLE €" dataDxfId="113" dataCellStyle="Monétaire"/>
    <tableColumn id="40" name="MONTANT_x000a_RESPONSABLE RELATION CLIENT €" dataDxfId="112" dataCellStyle="Monétaire"/>
    <tableColumn id="33" name="MONTANT TOTAL LETTRE DE MISION €" dataDxfId="111" dataCellStyle="Monétaire">
      <calculatedColumnFormula>SUM(PORTEFEUILLE_AUTRE_COMPTABLE[[#This Row],[PCR COMPTABLE €]:[MONTANT
RESPONSABLE RELATION CLIENT €]])</calculatedColumnFormula>
    </tableColumn>
    <tableColumn id="34" name="ECART DE SAISE avec LETTRE DE MISSION €" dataDxfId="110" dataCellStyle="Monétaire">
      <calculatedColumnFormula>SUM(PORTEFEUILLE_AUTRE_COMPTABLE[[#This Row],[PCR COMPTABLE €]:[MONTANT
RESPONSABLE RELATION CLIENT €]])-PORTEFEUILLE_AUTRE_COMPTABLE[[#This Row],[MONTANT TOTAL LETTRE DE MISION €]]</calculatedColumnFormula>
    </tableColumn>
    <tableColumn id="22" name="Prénom_x000a_AAC" dataDxfId="109"/>
    <tableColumn id="36" name="PRENOM CONSEILLER" dataDxfId="108"/>
    <tableColumn id="57" name="PRENOM REALISATION TVA" dataDxfId="107"/>
    <tableColumn id="63" name="DECLARATION DES REVENUS" dataDxfId="106"/>
    <tableColumn id="61" name="NOMBRE DE DECLARATION" dataDxfId="105"/>
    <tableColumn id="54" name="ABONNE COURT _x000a_ABONNE LONG" dataDxfId="104"/>
    <tableColumn id="55" name="RECONDUCTION AUTOMATIQUE OS" dataDxfId="103"/>
    <tableColumn id="23" name="TPS PASSE_x000a_COMPTABLE H_x000a_" dataDxfId="102"/>
    <tableColumn id="37" name="TPS PASSE _x000a_AAC H" dataDxfId="101"/>
    <tableColumn id="47" name="BONI AAC" dataDxfId="100" dataCellStyle="Monétaire">
      <calculatedColumnFormula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calculatedColumnFormula>
    </tableColumn>
    <tableColumn id="46" name="MALI AAC" dataDxfId="99" dataCellStyle="Monétaire">
      <calculatedColumnFormula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calculatedColumnFormula>
    </tableColumn>
    <tableColumn id="44" name="NOMBRE DOSSIER BONI AAC" dataDxfId="98">
      <calculatedColumnFormula>IF(PORTEFEUILLE_AUTRE_COMPTABLE[[#This Row],[BONI AAC]]&lt;&gt;0,1,"")</calculatedColumnFormula>
    </tableColumn>
    <tableColumn id="35" name="NBRE DOSSIER MALI AAC" dataDxfId="97">
      <calculatedColumnFormula>IF(PORTEFEUILLE_AUTRE_COMPTABLE[[#This Row],[MALI AAC]]&lt;&gt;0,1,"")</calculatedColumnFormula>
    </tableColumn>
    <tableColumn id="24" name="BONI COMPTABLE" dataDxfId="96" dataCellStyle="Monétaire">
      <calculatedColumnFormula>IF(AP3&lt;&gt;"",IF((AP3*Paramètres!$H$4)-PORTEFEUILLE_AUTRE_COMPTABLE[[#This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€]]-(DELPHINE!#REF!*Paramètres!$H$4),0),0)</calculatedColumnFormula>
    </tableColumn>
    <tableColumn id="25" name="MALI COMPTABLE" dataDxfId="95" dataCellStyle="Monétaire">
      <calculatedColumnFormula>IF(AP3&lt;&gt;"",IF(((AP3*Paramètres!$H$4)-PORTEFEUILLE_AUTRE_COMPTABLE[[#This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calculatedColumnFormula>
    </tableColumn>
    <tableColumn id="53" name="NOMBRE DOSSIER BONI COMPTABLE" dataDxfId="94">
      <calculatedColumnFormula>IF(PORTEFEUILLE_AUTRE_COMPTABLE[[#This Row],[BONI COMPTABLE]]&lt;&gt;0,1,"")</calculatedColumnFormula>
    </tableColumn>
    <tableColumn id="52" name="NOMBRE DE DOSSIER MALI COMPTABLE" dataDxfId="93">
      <calculatedColumnFormula>IF(PORTEFEUILLE_AUTRE_COMPTABLE[[#This Row],[MALI COMPTABLE]]&lt;&gt;0,1,"")</calculatedColumnFormula>
    </tableColumn>
    <tableColumn id="26" name="GRILLE ENJEUX" dataDxfId="92"/>
    <tableColumn id="27" name="Visa_x000a_Validé_x000a_enjeu 4 ou attestation enjeu" dataDxfId="91"/>
    <tableColumn id="28" name="VISA VCOMPTA" dataDxfId="90"/>
    <tableColumn id="29" name="REFUS" dataDxfId="89"/>
    <tableColumn id="30" name="MOTIF" dataDxfId="88"/>
    <tableColumn id="31" name="COMMENTAIRES" dataDxfId="87"/>
    <tableColumn id="32" name="Attestation_x000a_à faire signer par l'EC" dataDxfId="86"/>
    <tableColumn id="49" name="MISE EN PLACE SCAN BY CERFRANCE" dataDxfId="85"/>
    <tableColumn id="50" name="PRENOM PERSONNE AYANT DEPLOYEE SCAN BY CERFRANCE" dataDxfId="84"/>
    <tableColumn id="51" name="PICKING" dataDxfId="83"/>
    <tableColumn id="58" name="EDI" dataDxfId="82"/>
    <tableColumn id="62" name="Colonne1" dataDxfId="8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4:AD20"/>
  <sheetViews>
    <sheetView zoomScale="115" zoomScaleNormal="115" workbookViewId="0">
      <pane xSplit="1" ySplit="6" topLeftCell="B7" activePane="bottomRight" state="frozen"/>
      <selection pane="topRight" activeCell="C1" sqref="C1"/>
      <selection pane="bottomLeft" activeCell="A7" sqref="A7"/>
      <selection pane="bottomRight" activeCell="E23" sqref="E23"/>
    </sheetView>
  </sheetViews>
  <sheetFormatPr baseColWidth="10" defaultRowHeight="15" x14ac:dyDescent="0.25"/>
  <cols>
    <col min="2" max="2" width="14" bestFit="1" customWidth="1"/>
    <col min="3" max="3" width="13.140625" customWidth="1"/>
    <col min="4" max="4" width="14.85546875" customWidth="1"/>
    <col min="6" max="6" width="15.140625" bestFit="1" customWidth="1"/>
    <col min="7" max="7" width="19.28515625" bestFit="1" customWidth="1"/>
    <col min="8" max="8" width="8.28515625" bestFit="1" customWidth="1"/>
    <col min="9" max="9" width="4.85546875" bestFit="1" customWidth="1"/>
    <col min="10" max="10" width="13.28515625" customWidth="1"/>
    <col min="11" max="11" width="9.7109375" customWidth="1"/>
    <col min="12" max="12" width="11.85546875" customWidth="1"/>
    <col min="13" max="13" width="12.5703125" bestFit="1" customWidth="1"/>
    <col min="14" max="14" width="19.28515625" bestFit="1" customWidth="1"/>
    <col min="15" max="15" width="8.28515625" bestFit="1" customWidth="1"/>
    <col min="16" max="16" width="4.85546875" bestFit="1" customWidth="1"/>
    <col min="17" max="17" width="12" customWidth="1"/>
    <col min="18" max="18" width="8.28515625" customWidth="1"/>
    <col min="19" max="19" width="11.140625" customWidth="1"/>
    <col min="20" max="21" width="11.7109375" bestFit="1" customWidth="1"/>
    <col min="22" max="22" width="17.28515625" bestFit="1" customWidth="1"/>
    <col min="23" max="23" width="17.28515625" customWidth="1"/>
    <col min="24" max="24" width="13.7109375" bestFit="1" customWidth="1"/>
    <col min="25" max="25" width="25.140625" bestFit="1" customWidth="1"/>
    <col min="26" max="26" width="15.140625" bestFit="1" customWidth="1"/>
    <col min="27" max="27" width="21" bestFit="1" customWidth="1"/>
    <col min="258" max="258" width="14" bestFit="1" customWidth="1"/>
    <col min="259" max="259" width="13.140625" customWidth="1"/>
    <col min="260" max="260" width="14.85546875" customWidth="1"/>
    <col min="262" max="262" width="15.140625" bestFit="1" customWidth="1"/>
    <col min="263" max="263" width="19.28515625" bestFit="1" customWidth="1"/>
    <col min="264" max="264" width="8.28515625" bestFit="1" customWidth="1"/>
    <col min="265" max="265" width="4.85546875" bestFit="1" customWidth="1"/>
    <col min="266" max="266" width="13.28515625" customWidth="1"/>
    <col min="267" max="267" width="9.7109375" customWidth="1"/>
    <col min="268" max="268" width="11.85546875" customWidth="1"/>
    <col min="269" max="269" width="12.5703125" bestFit="1" customWidth="1"/>
    <col min="270" max="270" width="19.28515625" bestFit="1" customWidth="1"/>
    <col min="271" max="271" width="8.28515625" bestFit="1" customWidth="1"/>
    <col min="272" max="272" width="4.85546875" bestFit="1" customWidth="1"/>
    <col min="273" max="273" width="12" customWidth="1"/>
    <col min="274" max="274" width="8.28515625" customWidth="1"/>
    <col min="275" max="275" width="11.140625" customWidth="1"/>
    <col min="276" max="277" width="11.7109375" bestFit="1" customWidth="1"/>
    <col min="278" max="278" width="17.28515625" bestFit="1" customWidth="1"/>
    <col min="279" max="279" width="17.28515625" customWidth="1"/>
    <col min="280" max="280" width="13.7109375" bestFit="1" customWidth="1"/>
    <col min="281" max="281" width="25.140625" bestFit="1" customWidth="1"/>
    <col min="282" max="282" width="15.140625" bestFit="1" customWidth="1"/>
    <col min="283" max="283" width="21" bestFit="1" customWidth="1"/>
    <col min="514" max="514" width="14" bestFit="1" customWidth="1"/>
    <col min="515" max="515" width="13.140625" customWidth="1"/>
    <col min="516" max="516" width="14.85546875" customWidth="1"/>
    <col min="518" max="518" width="15.140625" bestFit="1" customWidth="1"/>
    <col min="519" max="519" width="19.28515625" bestFit="1" customWidth="1"/>
    <col min="520" max="520" width="8.28515625" bestFit="1" customWidth="1"/>
    <col min="521" max="521" width="4.85546875" bestFit="1" customWidth="1"/>
    <col min="522" max="522" width="13.28515625" customWidth="1"/>
    <col min="523" max="523" width="9.7109375" customWidth="1"/>
    <col min="524" max="524" width="11.85546875" customWidth="1"/>
    <col min="525" max="525" width="12.5703125" bestFit="1" customWidth="1"/>
    <col min="526" max="526" width="19.28515625" bestFit="1" customWidth="1"/>
    <col min="527" max="527" width="8.28515625" bestFit="1" customWidth="1"/>
    <col min="528" max="528" width="4.85546875" bestFit="1" customWidth="1"/>
    <col min="529" max="529" width="12" customWidth="1"/>
    <col min="530" max="530" width="8.28515625" customWidth="1"/>
    <col min="531" max="531" width="11.140625" customWidth="1"/>
    <col min="532" max="533" width="11.7109375" bestFit="1" customWidth="1"/>
    <col min="534" max="534" width="17.28515625" bestFit="1" customWidth="1"/>
    <col min="535" max="535" width="17.28515625" customWidth="1"/>
    <col min="536" max="536" width="13.7109375" bestFit="1" customWidth="1"/>
    <col min="537" max="537" width="25.140625" bestFit="1" customWidth="1"/>
    <col min="538" max="538" width="15.140625" bestFit="1" customWidth="1"/>
    <col min="539" max="539" width="21" bestFit="1" customWidth="1"/>
    <col min="770" max="770" width="14" bestFit="1" customWidth="1"/>
    <col min="771" max="771" width="13.140625" customWidth="1"/>
    <col min="772" max="772" width="14.85546875" customWidth="1"/>
    <col min="774" max="774" width="15.140625" bestFit="1" customWidth="1"/>
    <col min="775" max="775" width="19.28515625" bestFit="1" customWidth="1"/>
    <col min="776" max="776" width="8.28515625" bestFit="1" customWidth="1"/>
    <col min="777" max="777" width="4.85546875" bestFit="1" customWidth="1"/>
    <col min="778" max="778" width="13.28515625" customWidth="1"/>
    <col min="779" max="779" width="9.7109375" customWidth="1"/>
    <col min="780" max="780" width="11.85546875" customWidth="1"/>
    <col min="781" max="781" width="12.5703125" bestFit="1" customWidth="1"/>
    <col min="782" max="782" width="19.28515625" bestFit="1" customWidth="1"/>
    <col min="783" max="783" width="8.28515625" bestFit="1" customWidth="1"/>
    <col min="784" max="784" width="4.85546875" bestFit="1" customWidth="1"/>
    <col min="785" max="785" width="12" customWidth="1"/>
    <col min="786" max="786" width="8.28515625" customWidth="1"/>
    <col min="787" max="787" width="11.140625" customWidth="1"/>
    <col min="788" max="789" width="11.7109375" bestFit="1" customWidth="1"/>
    <col min="790" max="790" width="17.28515625" bestFit="1" customWidth="1"/>
    <col min="791" max="791" width="17.28515625" customWidth="1"/>
    <col min="792" max="792" width="13.7109375" bestFit="1" customWidth="1"/>
    <col min="793" max="793" width="25.140625" bestFit="1" customWidth="1"/>
    <col min="794" max="794" width="15.140625" bestFit="1" customWidth="1"/>
    <col min="795" max="795" width="21" bestFit="1" customWidth="1"/>
    <col min="1026" max="1026" width="14" bestFit="1" customWidth="1"/>
    <col min="1027" max="1027" width="13.140625" customWidth="1"/>
    <col min="1028" max="1028" width="14.85546875" customWidth="1"/>
    <col min="1030" max="1030" width="15.140625" bestFit="1" customWidth="1"/>
    <col min="1031" max="1031" width="19.28515625" bestFit="1" customWidth="1"/>
    <col min="1032" max="1032" width="8.28515625" bestFit="1" customWidth="1"/>
    <col min="1033" max="1033" width="4.85546875" bestFit="1" customWidth="1"/>
    <col min="1034" max="1034" width="13.28515625" customWidth="1"/>
    <col min="1035" max="1035" width="9.7109375" customWidth="1"/>
    <col min="1036" max="1036" width="11.85546875" customWidth="1"/>
    <col min="1037" max="1037" width="12.5703125" bestFit="1" customWidth="1"/>
    <col min="1038" max="1038" width="19.28515625" bestFit="1" customWidth="1"/>
    <col min="1039" max="1039" width="8.28515625" bestFit="1" customWidth="1"/>
    <col min="1040" max="1040" width="4.85546875" bestFit="1" customWidth="1"/>
    <col min="1041" max="1041" width="12" customWidth="1"/>
    <col min="1042" max="1042" width="8.28515625" customWidth="1"/>
    <col min="1043" max="1043" width="11.140625" customWidth="1"/>
    <col min="1044" max="1045" width="11.7109375" bestFit="1" customWidth="1"/>
    <col min="1046" max="1046" width="17.28515625" bestFit="1" customWidth="1"/>
    <col min="1047" max="1047" width="17.28515625" customWidth="1"/>
    <col min="1048" max="1048" width="13.7109375" bestFit="1" customWidth="1"/>
    <col min="1049" max="1049" width="25.140625" bestFit="1" customWidth="1"/>
    <col min="1050" max="1050" width="15.140625" bestFit="1" customWidth="1"/>
    <col min="1051" max="1051" width="21" bestFit="1" customWidth="1"/>
    <col min="1282" max="1282" width="14" bestFit="1" customWidth="1"/>
    <col min="1283" max="1283" width="13.140625" customWidth="1"/>
    <col min="1284" max="1284" width="14.85546875" customWidth="1"/>
    <col min="1286" max="1286" width="15.140625" bestFit="1" customWidth="1"/>
    <col min="1287" max="1287" width="19.28515625" bestFit="1" customWidth="1"/>
    <col min="1288" max="1288" width="8.28515625" bestFit="1" customWidth="1"/>
    <col min="1289" max="1289" width="4.85546875" bestFit="1" customWidth="1"/>
    <col min="1290" max="1290" width="13.28515625" customWidth="1"/>
    <col min="1291" max="1291" width="9.7109375" customWidth="1"/>
    <col min="1292" max="1292" width="11.85546875" customWidth="1"/>
    <col min="1293" max="1293" width="12.5703125" bestFit="1" customWidth="1"/>
    <col min="1294" max="1294" width="19.28515625" bestFit="1" customWidth="1"/>
    <col min="1295" max="1295" width="8.28515625" bestFit="1" customWidth="1"/>
    <col min="1296" max="1296" width="4.85546875" bestFit="1" customWidth="1"/>
    <col min="1297" max="1297" width="12" customWidth="1"/>
    <col min="1298" max="1298" width="8.28515625" customWidth="1"/>
    <col min="1299" max="1299" width="11.140625" customWidth="1"/>
    <col min="1300" max="1301" width="11.7109375" bestFit="1" customWidth="1"/>
    <col min="1302" max="1302" width="17.28515625" bestFit="1" customWidth="1"/>
    <col min="1303" max="1303" width="17.28515625" customWidth="1"/>
    <col min="1304" max="1304" width="13.7109375" bestFit="1" customWidth="1"/>
    <col min="1305" max="1305" width="25.140625" bestFit="1" customWidth="1"/>
    <col min="1306" max="1306" width="15.140625" bestFit="1" customWidth="1"/>
    <col min="1307" max="1307" width="21" bestFit="1" customWidth="1"/>
    <col min="1538" max="1538" width="14" bestFit="1" customWidth="1"/>
    <col min="1539" max="1539" width="13.140625" customWidth="1"/>
    <col min="1540" max="1540" width="14.85546875" customWidth="1"/>
    <col min="1542" max="1542" width="15.140625" bestFit="1" customWidth="1"/>
    <col min="1543" max="1543" width="19.28515625" bestFit="1" customWidth="1"/>
    <col min="1544" max="1544" width="8.28515625" bestFit="1" customWidth="1"/>
    <col min="1545" max="1545" width="4.85546875" bestFit="1" customWidth="1"/>
    <col min="1546" max="1546" width="13.28515625" customWidth="1"/>
    <col min="1547" max="1547" width="9.7109375" customWidth="1"/>
    <col min="1548" max="1548" width="11.85546875" customWidth="1"/>
    <col min="1549" max="1549" width="12.5703125" bestFit="1" customWidth="1"/>
    <col min="1550" max="1550" width="19.28515625" bestFit="1" customWidth="1"/>
    <col min="1551" max="1551" width="8.28515625" bestFit="1" customWidth="1"/>
    <col min="1552" max="1552" width="4.85546875" bestFit="1" customWidth="1"/>
    <col min="1553" max="1553" width="12" customWidth="1"/>
    <col min="1554" max="1554" width="8.28515625" customWidth="1"/>
    <col min="1555" max="1555" width="11.140625" customWidth="1"/>
    <col min="1556" max="1557" width="11.7109375" bestFit="1" customWidth="1"/>
    <col min="1558" max="1558" width="17.28515625" bestFit="1" customWidth="1"/>
    <col min="1559" max="1559" width="17.28515625" customWidth="1"/>
    <col min="1560" max="1560" width="13.7109375" bestFit="1" customWidth="1"/>
    <col min="1561" max="1561" width="25.140625" bestFit="1" customWidth="1"/>
    <col min="1562" max="1562" width="15.140625" bestFit="1" customWidth="1"/>
    <col min="1563" max="1563" width="21" bestFit="1" customWidth="1"/>
    <col min="1794" max="1794" width="14" bestFit="1" customWidth="1"/>
    <col min="1795" max="1795" width="13.140625" customWidth="1"/>
    <col min="1796" max="1796" width="14.85546875" customWidth="1"/>
    <col min="1798" max="1798" width="15.140625" bestFit="1" customWidth="1"/>
    <col min="1799" max="1799" width="19.28515625" bestFit="1" customWidth="1"/>
    <col min="1800" max="1800" width="8.28515625" bestFit="1" customWidth="1"/>
    <col min="1801" max="1801" width="4.85546875" bestFit="1" customWidth="1"/>
    <col min="1802" max="1802" width="13.28515625" customWidth="1"/>
    <col min="1803" max="1803" width="9.7109375" customWidth="1"/>
    <col min="1804" max="1804" width="11.85546875" customWidth="1"/>
    <col min="1805" max="1805" width="12.5703125" bestFit="1" customWidth="1"/>
    <col min="1806" max="1806" width="19.28515625" bestFit="1" customWidth="1"/>
    <col min="1807" max="1807" width="8.28515625" bestFit="1" customWidth="1"/>
    <col min="1808" max="1808" width="4.85546875" bestFit="1" customWidth="1"/>
    <col min="1809" max="1809" width="12" customWidth="1"/>
    <col min="1810" max="1810" width="8.28515625" customWidth="1"/>
    <col min="1811" max="1811" width="11.140625" customWidth="1"/>
    <col min="1812" max="1813" width="11.7109375" bestFit="1" customWidth="1"/>
    <col min="1814" max="1814" width="17.28515625" bestFit="1" customWidth="1"/>
    <col min="1815" max="1815" width="17.28515625" customWidth="1"/>
    <col min="1816" max="1816" width="13.7109375" bestFit="1" customWidth="1"/>
    <col min="1817" max="1817" width="25.140625" bestFit="1" customWidth="1"/>
    <col min="1818" max="1818" width="15.140625" bestFit="1" customWidth="1"/>
    <col min="1819" max="1819" width="21" bestFit="1" customWidth="1"/>
    <col min="2050" max="2050" width="14" bestFit="1" customWidth="1"/>
    <col min="2051" max="2051" width="13.140625" customWidth="1"/>
    <col min="2052" max="2052" width="14.85546875" customWidth="1"/>
    <col min="2054" max="2054" width="15.140625" bestFit="1" customWidth="1"/>
    <col min="2055" max="2055" width="19.28515625" bestFit="1" customWidth="1"/>
    <col min="2056" max="2056" width="8.28515625" bestFit="1" customWidth="1"/>
    <col min="2057" max="2057" width="4.85546875" bestFit="1" customWidth="1"/>
    <col min="2058" max="2058" width="13.28515625" customWidth="1"/>
    <col min="2059" max="2059" width="9.7109375" customWidth="1"/>
    <col min="2060" max="2060" width="11.85546875" customWidth="1"/>
    <col min="2061" max="2061" width="12.5703125" bestFit="1" customWidth="1"/>
    <col min="2062" max="2062" width="19.28515625" bestFit="1" customWidth="1"/>
    <col min="2063" max="2063" width="8.28515625" bestFit="1" customWidth="1"/>
    <col min="2064" max="2064" width="4.85546875" bestFit="1" customWidth="1"/>
    <col min="2065" max="2065" width="12" customWidth="1"/>
    <col min="2066" max="2066" width="8.28515625" customWidth="1"/>
    <col min="2067" max="2067" width="11.140625" customWidth="1"/>
    <col min="2068" max="2069" width="11.7109375" bestFit="1" customWidth="1"/>
    <col min="2070" max="2070" width="17.28515625" bestFit="1" customWidth="1"/>
    <col min="2071" max="2071" width="17.28515625" customWidth="1"/>
    <col min="2072" max="2072" width="13.7109375" bestFit="1" customWidth="1"/>
    <col min="2073" max="2073" width="25.140625" bestFit="1" customWidth="1"/>
    <col min="2074" max="2074" width="15.140625" bestFit="1" customWidth="1"/>
    <col min="2075" max="2075" width="21" bestFit="1" customWidth="1"/>
    <col min="2306" max="2306" width="14" bestFit="1" customWidth="1"/>
    <col min="2307" max="2307" width="13.140625" customWidth="1"/>
    <col min="2308" max="2308" width="14.85546875" customWidth="1"/>
    <col min="2310" max="2310" width="15.140625" bestFit="1" customWidth="1"/>
    <col min="2311" max="2311" width="19.28515625" bestFit="1" customWidth="1"/>
    <col min="2312" max="2312" width="8.28515625" bestFit="1" customWidth="1"/>
    <col min="2313" max="2313" width="4.85546875" bestFit="1" customWidth="1"/>
    <col min="2314" max="2314" width="13.28515625" customWidth="1"/>
    <col min="2315" max="2315" width="9.7109375" customWidth="1"/>
    <col min="2316" max="2316" width="11.85546875" customWidth="1"/>
    <col min="2317" max="2317" width="12.5703125" bestFit="1" customWidth="1"/>
    <col min="2318" max="2318" width="19.28515625" bestFit="1" customWidth="1"/>
    <col min="2319" max="2319" width="8.28515625" bestFit="1" customWidth="1"/>
    <col min="2320" max="2320" width="4.85546875" bestFit="1" customWidth="1"/>
    <col min="2321" max="2321" width="12" customWidth="1"/>
    <col min="2322" max="2322" width="8.28515625" customWidth="1"/>
    <col min="2323" max="2323" width="11.140625" customWidth="1"/>
    <col min="2324" max="2325" width="11.7109375" bestFit="1" customWidth="1"/>
    <col min="2326" max="2326" width="17.28515625" bestFit="1" customWidth="1"/>
    <col min="2327" max="2327" width="17.28515625" customWidth="1"/>
    <col min="2328" max="2328" width="13.7109375" bestFit="1" customWidth="1"/>
    <col min="2329" max="2329" width="25.140625" bestFit="1" customWidth="1"/>
    <col min="2330" max="2330" width="15.140625" bestFit="1" customWidth="1"/>
    <col min="2331" max="2331" width="21" bestFit="1" customWidth="1"/>
    <col min="2562" max="2562" width="14" bestFit="1" customWidth="1"/>
    <col min="2563" max="2563" width="13.140625" customWidth="1"/>
    <col min="2564" max="2564" width="14.85546875" customWidth="1"/>
    <col min="2566" max="2566" width="15.140625" bestFit="1" customWidth="1"/>
    <col min="2567" max="2567" width="19.28515625" bestFit="1" customWidth="1"/>
    <col min="2568" max="2568" width="8.28515625" bestFit="1" customWidth="1"/>
    <col min="2569" max="2569" width="4.85546875" bestFit="1" customWidth="1"/>
    <col min="2570" max="2570" width="13.28515625" customWidth="1"/>
    <col min="2571" max="2571" width="9.7109375" customWidth="1"/>
    <col min="2572" max="2572" width="11.85546875" customWidth="1"/>
    <col min="2573" max="2573" width="12.5703125" bestFit="1" customWidth="1"/>
    <col min="2574" max="2574" width="19.28515625" bestFit="1" customWidth="1"/>
    <col min="2575" max="2575" width="8.28515625" bestFit="1" customWidth="1"/>
    <col min="2576" max="2576" width="4.85546875" bestFit="1" customWidth="1"/>
    <col min="2577" max="2577" width="12" customWidth="1"/>
    <col min="2578" max="2578" width="8.28515625" customWidth="1"/>
    <col min="2579" max="2579" width="11.140625" customWidth="1"/>
    <col min="2580" max="2581" width="11.7109375" bestFit="1" customWidth="1"/>
    <col min="2582" max="2582" width="17.28515625" bestFit="1" customWidth="1"/>
    <col min="2583" max="2583" width="17.28515625" customWidth="1"/>
    <col min="2584" max="2584" width="13.7109375" bestFit="1" customWidth="1"/>
    <col min="2585" max="2585" width="25.140625" bestFit="1" customWidth="1"/>
    <col min="2586" max="2586" width="15.140625" bestFit="1" customWidth="1"/>
    <col min="2587" max="2587" width="21" bestFit="1" customWidth="1"/>
    <col min="2818" max="2818" width="14" bestFit="1" customWidth="1"/>
    <col min="2819" max="2819" width="13.140625" customWidth="1"/>
    <col min="2820" max="2820" width="14.85546875" customWidth="1"/>
    <col min="2822" max="2822" width="15.140625" bestFit="1" customWidth="1"/>
    <col min="2823" max="2823" width="19.28515625" bestFit="1" customWidth="1"/>
    <col min="2824" max="2824" width="8.28515625" bestFit="1" customWidth="1"/>
    <col min="2825" max="2825" width="4.85546875" bestFit="1" customWidth="1"/>
    <col min="2826" max="2826" width="13.28515625" customWidth="1"/>
    <col min="2827" max="2827" width="9.7109375" customWidth="1"/>
    <col min="2828" max="2828" width="11.85546875" customWidth="1"/>
    <col min="2829" max="2829" width="12.5703125" bestFit="1" customWidth="1"/>
    <col min="2830" max="2830" width="19.28515625" bestFit="1" customWidth="1"/>
    <col min="2831" max="2831" width="8.28515625" bestFit="1" customWidth="1"/>
    <col min="2832" max="2832" width="4.85546875" bestFit="1" customWidth="1"/>
    <col min="2833" max="2833" width="12" customWidth="1"/>
    <col min="2834" max="2834" width="8.28515625" customWidth="1"/>
    <col min="2835" max="2835" width="11.140625" customWidth="1"/>
    <col min="2836" max="2837" width="11.7109375" bestFit="1" customWidth="1"/>
    <col min="2838" max="2838" width="17.28515625" bestFit="1" customWidth="1"/>
    <col min="2839" max="2839" width="17.28515625" customWidth="1"/>
    <col min="2840" max="2840" width="13.7109375" bestFit="1" customWidth="1"/>
    <col min="2841" max="2841" width="25.140625" bestFit="1" customWidth="1"/>
    <col min="2842" max="2842" width="15.140625" bestFit="1" customWidth="1"/>
    <col min="2843" max="2843" width="21" bestFit="1" customWidth="1"/>
    <col min="3074" max="3074" width="14" bestFit="1" customWidth="1"/>
    <col min="3075" max="3075" width="13.140625" customWidth="1"/>
    <col min="3076" max="3076" width="14.85546875" customWidth="1"/>
    <col min="3078" max="3078" width="15.140625" bestFit="1" customWidth="1"/>
    <col min="3079" max="3079" width="19.28515625" bestFit="1" customWidth="1"/>
    <col min="3080" max="3080" width="8.28515625" bestFit="1" customWidth="1"/>
    <col min="3081" max="3081" width="4.85546875" bestFit="1" customWidth="1"/>
    <col min="3082" max="3082" width="13.28515625" customWidth="1"/>
    <col min="3083" max="3083" width="9.7109375" customWidth="1"/>
    <col min="3084" max="3084" width="11.85546875" customWidth="1"/>
    <col min="3085" max="3085" width="12.5703125" bestFit="1" customWidth="1"/>
    <col min="3086" max="3086" width="19.28515625" bestFit="1" customWidth="1"/>
    <col min="3087" max="3087" width="8.28515625" bestFit="1" customWidth="1"/>
    <col min="3088" max="3088" width="4.85546875" bestFit="1" customWidth="1"/>
    <col min="3089" max="3089" width="12" customWidth="1"/>
    <col min="3090" max="3090" width="8.28515625" customWidth="1"/>
    <col min="3091" max="3091" width="11.140625" customWidth="1"/>
    <col min="3092" max="3093" width="11.7109375" bestFit="1" customWidth="1"/>
    <col min="3094" max="3094" width="17.28515625" bestFit="1" customWidth="1"/>
    <col min="3095" max="3095" width="17.28515625" customWidth="1"/>
    <col min="3096" max="3096" width="13.7109375" bestFit="1" customWidth="1"/>
    <col min="3097" max="3097" width="25.140625" bestFit="1" customWidth="1"/>
    <col min="3098" max="3098" width="15.140625" bestFit="1" customWidth="1"/>
    <col min="3099" max="3099" width="21" bestFit="1" customWidth="1"/>
    <col min="3330" max="3330" width="14" bestFit="1" customWidth="1"/>
    <col min="3331" max="3331" width="13.140625" customWidth="1"/>
    <col min="3332" max="3332" width="14.85546875" customWidth="1"/>
    <col min="3334" max="3334" width="15.140625" bestFit="1" customWidth="1"/>
    <col min="3335" max="3335" width="19.28515625" bestFit="1" customWidth="1"/>
    <col min="3336" max="3336" width="8.28515625" bestFit="1" customWidth="1"/>
    <col min="3337" max="3337" width="4.85546875" bestFit="1" customWidth="1"/>
    <col min="3338" max="3338" width="13.28515625" customWidth="1"/>
    <col min="3339" max="3339" width="9.7109375" customWidth="1"/>
    <col min="3340" max="3340" width="11.85546875" customWidth="1"/>
    <col min="3341" max="3341" width="12.5703125" bestFit="1" customWidth="1"/>
    <col min="3342" max="3342" width="19.28515625" bestFit="1" customWidth="1"/>
    <col min="3343" max="3343" width="8.28515625" bestFit="1" customWidth="1"/>
    <col min="3344" max="3344" width="4.85546875" bestFit="1" customWidth="1"/>
    <col min="3345" max="3345" width="12" customWidth="1"/>
    <col min="3346" max="3346" width="8.28515625" customWidth="1"/>
    <col min="3347" max="3347" width="11.140625" customWidth="1"/>
    <col min="3348" max="3349" width="11.7109375" bestFit="1" customWidth="1"/>
    <col min="3350" max="3350" width="17.28515625" bestFit="1" customWidth="1"/>
    <col min="3351" max="3351" width="17.28515625" customWidth="1"/>
    <col min="3352" max="3352" width="13.7109375" bestFit="1" customWidth="1"/>
    <col min="3353" max="3353" width="25.140625" bestFit="1" customWidth="1"/>
    <col min="3354" max="3354" width="15.140625" bestFit="1" customWidth="1"/>
    <col min="3355" max="3355" width="21" bestFit="1" customWidth="1"/>
    <col min="3586" max="3586" width="14" bestFit="1" customWidth="1"/>
    <col min="3587" max="3587" width="13.140625" customWidth="1"/>
    <col min="3588" max="3588" width="14.85546875" customWidth="1"/>
    <col min="3590" max="3590" width="15.140625" bestFit="1" customWidth="1"/>
    <col min="3591" max="3591" width="19.28515625" bestFit="1" customWidth="1"/>
    <col min="3592" max="3592" width="8.28515625" bestFit="1" customWidth="1"/>
    <col min="3593" max="3593" width="4.85546875" bestFit="1" customWidth="1"/>
    <col min="3594" max="3594" width="13.28515625" customWidth="1"/>
    <col min="3595" max="3595" width="9.7109375" customWidth="1"/>
    <col min="3596" max="3596" width="11.85546875" customWidth="1"/>
    <col min="3597" max="3597" width="12.5703125" bestFit="1" customWidth="1"/>
    <col min="3598" max="3598" width="19.28515625" bestFit="1" customWidth="1"/>
    <col min="3599" max="3599" width="8.28515625" bestFit="1" customWidth="1"/>
    <col min="3600" max="3600" width="4.85546875" bestFit="1" customWidth="1"/>
    <col min="3601" max="3601" width="12" customWidth="1"/>
    <col min="3602" max="3602" width="8.28515625" customWidth="1"/>
    <col min="3603" max="3603" width="11.140625" customWidth="1"/>
    <col min="3604" max="3605" width="11.7109375" bestFit="1" customWidth="1"/>
    <col min="3606" max="3606" width="17.28515625" bestFit="1" customWidth="1"/>
    <col min="3607" max="3607" width="17.28515625" customWidth="1"/>
    <col min="3608" max="3608" width="13.7109375" bestFit="1" customWidth="1"/>
    <col min="3609" max="3609" width="25.140625" bestFit="1" customWidth="1"/>
    <col min="3610" max="3610" width="15.140625" bestFit="1" customWidth="1"/>
    <col min="3611" max="3611" width="21" bestFit="1" customWidth="1"/>
    <col min="3842" max="3842" width="14" bestFit="1" customWidth="1"/>
    <col min="3843" max="3843" width="13.140625" customWidth="1"/>
    <col min="3844" max="3844" width="14.85546875" customWidth="1"/>
    <col min="3846" max="3846" width="15.140625" bestFit="1" customWidth="1"/>
    <col min="3847" max="3847" width="19.28515625" bestFit="1" customWidth="1"/>
    <col min="3848" max="3848" width="8.28515625" bestFit="1" customWidth="1"/>
    <col min="3849" max="3849" width="4.85546875" bestFit="1" customWidth="1"/>
    <col min="3850" max="3850" width="13.28515625" customWidth="1"/>
    <col min="3851" max="3851" width="9.7109375" customWidth="1"/>
    <col min="3852" max="3852" width="11.85546875" customWidth="1"/>
    <col min="3853" max="3853" width="12.5703125" bestFit="1" customWidth="1"/>
    <col min="3854" max="3854" width="19.28515625" bestFit="1" customWidth="1"/>
    <col min="3855" max="3855" width="8.28515625" bestFit="1" customWidth="1"/>
    <col min="3856" max="3856" width="4.85546875" bestFit="1" customWidth="1"/>
    <col min="3857" max="3857" width="12" customWidth="1"/>
    <col min="3858" max="3858" width="8.28515625" customWidth="1"/>
    <col min="3859" max="3859" width="11.140625" customWidth="1"/>
    <col min="3860" max="3861" width="11.7109375" bestFit="1" customWidth="1"/>
    <col min="3862" max="3862" width="17.28515625" bestFit="1" customWidth="1"/>
    <col min="3863" max="3863" width="17.28515625" customWidth="1"/>
    <col min="3864" max="3864" width="13.7109375" bestFit="1" customWidth="1"/>
    <col min="3865" max="3865" width="25.140625" bestFit="1" customWidth="1"/>
    <col min="3866" max="3866" width="15.140625" bestFit="1" customWidth="1"/>
    <col min="3867" max="3867" width="21" bestFit="1" customWidth="1"/>
    <col min="4098" max="4098" width="14" bestFit="1" customWidth="1"/>
    <col min="4099" max="4099" width="13.140625" customWidth="1"/>
    <col min="4100" max="4100" width="14.85546875" customWidth="1"/>
    <col min="4102" max="4102" width="15.140625" bestFit="1" customWidth="1"/>
    <col min="4103" max="4103" width="19.28515625" bestFit="1" customWidth="1"/>
    <col min="4104" max="4104" width="8.28515625" bestFit="1" customWidth="1"/>
    <col min="4105" max="4105" width="4.85546875" bestFit="1" customWidth="1"/>
    <col min="4106" max="4106" width="13.28515625" customWidth="1"/>
    <col min="4107" max="4107" width="9.7109375" customWidth="1"/>
    <col min="4108" max="4108" width="11.85546875" customWidth="1"/>
    <col min="4109" max="4109" width="12.5703125" bestFit="1" customWidth="1"/>
    <col min="4110" max="4110" width="19.28515625" bestFit="1" customWidth="1"/>
    <col min="4111" max="4111" width="8.28515625" bestFit="1" customWidth="1"/>
    <col min="4112" max="4112" width="4.85546875" bestFit="1" customWidth="1"/>
    <col min="4113" max="4113" width="12" customWidth="1"/>
    <col min="4114" max="4114" width="8.28515625" customWidth="1"/>
    <col min="4115" max="4115" width="11.140625" customWidth="1"/>
    <col min="4116" max="4117" width="11.7109375" bestFit="1" customWidth="1"/>
    <col min="4118" max="4118" width="17.28515625" bestFit="1" customWidth="1"/>
    <col min="4119" max="4119" width="17.28515625" customWidth="1"/>
    <col min="4120" max="4120" width="13.7109375" bestFit="1" customWidth="1"/>
    <col min="4121" max="4121" width="25.140625" bestFit="1" customWidth="1"/>
    <col min="4122" max="4122" width="15.140625" bestFit="1" customWidth="1"/>
    <col min="4123" max="4123" width="21" bestFit="1" customWidth="1"/>
    <col min="4354" max="4354" width="14" bestFit="1" customWidth="1"/>
    <col min="4355" max="4355" width="13.140625" customWidth="1"/>
    <col min="4356" max="4356" width="14.85546875" customWidth="1"/>
    <col min="4358" max="4358" width="15.140625" bestFit="1" customWidth="1"/>
    <col min="4359" max="4359" width="19.28515625" bestFit="1" customWidth="1"/>
    <col min="4360" max="4360" width="8.28515625" bestFit="1" customWidth="1"/>
    <col min="4361" max="4361" width="4.85546875" bestFit="1" customWidth="1"/>
    <col min="4362" max="4362" width="13.28515625" customWidth="1"/>
    <col min="4363" max="4363" width="9.7109375" customWidth="1"/>
    <col min="4364" max="4364" width="11.85546875" customWidth="1"/>
    <col min="4365" max="4365" width="12.5703125" bestFit="1" customWidth="1"/>
    <col min="4366" max="4366" width="19.28515625" bestFit="1" customWidth="1"/>
    <col min="4367" max="4367" width="8.28515625" bestFit="1" customWidth="1"/>
    <col min="4368" max="4368" width="4.85546875" bestFit="1" customWidth="1"/>
    <col min="4369" max="4369" width="12" customWidth="1"/>
    <col min="4370" max="4370" width="8.28515625" customWidth="1"/>
    <col min="4371" max="4371" width="11.140625" customWidth="1"/>
    <col min="4372" max="4373" width="11.7109375" bestFit="1" customWidth="1"/>
    <col min="4374" max="4374" width="17.28515625" bestFit="1" customWidth="1"/>
    <col min="4375" max="4375" width="17.28515625" customWidth="1"/>
    <col min="4376" max="4376" width="13.7109375" bestFit="1" customWidth="1"/>
    <col min="4377" max="4377" width="25.140625" bestFit="1" customWidth="1"/>
    <col min="4378" max="4378" width="15.140625" bestFit="1" customWidth="1"/>
    <col min="4379" max="4379" width="21" bestFit="1" customWidth="1"/>
    <col min="4610" max="4610" width="14" bestFit="1" customWidth="1"/>
    <col min="4611" max="4611" width="13.140625" customWidth="1"/>
    <col min="4612" max="4612" width="14.85546875" customWidth="1"/>
    <col min="4614" max="4614" width="15.140625" bestFit="1" customWidth="1"/>
    <col min="4615" max="4615" width="19.28515625" bestFit="1" customWidth="1"/>
    <col min="4616" max="4616" width="8.28515625" bestFit="1" customWidth="1"/>
    <col min="4617" max="4617" width="4.85546875" bestFit="1" customWidth="1"/>
    <col min="4618" max="4618" width="13.28515625" customWidth="1"/>
    <col min="4619" max="4619" width="9.7109375" customWidth="1"/>
    <col min="4620" max="4620" width="11.85546875" customWidth="1"/>
    <col min="4621" max="4621" width="12.5703125" bestFit="1" customWidth="1"/>
    <col min="4622" max="4622" width="19.28515625" bestFit="1" customWidth="1"/>
    <col min="4623" max="4623" width="8.28515625" bestFit="1" customWidth="1"/>
    <col min="4624" max="4624" width="4.85546875" bestFit="1" customWidth="1"/>
    <col min="4625" max="4625" width="12" customWidth="1"/>
    <col min="4626" max="4626" width="8.28515625" customWidth="1"/>
    <col min="4627" max="4627" width="11.140625" customWidth="1"/>
    <col min="4628" max="4629" width="11.7109375" bestFit="1" customWidth="1"/>
    <col min="4630" max="4630" width="17.28515625" bestFit="1" customWidth="1"/>
    <col min="4631" max="4631" width="17.28515625" customWidth="1"/>
    <col min="4632" max="4632" width="13.7109375" bestFit="1" customWidth="1"/>
    <col min="4633" max="4633" width="25.140625" bestFit="1" customWidth="1"/>
    <col min="4634" max="4634" width="15.140625" bestFit="1" customWidth="1"/>
    <col min="4635" max="4635" width="21" bestFit="1" customWidth="1"/>
    <col min="4866" max="4866" width="14" bestFit="1" customWidth="1"/>
    <col min="4867" max="4867" width="13.140625" customWidth="1"/>
    <col min="4868" max="4868" width="14.85546875" customWidth="1"/>
    <col min="4870" max="4870" width="15.140625" bestFit="1" customWidth="1"/>
    <col min="4871" max="4871" width="19.28515625" bestFit="1" customWidth="1"/>
    <col min="4872" max="4872" width="8.28515625" bestFit="1" customWidth="1"/>
    <col min="4873" max="4873" width="4.85546875" bestFit="1" customWidth="1"/>
    <col min="4874" max="4874" width="13.28515625" customWidth="1"/>
    <col min="4875" max="4875" width="9.7109375" customWidth="1"/>
    <col min="4876" max="4876" width="11.85546875" customWidth="1"/>
    <col min="4877" max="4877" width="12.5703125" bestFit="1" customWidth="1"/>
    <col min="4878" max="4878" width="19.28515625" bestFit="1" customWidth="1"/>
    <col min="4879" max="4879" width="8.28515625" bestFit="1" customWidth="1"/>
    <col min="4880" max="4880" width="4.85546875" bestFit="1" customWidth="1"/>
    <col min="4881" max="4881" width="12" customWidth="1"/>
    <col min="4882" max="4882" width="8.28515625" customWidth="1"/>
    <col min="4883" max="4883" width="11.140625" customWidth="1"/>
    <col min="4884" max="4885" width="11.7109375" bestFit="1" customWidth="1"/>
    <col min="4886" max="4886" width="17.28515625" bestFit="1" customWidth="1"/>
    <col min="4887" max="4887" width="17.28515625" customWidth="1"/>
    <col min="4888" max="4888" width="13.7109375" bestFit="1" customWidth="1"/>
    <col min="4889" max="4889" width="25.140625" bestFit="1" customWidth="1"/>
    <col min="4890" max="4890" width="15.140625" bestFit="1" customWidth="1"/>
    <col min="4891" max="4891" width="21" bestFit="1" customWidth="1"/>
    <col min="5122" max="5122" width="14" bestFit="1" customWidth="1"/>
    <col min="5123" max="5123" width="13.140625" customWidth="1"/>
    <col min="5124" max="5124" width="14.85546875" customWidth="1"/>
    <col min="5126" max="5126" width="15.140625" bestFit="1" customWidth="1"/>
    <col min="5127" max="5127" width="19.28515625" bestFit="1" customWidth="1"/>
    <col min="5128" max="5128" width="8.28515625" bestFit="1" customWidth="1"/>
    <col min="5129" max="5129" width="4.85546875" bestFit="1" customWidth="1"/>
    <col min="5130" max="5130" width="13.28515625" customWidth="1"/>
    <col min="5131" max="5131" width="9.7109375" customWidth="1"/>
    <col min="5132" max="5132" width="11.85546875" customWidth="1"/>
    <col min="5133" max="5133" width="12.5703125" bestFit="1" customWidth="1"/>
    <col min="5134" max="5134" width="19.28515625" bestFit="1" customWidth="1"/>
    <col min="5135" max="5135" width="8.28515625" bestFit="1" customWidth="1"/>
    <col min="5136" max="5136" width="4.85546875" bestFit="1" customWidth="1"/>
    <col min="5137" max="5137" width="12" customWidth="1"/>
    <col min="5138" max="5138" width="8.28515625" customWidth="1"/>
    <col min="5139" max="5139" width="11.140625" customWidth="1"/>
    <col min="5140" max="5141" width="11.7109375" bestFit="1" customWidth="1"/>
    <col min="5142" max="5142" width="17.28515625" bestFit="1" customWidth="1"/>
    <col min="5143" max="5143" width="17.28515625" customWidth="1"/>
    <col min="5144" max="5144" width="13.7109375" bestFit="1" customWidth="1"/>
    <col min="5145" max="5145" width="25.140625" bestFit="1" customWidth="1"/>
    <col min="5146" max="5146" width="15.140625" bestFit="1" customWidth="1"/>
    <col min="5147" max="5147" width="21" bestFit="1" customWidth="1"/>
    <col min="5378" max="5378" width="14" bestFit="1" customWidth="1"/>
    <col min="5379" max="5379" width="13.140625" customWidth="1"/>
    <col min="5380" max="5380" width="14.85546875" customWidth="1"/>
    <col min="5382" max="5382" width="15.140625" bestFit="1" customWidth="1"/>
    <col min="5383" max="5383" width="19.28515625" bestFit="1" customWidth="1"/>
    <col min="5384" max="5384" width="8.28515625" bestFit="1" customWidth="1"/>
    <col min="5385" max="5385" width="4.85546875" bestFit="1" customWidth="1"/>
    <col min="5386" max="5386" width="13.28515625" customWidth="1"/>
    <col min="5387" max="5387" width="9.7109375" customWidth="1"/>
    <col min="5388" max="5388" width="11.85546875" customWidth="1"/>
    <col min="5389" max="5389" width="12.5703125" bestFit="1" customWidth="1"/>
    <col min="5390" max="5390" width="19.28515625" bestFit="1" customWidth="1"/>
    <col min="5391" max="5391" width="8.28515625" bestFit="1" customWidth="1"/>
    <col min="5392" max="5392" width="4.85546875" bestFit="1" customWidth="1"/>
    <col min="5393" max="5393" width="12" customWidth="1"/>
    <col min="5394" max="5394" width="8.28515625" customWidth="1"/>
    <col min="5395" max="5395" width="11.140625" customWidth="1"/>
    <col min="5396" max="5397" width="11.7109375" bestFit="1" customWidth="1"/>
    <col min="5398" max="5398" width="17.28515625" bestFit="1" customWidth="1"/>
    <col min="5399" max="5399" width="17.28515625" customWidth="1"/>
    <col min="5400" max="5400" width="13.7109375" bestFit="1" customWidth="1"/>
    <col min="5401" max="5401" width="25.140625" bestFit="1" customWidth="1"/>
    <col min="5402" max="5402" width="15.140625" bestFit="1" customWidth="1"/>
    <col min="5403" max="5403" width="21" bestFit="1" customWidth="1"/>
    <col min="5634" max="5634" width="14" bestFit="1" customWidth="1"/>
    <col min="5635" max="5635" width="13.140625" customWidth="1"/>
    <col min="5636" max="5636" width="14.85546875" customWidth="1"/>
    <col min="5638" max="5638" width="15.140625" bestFit="1" customWidth="1"/>
    <col min="5639" max="5639" width="19.28515625" bestFit="1" customWidth="1"/>
    <col min="5640" max="5640" width="8.28515625" bestFit="1" customWidth="1"/>
    <col min="5641" max="5641" width="4.85546875" bestFit="1" customWidth="1"/>
    <col min="5642" max="5642" width="13.28515625" customWidth="1"/>
    <col min="5643" max="5643" width="9.7109375" customWidth="1"/>
    <col min="5644" max="5644" width="11.85546875" customWidth="1"/>
    <col min="5645" max="5645" width="12.5703125" bestFit="1" customWidth="1"/>
    <col min="5646" max="5646" width="19.28515625" bestFit="1" customWidth="1"/>
    <col min="5647" max="5647" width="8.28515625" bestFit="1" customWidth="1"/>
    <col min="5648" max="5648" width="4.85546875" bestFit="1" customWidth="1"/>
    <col min="5649" max="5649" width="12" customWidth="1"/>
    <col min="5650" max="5650" width="8.28515625" customWidth="1"/>
    <col min="5651" max="5651" width="11.140625" customWidth="1"/>
    <col min="5652" max="5653" width="11.7109375" bestFit="1" customWidth="1"/>
    <col min="5654" max="5654" width="17.28515625" bestFit="1" customWidth="1"/>
    <col min="5655" max="5655" width="17.28515625" customWidth="1"/>
    <col min="5656" max="5656" width="13.7109375" bestFit="1" customWidth="1"/>
    <col min="5657" max="5657" width="25.140625" bestFit="1" customWidth="1"/>
    <col min="5658" max="5658" width="15.140625" bestFit="1" customWidth="1"/>
    <col min="5659" max="5659" width="21" bestFit="1" customWidth="1"/>
    <col min="5890" max="5890" width="14" bestFit="1" customWidth="1"/>
    <col min="5891" max="5891" width="13.140625" customWidth="1"/>
    <col min="5892" max="5892" width="14.85546875" customWidth="1"/>
    <col min="5894" max="5894" width="15.140625" bestFit="1" customWidth="1"/>
    <col min="5895" max="5895" width="19.28515625" bestFit="1" customWidth="1"/>
    <col min="5896" max="5896" width="8.28515625" bestFit="1" customWidth="1"/>
    <col min="5897" max="5897" width="4.85546875" bestFit="1" customWidth="1"/>
    <col min="5898" max="5898" width="13.28515625" customWidth="1"/>
    <col min="5899" max="5899" width="9.7109375" customWidth="1"/>
    <col min="5900" max="5900" width="11.85546875" customWidth="1"/>
    <col min="5901" max="5901" width="12.5703125" bestFit="1" customWidth="1"/>
    <col min="5902" max="5902" width="19.28515625" bestFit="1" customWidth="1"/>
    <col min="5903" max="5903" width="8.28515625" bestFit="1" customWidth="1"/>
    <col min="5904" max="5904" width="4.85546875" bestFit="1" customWidth="1"/>
    <col min="5905" max="5905" width="12" customWidth="1"/>
    <col min="5906" max="5906" width="8.28515625" customWidth="1"/>
    <col min="5907" max="5907" width="11.140625" customWidth="1"/>
    <col min="5908" max="5909" width="11.7109375" bestFit="1" customWidth="1"/>
    <col min="5910" max="5910" width="17.28515625" bestFit="1" customWidth="1"/>
    <col min="5911" max="5911" width="17.28515625" customWidth="1"/>
    <col min="5912" max="5912" width="13.7109375" bestFit="1" customWidth="1"/>
    <col min="5913" max="5913" width="25.140625" bestFit="1" customWidth="1"/>
    <col min="5914" max="5914" width="15.140625" bestFit="1" customWidth="1"/>
    <col min="5915" max="5915" width="21" bestFit="1" customWidth="1"/>
    <col min="6146" max="6146" width="14" bestFit="1" customWidth="1"/>
    <col min="6147" max="6147" width="13.140625" customWidth="1"/>
    <col min="6148" max="6148" width="14.85546875" customWidth="1"/>
    <col min="6150" max="6150" width="15.140625" bestFit="1" customWidth="1"/>
    <col min="6151" max="6151" width="19.28515625" bestFit="1" customWidth="1"/>
    <col min="6152" max="6152" width="8.28515625" bestFit="1" customWidth="1"/>
    <col min="6153" max="6153" width="4.85546875" bestFit="1" customWidth="1"/>
    <col min="6154" max="6154" width="13.28515625" customWidth="1"/>
    <col min="6155" max="6155" width="9.7109375" customWidth="1"/>
    <col min="6156" max="6156" width="11.85546875" customWidth="1"/>
    <col min="6157" max="6157" width="12.5703125" bestFit="1" customWidth="1"/>
    <col min="6158" max="6158" width="19.28515625" bestFit="1" customWidth="1"/>
    <col min="6159" max="6159" width="8.28515625" bestFit="1" customWidth="1"/>
    <col min="6160" max="6160" width="4.85546875" bestFit="1" customWidth="1"/>
    <col min="6161" max="6161" width="12" customWidth="1"/>
    <col min="6162" max="6162" width="8.28515625" customWidth="1"/>
    <col min="6163" max="6163" width="11.140625" customWidth="1"/>
    <col min="6164" max="6165" width="11.7109375" bestFit="1" customWidth="1"/>
    <col min="6166" max="6166" width="17.28515625" bestFit="1" customWidth="1"/>
    <col min="6167" max="6167" width="17.28515625" customWidth="1"/>
    <col min="6168" max="6168" width="13.7109375" bestFit="1" customWidth="1"/>
    <col min="6169" max="6169" width="25.140625" bestFit="1" customWidth="1"/>
    <col min="6170" max="6170" width="15.140625" bestFit="1" customWidth="1"/>
    <col min="6171" max="6171" width="21" bestFit="1" customWidth="1"/>
    <col min="6402" max="6402" width="14" bestFit="1" customWidth="1"/>
    <col min="6403" max="6403" width="13.140625" customWidth="1"/>
    <col min="6404" max="6404" width="14.85546875" customWidth="1"/>
    <col min="6406" max="6406" width="15.140625" bestFit="1" customWidth="1"/>
    <col min="6407" max="6407" width="19.28515625" bestFit="1" customWidth="1"/>
    <col min="6408" max="6408" width="8.28515625" bestFit="1" customWidth="1"/>
    <col min="6409" max="6409" width="4.85546875" bestFit="1" customWidth="1"/>
    <col min="6410" max="6410" width="13.28515625" customWidth="1"/>
    <col min="6411" max="6411" width="9.7109375" customWidth="1"/>
    <col min="6412" max="6412" width="11.85546875" customWidth="1"/>
    <col min="6413" max="6413" width="12.5703125" bestFit="1" customWidth="1"/>
    <col min="6414" max="6414" width="19.28515625" bestFit="1" customWidth="1"/>
    <col min="6415" max="6415" width="8.28515625" bestFit="1" customWidth="1"/>
    <col min="6416" max="6416" width="4.85546875" bestFit="1" customWidth="1"/>
    <col min="6417" max="6417" width="12" customWidth="1"/>
    <col min="6418" max="6418" width="8.28515625" customWidth="1"/>
    <col min="6419" max="6419" width="11.140625" customWidth="1"/>
    <col min="6420" max="6421" width="11.7109375" bestFit="1" customWidth="1"/>
    <col min="6422" max="6422" width="17.28515625" bestFit="1" customWidth="1"/>
    <col min="6423" max="6423" width="17.28515625" customWidth="1"/>
    <col min="6424" max="6424" width="13.7109375" bestFit="1" customWidth="1"/>
    <col min="6425" max="6425" width="25.140625" bestFit="1" customWidth="1"/>
    <col min="6426" max="6426" width="15.140625" bestFit="1" customWidth="1"/>
    <col min="6427" max="6427" width="21" bestFit="1" customWidth="1"/>
    <col min="6658" max="6658" width="14" bestFit="1" customWidth="1"/>
    <col min="6659" max="6659" width="13.140625" customWidth="1"/>
    <col min="6660" max="6660" width="14.85546875" customWidth="1"/>
    <col min="6662" max="6662" width="15.140625" bestFit="1" customWidth="1"/>
    <col min="6663" max="6663" width="19.28515625" bestFit="1" customWidth="1"/>
    <col min="6664" max="6664" width="8.28515625" bestFit="1" customWidth="1"/>
    <col min="6665" max="6665" width="4.85546875" bestFit="1" customWidth="1"/>
    <col min="6666" max="6666" width="13.28515625" customWidth="1"/>
    <col min="6667" max="6667" width="9.7109375" customWidth="1"/>
    <col min="6668" max="6668" width="11.85546875" customWidth="1"/>
    <col min="6669" max="6669" width="12.5703125" bestFit="1" customWidth="1"/>
    <col min="6670" max="6670" width="19.28515625" bestFit="1" customWidth="1"/>
    <col min="6671" max="6671" width="8.28515625" bestFit="1" customWidth="1"/>
    <col min="6672" max="6672" width="4.85546875" bestFit="1" customWidth="1"/>
    <col min="6673" max="6673" width="12" customWidth="1"/>
    <col min="6674" max="6674" width="8.28515625" customWidth="1"/>
    <col min="6675" max="6675" width="11.140625" customWidth="1"/>
    <col min="6676" max="6677" width="11.7109375" bestFit="1" customWidth="1"/>
    <col min="6678" max="6678" width="17.28515625" bestFit="1" customWidth="1"/>
    <col min="6679" max="6679" width="17.28515625" customWidth="1"/>
    <col min="6680" max="6680" width="13.7109375" bestFit="1" customWidth="1"/>
    <col min="6681" max="6681" width="25.140625" bestFit="1" customWidth="1"/>
    <col min="6682" max="6682" width="15.140625" bestFit="1" customWidth="1"/>
    <col min="6683" max="6683" width="21" bestFit="1" customWidth="1"/>
    <col min="6914" max="6914" width="14" bestFit="1" customWidth="1"/>
    <col min="6915" max="6915" width="13.140625" customWidth="1"/>
    <col min="6916" max="6916" width="14.85546875" customWidth="1"/>
    <col min="6918" max="6918" width="15.140625" bestFit="1" customWidth="1"/>
    <col min="6919" max="6919" width="19.28515625" bestFit="1" customWidth="1"/>
    <col min="6920" max="6920" width="8.28515625" bestFit="1" customWidth="1"/>
    <col min="6921" max="6921" width="4.85546875" bestFit="1" customWidth="1"/>
    <col min="6922" max="6922" width="13.28515625" customWidth="1"/>
    <col min="6923" max="6923" width="9.7109375" customWidth="1"/>
    <col min="6924" max="6924" width="11.85546875" customWidth="1"/>
    <col min="6925" max="6925" width="12.5703125" bestFit="1" customWidth="1"/>
    <col min="6926" max="6926" width="19.28515625" bestFit="1" customWidth="1"/>
    <col min="6927" max="6927" width="8.28515625" bestFit="1" customWidth="1"/>
    <col min="6928" max="6928" width="4.85546875" bestFit="1" customWidth="1"/>
    <col min="6929" max="6929" width="12" customWidth="1"/>
    <col min="6930" max="6930" width="8.28515625" customWidth="1"/>
    <col min="6931" max="6931" width="11.140625" customWidth="1"/>
    <col min="6932" max="6933" width="11.7109375" bestFit="1" customWidth="1"/>
    <col min="6934" max="6934" width="17.28515625" bestFit="1" customWidth="1"/>
    <col min="6935" max="6935" width="17.28515625" customWidth="1"/>
    <col min="6936" max="6936" width="13.7109375" bestFit="1" customWidth="1"/>
    <col min="6937" max="6937" width="25.140625" bestFit="1" customWidth="1"/>
    <col min="6938" max="6938" width="15.140625" bestFit="1" customWidth="1"/>
    <col min="6939" max="6939" width="21" bestFit="1" customWidth="1"/>
    <col min="7170" max="7170" width="14" bestFit="1" customWidth="1"/>
    <col min="7171" max="7171" width="13.140625" customWidth="1"/>
    <col min="7172" max="7172" width="14.85546875" customWidth="1"/>
    <col min="7174" max="7174" width="15.140625" bestFit="1" customWidth="1"/>
    <col min="7175" max="7175" width="19.28515625" bestFit="1" customWidth="1"/>
    <col min="7176" max="7176" width="8.28515625" bestFit="1" customWidth="1"/>
    <col min="7177" max="7177" width="4.85546875" bestFit="1" customWidth="1"/>
    <col min="7178" max="7178" width="13.28515625" customWidth="1"/>
    <col min="7179" max="7179" width="9.7109375" customWidth="1"/>
    <col min="7180" max="7180" width="11.85546875" customWidth="1"/>
    <col min="7181" max="7181" width="12.5703125" bestFit="1" customWidth="1"/>
    <col min="7182" max="7182" width="19.28515625" bestFit="1" customWidth="1"/>
    <col min="7183" max="7183" width="8.28515625" bestFit="1" customWidth="1"/>
    <col min="7184" max="7184" width="4.85546875" bestFit="1" customWidth="1"/>
    <col min="7185" max="7185" width="12" customWidth="1"/>
    <col min="7186" max="7186" width="8.28515625" customWidth="1"/>
    <col min="7187" max="7187" width="11.140625" customWidth="1"/>
    <col min="7188" max="7189" width="11.7109375" bestFit="1" customWidth="1"/>
    <col min="7190" max="7190" width="17.28515625" bestFit="1" customWidth="1"/>
    <col min="7191" max="7191" width="17.28515625" customWidth="1"/>
    <col min="7192" max="7192" width="13.7109375" bestFit="1" customWidth="1"/>
    <col min="7193" max="7193" width="25.140625" bestFit="1" customWidth="1"/>
    <col min="7194" max="7194" width="15.140625" bestFit="1" customWidth="1"/>
    <col min="7195" max="7195" width="21" bestFit="1" customWidth="1"/>
    <col min="7426" max="7426" width="14" bestFit="1" customWidth="1"/>
    <col min="7427" max="7427" width="13.140625" customWidth="1"/>
    <col min="7428" max="7428" width="14.85546875" customWidth="1"/>
    <col min="7430" max="7430" width="15.140625" bestFit="1" customWidth="1"/>
    <col min="7431" max="7431" width="19.28515625" bestFit="1" customWidth="1"/>
    <col min="7432" max="7432" width="8.28515625" bestFit="1" customWidth="1"/>
    <col min="7433" max="7433" width="4.85546875" bestFit="1" customWidth="1"/>
    <col min="7434" max="7434" width="13.28515625" customWidth="1"/>
    <col min="7435" max="7435" width="9.7109375" customWidth="1"/>
    <col min="7436" max="7436" width="11.85546875" customWidth="1"/>
    <col min="7437" max="7437" width="12.5703125" bestFit="1" customWidth="1"/>
    <col min="7438" max="7438" width="19.28515625" bestFit="1" customWidth="1"/>
    <col min="7439" max="7439" width="8.28515625" bestFit="1" customWidth="1"/>
    <col min="7440" max="7440" width="4.85546875" bestFit="1" customWidth="1"/>
    <col min="7441" max="7441" width="12" customWidth="1"/>
    <col min="7442" max="7442" width="8.28515625" customWidth="1"/>
    <col min="7443" max="7443" width="11.140625" customWidth="1"/>
    <col min="7444" max="7445" width="11.7109375" bestFit="1" customWidth="1"/>
    <col min="7446" max="7446" width="17.28515625" bestFit="1" customWidth="1"/>
    <col min="7447" max="7447" width="17.28515625" customWidth="1"/>
    <col min="7448" max="7448" width="13.7109375" bestFit="1" customWidth="1"/>
    <col min="7449" max="7449" width="25.140625" bestFit="1" customWidth="1"/>
    <col min="7450" max="7450" width="15.140625" bestFit="1" customWidth="1"/>
    <col min="7451" max="7451" width="21" bestFit="1" customWidth="1"/>
    <col min="7682" max="7682" width="14" bestFit="1" customWidth="1"/>
    <col min="7683" max="7683" width="13.140625" customWidth="1"/>
    <col min="7684" max="7684" width="14.85546875" customWidth="1"/>
    <col min="7686" max="7686" width="15.140625" bestFit="1" customWidth="1"/>
    <col min="7687" max="7687" width="19.28515625" bestFit="1" customWidth="1"/>
    <col min="7688" max="7688" width="8.28515625" bestFit="1" customWidth="1"/>
    <col min="7689" max="7689" width="4.85546875" bestFit="1" customWidth="1"/>
    <col min="7690" max="7690" width="13.28515625" customWidth="1"/>
    <col min="7691" max="7691" width="9.7109375" customWidth="1"/>
    <col min="7692" max="7692" width="11.85546875" customWidth="1"/>
    <col min="7693" max="7693" width="12.5703125" bestFit="1" customWidth="1"/>
    <col min="7694" max="7694" width="19.28515625" bestFit="1" customWidth="1"/>
    <col min="7695" max="7695" width="8.28515625" bestFit="1" customWidth="1"/>
    <col min="7696" max="7696" width="4.85546875" bestFit="1" customWidth="1"/>
    <col min="7697" max="7697" width="12" customWidth="1"/>
    <col min="7698" max="7698" width="8.28515625" customWidth="1"/>
    <col min="7699" max="7699" width="11.140625" customWidth="1"/>
    <col min="7700" max="7701" width="11.7109375" bestFit="1" customWidth="1"/>
    <col min="7702" max="7702" width="17.28515625" bestFit="1" customWidth="1"/>
    <col min="7703" max="7703" width="17.28515625" customWidth="1"/>
    <col min="7704" max="7704" width="13.7109375" bestFit="1" customWidth="1"/>
    <col min="7705" max="7705" width="25.140625" bestFit="1" customWidth="1"/>
    <col min="7706" max="7706" width="15.140625" bestFit="1" customWidth="1"/>
    <col min="7707" max="7707" width="21" bestFit="1" customWidth="1"/>
    <col min="7938" max="7938" width="14" bestFit="1" customWidth="1"/>
    <col min="7939" max="7939" width="13.140625" customWidth="1"/>
    <col min="7940" max="7940" width="14.85546875" customWidth="1"/>
    <col min="7942" max="7942" width="15.140625" bestFit="1" customWidth="1"/>
    <col min="7943" max="7943" width="19.28515625" bestFit="1" customWidth="1"/>
    <col min="7944" max="7944" width="8.28515625" bestFit="1" customWidth="1"/>
    <col min="7945" max="7945" width="4.85546875" bestFit="1" customWidth="1"/>
    <col min="7946" max="7946" width="13.28515625" customWidth="1"/>
    <col min="7947" max="7947" width="9.7109375" customWidth="1"/>
    <col min="7948" max="7948" width="11.85546875" customWidth="1"/>
    <col min="7949" max="7949" width="12.5703125" bestFit="1" customWidth="1"/>
    <col min="7950" max="7950" width="19.28515625" bestFit="1" customWidth="1"/>
    <col min="7951" max="7951" width="8.28515625" bestFit="1" customWidth="1"/>
    <col min="7952" max="7952" width="4.85546875" bestFit="1" customWidth="1"/>
    <col min="7953" max="7953" width="12" customWidth="1"/>
    <col min="7954" max="7954" width="8.28515625" customWidth="1"/>
    <col min="7955" max="7955" width="11.140625" customWidth="1"/>
    <col min="7956" max="7957" width="11.7109375" bestFit="1" customWidth="1"/>
    <col min="7958" max="7958" width="17.28515625" bestFit="1" customWidth="1"/>
    <col min="7959" max="7959" width="17.28515625" customWidth="1"/>
    <col min="7960" max="7960" width="13.7109375" bestFit="1" customWidth="1"/>
    <col min="7961" max="7961" width="25.140625" bestFit="1" customWidth="1"/>
    <col min="7962" max="7962" width="15.140625" bestFit="1" customWidth="1"/>
    <col min="7963" max="7963" width="21" bestFit="1" customWidth="1"/>
    <col min="8194" max="8194" width="14" bestFit="1" customWidth="1"/>
    <col min="8195" max="8195" width="13.140625" customWidth="1"/>
    <col min="8196" max="8196" width="14.85546875" customWidth="1"/>
    <col min="8198" max="8198" width="15.140625" bestFit="1" customWidth="1"/>
    <col min="8199" max="8199" width="19.28515625" bestFit="1" customWidth="1"/>
    <col min="8200" max="8200" width="8.28515625" bestFit="1" customWidth="1"/>
    <col min="8201" max="8201" width="4.85546875" bestFit="1" customWidth="1"/>
    <col min="8202" max="8202" width="13.28515625" customWidth="1"/>
    <col min="8203" max="8203" width="9.7109375" customWidth="1"/>
    <col min="8204" max="8204" width="11.85546875" customWidth="1"/>
    <col min="8205" max="8205" width="12.5703125" bestFit="1" customWidth="1"/>
    <col min="8206" max="8206" width="19.28515625" bestFit="1" customWidth="1"/>
    <col min="8207" max="8207" width="8.28515625" bestFit="1" customWidth="1"/>
    <col min="8208" max="8208" width="4.85546875" bestFit="1" customWidth="1"/>
    <col min="8209" max="8209" width="12" customWidth="1"/>
    <col min="8210" max="8210" width="8.28515625" customWidth="1"/>
    <col min="8211" max="8211" width="11.140625" customWidth="1"/>
    <col min="8212" max="8213" width="11.7109375" bestFit="1" customWidth="1"/>
    <col min="8214" max="8214" width="17.28515625" bestFit="1" customWidth="1"/>
    <col min="8215" max="8215" width="17.28515625" customWidth="1"/>
    <col min="8216" max="8216" width="13.7109375" bestFit="1" customWidth="1"/>
    <col min="8217" max="8217" width="25.140625" bestFit="1" customWidth="1"/>
    <col min="8218" max="8218" width="15.140625" bestFit="1" customWidth="1"/>
    <col min="8219" max="8219" width="21" bestFit="1" customWidth="1"/>
    <col min="8450" max="8450" width="14" bestFit="1" customWidth="1"/>
    <col min="8451" max="8451" width="13.140625" customWidth="1"/>
    <col min="8452" max="8452" width="14.85546875" customWidth="1"/>
    <col min="8454" max="8454" width="15.140625" bestFit="1" customWidth="1"/>
    <col min="8455" max="8455" width="19.28515625" bestFit="1" customWidth="1"/>
    <col min="8456" max="8456" width="8.28515625" bestFit="1" customWidth="1"/>
    <col min="8457" max="8457" width="4.85546875" bestFit="1" customWidth="1"/>
    <col min="8458" max="8458" width="13.28515625" customWidth="1"/>
    <col min="8459" max="8459" width="9.7109375" customWidth="1"/>
    <col min="8460" max="8460" width="11.85546875" customWidth="1"/>
    <col min="8461" max="8461" width="12.5703125" bestFit="1" customWidth="1"/>
    <col min="8462" max="8462" width="19.28515625" bestFit="1" customWidth="1"/>
    <col min="8463" max="8463" width="8.28515625" bestFit="1" customWidth="1"/>
    <col min="8464" max="8464" width="4.85546875" bestFit="1" customWidth="1"/>
    <col min="8465" max="8465" width="12" customWidth="1"/>
    <col min="8466" max="8466" width="8.28515625" customWidth="1"/>
    <col min="8467" max="8467" width="11.140625" customWidth="1"/>
    <col min="8468" max="8469" width="11.7109375" bestFit="1" customWidth="1"/>
    <col min="8470" max="8470" width="17.28515625" bestFit="1" customWidth="1"/>
    <col min="8471" max="8471" width="17.28515625" customWidth="1"/>
    <col min="8472" max="8472" width="13.7109375" bestFit="1" customWidth="1"/>
    <col min="8473" max="8473" width="25.140625" bestFit="1" customWidth="1"/>
    <col min="8474" max="8474" width="15.140625" bestFit="1" customWidth="1"/>
    <col min="8475" max="8475" width="21" bestFit="1" customWidth="1"/>
    <col min="8706" max="8706" width="14" bestFit="1" customWidth="1"/>
    <col min="8707" max="8707" width="13.140625" customWidth="1"/>
    <col min="8708" max="8708" width="14.85546875" customWidth="1"/>
    <col min="8710" max="8710" width="15.140625" bestFit="1" customWidth="1"/>
    <col min="8711" max="8711" width="19.28515625" bestFit="1" customWidth="1"/>
    <col min="8712" max="8712" width="8.28515625" bestFit="1" customWidth="1"/>
    <col min="8713" max="8713" width="4.85546875" bestFit="1" customWidth="1"/>
    <col min="8714" max="8714" width="13.28515625" customWidth="1"/>
    <col min="8715" max="8715" width="9.7109375" customWidth="1"/>
    <col min="8716" max="8716" width="11.85546875" customWidth="1"/>
    <col min="8717" max="8717" width="12.5703125" bestFit="1" customWidth="1"/>
    <col min="8718" max="8718" width="19.28515625" bestFit="1" customWidth="1"/>
    <col min="8719" max="8719" width="8.28515625" bestFit="1" customWidth="1"/>
    <col min="8720" max="8720" width="4.85546875" bestFit="1" customWidth="1"/>
    <col min="8721" max="8721" width="12" customWidth="1"/>
    <col min="8722" max="8722" width="8.28515625" customWidth="1"/>
    <col min="8723" max="8723" width="11.140625" customWidth="1"/>
    <col min="8724" max="8725" width="11.7109375" bestFit="1" customWidth="1"/>
    <col min="8726" max="8726" width="17.28515625" bestFit="1" customWidth="1"/>
    <col min="8727" max="8727" width="17.28515625" customWidth="1"/>
    <col min="8728" max="8728" width="13.7109375" bestFit="1" customWidth="1"/>
    <col min="8729" max="8729" width="25.140625" bestFit="1" customWidth="1"/>
    <col min="8730" max="8730" width="15.140625" bestFit="1" customWidth="1"/>
    <col min="8731" max="8731" width="21" bestFit="1" customWidth="1"/>
    <col min="8962" max="8962" width="14" bestFit="1" customWidth="1"/>
    <col min="8963" max="8963" width="13.140625" customWidth="1"/>
    <col min="8964" max="8964" width="14.85546875" customWidth="1"/>
    <col min="8966" max="8966" width="15.140625" bestFit="1" customWidth="1"/>
    <col min="8967" max="8967" width="19.28515625" bestFit="1" customWidth="1"/>
    <col min="8968" max="8968" width="8.28515625" bestFit="1" customWidth="1"/>
    <col min="8969" max="8969" width="4.85546875" bestFit="1" customWidth="1"/>
    <col min="8970" max="8970" width="13.28515625" customWidth="1"/>
    <col min="8971" max="8971" width="9.7109375" customWidth="1"/>
    <col min="8972" max="8972" width="11.85546875" customWidth="1"/>
    <col min="8973" max="8973" width="12.5703125" bestFit="1" customWidth="1"/>
    <col min="8974" max="8974" width="19.28515625" bestFit="1" customWidth="1"/>
    <col min="8975" max="8975" width="8.28515625" bestFit="1" customWidth="1"/>
    <col min="8976" max="8976" width="4.85546875" bestFit="1" customWidth="1"/>
    <col min="8977" max="8977" width="12" customWidth="1"/>
    <col min="8978" max="8978" width="8.28515625" customWidth="1"/>
    <col min="8979" max="8979" width="11.140625" customWidth="1"/>
    <col min="8980" max="8981" width="11.7109375" bestFit="1" customWidth="1"/>
    <col min="8982" max="8982" width="17.28515625" bestFit="1" customWidth="1"/>
    <col min="8983" max="8983" width="17.28515625" customWidth="1"/>
    <col min="8984" max="8984" width="13.7109375" bestFit="1" customWidth="1"/>
    <col min="8985" max="8985" width="25.140625" bestFit="1" customWidth="1"/>
    <col min="8986" max="8986" width="15.140625" bestFit="1" customWidth="1"/>
    <col min="8987" max="8987" width="21" bestFit="1" customWidth="1"/>
    <col min="9218" max="9218" width="14" bestFit="1" customWidth="1"/>
    <col min="9219" max="9219" width="13.140625" customWidth="1"/>
    <col min="9220" max="9220" width="14.85546875" customWidth="1"/>
    <col min="9222" max="9222" width="15.140625" bestFit="1" customWidth="1"/>
    <col min="9223" max="9223" width="19.28515625" bestFit="1" customWidth="1"/>
    <col min="9224" max="9224" width="8.28515625" bestFit="1" customWidth="1"/>
    <col min="9225" max="9225" width="4.85546875" bestFit="1" customWidth="1"/>
    <col min="9226" max="9226" width="13.28515625" customWidth="1"/>
    <col min="9227" max="9227" width="9.7109375" customWidth="1"/>
    <col min="9228" max="9228" width="11.85546875" customWidth="1"/>
    <col min="9229" max="9229" width="12.5703125" bestFit="1" customWidth="1"/>
    <col min="9230" max="9230" width="19.28515625" bestFit="1" customWidth="1"/>
    <col min="9231" max="9231" width="8.28515625" bestFit="1" customWidth="1"/>
    <col min="9232" max="9232" width="4.85546875" bestFit="1" customWidth="1"/>
    <col min="9233" max="9233" width="12" customWidth="1"/>
    <col min="9234" max="9234" width="8.28515625" customWidth="1"/>
    <col min="9235" max="9235" width="11.140625" customWidth="1"/>
    <col min="9236" max="9237" width="11.7109375" bestFit="1" customWidth="1"/>
    <col min="9238" max="9238" width="17.28515625" bestFit="1" customWidth="1"/>
    <col min="9239" max="9239" width="17.28515625" customWidth="1"/>
    <col min="9240" max="9240" width="13.7109375" bestFit="1" customWidth="1"/>
    <col min="9241" max="9241" width="25.140625" bestFit="1" customWidth="1"/>
    <col min="9242" max="9242" width="15.140625" bestFit="1" customWidth="1"/>
    <col min="9243" max="9243" width="21" bestFit="1" customWidth="1"/>
    <col min="9474" max="9474" width="14" bestFit="1" customWidth="1"/>
    <col min="9475" max="9475" width="13.140625" customWidth="1"/>
    <col min="9476" max="9476" width="14.85546875" customWidth="1"/>
    <col min="9478" max="9478" width="15.140625" bestFit="1" customWidth="1"/>
    <col min="9479" max="9479" width="19.28515625" bestFit="1" customWidth="1"/>
    <col min="9480" max="9480" width="8.28515625" bestFit="1" customWidth="1"/>
    <col min="9481" max="9481" width="4.85546875" bestFit="1" customWidth="1"/>
    <col min="9482" max="9482" width="13.28515625" customWidth="1"/>
    <col min="9483" max="9483" width="9.7109375" customWidth="1"/>
    <col min="9484" max="9484" width="11.85546875" customWidth="1"/>
    <col min="9485" max="9485" width="12.5703125" bestFit="1" customWidth="1"/>
    <col min="9486" max="9486" width="19.28515625" bestFit="1" customWidth="1"/>
    <col min="9487" max="9487" width="8.28515625" bestFit="1" customWidth="1"/>
    <col min="9488" max="9488" width="4.85546875" bestFit="1" customWidth="1"/>
    <col min="9489" max="9489" width="12" customWidth="1"/>
    <col min="9490" max="9490" width="8.28515625" customWidth="1"/>
    <col min="9491" max="9491" width="11.140625" customWidth="1"/>
    <col min="9492" max="9493" width="11.7109375" bestFit="1" customWidth="1"/>
    <col min="9494" max="9494" width="17.28515625" bestFit="1" customWidth="1"/>
    <col min="9495" max="9495" width="17.28515625" customWidth="1"/>
    <col min="9496" max="9496" width="13.7109375" bestFit="1" customWidth="1"/>
    <col min="9497" max="9497" width="25.140625" bestFit="1" customWidth="1"/>
    <col min="9498" max="9498" width="15.140625" bestFit="1" customWidth="1"/>
    <col min="9499" max="9499" width="21" bestFit="1" customWidth="1"/>
    <col min="9730" max="9730" width="14" bestFit="1" customWidth="1"/>
    <col min="9731" max="9731" width="13.140625" customWidth="1"/>
    <col min="9732" max="9732" width="14.85546875" customWidth="1"/>
    <col min="9734" max="9734" width="15.140625" bestFit="1" customWidth="1"/>
    <col min="9735" max="9735" width="19.28515625" bestFit="1" customWidth="1"/>
    <col min="9736" max="9736" width="8.28515625" bestFit="1" customWidth="1"/>
    <col min="9737" max="9737" width="4.85546875" bestFit="1" customWidth="1"/>
    <col min="9738" max="9738" width="13.28515625" customWidth="1"/>
    <col min="9739" max="9739" width="9.7109375" customWidth="1"/>
    <col min="9740" max="9740" width="11.85546875" customWidth="1"/>
    <col min="9741" max="9741" width="12.5703125" bestFit="1" customWidth="1"/>
    <col min="9742" max="9742" width="19.28515625" bestFit="1" customWidth="1"/>
    <col min="9743" max="9743" width="8.28515625" bestFit="1" customWidth="1"/>
    <col min="9744" max="9744" width="4.85546875" bestFit="1" customWidth="1"/>
    <col min="9745" max="9745" width="12" customWidth="1"/>
    <col min="9746" max="9746" width="8.28515625" customWidth="1"/>
    <col min="9747" max="9747" width="11.140625" customWidth="1"/>
    <col min="9748" max="9749" width="11.7109375" bestFit="1" customWidth="1"/>
    <col min="9750" max="9750" width="17.28515625" bestFit="1" customWidth="1"/>
    <col min="9751" max="9751" width="17.28515625" customWidth="1"/>
    <col min="9752" max="9752" width="13.7109375" bestFit="1" customWidth="1"/>
    <col min="9753" max="9753" width="25.140625" bestFit="1" customWidth="1"/>
    <col min="9754" max="9754" width="15.140625" bestFit="1" customWidth="1"/>
    <col min="9755" max="9755" width="21" bestFit="1" customWidth="1"/>
    <col min="9986" max="9986" width="14" bestFit="1" customWidth="1"/>
    <col min="9987" max="9987" width="13.140625" customWidth="1"/>
    <col min="9988" max="9988" width="14.85546875" customWidth="1"/>
    <col min="9990" max="9990" width="15.140625" bestFit="1" customWidth="1"/>
    <col min="9991" max="9991" width="19.28515625" bestFit="1" customWidth="1"/>
    <col min="9992" max="9992" width="8.28515625" bestFit="1" customWidth="1"/>
    <col min="9993" max="9993" width="4.85546875" bestFit="1" customWidth="1"/>
    <col min="9994" max="9994" width="13.28515625" customWidth="1"/>
    <col min="9995" max="9995" width="9.7109375" customWidth="1"/>
    <col min="9996" max="9996" width="11.85546875" customWidth="1"/>
    <col min="9997" max="9997" width="12.5703125" bestFit="1" customWidth="1"/>
    <col min="9998" max="9998" width="19.28515625" bestFit="1" customWidth="1"/>
    <col min="9999" max="9999" width="8.28515625" bestFit="1" customWidth="1"/>
    <col min="10000" max="10000" width="4.85546875" bestFit="1" customWidth="1"/>
    <col min="10001" max="10001" width="12" customWidth="1"/>
    <col min="10002" max="10002" width="8.28515625" customWidth="1"/>
    <col min="10003" max="10003" width="11.140625" customWidth="1"/>
    <col min="10004" max="10005" width="11.7109375" bestFit="1" customWidth="1"/>
    <col min="10006" max="10006" width="17.28515625" bestFit="1" customWidth="1"/>
    <col min="10007" max="10007" width="17.28515625" customWidth="1"/>
    <col min="10008" max="10008" width="13.7109375" bestFit="1" customWidth="1"/>
    <col min="10009" max="10009" width="25.140625" bestFit="1" customWidth="1"/>
    <col min="10010" max="10010" width="15.140625" bestFit="1" customWidth="1"/>
    <col min="10011" max="10011" width="21" bestFit="1" customWidth="1"/>
    <col min="10242" max="10242" width="14" bestFit="1" customWidth="1"/>
    <col min="10243" max="10243" width="13.140625" customWidth="1"/>
    <col min="10244" max="10244" width="14.85546875" customWidth="1"/>
    <col min="10246" max="10246" width="15.140625" bestFit="1" customWidth="1"/>
    <col min="10247" max="10247" width="19.28515625" bestFit="1" customWidth="1"/>
    <col min="10248" max="10248" width="8.28515625" bestFit="1" customWidth="1"/>
    <col min="10249" max="10249" width="4.85546875" bestFit="1" customWidth="1"/>
    <col min="10250" max="10250" width="13.28515625" customWidth="1"/>
    <col min="10251" max="10251" width="9.7109375" customWidth="1"/>
    <col min="10252" max="10252" width="11.85546875" customWidth="1"/>
    <col min="10253" max="10253" width="12.5703125" bestFit="1" customWidth="1"/>
    <col min="10254" max="10254" width="19.28515625" bestFit="1" customWidth="1"/>
    <col min="10255" max="10255" width="8.28515625" bestFit="1" customWidth="1"/>
    <col min="10256" max="10256" width="4.85546875" bestFit="1" customWidth="1"/>
    <col min="10257" max="10257" width="12" customWidth="1"/>
    <col min="10258" max="10258" width="8.28515625" customWidth="1"/>
    <col min="10259" max="10259" width="11.140625" customWidth="1"/>
    <col min="10260" max="10261" width="11.7109375" bestFit="1" customWidth="1"/>
    <col min="10262" max="10262" width="17.28515625" bestFit="1" customWidth="1"/>
    <col min="10263" max="10263" width="17.28515625" customWidth="1"/>
    <col min="10264" max="10264" width="13.7109375" bestFit="1" customWidth="1"/>
    <col min="10265" max="10265" width="25.140625" bestFit="1" customWidth="1"/>
    <col min="10266" max="10266" width="15.140625" bestFit="1" customWidth="1"/>
    <col min="10267" max="10267" width="21" bestFit="1" customWidth="1"/>
    <col min="10498" max="10498" width="14" bestFit="1" customWidth="1"/>
    <col min="10499" max="10499" width="13.140625" customWidth="1"/>
    <col min="10500" max="10500" width="14.85546875" customWidth="1"/>
    <col min="10502" max="10502" width="15.140625" bestFit="1" customWidth="1"/>
    <col min="10503" max="10503" width="19.28515625" bestFit="1" customWidth="1"/>
    <col min="10504" max="10504" width="8.28515625" bestFit="1" customWidth="1"/>
    <col min="10505" max="10505" width="4.85546875" bestFit="1" customWidth="1"/>
    <col min="10506" max="10506" width="13.28515625" customWidth="1"/>
    <col min="10507" max="10507" width="9.7109375" customWidth="1"/>
    <col min="10508" max="10508" width="11.85546875" customWidth="1"/>
    <col min="10509" max="10509" width="12.5703125" bestFit="1" customWidth="1"/>
    <col min="10510" max="10510" width="19.28515625" bestFit="1" customWidth="1"/>
    <col min="10511" max="10511" width="8.28515625" bestFit="1" customWidth="1"/>
    <col min="10512" max="10512" width="4.85546875" bestFit="1" customWidth="1"/>
    <col min="10513" max="10513" width="12" customWidth="1"/>
    <col min="10514" max="10514" width="8.28515625" customWidth="1"/>
    <col min="10515" max="10515" width="11.140625" customWidth="1"/>
    <col min="10516" max="10517" width="11.7109375" bestFit="1" customWidth="1"/>
    <col min="10518" max="10518" width="17.28515625" bestFit="1" customWidth="1"/>
    <col min="10519" max="10519" width="17.28515625" customWidth="1"/>
    <col min="10520" max="10520" width="13.7109375" bestFit="1" customWidth="1"/>
    <col min="10521" max="10521" width="25.140625" bestFit="1" customWidth="1"/>
    <col min="10522" max="10522" width="15.140625" bestFit="1" customWidth="1"/>
    <col min="10523" max="10523" width="21" bestFit="1" customWidth="1"/>
    <col min="10754" max="10754" width="14" bestFit="1" customWidth="1"/>
    <col min="10755" max="10755" width="13.140625" customWidth="1"/>
    <col min="10756" max="10756" width="14.85546875" customWidth="1"/>
    <col min="10758" max="10758" width="15.140625" bestFit="1" customWidth="1"/>
    <col min="10759" max="10759" width="19.28515625" bestFit="1" customWidth="1"/>
    <col min="10760" max="10760" width="8.28515625" bestFit="1" customWidth="1"/>
    <col min="10761" max="10761" width="4.85546875" bestFit="1" customWidth="1"/>
    <col min="10762" max="10762" width="13.28515625" customWidth="1"/>
    <col min="10763" max="10763" width="9.7109375" customWidth="1"/>
    <col min="10764" max="10764" width="11.85546875" customWidth="1"/>
    <col min="10765" max="10765" width="12.5703125" bestFit="1" customWidth="1"/>
    <col min="10766" max="10766" width="19.28515625" bestFit="1" customWidth="1"/>
    <col min="10767" max="10767" width="8.28515625" bestFit="1" customWidth="1"/>
    <col min="10768" max="10768" width="4.85546875" bestFit="1" customWidth="1"/>
    <col min="10769" max="10769" width="12" customWidth="1"/>
    <col min="10770" max="10770" width="8.28515625" customWidth="1"/>
    <col min="10771" max="10771" width="11.140625" customWidth="1"/>
    <col min="10772" max="10773" width="11.7109375" bestFit="1" customWidth="1"/>
    <col min="10774" max="10774" width="17.28515625" bestFit="1" customWidth="1"/>
    <col min="10775" max="10775" width="17.28515625" customWidth="1"/>
    <col min="10776" max="10776" width="13.7109375" bestFit="1" customWidth="1"/>
    <col min="10777" max="10777" width="25.140625" bestFit="1" customWidth="1"/>
    <col min="10778" max="10778" width="15.140625" bestFit="1" customWidth="1"/>
    <col min="10779" max="10779" width="21" bestFit="1" customWidth="1"/>
    <col min="11010" max="11010" width="14" bestFit="1" customWidth="1"/>
    <col min="11011" max="11011" width="13.140625" customWidth="1"/>
    <col min="11012" max="11012" width="14.85546875" customWidth="1"/>
    <col min="11014" max="11014" width="15.140625" bestFit="1" customWidth="1"/>
    <col min="11015" max="11015" width="19.28515625" bestFit="1" customWidth="1"/>
    <col min="11016" max="11016" width="8.28515625" bestFit="1" customWidth="1"/>
    <col min="11017" max="11017" width="4.85546875" bestFit="1" customWidth="1"/>
    <col min="11018" max="11018" width="13.28515625" customWidth="1"/>
    <col min="11019" max="11019" width="9.7109375" customWidth="1"/>
    <col min="11020" max="11020" width="11.85546875" customWidth="1"/>
    <col min="11021" max="11021" width="12.5703125" bestFit="1" customWidth="1"/>
    <col min="11022" max="11022" width="19.28515625" bestFit="1" customWidth="1"/>
    <col min="11023" max="11023" width="8.28515625" bestFit="1" customWidth="1"/>
    <col min="11024" max="11024" width="4.85546875" bestFit="1" customWidth="1"/>
    <col min="11025" max="11025" width="12" customWidth="1"/>
    <col min="11026" max="11026" width="8.28515625" customWidth="1"/>
    <col min="11027" max="11027" width="11.140625" customWidth="1"/>
    <col min="11028" max="11029" width="11.7109375" bestFit="1" customWidth="1"/>
    <col min="11030" max="11030" width="17.28515625" bestFit="1" customWidth="1"/>
    <col min="11031" max="11031" width="17.28515625" customWidth="1"/>
    <col min="11032" max="11032" width="13.7109375" bestFit="1" customWidth="1"/>
    <col min="11033" max="11033" width="25.140625" bestFit="1" customWidth="1"/>
    <col min="11034" max="11034" width="15.140625" bestFit="1" customWidth="1"/>
    <col min="11035" max="11035" width="21" bestFit="1" customWidth="1"/>
    <col min="11266" max="11266" width="14" bestFit="1" customWidth="1"/>
    <col min="11267" max="11267" width="13.140625" customWidth="1"/>
    <col min="11268" max="11268" width="14.85546875" customWidth="1"/>
    <col min="11270" max="11270" width="15.140625" bestFit="1" customWidth="1"/>
    <col min="11271" max="11271" width="19.28515625" bestFit="1" customWidth="1"/>
    <col min="11272" max="11272" width="8.28515625" bestFit="1" customWidth="1"/>
    <col min="11273" max="11273" width="4.85546875" bestFit="1" customWidth="1"/>
    <col min="11274" max="11274" width="13.28515625" customWidth="1"/>
    <col min="11275" max="11275" width="9.7109375" customWidth="1"/>
    <col min="11276" max="11276" width="11.85546875" customWidth="1"/>
    <col min="11277" max="11277" width="12.5703125" bestFit="1" customWidth="1"/>
    <col min="11278" max="11278" width="19.28515625" bestFit="1" customWidth="1"/>
    <col min="11279" max="11279" width="8.28515625" bestFit="1" customWidth="1"/>
    <col min="11280" max="11280" width="4.85546875" bestFit="1" customWidth="1"/>
    <col min="11281" max="11281" width="12" customWidth="1"/>
    <col min="11282" max="11282" width="8.28515625" customWidth="1"/>
    <col min="11283" max="11283" width="11.140625" customWidth="1"/>
    <col min="11284" max="11285" width="11.7109375" bestFit="1" customWidth="1"/>
    <col min="11286" max="11286" width="17.28515625" bestFit="1" customWidth="1"/>
    <col min="11287" max="11287" width="17.28515625" customWidth="1"/>
    <col min="11288" max="11288" width="13.7109375" bestFit="1" customWidth="1"/>
    <col min="11289" max="11289" width="25.140625" bestFit="1" customWidth="1"/>
    <col min="11290" max="11290" width="15.140625" bestFit="1" customWidth="1"/>
    <col min="11291" max="11291" width="21" bestFit="1" customWidth="1"/>
    <col min="11522" max="11522" width="14" bestFit="1" customWidth="1"/>
    <col min="11523" max="11523" width="13.140625" customWidth="1"/>
    <col min="11524" max="11524" width="14.85546875" customWidth="1"/>
    <col min="11526" max="11526" width="15.140625" bestFit="1" customWidth="1"/>
    <col min="11527" max="11527" width="19.28515625" bestFit="1" customWidth="1"/>
    <col min="11528" max="11528" width="8.28515625" bestFit="1" customWidth="1"/>
    <col min="11529" max="11529" width="4.85546875" bestFit="1" customWidth="1"/>
    <col min="11530" max="11530" width="13.28515625" customWidth="1"/>
    <col min="11531" max="11531" width="9.7109375" customWidth="1"/>
    <col min="11532" max="11532" width="11.85546875" customWidth="1"/>
    <col min="11533" max="11533" width="12.5703125" bestFit="1" customWidth="1"/>
    <col min="11534" max="11534" width="19.28515625" bestFit="1" customWidth="1"/>
    <col min="11535" max="11535" width="8.28515625" bestFit="1" customWidth="1"/>
    <col min="11536" max="11536" width="4.85546875" bestFit="1" customWidth="1"/>
    <col min="11537" max="11537" width="12" customWidth="1"/>
    <col min="11538" max="11538" width="8.28515625" customWidth="1"/>
    <col min="11539" max="11539" width="11.140625" customWidth="1"/>
    <col min="11540" max="11541" width="11.7109375" bestFit="1" customWidth="1"/>
    <col min="11542" max="11542" width="17.28515625" bestFit="1" customWidth="1"/>
    <col min="11543" max="11543" width="17.28515625" customWidth="1"/>
    <col min="11544" max="11544" width="13.7109375" bestFit="1" customWidth="1"/>
    <col min="11545" max="11545" width="25.140625" bestFit="1" customWidth="1"/>
    <col min="11546" max="11546" width="15.140625" bestFit="1" customWidth="1"/>
    <col min="11547" max="11547" width="21" bestFit="1" customWidth="1"/>
    <col min="11778" max="11778" width="14" bestFit="1" customWidth="1"/>
    <col min="11779" max="11779" width="13.140625" customWidth="1"/>
    <col min="11780" max="11780" width="14.85546875" customWidth="1"/>
    <col min="11782" max="11782" width="15.140625" bestFit="1" customWidth="1"/>
    <col min="11783" max="11783" width="19.28515625" bestFit="1" customWidth="1"/>
    <col min="11784" max="11784" width="8.28515625" bestFit="1" customWidth="1"/>
    <col min="11785" max="11785" width="4.85546875" bestFit="1" customWidth="1"/>
    <col min="11786" max="11786" width="13.28515625" customWidth="1"/>
    <col min="11787" max="11787" width="9.7109375" customWidth="1"/>
    <col min="11788" max="11788" width="11.85546875" customWidth="1"/>
    <col min="11789" max="11789" width="12.5703125" bestFit="1" customWidth="1"/>
    <col min="11790" max="11790" width="19.28515625" bestFit="1" customWidth="1"/>
    <col min="11791" max="11791" width="8.28515625" bestFit="1" customWidth="1"/>
    <col min="11792" max="11792" width="4.85546875" bestFit="1" customWidth="1"/>
    <col min="11793" max="11793" width="12" customWidth="1"/>
    <col min="11794" max="11794" width="8.28515625" customWidth="1"/>
    <col min="11795" max="11795" width="11.140625" customWidth="1"/>
    <col min="11796" max="11797" width="11.7109375" bestFit="1" customWidth="1"/>
    <col min="11798" max="11798" width="17.28515625" bestFit="1" customWidth="1"/>
    <col min="11799" max="11799" width="17.28515625" customWidth="1"/>
    <col min="11800" max="11800" width="13.7109375" bestFit="1" customWidth="1"/>
    <col min="11801" max="11801" width="25.140625" bestFit="1" customWidth="1"/>
    <col min="11802" max="11802" width="15.140625" bestFit="1" customWidth="1"/>
    <col min="11803" max="11803" width="21" bestFit="1" customWidth="1"/>
    <col min="12034" max="12034" width="14" bestFit="1" customWidth="1"/>
    <col min="12035" max="12035" width="13.140625" customWidth="1"/>
    <col min="12036" max="12036" width="14.85546875" customWidth="1"/>
    <col min="12038" max="12038" width="15.140625" bestFit="1" customWidth="1"/>
    <col min="12039" max="12039" width="19.28515625" bestFit="1" customWidth="1"/>
    <col min="12040" max="12040" width="8.28515625" bestFit="1" customWidth="1"/>
    <col min="12041" max="12041" width="4.85546875" bestFit="1" customWidth="1"/>
    <col min="12042" max="12042" width="13.28515625" customWidth="1"/>
    <col min="12043" max="12043" width="9.7109375" customWidth="1"/>
    <col min="12044" max="12044" width="11.85546875" customWidth="1"/>
    <col min="12045" max="12045" width="12.5703125" bestFit="1" customWidth="1"/>
    <col min="12046" max="12046" width="19.28515625" bestFit="1" customWidth="1"/>
    <col min="12047" max="12047" width="8.28515625" bestFit="1" customWidth="1"/>
    <col min="12048" max="12048" width="4.85546875" bestFit="1" customWidth="1"/>
    <col min="12049" max="12049" width="12" customWidth="1"/>
    <col min="12050" max="12050" width="8.28515625" customWidth="1"/>
    <col min="12051" max="12051" width="11.140625" customWidth="1"/>
    <col min="12052" max="12053" width="11.7109375" bestFit="1" customWidth="1"/>
    <col min="12054" max="12054" width="17.28515625" bestFit="1" customWidth="1"/>
    <col min="12055" max="12055" width="17.28515625" customWidth="1"/>
    <col min="12056" max="12056" width="13.7109375" bestFit="1" customWidth="1"/>
    <col min="12057" max="12057" width="25.140625" bestFit="1" customWidth="1"/>
    <col min="12058" max="12058" width="15.140625" bestFit="1" customWidth="1"/>
    <col min="12059" max="12059" width="21" bestFit="1" customWidth="1"/>
    <col min="12290" max="12290" width="14" bestFit="1" customWidth="1"/>
    <col min="12291" max="12291" width="13.140625" customWidth="1"/>
    <col min="12292" max="12292" width="14.85546875" customWidth="1"/>
    <col min="12294" max="12294" width="15.140625" bestFit="1" customWidth="1"/>
    <col min="12295" max="12295" width="19.28515625" bestFit="1" customWidth="1"/>
    <col min="12296" max="12296" width="8.28515625" bestFit="1" customWidth="1"/>
    <col min="12297" max="12297" width="4.85546875" bestFit="1" customWidth="1"/>
    <col min="12298" max="12298" width="13.28515625" customWidth="1"/>
    <col min="12299" max="12299" width="9.7109375" customWidth="1"/>
    <col min="12300" max="12300" width="11.85546875" customWidth="1"/>
    <col min="12301" max="12301" width="12.5703125" bestFit="1" customWidth="1"/>
    <col min="12302" max="12302" width="19.28515625" bestFit="1" customWidth="1"/>
    <col min="12303" max="12303" width="8.28515625" bestFit="1" customWidth="1"/>
    <col min="12304" max="12304" width="4.85546875" bestFit="1" customWidth="1"/>
    <col min="12305" max="12305" width="12" customWidth="1"/>
    <col min="12306" max="12306" width="8.28515625" customWidth="1"/>
    <col min="12307" max="12307" width="11.140625" customWidth="1"/>
    <col min="12308" max="12309" width="11.7109375" bestFit="1" customWidth="1"/>
    <col min="12310" max="12310" width="17.28515625" bestFit="1" customWidth="1"/>
    <col min="12311" max="12311" width="17.28515625" customWidth="1"/>
    <col min="12312" max="12312" width="13.7109375" bestFit="1" customWidth="1"/>
    <col min="12313" max="12313" width="25.140625" bestFit="1" customWidth="1"/>
    <col min="12314" max="12314" width="15.140625" bestFit="1" customWidth="1"/>
    <col min="12315" max="12315" width="21" bestFit="1" customWidth="1"/>
    <col min="12546" max="12546" width="14" bestFit="1" customWidth="1"/>
    <col min="12547" max="12547" width="13.140625" customWidth="1"/>
    <col min="12548" max="12548" width="14.85546875" customWidth="1"/>
    <col min="12550" max="12550" width="15.140625" bestFit="1" customWidth="1"/>
    <col min="12551" max="12551" width="19.28515625" bestFit="1" customWidth="1"/>
    <col min="12552" max="12552" width="8.28515625" bestFit="1" customWidth="1"/>
    <col min="12553" max="12553" width="4.85546875" bestFit="1" customWidth="1"/>
    <col min="12554" max="12554" width="13.28515625" customWidth="1"/>
    <col min="12555" max="12555" width="9.7109375" customWidth="1"/>
    <col min="12556" max="12556" width="11.85546875" customWidth="1"/>
    <col min="12557" max="12557" width="12.5703125" bestFit="1" customWidth="1"/>
    <col min="12558" max="12558" width="19.28515625" bestFit="1" customWidth="1"/>
    <col min="12559" max="12559" width="8.28515625" bestFit="1" customWidth="1"/>
    <col min="12560" max="12560" width="4.85546875" bestFit="1" customWidth="1"/>
    <col min="12561" max="12561" width="12" customWidth="1"/>
    <col min="12562" max="12562" width="8.28515625" customWidth="1"/>
    <col min="12563" max="12563" width="11.140625" customWidth="1"/>
    <col min="12564" max="12565" width="11.7109375" bestFit="1" customWidth="1"/>
    <col min="12566" max="12566" width="17.28515625" bestFit="1" customWidth="1"/>
    <col min="12567" max="12567" width="17.28515625" customWidth="1"/>
    <col min="12568" max="12568" width="13.7109375" bestFit="1" customWidth="1"/>
    <col min="12569" max="12569" width="25.140625" bestFit="1" customWidth="1"/>
    <col min="12570" max="12570" width="15.140625" bestFit="1" customWidth="1"/>
    <col min="12571" max="12571" width="21" bestFit="1" customWidth="1"/>
    <col min="12802" max="12802" width="14" bestFit="1" customWidth="1"/>
    <col min="12803" max="12803" width="13.140625" customWidth="1"/>
    <col min="12804" max="12804" width="14.85546875" customWidth="1"/>
    <col min="12806" max="12806" width="15.140625" bestFit="1" customWidth="1"/>
    <col min="12807" max="12807" width="19.28515625" bestFit="1" customWidth="1"/>
    <col min="12808" max="12808" width="8.28515625" bestFit="1" customWidth="1"/>
    <col min="12809" max="12809" width="4.85546875" bestFit="1" customWidth="1"/>
    <col min="12810" max="12810" width="13.28515625" customWidth="1"/>
    <col min="12811" max="12811" width="9.7109375" customWidth="1"/>
    <col min="12812" max="12812" width="11.85546875" customWidth="1"/>
    <col min="12813" max="12813" width="12.5703125" bestFit="1" customWidth="1"/>
    <col min="12814" max="12814" width="19.28515625" bestFit="1" customWidth="1"/>
    <col min="12815" max="12815" width="8.28515625" bestFit="1" customWidth="1"/>
    <col min="12816" max="12816" width="4.85546875" bestFit="1" customWidth="1"/>
    <col min="12817" max="12817" width="12" customWidth="1"/>
    <col min="12818" max="12818" width="8.28515625" customWidth="1"/>
    <col min="12819" max="12819" width="11.140625" customWidth="1"/>
    <col min="12820" max="12821" width="11.7109375" bestFit="1" customWidth="1"/>
    <col min="12822" max="12822" width="17.28515625" bestFit="1" customWidth="1"/>
    <col min="12823" max="12823" width="17.28515625" customWidth="1"/>
    <col min="12824" max="12824" width="13.7109375" bestFit="1" customWidth="1"/>
    <col min="12825" max="12825" width="25.140625" bestFit="1" customWidth="1"/>
    <col min="12826" max="12826" width="15.140625" bestFit="1" customWidth="1"/>
    <col min="12827" max="12827" width="21" bestFit="1" customWidth="1"/>
    <col min="13058" max="13058" width="14" bestFit="1" customWidth="1"/>
    <col min="13059" max="13059" width="13.140625" customWidth="1"/>
    <col min="13060" max="13060" width="14.85546875" customWidth="1"/>
    <col min="13062" max="13062" width="15.140625" bestFit="1" customWidth="1"/>
    <col min="13063" max="13063" width="19.28515625" bestFit="1" customWidth="1"/>
    <col min="13064" max="13064" width="8.28515625" bestFit="1" customWidth="1"/>
    <col min="13065" max="13065" width="4.85546875" bestFit="1" customWidth="1"/>
    <col min="13066" max="13066" width="13.28515625" customWidth="1"/>
    <col min="13067" max="13067" width="9.7109375" customWidth="1"/>
    <col min="13068" max="13068" width="11.85546875" customWidth="1"/>
    <col min="13069" max="13069" width="12.5703125" bestFit="1" customWidth="1"/>
    <col min="13070" max="13070" width="19.28515625" bestFit="1" customWidth="1"/>
    <col min="13071" max="13071" width="8.28515625" bestFit="1" customWidth="1"/>
    <col min="13072" max="13072" width="4.85546875" bestFit="1" customWidth="1"/>
    <col min="13073" max="13073" width="12" customWidth="1"/>
    <col min="13074" max="13074" width="8.28515625" customWidth="1"/>
    <col min="13075" max="13075" width="11.140625" customWidth="1"/>
    <col min="13076" max="13077" width="11.7109375" bestFit="1" customWidth="1"/>
    <col min="13078" max="13078" width="17.28515625" bestFit="1" customWidth="1"/>
    <col min="13079" max="13079" width="17.28515625" customWidth="1"/>
    <col min="13080" max="13080" width="13.7109375" bestFit="1" customWidth="1"/>
    <col min="13081" max="13081" width="25.140625" bestFit="1" customWidth="1"/>
    <col min="13082" max="13082" width="15.140625" bestFit="1" customWidth="1"/>
    <col min="13083" max="13083" width="21" bestFit="1" customWidth="1"/>
    <col min="13314" max="13314" width="14" bestFit="1" customWidth="1"/>
    <col min="13315" max="13315" width="13.140625" customWidth="1"/>
    <col min="13316" max="13316" width="14.85546875" customWidth="1"/>
    <col min="13318" max="13318" width="15.140625" bestFit="1" customWidth="1"/>
    <col min="13319" max="13319" width="19.28515625" bestFit="1" customWidth="1"/>
    <col min="13320" max="13320" width="8.28515625" bestFit="1" customWidth="1"/>
    <col min="13321" max="13321" width="4.85546875" bestFit="1" customWidth="1"/>
    <col min="13322" max="13322" width="13.28515625" customWidth="1"/>
    <col min="13323" max="13323" width="9.7109375" customWidth="1"/>
    <col min="13324" max="13324" width="11.85546875" customWidth="1"/>
    <col min="13325" max="13325" width="12.5703125" bestFit="1" customWidth="1"/>
    <col min="13326" max="13326" width="19.28515625" bestFit="1" customWidth="1"/>
    <col min="13327" max="13327" width="8.28515625" bestFit="1" customWidth="1"/>
    <col min="13328" max="13328" width="4.85546875" bestFit="1" customWidth="1"/>
    <col min="13329" max="13329" width="12" customWidth="1"/>
    <col min="13330" max="13330" width="8.28515625" customWidth="1"/>
    <col min="13331" max="13331" width="11.140625" customWidth="1"/>
    <col min="13332" max="13333" width="11.7109375" bestFit="1" customWidth="1"/>
    <col min="13334" max="13334" width="17.28515625" bestFit="1" customWidth="1"/>
    <col min="13335" max="13335" width="17.28515625" customWidth="1"/>
    <col min="13336" max="13336" width="13.7109375" bestFit="1" customWidth="1"/>
    <col min="13337" max="13337" width="25.140625" bestFit="1" customWidth="1"/>
    <col min="13338" max="13338" width="15.140625" bestFit="1" customWidth="1"/>
    <col min="13339" max="13339" width="21" bestFit="1" customWidth="1"/>
    <col min="13570" max="13570" width="14" bestFit="1" customWidth="1"/>
    <col min="13571" max="13571" width="13.140625" customWidth="1"/>
    <col min="13572" max="13572" width="14.85546875" customWidth="1"/>
    <col min="13574" max="13574" width="15.140625" bestFit="1" customWidth="1"/>
    <col min="13575" max="13575" width="19.28515625" bestFit="1" customWidth="1"/>
    <col min="13576" max="13576" width="8.28515625" bestFit="1" customWidth="1"/>
    <col min="13577" max="13577" width="4.85546875" bestFit="1" customWidth="1"/>
    <col min="13578" max="13578" width="13.28515625" customWidth="1"/>
    <col min="13579" max="13579" width="9.7109375" customWidth="1"/>
    <col min="13580" max="13580" width="11.85546875" customWidth="1"/>
    <col min="13581" max="13581" width="12.5703125" bestFit="1" customWidth="1"/>
    <col min="13582" max="13582" width="19.28515625" bestFit="1" customWidth="1"/>
    <col min="13583" max="13583" width="8.28515625" bestFit="1" customWidth="1"/>
    <col min="13584" max="13584" width="4.85546875" bestFit="1" customWidth="1"/>
    <col min="13585" max="13585" width="12" customWidth="1"/>
    <col min="13586" max="13586" width="8.28515625" customWidth="1"/>
    <col min="13587" max="13587" width="11.140625" customWidth="1"/>
    <col min="13588" max="13589" width="11.7109375" bestFit="1" customWidth="1"/>
    <col min="13590" max="13590" width="17.28515625" bestFit="1" customWidth="1"/>
    <col min="13591" max="13591" width="17.28515625" customWidth="1"/>
    <col min="13592" max="13592" width="13.7109375" bestFit="1" customWidth="1"/>
    <col min="13593" max="13593" width="25.140625" bestFit="1" customWidth="1"/>
    <col min="13594" max="13594" width="15.140625" bestFit="1" customWidth="1"/>
    <col min="13595" max="13595" width="21" bestFit="1" customWidth="1"/>
    <col min="13826" max="13826" width="14" bestFit="1" customWidth="1"/>
    <col min="13827" max="13827" width="13.140625" customWidth="1"/>
    <col min="13828" max="13828" width="14.85546875" customWidth="1"/>
    <col min="13830" max="13830" width="15.140625" bestFit="1" customWidth="1"/>
    <col min="13831" max="13831" width="19.28515625" bestFit="1" customWidth="1"/>
    <col min="13832" max="13832" width="8.28515625" bestFit="1" customWidth="1"/>
    <col min="13833" max="13833" width="4.85546875" bestFit="1" customWidth="1"/>
    <col min="13834" max="13834" width="13.28515625" customWidth="1"/>
    <col min="13835" max="13835" width="9.7109375" customWidth="1"/>
    <col min="13836" max="13836" width="11.85546875" customWidth="1"/>
    <col min="13837" max="13837" width="12.5703125" bestFit="1" customWidth="1"/>
    <col min="13838" max="13838" width="19.28515625" bestFit="1" customWidth="1"/>
    <col min="13839" max="13839" width="8.28515625" bestFit="1" customWidth="1"/>
    <col min="13840" max="13840" width="4.85546875" bestFit="1" customWidth="1"/>
    <col min="13841" max="13841" width="12" customWidth="1"/>
    <col min="13842" max="13842" width="8.28515625" customWidth="1"/>
    <col min="13843" max="13843" width="11.140625" customWidth="1"/>
    <col min="13844" max="13845" width="11.7109375" bestFit="1" customWidth="1"/>
    <col min="13846" max="13846" width="17.28515625" bestFit="1" customWidth="1"/>
    <col min="13847" max="13847" width="17.28515625" customWidth="1"/>
    <col min="13848" max="13848" width="13.7109375" bestFit="1" customWidth="1"/>
    <col min="13849" max="13849" width="25.140625" bestFit="1" customWidth="1"/>
    <col min="13850" max="13850" width="15.140625" bestFit="1" customWidth="1"/>
    <col min="13851" max="13851" width="21" bestFit="1" customWidth="1"/>
    <col min="14082" max="14082" width="14" bestFit="1" customWidth="1"/>
    <col min="14083" max="14083" width="13.140625" customWidth="1"/>
    <col min="14084" max="14084" width="14.85546875" customWidth="1"/>
    <col min="14086" max="14086" width="15.140625" bestFit="1" customWidth="1"/>
    <col min="14087" max="14087" width="19.28515625" bestFit="1" customWidth="1"/>
    <col min="14088" max="14088" width="8.28515625" bestFit="1" customWidth="1"/>
    <col min="14089" max="14089" width="4.85546875" bestFit="1" customWidth="1"/>
    <col min="14090" max="14090" width="13.28515625" customWidth="1"/>
    <col min="14091" max="14091" width="9.7109375" customWidth="1"/>
    <col min="14092" max="14092" width="11.85546875" customWidth="1"/>
    <col min="14093" max="14093" width="12.5703125" bestFit="1" customWidth="1"/>
    <col min="14094" max="14094" width="19.28515625" bestFit="1" customWidth="1"/>
    <col min="14095" max="14095" width="8.28515625" bestFit="1" customWidth="1"/>
    <col min="14096" max="14096" width="4.85546875" bestFit="1" customWidth="1"/>
    <col min="14097" max="14097" width="12" customWidth="1"/>
    <col min="14098" max="14098" width="8.28515625" customWidth="1"/>
    <col min="14099" max="14099" width="11.140625" customWidth="1"/>
    <col min="14100" max="14101" width="11.7109375" bestFit="1" customWidth="1"/>
    <col min="14102" max="14102" width="17.28515625" bestFit="1" customWidth="1"/>
    <col min="14103" max="14103" width="17.28515625" customWidth="1"/>
    <col min="14104" max="14104" width="13.7109375" bestFit="1" customWidth="1"/>
    <col min="14105" max="14105" width="25.140625" bestFit="1" customWidth="1"/>
    <col min="14106" max="14106" width="15.140625" bestFit="1" customWidth="1"/>
    <col min="14107" max="14107" width="21" bestFit="1" customWidth="1"/>
    <col min="14338" max="14338" width="14" bestFit="1" customWidth="1"/>
    <col min="14339" max="14339" width="13.140625" customWidth="1"/>
    <col min="14340" max="14340" width="14.85546875" customWidth="1"/>
    <col min="14342" max="14342" width="15.140625" bestFit="1" customWidth="1"/>
    <col min="14343" max="14343" width="19.28515625" bestFit="1" customWidth="1"/>
    <col min="14344" max="14344" width="8.28515625" bestFit="1" customWidth="1"/>
    <col min="14345" max="14345" width="4.85546875" bestFit="1" customWidth="1"/>
    <col min="14346" max="14346" width="13.28515625" customWidth="1"/>
    <col min="14347" max="14347" width="9.7109375" customWidth="1"/>
    <col min="14348" max="14348" width="11.85546875" customWidth="1"/>
    <col min="14349" max="14349" width="12.5703125" bestFit="1" customWidth="1"/>
    <col min="14350" max="14350" width="19.28515625" bestFit="1" customWidth="1"/>
    <col min="14351" max="14351" width="8.28515625" bestFit="1" customWidth="1"/>
    <col min="14352" max="14352" width="4.85546875" bestFit="1" customWidth="1"/>
    <col min="14353" max="14353" width="12" customWidth="1"/>
    <col min="14354" max="14354" width="8.28515625" customWidth="1"/>
    <col min="14355" max="14355" width="11.140625" customWidth="1"/>
    <col min="14356" max="14357" width="11.7109375" bestFit="1" customWidth="1"/>
    <col min="14358" max="14358" width="17.28515625" bestFit="1" customWidth="1"/>
    <col min="14359" max="14359" width="17.28515625" customWidth="1"/>
    <col min="14360" max="14360" width="13.7109375" bestFit="1" customWidth="1"/>
    <col min="14361" max="14361" width="25.140625" bestFit="1" customWidth="1"/>
    <col min="14362" max="14362" width="15.140625" bestFit="1" customWidth="1"/>
    <col min="14363" max="14363" width="21" bestFit="1" customWidth="1"/>
    <col min="14594" max="14594" width="14" bestFit="1" customWidth="1"/>
    <col min="14595" max="14595" width="13.140625" customWidth="1"/>
    <col min="14596" max="14596" width="14.85546875" customWidth="1"/>
    <col min="14598" max="14598" width="15.140625" bestFit="1" customWidth="1"/>
    <col min="14599" max="14599" width="19.28515625" bestFit="1" customWidth="1"/>
    <col min="14600" max="14600" width="8.28515625" bestFit="1" customWidth="1"/>
    <col min="14601" max="14601" width="4.85546875" bestFit="1" customWidth="1"/>
    <col min="14602" max="14602" width="13.28515625" customWidth="1"/>
    <col min="14603" max="14603" width="9.7109375" customWidth="1"/>
    <col min="14604" max="14604" width="11.85546875" customWidth="1"/>
    <col min="14605" max="14605" width="12.5703125" bestFit="1" customWidth="1"/>
    <col min="14606" max="14606" width="19.28515625" bestFit="1" customWidth="1"/>
    <col min="14607" max="14607" width="8.28515625" bestFit="1" customWidth="1"/>
    <col min="14608" max="14608" width="4.85546875" bestFit="1" customWidth="1"/>
    <col min="14609" max="14609" width="12" customWidth="1"/>
    <col min="14610" max="14610" width="8.28515625" customWidth="1"/>
    <col min="14611" max="14611" width="11.140625" customWidth="1"/>
    <col min="14612" max="14613" width="11.7109375" bestFit="1" customWidth="1"/>
    <col min="14614" max="14614" width="17.28515625" bestFit="1" customWidth="1"/>
    <col min="14615" max="14615" width="17.28515625" customWidth="1"/>
    <col min="14616" max="14616" width="13.7109375" bestFit="1" customWidth="1"/>
    <col min="14617" max="14617" width="25.140625" bestFit="1" customWidth="1"/>
    <col min="14618" max="14618" width="15.140625" bestFit="1" customWidth="1"/>
    <col min="14619" max="14619" width="21" bestFit="1" customWidth="1"/>
    <col min="14850" max="14850" width="14" bestFit="1" customWidth="1"/>
    <col min="14851" max="14851" width="13.140625" customWidth="1"/>
    <col min="14852" max="14852" width="14.85546875" customWidth="1"/>
    <col min="14854" max="14854" width="15.140625" bestFit="1" customWidth="1"/>
    <col min="14855" max="14855" width="19.28515625" bestFit="1" customWidth="1"/>
    <col min="14856" max="14856" width="8.28515625" bestFit="1" customWidth="1"/>
    <col min="14857" max="14857" width="4.85546875" bestFit="1" customWidth="1"/>
    <col min="14858" max="14858" width="13.28515625" customWidth="1"/>
    <col min="14859" max="14859" width="9.7109375" customWidth="1"/>
    <col min="14860" max="14860" width="11.85546875" customWidth="1"/>
    <col min="14861" max="14861" width="12.5703125" bestFit="1" customWidth="1"/>
    <col min="14862" max="14862" width="19.28515625" bestFit="1" customWidth="1"/>
    <col min="14863" max="14863" width="8.28515625" bestFit="1" customWidth="1"/>
    <col min="14864" max="14864" width="4.85546875" bestFit="1" customWidth="1"/>
    <col min="14865" max="14865" width="12" customWidth="1"/>
    <col min="14866" max="14866" width="8.28515625" customWidth="1"/>
    <col min="14867" max="14867" width="11.140625" customWidth="1"/>
    <col min="14868" max="14869" width="11.7109375" bestFit="1" customWidth="1"/>
    <col min="14870" max="14870" width="17.28515625" bestFit="1" customWidth="1"/>
    <col min="14871" max="14871" width="17.28515625" customWidth="1"/>
    <col min="14872" max="14872" width="13.7109375" bestFit="1" customWidth="1"/>
    <col min="14873" max="14873" width="25.140625" bestFit="1" customWidth="1"/>
    <col min="14874" max="14874" width="15.140625" bestFit="1" customWidth="1"/>
    <col min="14875" max="14875" width="21" bestFit="1" customWidth="1"/>
    <col min="15106" max="15106" width="14" bestFit="1" customWidth="1"/>
    <col min="15107" max="15107" width="13.140625" customWidth="1"/>
    <col min="15108" max="15108" width="14.85546875" customWidth="1"/>
    <col min="15110" max="15110" width="15.140625" bestFit="1" customWidth="1"/>
    <col min="15111" max="15111" width="19.28515625" bestFit="1" customWidth="1"/>
    <col min="15112" max="15112" width="8.28515625" bestFit="1" customWidth="1"/>
    <col min="15113" max="15113" width="4.85546875" bestFit="1" customWidth="1"/>
    <col min="15114" max="15114" width="13.28515625" customWidth="1"/>
    <col min="15115" max="15115" width="9.7109375" customWidth="1"/>
    <col min="15116" max="15116" width="11.85546875" customWidth="1"/>
    <col min="15117" max="15117" width="12.5703125" bestFit="1" customWidth="1"/>
    <col min="15118" max="15118" width="19.28515625" bestFit="1" customWidth="1"/>
    <col min="15119" max="15119" width="8.28515625" bestFit="1" customWidth="1"/>
    <col min="15120" max="15120" width="4.85546875" bestFit="1" customWidth="1"/>
    <col min="15121" max="15121" width="12" customWidth="1"/>
    <col min="15122" max="15122" width="8.28515625" customWidth="1"/>
    <col min="15123" max="15123" width="11.140625" customWidth="1"/>
    <col min="15124" max="15125" width="11.7109375" bestFit="1" customWidth="1"/>
    <col min="15126" max="15126" width="17.28515625" bestFit="1" customWidth="1"/>
    <col min="15127" max="15127" width="17.28515625" customWidth="1"/>
    <col min="15128" max="15128" width="13.7109375" bestFit="1" customWidth="1"/>
    <col min="15129" max="15129" width="25.140625" bestFit="1" customWidth="1"/>
    <col min="15130" max="15130" width="15.140625" bestFit="1" customWidth="1"/>
    <col min="15131" max="15131" width="21" bestFit="1" customWidth="1"/>
    <col min="15362" max="15362" width="14" bestFit="1" customWidth="1"/>
    <col min="15363" max="15363" width="13.140625" customWidth="1"/>
    <col min="15364" max="15364" width="14.85546875" customWidth="1"/>
    <col min="15366" max="15366" width="15.140625" bestFit="1" customWidth="1"/>
    <col min="15367" max="15367" width="19.28515625" bestFit="1" customWidth="1"/>
    <col min="15368" max="15368" width="8.28515625" bestFit="1" customWidth="1"/>
    <col min="15369" max="15369" width="4.85546875" bestFit="1" customWidth="1"/>
    <col min="15370" max="15370" width="13.28515625" customWidth="1"/>
    <col min="15371" max="15371" width="9.7109375" customWidth="1"/>
    <col min="15372" max="15372" width="11.85546875" customWidth="1"/>
    <col min="15373" max="15373" width="12.5703125" bestFit="1" customWidth="1"/>
    <col min="15374" max="15374" width="19.28515625" bestFit="1" customWidth="1"/>
    <col min="15375" max="15375" width="8.28515625" bestFit="1" customWidth="1"/>
    <col min="15376" max="15376" width="4.85546875" bestFit="1" customWidth="1"/>
    <col min="15377" max="15377" width="12" customWidth="1"/>
    <col min="15378" max="15378" width="8.28515625" customWidth="1"/>
    <col min="15379" max="15379" width="11.140625" customWidth="1"/>
    <col min="15380" max="15381" width="11.7109375" bestFit="1" customWidth="1"/>
    <col min="15382" max="15382" width="17.28515625" bestFit="1" customWidth="1"/>
    <col min="15383" max="15383" width="17.28515625" customWidth="1"/>
    <col min="15384" max="15384" width="13.7109375" bestFit="1" customWidth="1"/>
    <col min="15385" max="15385" width="25.140625" bestFit="1" customWidth="1"/>
    <col min="15386" max="15386" width="15.140625" bestFit="1" customWidth="1"/>
    <col min="15387" max="15387" width="21" bestFit="1" customWidth="1"/>
    <col min="15618" max="15618" width="14" bestFit="1" customWidth="1"/>
    <col min="15619" max="15619" width="13.140625" customWidth="1"/>
    <col min="15620" max="15620" width="14.85546875" customWidth="1"/>
    <col min="15622" max="15622" width="15.140625" bestFit="1" customWidth="1"/>
    <col min="15623" max="15623" width="19.28515625" bestFit="1" customWidth="1"/>
    <col min="15624" max="15624" width="8.28515625" bestFit="1" customWidth="1"/>
    <col min="15625" max="15625" width="4.85546875" bestFit="1" customWidth="1"/>
    <col min="15626" max="15626" width="13.28515625" customWidth="1"/>
    <col min="15627" max="15627" width="9.7109375" customWidth="1"/>
    <col min="15628" max="15628" width="11.85546875" customWidth="1"/>
    <col min="15629" max="15629" width="12.5703125" bestFit="1" customWidth="1"/>
    <col min="15630" max="15630" width="19.28515625" bestFit="1" customWidth="1"/>
    <col min="15631" max="15631" width="8.28515625" bestFit="1" customWidth="1"/>
    <col min="15632" max="15632" width="4.85546875" bestFit="1" customWidth="1"/>
    <col min="15633" max="15633" width="12" customWidth="1"/>
    <col min="15634" max="15634" width="8.28515625" customWidth="1"/>
    <col min="15635" max="15635" width="11.140625" customWidth="1"/>
    <col min="15636" max="15637" width="11.7109375" bestFit="1" customWidth="1"/>
    <col min="15638" max="15638" width="17.28515625" bestFit="1" customWidth="1"/>
    <col min="15639" max="15639" width="17.28515625" customWidth="1"/>
    <col min="15640" max="15640" width="13.7109375" bestFit="1" customWidth="1"/>
    <col min="15641" max="15641" width="25.140625" bestFit="1" customWidth="1"/>
    <col min="15642" max="15642" width="15.140625" bestFit="1" customWidth="1"/>
    <col min="15643" max="15643" width="21" bestFit="1" customWidth="1"/>
    <col min="15874" max="15874" width="14" bestFit="1" customWidth="1"/>
    <col min="15875" max="15875" width="13.140625" customWidth="1"/>
    <col min="15876" max="15876" width="14.85546875" customWidth="1"/>
    <col min="15878" max="15878" width="15.140625" bestFit="1" customWidth="1"/>
    <col min="15879" max="15879" width="19.28515625" bestFit="1" customWidth="1"/>
    <col min="15880" max="15880" width="8.28515625" bestFit="1" customWidth="1"/>
    <col min="15881" max="15881" width="4.85546875" bestFit="1" customWidth="1"/>
    <col min="15882" max="15882" width="13.28515625" customWidth="1"/>
    <col min="15883" max="15883" width="9.7109375" customWidth="1"/>
    <col min="15884" max="15884" width="11.85546875" customWidth="1"/>
    <col min="15885" max="15885" width="12.5703125" bestFit="1" customWidth="1"/>
    <col min="15886" max="15886" width="19.28515625" bestFit="1" customWidth="1"/>
    <col min="15887" max="15887" width="8.28515625" bestFit="1" customWidth="1"/>
    <col min="15888" max="15888" width="4.85546875" bestFit="1" customWidth="1"/>
    <col min="15889" max="15889" width="12" customWidth="1"/>
    <col min="15890" max="15890" width="8.28515625" customWidth="1"/>
    <col min="15891" max="15891" width="11.140625" customWidth="1"/>
    <col min="15892" max="15893" width="11.7109375" bestFit="1" customWidth="1"/>
    <col min="15894" max="15894" width="17.28515625" bestFit="1" customWidth="1"/>
    <col min="15895" max="15895" width="17.28515625" customWidth="1"/>
    <col min="15896" max="15896" width="13.7109375" bestFit="1" customWidth="1"/>
    <col min="15897" max="15897" width="25.140625" bestFit="1" customWidth="1"/>
    <col min="15898" max="15898" width="15.140625" bestFit="1" customWidth="1"/>
    <col min="15899" max="15899" width="21" bestFit="1" customWidth="1"/>
    <col min="16130" max="16130" width="14" bestFit="1" customWidth="1"/>
    <col min="16131" max="16131" width="13.140625" customWidth="1"/>
    <col min="16132" max="16132" width="14.85546875" customWidth="1"/>
    <col min="16134" max="16134" width="15.140625" bestFit="1" customWidth="1"/>
    <col min="16135" max="16135" width="19.28515625" bestFit="1" customWidth="1"/>
    <col min="16136" max="16136" width="8.28515625" bestFit="1" customWidth="1"/>
    <col min="16137" max="16137" width="4.85546875" bestFit="1" customWidth="1"/>
    <col min="16138" max="16138" width="13.28515625" customWidth="1"/>
    <col min="16139" max="16139" width="9.7109375" customWidth="1"/>
    <col min="16140" max="16140" width="11.85546875" customWidth="1"/>
    <col min="16141" max="16141" width="12.5703125" bestFit="1" customWidth="1"/>
    <col min="16142" max="16142" width="19.28515625" bestFit="1" customWidth="1"/>
    <col min="16143" max="16143" width="8.28515625" bestFit="1" customWidth="1"/>
    <col min="16144" max="16144" width="4.85546875" bestFit="1" customWidth="1"/>
    <col min="16145" max="16145" width="12" customWidth="1"/>
    <col min="16146" max="16146" width="8.28515625" customWidth="1"/>
    <col min="16147" max="16147" width="11.140625" customWidth="1"/>
    <col min="16148" max="16149" width="11.7109375" bestFit="1" customWidth="1"/>
    <col min="16150" max="16150" width="17.28515625" bestFit="1" customWidth="1"/>
    <col min="16151" max="16151" width="17.28515625" customWidth="1"/>
    <col min="16152" max="16152" width="13.7109375" bestFit="1" customWidth="1"/>
    <col min="16153" max="16153" width="25.140625" bestFit="1" customWidth="1"/>
    <col min="16154" max="16154" width="15.140625" bestFit="1" customWidth="1"/>
    <col min="16155" max="16155" width="21" bestFit="1" customWidth="1"/>
  </cols>
  <sheetData>
    <row r="4" spans="1:27" x14ac:dyDescent="0.25">
      <c r="D4" s="252" t="s">
        <v>0</v>
      </c>
      <c r="E4" s="253"/>
      <c r="F4" s="253"/>
      <c r="G4" s="253"/>
      <c r="H4" s="253"/>
      <c r="I4" s="253"/>
      <c r="J4" s="253"/>
      <c r="K4" s="253"/>
      <c r="L4" s="253"/>
      <c r="M4" s="253"/>
      <c r="N4" s="253"/>
      <c r="O4" s="253"/>
      <c r="P4" s="253"/>
      <c r="Q4" s="253"/>
      <c r="R4" s="253"/>
      <c r="S4" s="254"/>
      <c r="T4" s="1"/>
      <c r="U4" s="1"/>
      <c r="V4" s="255" t="s">
        <v>1</v>
      </c>
      <c r="W4" s="255"/>
      <c r="X4" s="255"/>
      <c r="Y4" s="255"/>
      <c r="Z4" s="256" t="s">
        <v>2</v>
      </c>
      <c r="AA4" s="256"/>
    </row>
    <row r="5" spans="1:27" ht="30" customHeight="1" x14ac:dyDescent="0.25">
      <c r="D5" s="2" t="s">
        <v>3</v>
      </c>
      <c r="E5" s="2" t="s">
        <v>4</v>
      </c>
      <c r="F5" s="3" t="s">
        <v>5</v>
      </c>
      <c r="G5" s="3" t="s">
        <v>6</v>
      </c>
      <c r="H5" s="257" t="s">
        <v>7</v>
      </c>
      <c r="I5" s="258"/>
      <c r="J5" s="259" t="s">
        <v>8</v>
      </c>
      <c r="K5" s="260"/>
      <c r="L5" s="261"/>
      <c r="M5" s="4" t="s">
        <v>9</v>
      </c>
      <c r="N5" s="4" t="s">
        <v>10</v>
      </c>
      <c r="O5" s="262" t="s">
        <v>7</v>
      </c>
      <c r="P5" s="262"/>
      <c r="Q5" s="263" t="s">
        <v>11</v>
      </c>
      <c r="R5" s="264"/>
      <c r="S5" s="265"/>
      <c r="T5" s="1" t="s">
        <v>12</v>
      </c>
      <c r="U5" s="1" t="s">
        <v>13</v>
      </c>
      <c r="V5" s="5" t="s">
        <v>14</v>
      </c>
      <c r="W5" s="5" t="s">
        <v>14</v>
      </c>
      <c r="X5" s="5" t="s">
        <v>15</v>
      </c>
      <c r="Y5" s="5" t="s">
        <v>16</v>
      </c>
      <c r="Z5" s="6" t="s">
        <v>17</v>
      </c>
      <c r="AA5" s="6" t="s">
        <v>18</v>
      </c>
    </row>
    <row r="6" spans="1:27" ht="44.25" customHeight="1" thickBot="1" x14ac:dyDescent="0.3">
      <c r="B6" s="7" t="s">
        <v>19</v>
      </c>
      <c r="C6" s="7" t="s">
        <v>20</v>
      </c>
      <c r="D6" s="8" t="s">
        <v>21</v>
      </c>
      <c r="E6" s="8" t="s">
        <v>22</v>
      </c>
      <c r="F6" s="9" t="s">
        <v>23</v>
      </c>
      <c r="G6" s="9" t="s">
        <v>24</v>
      </c>
      <c r="H6" s="10" t="s">
        <v>4</v>
      </c>
      <c r="I6" s="11" t="s">
        <v>25</v>
      </c>
      <c r="J6" s="12" t="s">
        <v>26</v>
      </c>
      <c r="K6" s="12" t="s">
        <v>25</v>
      </c>
      <c r="L6" s="13" t="s">
        <v>27</v>
      </c>
      <c r="M6" s="9" t="s">
        <v>26</v>
      </c>
      <c r="N6" s="9" t="s">
        <v>25</v>
      </c>
      <c r="O6" s="11" t="s">
        <v>4</v>
      </c>
      <c r="P6" s="14" t="s">
        <v>25</v>
      </c>
      <c r="Q6" s="15" t="s">
        <v>26</v>
      </c>
      <c r="R6" s="15" t="s">
        <v>25</v>
      </c>
      <c r="S6" s="16" t="s">
        <v>28</v>
      </c>
      <c r="T6" s="17"/>
      <c r="U6" s="17"/>
      <c r="V6" s="18" t="s">
        <v>26</v>
      </c>
      <c r="W6" s="18" t="s">
        <v>29</v>
      </c>
      <c r="X6" s="18" t="s">
        <v>30</v>
      </c>
      <c r="Y6" s="18" t="s">
        <v>26</v>
      </c>
      <c r="Z6" s="19" t="s">
        <v>26</v>
      </c>
      <c r="AA6" s="20" t="s">
        <v>26</v>
      </c>
    </row>
    <row r="7" spans="1:27" x14ac:dyDescent="0.25">
      <c r="A7" s="21" t="s">
        <v>138</v>
      </c>
      <c r="B7" s="22">
        <v>100000</v>
      </c>
      <c r="C7" s="22">
        <f>SUM(DELPHINE!S3:S49)</f>
        <v>0</v>
      </c>
      <c r="D7" s="23">
        <f>SUM(PORTEFEUILLE_DELPHINE[PCR COMPTABLE €]+SUM(PORTEFEUILLE_DELPHINE[RA FAIT PAR LE
COMPTABLE €]+SUM(PORTEFEUILLE_DELPHINE[AGOA COMPTABLE €])+SUM(PORTEFEUILLE_DELPHINE[SAISIE PAR LE COMPTABLE €])+SUM(PORTEFEUILLE_DELPHINE[TRAVAUX 
DE REVISION €]+SUM(PORTEFEUILLE_DELPHINE[DECLARATION TVA COMPTABLE €]+SUM(PORTEFEUILLE_DELPHINE[MONTANT
RESPONSABLE RELATION CLIENT €])))))</f>
        <v>0</v>
      </c>
      <c r="E7" s="24">
        <f>'Agence Stats Visas'!B4</f>
        <v>1</v>
      </c>
      <c r="F7" s="25">
        <f>D7-M7</f>
        <v>0</v>
      </c>
      <c r="G7" s="26">
        <f>IF(D7=0,0,F7/D7)</f>
        <v>0</v>
      </c>
      <c r="H7" s="27">
        <f>'Agence Stats Visas'!C4</f>
        <v>0</v>
      </c>
      <c r="I7" s="26">
        <f>H7/E7</f>
        <v>0</v>
      </c>
      <c r="J7" s="28">
        <f>SUMIFS(DELPHINE!T3:T49,DELPHINE!BB3:BB49,"x")-SUMIFS(DELPHINE!T3:T49,DELPHINE!E3:E49,DATE(Paramètres!A4,Paramètres!D15,Paramètres!C15),DELPHINE!BB3:BB49,"x")</f>
        <v>0</v>
      </c>
      <c r="K7" s="29" t="e">
        <f>IF(J7&lt;&gt;"",J7/F7,0)</f>
        <v>#DIV/0!</v>
      </c>
      <c r="L7" s="30">
        <f>(F7-J7)/Paramètres!H4</f>
        <v>0</v>
      </c>
      <c r="M7" s="25">
        <f>SUMIFS(DELPHINE!T3:T49,DELPHINE!E3:E49,DATE(Paramètres!A4,Paramètres!D15,Paramètres!C15))</f>
        <v>0</v>
      </c>
      <c r="N7" s="26">
        <f>IF(M7=0,0,M7/D7)</f>
        <v>0</v>
      </c>
      <c r="O7" s="31">
        <f>'Agence Stats Visas'!D4</f>
        <v>1</v>
      </c>
      <c r="P7" s="32">
        <f>O7/E7</f>
        <v>1</v>
      </c>
      <c r="Q7" s="33">
        <f>SUMIFS(DELPHINE!T3:T49,DELPHINE!E3:E49,DATE(Paramètres!A4,Paramètres!D15,Paramètres!C15),DELPHINE!BB3:BB49,"x")</f>
        <v>0</v>
      </c>
      <c r="R7" s="34" t="e">
        <f>Q7/M7</f>
        <v>#DIV/0!</v>
      </c>
      <c r="S7" s="35">
        <f>(M7-Q7)/Paramètres!H4</f>
        <v>0</v>
      </c>
      <c r="T7" s="36">
        <f>SUM(DELPHINE!AV3:AV49)</f>
        <v>0</v>
      </c>
      <c r="U7" s="36">
        <f>SUM(DELPHINE!AW3:AW49)</f>
        <v>0</v>
      </c>
      <c r="V7" s="37">
        <f>B7-D7</f>
        <v>100000</v>
      </c>
      <c r="W7" s="38">
        <f>V7/100</f>
        <v>1000</v>
      </c>
      <c r="X7" s="37">
        <v>90000</v>
      </c>
      <c r="Y7" s="37">
        <f>IF(V7&lt;X7,0,V7-X7)</f>
        <v>10000</v>
      </c>
      <c r="Z7" s="39">
        <f>D7+X7</f>
        <v>90000</v>
      </c>
      <c r="AA7" s="40">
        <f>IF(B7&gt;Z7,B7-Z7,Z7-B7)</f>
        <v>10000</v>
      </c>
    </row>
    <row r="8" spans="1:27" x14ac:dyDescent="0.25">
      <c r="A8" s="41" t="s">
        <v>139</v>
      </c>
      <c r="B8" s="42">
        <v>100000</v>
      </c>
      <c r="C8" s="42"/>
      <c r="D8" s="43"/>
      <c r="E8" s="44"/>
      <c r="F8" s="45"/>
      <c r="G8" s="45"/>
      <c r="H8" s="46"/>
      <c r="I8" s="46"/>
      <c r="J8" s="47"/>
      <c r="K8" s="48"/>
      <c r="L8" s="48"/>
      <c r="M8" s="45"/>
      <c r="N8" s="45"/>
      <c r="O8" s="45"/>
      <c r="P8" s="49"/>
      <c r="Q8" s="50"/>
      <c r="R8" s="51"/>
      <c r="S8" s="52"/>
      <c r="T8" s="53"/>
      <c r="U8" s="53"/>
      <c r="V8" s="54"/>
      <c r="W8" s="55"/>
      <c r="X8" s="54"/>
      <c r="Y8" s="54"/>
      <c r="Z8" s="56"/>
      <c r="AA8" s="57"/>
    </row>
    <row r="9" spans="1:27" x14ac:dyDescent="0.25">
      <c r="A9" s="41" t="s">
        <v>140</v>
      </c>
      <c r="B9" s="42">
        <v>100000</v>
      </c>
      <c r="C9" s="42"/>
      <c r="D9" s="43"/>
      <c r="E9" s="44"/>
      <c r="F9" s="45"/>
      <c r="G9" s="45"/>
      <c r="H9" s="46"/>
      <c r="I9" s="46"/>
      <c r="J9" s="47"/>
      <c r="K9" s="48"/>
      <c r="L9" s="48"/>
      <c r="M9" s="45"/>
      <c r="N9" s="45"/>
      <c r="O9" s="45"/>
      <c r="P9" s="49"/>
      <c r="Q9" s="50"/>
      <c r="R9" s="51"/>
      <c r="S9" s="52"/>
      <c r="T9" s="53"/>
      <c r="U9" s="53"/>
      <c r="V9" s="54"/>
      <c r="W9" s="55"/>
      <c r="X9" s="54"/>
      <c r="Y9" s="54"/>
      <c r="Z9" s="56"/>
      <c r="AA9" s="57"/>
    </row>
    <row r="10" spans="1:27" x14ac:dyDescent="0.25">
      <c r="A10" s="41" t="s">
        <v>141</v>
      </c>
      <c r="B10" s="42">
        <v>100000</v>
      </c>
      <c r="C10" s="42"/>
      <c r="D10" s="43"/>
      <c r="E10" s="44"/>
      <c r="F10" s="45"/>
      <c r="G10" s="45"/>
      <c r="H10" s="46"/>
      <c r="I10" s="46"/>
      <c r="J10" s="47"/>
      <c r="K10" s="48"/>
      <c r="L10" s="48"/>
      <c r="M10" s="45"/>
      <c r="N10" s="45"/>
      <c r="O10" s="45"/>
      <c r="P10" s="49"/>
      <c r="Q10" s="50"/>
      <c r="R10" s="51"/>
      <c r="S10" s="52"/>
      <c r="T10" s="53"/>
      <c r="U10" s="53"/>
      <c r="V10" s="54"/>
      <c r="W10" s="55"/>
      <c r="X10" s="54"/>
      <c r="Y10" s="54"/>
      <c r="Z10" s="56"/>
      <c r="AA10" s="57"/>
    </row>
    <row r="11" spans="1:27" x14ac:dyDescent="0.25">
      <c r="A11" s="41" t="s">
        <v>142</v>
      </c>
      <c r="B11" s="42">
        <v>100000</v>
      </c>
      <c r="C11" s="42"/>
      <c r="D11" s="43"/>
      <c r="E11" s="44"/>
      <c r="F11" s="45"/>
      <c r="G11" s="45"/>
      <c r="H11" s="46"/>
      <c r="I11" s="46"/>
      <c r="J11" s="47"/>
      <c r="K11" s="48"/>
      <c r="L11" s="48"/>
      <c r="M11" s="45"/>
      <c r="N11" s="45"/>
      <c r="O11" s="45"/>
      <c r="P11" s="49"/>
      <c r="Q11" s="50"/>
      <c r="R11" s="51"/>
      <c r="S11" s="52"/>
      <c r="T11" s="53"/>
      <c r="U11" s="53"/>
      <c r="V11" s="54"/>
      <c r="W11" s="55"/>
      <c r="X11" s="54"/>
      <c r="Y11" s="54"/>
      <c r="Z11" s="56"/>
      <c r="AA11" s="57"/>
    </row>
    <row r="12" spans="1:27" x14ac:dyDescent="0.25">
      <c r="A12" s="41" t="s">
        <v>143</v>
      </c>
      <c r="B12" s="42">
        <v>100000</v>
      </c>
      <c r="C12" s="42"/>
      <c r="D12" s="43"/>
      <c r="E12" s="44"/>
      <c r="F12" s="45"/>
      <c r="G12" s="45"/>
      <c r="H12" s="46"/>
      <c r="I12" s="46"/>
      <c r="J12" s="47"/>
      <c r="K12" s="48"/>
      <c r="L12" s="48"/>
      <c r="M12" s="45"/>
      <c r="N12" s="45"/>
      <c r="O12" s="45"/>
      <c r="P12" s="49"/>
      <c r="Q12" s="50"/>
      <c r="R12" s="51"/>
      <c r="S12" s="52"/>
      <c r="T12" s="53"/>
      <c r="U12" s="53"/>
      <c r="V12" s="54"/>
      <c r="W12" s="55"/>
      <c r="X12" s="54"/>
      <c r="Y12" s="54"/>
      <c r="Z12" s="56"/>
      <c r="AA12" s="57"/>
    </row>
    <row r="13" spans="1:27" x14ac:dyDescent="0.25">
      <c r="A13" s="41" t="s">
        <v>144</v>
      </c>
      <c r="B13" s="42">
        <v>100000</v>
      </c>
      <c r="C13" s="42"/>
      <c r="D13" s="43"/>
      <c r="E13" s="44"/>
      <c r="F13" s="45"/>
      <c r="G13" s="45"/>
      <c r="H13" s="46"/>
      <c r="I13" s="46"/>
      <c r="J13" s="47"/>
      <c r="K13" s="48"/>
      <c r="L13" s="48"/>
      <c r="M13" s="45"/>
      <c r="N13" s="45"/>
      <c r="O13" s="45"/>
      <c r="P13" s="49"/>
      <c r="Q13" s="50"/>
      <c r="R13" s="51"/>
      <c r="S13" s="52"/>
      <c r="T13" s="53"/>
      <c r="U13" s="53"/>
      <c r="V13" s="54"/>
      <c r="W13" s="55"/>
      <c r="X13" s="54"/>
      <c r="Y13" s="54"/>
      <c r="Z13" s="56"/>
      <c r="AA13" s="57"/>
    </row>
    <row r="14" spans="1:27" x14ac:dyDescent="0.25">
      <c r="A14" s="58"/>
      <c r="B14" s="59"/>
      <c r="C14" s="59"/>
      <c r="D14" s="60"/>
      <c r="E14" s="61"/>
      <c r="F14" s="62"/>
      <c r="G14" s="62"/>
      <c r="H14" s="63"/>
      <c r="I14" s="63"/>
      <c r="J14" s="64"/>
      <c r="M14" s="62"/>
      <c r="N14" s="62"/>
      <c r="O14" s="62"/>
    </row>
    <row r="15" spans="1:27" ht="15.75" thickBot="1" x14ac:dyDescent="0.3">
      <c r="A15" s="65"/>
      <c r="B15" s="66"/>
      <c r="C15" s="66"/>
      <c r="D15" s="67"/>
      <c r="E15" s="68"/>
      <c r="F15" s="69"/>
      <c r="G15" s="69"/>
      <c r="H15" s="70"/>
      <c r="I15" s="70"/>
      <c r="J15" s="71"/>
      <c r="K15" s="72"/>
      <c r="L15" s="72"/>
      <c r="M15" s="69"/>
      <c r="N15" s="69"/>
      <c r="O15" s="69"/>
      <c r="P15" s="73"/>
      <c r="Q15" s="74"/>
      <c r="R15" s="75"/>
      <c r="S15" s="76"/>
      <c r="T15" s="77"/>
      <c r="U15" s="77"/>
      <c r="V15" s="78"/>
      <c r="W15" s="79"/>
      <c r="X15" s="78"/>
      <c r="Y15" s="78"/>
      <c r="Z15" s="80"/>
      <c r="AA15" s="81"/>
    </row>
    <row r="16" spans="1:27" x14ac:dyDescent="0.25">
      <c r="A16" s="82" t="s">
        <v>32</v>
      </c>
      <c r="B16" s="82">
        <f>SUM(B7:B15)</f>
        <v>700000</v>
      </c>
      <c r="C16" s="82">
        <f>SUM(C7:C15)</f>
        <v>0</v>
      </c>
      <c r="D16" s="83">
        <f>SUM(D7:D15)</f>
        <v>0</v>
      </c>
      <c r="E16" s="83"/>
      <c r="F16" s="83">
        <f>SUM(F7:F15)</f>
        <v>0</v>
      </c>
      <c r="G16" s="83"/>
      <c r="H16" s="83"/>
      <c r="I16" s="83"/>
      <c r="J16" s="83"/>
      <c r="K16" s="83"/>
      <c r="L16" s="83"/>
      <c r="M16" s="83">
        <f>SUM(M7:M15)</f>
        <v>0</v>
      </c>
      <c r="N16" s="83"/>
      <c r="O16" s="83"/>
      <c r="P16" s="84"/>
      <c r="Q16" s="84"/>
      <c r="R16" s="84"/>
      <c r="S16" s="84"/>
      <c r="T16" s="85">
        <f>SUM(T7:T15)</f>
        <v>0</v>
      </c>
      <c r="U16" s="85">
        <f>SUM(U7:U15)</f>
        <v>0</v>
      </c>
      <c r="V16" s="86">
        <f>SUM(V7:V15)</f>
        <v>100000</v>
      </c>
      <c r="W16" s="86"/>
      <c r="X16" s="86">
        <f>SUM(X7:X15)</f>
        <v>90000</v>
      </c>
      <c r="Y16" s="86">
        <f>SUM(Y7:Y15)</f>
        <v>10000</v>
      </c>
      <c r="Z16" s="87">
        <f>SUM(Z7:Z15)</f>
        <v>90000</v>
      </c>
      <c r="AA16" s="87">
        <f>SUM(AA7:AA15)</f>
        <v>10000</v>
      </c>
    </row>
    <row r="18" spans="25:30" x14ac:dyDescent="0.25">
      <c r="Y18" s="88"/>
      <c r="Z18" s="88"/>
      <c r="AA18" s="88"/>
      <c r="AB18" s="88"/>
      <c r="AC18" s="88"/>
      <c r="AD18" s="88"/>
    </row>
    <row r="19" spans="25:30" x14ac:dyDescent="0.25">
      <c r="Y19" s="88"/>
      <c r="Z19" s="88"/>
      <c r="AA19" s="88"/>
      <c r="AB19" s="88"/>
      <c r="AC19" s="88"/>
      <c r="AD19" s="88"/>
    </row>
    <row r="20" spans="25:30" x14ac:dyDescent="0.25">
      <c r="Y20" s="88"/>
      <c r="Z20" s="88"/>
      <c r="AA20" s="88"/>
      <c r="AB20" s="88"/>
      <c r="AC20" s="88"/>
      <c r="AD20" s="88"/>
    </row>
  </sheetData>
  <mergeCells count="7">
    <mergeCell ref="D4:S4"/>
    <mergeCell ref="V4:Y4"/>
    <mergeCell ref="Z4:AA4"/>
    <mergeCell ref="H5:I5"/>
    <mergeCell ref="J5:L5"/>
    <mergeCell ref="O5:P5"/>
    <mergeCell ref="Q5:S5"/>
  </mergeCells>
  <conditionalFormatting sqref="AA7">
    <cfRule type="expression" dxfId="67" priority="1" stopIfTrue="1">
      <formula>$B$7&gt;$Z$7</formula>
    </cfRule>
    <cfRule type="expression" dxfId="66" priority="2" stopIfTrue="1">
      <formula>AA7&gt;=0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O17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19" sqref="C19"/>
    </sheetView>
  </sheetViews>
  <sheetFormatPr baseColWidth="10" defaultRowHeight="15" x14ac:dyDescent="0.25"/>
  <cols>
    <col min="1" max="1" width="16.140625" style="89" customWidth="1"/>
    <col min="2" max="2" width="14.85546875" style="89" customWidth="1"/>
    <col min="3" max="3" width="10.42578125" style="89" bestFit="1" customWidth="1"/>
    <col min="4" max="4" width="11" style="89" bestFit="1" customWidth="1"/>
    <col min="5" max="5" width="14.5703125" style="89" bestFit="1" customWidth="1"/>
    <col min="6" max="6" width="11.5703125" style="89" bestFit="1" customWidth="1"/>
    <col min="7" max="7" width="13.140625" style="89" bestFit="1" customWidth="1"/>
    <col min="8" max="8" width="14.7109375" style="89" bestFit="1" customWidth="1"/>
    <col min="9" max="10" width="14.140625" style="89" bestFit="1" customWidth="1"/>
    <col min="11" max="11" width="18" style="89" bestFit="1" customWidth="1"/>
    <col min="12" max="12" width="17.140625" style="89" customWidth="1"/>
    <col min="13" max="13" width="6.7109375" style="89" customWidth="1"/>
    <col min="14" max="14" width="15" style="89" customWidth="1"/>
    <col min="15" max="15" width="7.7109375" style="89" customWidth="1"/>
    <col min="16" max="16" width="9.140625" style="89" customWidth="1"/>
    <col min="17" max="20" width="14.28515625" style="89" customWidth="1"/>
    <col min="21" max="21" width="15.5703125" style="89" customWidth="1"/>
    <col min="22" max="28" width="11.42578125" style="89"/>
    <col min="29" max="31" width="11.5703125" style="89" bestFit="1" customWidth="1"/>
    <col min="32" max="41" width="12.5703125" style="89" bestFit="1" customWidth="1"/>
    <col min="42" max="256" width="11.42578125" style="89"/>
    <col min="257" max="257" width="16.140625" style="89" customWidth="1"/>
    <col min="258" max="258" width="14.85546875" style="89" customWidth="1"/>
    <col min="259" max="259" width="10.42578125" style="89" bestFit="1" customWidth="1"/>
    <col min="260" max="260" width="11" style="89" bestFit="1" customWidth="1"/>
    <col min="261" max="261" width="14.5703125" style="89" bestFit="1" customWidth="1"/>
    <col min="262" max="262" width="11.5703125" style="89" bestFit="1" customWidth="1"/>
    <col min="263" max="263" width="13.140625" style="89" bestFit="1" customWidth="1"/>
    <col min="264" max="264" width="14.7109375" style="89" bestFit="1" customWidth="1"/>
    <col min="265" max="266" width="14.140625" style="89" bestFit="1" customWidth="1"/>
    <col min="267" max="267" width="18" style="89" bestFit="1" customWidth="1"/>
    <col min="268" max="268" width="17.140625" style="89" customWidth="1"/>
    <col min="269" max="269" width="6.7109375" style="89" customWidth="1"/>
    <col min="270" max="270" width="15" style="89" customWidth="1"/>
    <col min="271" max="271" width="7.7109375" style="89" customWidth="1"/>
    <col min="272" max="272" width="9.140625" style="89" customWidth="1"/>
    <col min="273" max="276" width="14.28515625" style="89" customWidth="1"/>
    <col min="277" max="277" width="15.5703125" style="89" customWidth="1"/>
    <col min="278" max="284" width="11.42578125" style="89"/>
    <col min="285" max="287" width="11.5703125" style="89" bestFit="1" customWidth="1"/>
    <col min="288" max="297" width="12.5703125" style="89" bestFit="1" customWidth="1"/>
    <col min="298" max="512" width="11.42578125" style="89"/>
    <col min="513" max="513" width="16.140625" style="89" customWidth="1"/>
    <col min="514" max="514" width="14.85546875" style="89" customWidth="1"/>
    <col min="515" max="515" width="10.42578125" style="89" bestFit="1" customWidth="1"/>
    <col min="516" max="516" width="11" style="89" bestFit="1" customWidth="1"/>
    <col min="517" max="517" width="14.5703125" style="89" bestFit="1" customWidth="1"/>
    <col min="518" max="518" width="11.5703125" style="89" bestFit="1" customWidth="1"/>
    <col min="519" max="519" width="13.140625" style="89" bestFit="1" customWidth="1"/>
    <col min="520" max="520" width="14.7109375" style="89" bestFit="1" customWidth="1"/>
    <col min="521" max="522" width="14.140625" style="89" bestFit="1" customWidth="1"/>
    <col min="523" max="523" width="18" style="89" bestFit="1" customWidth="1"/>
    <col min="524" max="524" width="17.140625" style="89" customWidth="1"/>
    <col min="525" max="525" width="6.7109375" style="89" customWidth="1"/>
    <col min="526" max="526" width="15" style="89" customWidth="1"/>
    <col min="527" max="527" width="7.7109375" style="89" customWidth="1"/>
    <col min="528" max="528" width="9.140625" style="89" customWidth="1"/>
    <col min="529" max="532" width="14.28515625" style="89" customWidth="1"/>
    <col min="533" max="533" width="15.5703125" style="89" customWidth="1"/>
    <col min="534" max="540" width="11.42578125" style="89"/>
    <col min="541" max="543" width="11.5703125" style="89" bestFit="1" customWidth="1"/>
    <col min="544" max="553" width="12.5703125" style="89" bestFit="1" customWidth="1"/>
    <col min="554" max="768" width="11.42578125" style="89"/>
    <col min="769" max="769" width="16.140625" style="89" customWidth="1"/>
    <col min="770" max="770" width="14.85546875" style="89" customWidth="1"/>
    <col min="771" max="771" width="10.42578125" style="89" bestFit="1" customWidth="1"/>
    <col min="772" max="772" width="11" style="89" bestFit="1" customWidth="1"/>
    <col min="773" max="773" width="14.5703125" style="89" bestFit="1" customWidth="1"/>
    <col min="774" max="774" width="11.5703125" style="89" bestFit="1" customWidth="1"/>
    <col min="775" max="775" width="13.140625" style="89" bestFit="1" customWidth="1"/>
    <col min="776" max="776" width="14.7109375" style="89" bestFit="1" customWidth="1"/>
    <col min="777" max="778" width="14.140625" style="89" bestFit="1" customWidth="1"/>
    <col min="779" max="779" width="18" style="89" bestFit="1" customWidth="1"/>
    <col min="780" max="780" width="17.140625" style="89" customWidth="1"/>
    <col min="781" max="781" width="6.7109375" style="89" customWidth="1"/>
    <col min="782" max="782" width="15" style="89" customWidth="1"/>
    <col min="783" max="783" width="7.7109375" style="89" customWidth="1"/>
    <col min="784" max="784" width="9.140625" style="89" customWidth="1"/>
    <col min="785" max="788" width="14.28515625" style="89" customWidth="1"/>
    <col min="789" max="789" width="15.5703125" style="89" customWidth="1"/>
    <col min="790" max="796" width="11.42578125" style="89"/>
    <col min="797" max="799" width="11.5703125" style="89" bestFit="1" customWidth="1"/>
    <col min="800" max="809" width="12.5703125" style="89" bestFit="1" customWidth="1"/>
    <col min="810" max="1024" width="11.42578125" style="89"/>
    <col min="1025" max="1025" width="16.140625" style="89" customWidth="1"/>
    <col min="1026" max="1026" width="14.85546875" style="89" customWidth="1"/>
    <col min="1027" max="1027" width="10.42578125" style="89" bestFit="1" customWidth="1"/>
    <col min="1028" max="1028" width="11" style="89" bestFit="1" customWidth="1"/>
    <col min="1029" max="1029" width="14.5703125" style="89" bestFit="1" customWidth="1"/>
    <col min="1030" max="1030" width="11.5703125" style="89" bestFit="1" customWidth="1"/>
    <col min="1031" max="1031" width="13.140625" style="89" bestFit="1" customWidth="1"/>
    <col min="1032" max="1032" width="14.7109375" style="89" bestFit="1" customWidth="1"/>
    <col min="1033" max="1034" width="14.140625" style="89" bestFit="1" customWidth="1"/>
    <col min="1035" max="1035" width="18" style="89" bestFit="1" customWidth="1"/>
    <col min="1036" max="1036" width="17.140625" style="89" customWidth="1"/>
    <col min="1037" max="1037" width="6.7109375" style="89" customWidth="1"/>
    <col min="1038" max="1038" width="15" style="89" customWidth="1"/>
    <col min="1039" max="1039" width="7.7109375" style="89" customWidth="1"/>
    <col min="1040" max="1040" width="9.140625" style="89" customWidth="1"/>
    <col min="1041" max="1044" width="14.28515625" style="89" customWidth="1"/>
    <col min="1045" max="1045" width="15.5703125" style="89" customWidth="1"/>
    <col min="1046" max="1052" width="11.42578125" style="89"/>
    <col min="1053" max="1055" width="11.5703125" style="89" bestFit="1" customWidth="1"/>
    <col min="1056" max="1065" width="12.5703125" style="89" bestFit="1" customWidth="1"/>
    <col min="1066" max="1280" width="11.42578125" style="89"/>
    <col min="1281" max="1281" width="16.140625" style="89" customWidth="1"/>
    <col min="1282" max="1282" width="14.85546875" style="89" customWidth="1"/>
    <col min="1283" max="1283" width="10.42578125" style="89" bestFit="1" customWidth="1"/>
    <col min="1284" max="1284" width="11" style="89" bestFit="1" customWidth="1"/>
    <col min="1285" max="1285" width="14.5703125" style="89" bestFit="1" customWidth="1"/>
    <col min="1286" max="1286" width="11.5703125" style="89" bestFit="1" customWidth="1"/>
    <col min="1287" max="1287" width="13.140625" style="89" bestFit="1" customWidth="1"/>
    <col min="1288" max="1288" width="14.7109375" style="89" bestFit="1" customWidth="1"/>
    <col min="1289" max="1290" width="14.140625" style="89" bestFit="1" customWidth="1"/>
    <col min="1291" max="1291" width="18" style="89" bestFit="1" customWidth="1"/>
    <col min="1292" max="1292" width="17.140625" style="89" customWidth="1"/>
    <col min="1293" max="1293" width="6.7109375" style="89" customWidth="1"/>
    <col min="1294" max="1294" width="15" style="89" customWidth="1"/>
    <col min="1295" max="1295" width="7.7109375" style="89" customWidth="1"/>
    <col min="1296" max="1296" width="9.140625" style="89" customWidth="1"/>
    <col min="1297" max="1300" width="14.28515625" style="89" customWidth="1"/>
    <col min="1301" max="1301" width="15.5703125" style="89" customWidth="1"/>
    <col min="1302" max="1308" width="11.42578125" style="89"/>
    <col min="1309" max="1311" width="11.5703125" style="89" bestFit="1" customWidth="1"/>
    <col min="1312" max="1321" width="12.5703125" style="89" bestFit="1" customWidth="1"/>
    <col min="1322" max="1536" width="11.42578125" style="89"/>
    <col min="1537" max="1537" width="16.140625" style="89" customWidth="1"/>
    <col min="1538" max="1538" width="14.85546875" style="89" customWidth="1"/>
    <col min="1539" max="1539" width="10.42578125" style="89" bestFit="1" customWidth="1"/>
    <col min="1540" max="1540" width="11" style="89" bestFit="1" customWidth="1"/>
    <col min="1541" max="1541" width="14.5703125" style="89" bestFit="1" customWidth="1"/>
    <col min="1542" max="1542" width="11.5703125" style="89" bestFit="1" customWidth="1"/>
    <col min="1543" max="1543" width="13.140625" style="89" bestFit="1" customWidth="1"/>
    <col min="1544" max="1544" width="14.7109375" style="89" bestFit="1" customWidth="1"/>
    <col min="1545" max="1546" width="14.140625" style="89" bestFit="1" customWidth="1"/>
    <col min="1547" max="1547" width="18" style="89" bestFit="1" customWidth="1"/>
    <col min="1548" max="1548" width="17.140625" style="89" customWidth="1"/>
    <col min="1549" max="1549" width="6.7109375" style="89" customWidth="1"/>
    <col min="1550" max="1550" width="15" style="89" customWidth="1"/>
    <col min="1551" max="1551" width="7.7109375" style="89" customWidth="1"/>
    <col min="1552" max="1552" width="9.140625" style="89" customWidth="1"/>
    <col min="1553" max="1556" width="14.28515625" style="89" customWidth="1"/>
    <col min="1557" max="1557" width="15.5703125" style="89" customWidth="1"/>
    <col min="1558" max="1564" width="11.42578125" style="89"/>
    <col min="1565" max="1567" width="11.5703125" style="89" bestFit="1" customWidth="1"/>
    <col min="1568" max="1577" width="12.5703125" style="89" bestFit="1" customWidth="1"/>
    <col min="1578" max="1792" width="11.42578125" style="89"/>
    <col min="1793" max="1793" width="16.140625" style="89" customWidth="1"/>
    <col min="1794" max="1794" width="14.85546875" style="89" customWidth="1"/>
    <col min="1795" max="1795" width="10.42578125" style="89" bestFit="1" customWidth="1"/>
    <col min="1796" max="1796" width="11" style="89" bestFit="1" customWidth="1"/>
    <col min="1797" max="1797" width="14.5703125" style="89" bestFit="1" customWidth="1"/>
    <col min="1798" max="1798" width="11.5703125" style="89" bestFit="1" customWidth="1"/>
    <col min="1799" max="1799" width="13.140625" style="89" bestFit="1" customWidth="1"/>
    <col min="1800" max="1800" width="14.7109375" style="89" bestFit="1" customWidth="1"/>
    <col min="1801" max="1802" width="14.140625" style="89" bestFit="1" customWidth="1"/>
    <col min="1803" max="1803" width="18" style="89" bestFit="1" customWidth="1"/>
    <col min="1804" max="1804" width="17.140625" style="89" customWidth="1"/>
    <col min="1805" max="1805" width="6.7109375" style="89" customWidth="1"/>
    <col min="1806" max="1806" width="15" style="89" customWidth="1"/>
    <col min="1807" max="1807" width="7.7109375" style="89" customWidth="1"/>
    <col min="1808" max="1808" width="9.140625" style="89" customWidth="1"/>
    <col min="1809" max="1812" width="14.28515625" style="89" customWidth="1"/>
    <col min="1813" max="1813" width="15.5703125" style="89" customWidth="1"/>
    <col min="1814" max="1820" width="11.42578125" style="89"/>
    <col min="1821" max="1823" width="11.5703125" style="89" bestFit="1" customWidth="1"/>
    <col min="1824" max="1833" width="12.5703125" style="89" bestFit="1" customWidth="1"/>
    <col min="1834" max="2048" width="11.42578125" style="89"/>
    <col min="2049" max="2049" width="16.140625" style="89" customWidth="1"/>
    <col min="2050" max="2050" width="14.85546875" style="89" customWidth="1"/>
    <col min="2051" max="2051" width="10.42578125" style="89" bestFit="1" customWidth="1"/>
    <col min="2052" max="2052" width="11" style="89" bestFit="1" customWidth="1"/>
    <col min="2053" max="2053" width="14.5703125" style="89" bestFit="1" customWidth="1"/>
    <col min="2054" max="2054" width="11.5703125" style="89" bestFit="1" customWidth="1"/>
    <col min="2055" max="2055" width="13.140625" style="89" bestFit="1" customWidth="1"/>
    <col min="2056" max="2056" width="14.7109375" style="89" bestFit="1" customWidth="1"/>
    <col min="2057" max="2058" width="14.140625" style="89" bestFit="1" customWidth="1"/>
    <col min="2059" max="2059" width="18" style="89" bestFit="1" customWidth="1"/>
    <col min="2060" max="2060" width="17.140625" style="89" customWidth="1"/>
    <col min="2061" max="2061" width="6.7109375" style="89" customWidth="1"/>
    <col min="2062" max="2062" width="15" style="89" customWidth="1"/>
    <col min="2063" max="2063" width="7.7109375" style="89" customWidth="1"/>
    <col min="2064" max="2064" width="9.140625" style="89" customWidth="1"/>
    <col min="2065" max="2068" width="14.28515625" style="89" customWidth="1"/>
    <col min="2069" max="2069" width="15.5703125" style="89" customWidth="1"/>
    <col min="2070" max="2076" width="11.42578125" style="89"/>
    <col min="2077" max="2079" width="11.5703125" style="89" bestFit="1" customWidth="1"/>
    <col min="2080" max="2089" width="12.5703125" style="89" bestFit="1" customWidth="1"/>
    <col min="2090" max="2304" width="11.42578125" style="89"/>
    <col min="2305" max="2305" width="16.140625" style="89" customWidth="1"/>
    <col min="2306" max="2306" width="14.85546875" style="89" customWidth="1"/>
    <col min="2307" max="2307" width="10.42578125" style="89" bestFit="1" customWidth="1"/>
    <col min="2308" max="2308" width="11" style="89" bestFit="1" customWidth="1"/>
    <col min="2309" max="2309" width="14.5703125" style="89" bestFit="1" customWidth="1"/>
    <col min="2310" max="2310" width="11.5703125" style="89" bestFit="1" customWidth="1"/>
    <col min="2311" max="2311" width="13.140625" style="89" bestFit="1" customWidth="1"/>
    <col min="2312" max="2312" width="14.7109375" style="89" bestFit="1" customWidth="1"/>
    <col min="2313" max="2314" width="14.140625" style="89" bestFit="1" customWidth="1"/>
    <col min="2315" max="2315" width="18" style="89" bestFit="1" customWidth="1"/>
    <col min="2316" max="2316" width="17.140625" style="89" customWidth="1"/>
    <col min="2317" max="2317" width="6.7109375" style="89" customWidth="1"/>
    <col min="2318" max="2318" width="15" style="89" customWidth="1"/>
    <col min="2319" max="2319" width="7.7109375" style="89" customWidth="1"/>
    <col min="2320" max="2320" width="9.140625" style="89" customWidth="1"/>
    <col min="2321" max="2324" width="14.28515625" style="89" customWidth="1"/>
    <col min="2325" max="2325" width="15.5703125" style="89" customWidth="1"/>
    <col min="2326" max="2332" width="11.42578125" style="89"/>
    <col min="2333" max="2335" width="11.5703125" style="89" bestFit="1" customWidth="1"/>
    <col min="2336" max="2345" width="12.5703125" style="89" bestFit="1" customWidth="1"/>
    <col min="2346" max="2560" width="11.42578125" style="89"/>
    <col min="2561" max="2561" width="16.140625" style="89" customWidth="1"/>
    <col min="2562" max="2562" width="14.85546875" style="89" customWidth="1"/>
    <col min="2563" max="2563" width="10.42578125" style="89" bestFit="1" customWidth="1"/>
    <col min="2564" max="2564" width="11" style="89" bestFit="1" customWidth="1"/>
    <col min="2565" max="2565" width="14.5703125" style="89" bestFit="1" customWidth="1"/>
    <col min="2566" max="2566" width="11.5703125" style="89" bestFit="1" customWidth="1"/>
    <col min="2567" max="2567" width="13.140625" style="89" bestFit="1" customWidth="1"/>
    <col min="2568" max="2568" width="14.7109375" style="89" bestFit="1" customWidth="1"/>
    <col min="2569" max="2570" width="14.140625" style="89" bestFit="1" customWidth="1"/>
    <col min="2571" max="2571" width="18" style="89" bestFit="1" customWidth="1"/>
    <col min="2572" max="2572" width="17.140625" style="89" customWidth="1"/>
    <col min="2573" max="2573" width="6.7109375" style="89" customWidth="1"/>
    <col min="2574" max="2574" width="15" style="89" customWidth="1"/>
    <col min="2575" max="2575" width="7.7109375" style="89" customWidth="1"/>
    <col min="2576" max="2576" width="9.140625" style="89" customWidth="1"/>
    <col min="2577" max="2580" width="14.28515625" style="89" customWidth="1"/>
    <col min="2581" max="2581" width="15.5703125" style="89" customWidth="1"/>
    <col min="2582" max="2588" width="11.42578125" style="89"/>
    <col min="2589" max="2591" width="11.5703125" style="89" bestFit="1" customWidth="1"/>
    <col min="2592" max="2601" width="12.5703125" style="89" bestFit="1" customWidth="1"/>
    <col min="2602" max="2816" width="11.42578125" style="89"/>
    <col min="2817" max="2817" width="16.140625" style="89" customWidth="1"/>
    <col min="2818" max="2818" width="14.85546875" style="89" customWidth="1"/>
    <col min="2819" max="2819" width="10.42578125" style="89" bestFit="1" customWidth="1"/>
    <col min="2820" max="2820" width="11" style="89" bestFit="1" customWidth="1"/>
    <col min="2821" max="2821" width="14.5703125" style="89" bestFit="1" customWidth="1"/>
    <col min="2822" max="2822" width="11.5703125" style="89" bestFit="1" customWidth="1"/>
    <col min="2823" max="2823" width="13.140625" style="89" bestFit="1" customWidth="1"/>
    <col min="2824" max="2824" width="14.7109375" style="89" bestFit="1" customWidth="1"/>
    <col min="2825" max="2826" width="14.140625" style="89" bestFit="1" customWidth="1"/>
    <col min="2827" max="2827" width="18" style="89" bestFit="1" customWidth="1"/>
    <col min="2828" max="2828" width="17.140625" style="89" customWidth="1"/>
    <col min="2829" max="2829" width="6.7109375" style="89" customWidth="1"/>
    <col min="2830" max="2830" width="15" style="89" customWidth="1"/>
    <col min="2831" max="2831" width="7.7109375" style="89" customWidth="1"/>
    <col min="2832" max="2832" width="9.140625" style="89" customWidth="1"/>
    <col min="2833" max="2836" width="14.28515625" style="89" customWidth="1"/>
    <col min="2837" max="2837" width="15.5703125" style="89" customWidth="1"/>
    <col min="2838" max="2844" width="11.42578125" style="89"/>
    <col min="2845" max="2847" width="11.5703125" style="89" bestFit="1" customWidth="1"/>
    <col min="2848" max="2857" width="12.5703125" style="89" bestFit="1" customWidth="1"/>
    <col min="2858" max="3072" width="11.42578125" style="89"/>
    <col min="3073" max="3073" width="16.140625" style="89" customWidth="1"/>
    <col min="3074" max="3074" width="14.85546875" style="89" customWidth="1"/>
    <col min="3075" max="3075" width="10.42578125" style="89" bestFit="1" customWidth="1"/>
    <col min="3076" max="3076" width="11" style="89" bestFit="1" customWidth="1"/>
    <col min="3077" max="3077" width="14.5703125" style="89" bestFit="1" customWidth="1"/>
    <col min="3078" max="3078" width="11.5703125" style="89" bestFit="1" customWidth="1"/>
    <col min="3079" max="3079" width="13.140625" style="89" bestFit="1" customWidth="1"/>
    <col min="3080" max="3080" width="14.7109375" style="89" bestFit="1" customWidth="1"/>
    <col min="3081" max="3082" width="14.140625" style="89" bestFit="1" customWidth="1"/>
    <col min="3083" max="3083" width="18" style="89" bestFit="1" customWidth="1"/>
    <col min="3084" max="3084" width="17.140625" style="89" customWidth="1"/>
    <col min="3085" max="3085" width="6.7109375" style="89" customWidth="1"/>
    <col min="3086" max="3086" width="15" style="89" customWidth="1"/>
    <col min="3087" max="3087" width="7.7109375" style="89" customWidth="1"/>
    <col min="3088" max="3088" width="9.140625" style="89" customWidth="1"/>
    <col min="3089" max="3092" width="14.28515625" style="89" customWidth="1"/>
    <col min="3093" max="3093" width="15.5703125" style="89" customWidth="1"/>
    <col min="3094" max="3100" width="11.42578125" style="89"/>
    <col min="3101" max="3103" width="11.5703125" style="89" bestFit="1" customWidth="1"/>
    <col min="3104" max="3113" width="12.5703125" style="89" bestFit="1" customWidth="1"/>
    <col min="3114" max="3328" width="11.42578125" style="89"/>
    <col min="3329" max="3329" width="16.140625" style="89" customWidth="1"/>
    <col min="3330" max="3330" width="14.85546875" style="89" customWidth="1"/>
    <col min="3331" max="3331" width="10.42578125" style="89" bestFit="1" customWidth="1"/>
    <col min="3332" max="3332" width="11" style="89" bestFit="1" customWidth="1"/>
    <col min="3333" max="3333" width="14.5703125" style="89" bestFit="1" customWidth="1"/>
    <col min="3334" max="3334" width="11.5703125" style="89" bestFit="1" customWidth="1"/>
    <col min="3335" max="3335" width="13.140625" style="89" bestFit="1" customWidth="1"/>
    <col min="3336" max="3336" width="14.7109375" style="89" bestFit="1" customWidth="1"/>
    <col min="3337" max="3338" width="14.140625" style="89" bestFit="1" customWidth="1"/>
    <col min="3339" max="3339" width="18" style="89" bestFit="1" customWidth="1"/>
    <col min="3340" max="3340" width="17.140625" style="89" customWidth="1"/>
    <col min="3341" max="3341" width="6.7109375" style="89" customWidth="1"/>
    <col min="3342" max="3342" width="15" style="89" customWidth="1"/>
    <col min="3343" max="3343" width="7.7109375" style="89" customWidth="1"/>
    <col min="3344" max="3344" width="9.140625" style="89" customWidth="1"/>
    <col min="3345" max="3348" width="14.28515625" style="89" customWidth="1"/>
    <col min="3349" max="3349" width="15.5703125" style="89" customWidth="1"/>
    <col min="3350" max="3356" width="11.42578125" style="89"/>
    <col min="3357" max="3359" width="11.5703125" style="89" bestFit="1" customWidth="1"/>
    <col min="3360" max="3369" width="12.5703125" style="89" bestFit="1" customWidth="1"/>
    <col min="3370" max="3584" width="11.42578125" style="89"/>
    <col min="3585" max="3585" width="16.140625" style="89" customWidth="1"/>
    <col min="3586" max="3586" width="14.85546875" style="89" customWidth="1"/>
    <col min="3587" max="3587" width="10.42578125" style="89" bestFit="1" customWidth="1"/>
    <col min="3588" max="3588" width="11" style="89" bestFit="1" customWidth="1"/>
    <col min="3589" max="3589" width="14.5703125" style="89" bestFit="1" customWidth="1"/>
    <col min="3590" max="3590" width="11.5703125" style="89" bestFit="1" customWidth="1"/>
    <col min="3591" max="3591" width="13.140625" style="89" bestFit="1" customWidth="1"/>
    <col min="3592" max="3592" width="14.7109375" style="89" bestFit="1" customWidth="1"/>
    <col min="3593" max="3594" width="14.140625" style="89" bestFit="1" customWidth="1"/>
    <col min="3595" max="3595" width="18" style="89" bestFit="1" customWidth="1"/>
    <col min="3596" max="3596" width="17.140625" style="89" customWidth="1"/>
    <col min="3597" max="3597" width="6.7109375" style="89" customWidth="1"/>
    <col min="3598" max="3598" width="15" style="89" customWidth="1"/>
    <col min="3599" max="3599" width="7.7109375" style="89" customWidth="1"/>
    <col min="3600" max="3600" width="9.140625" style="89" customWidth="1"/>
    <col min="3601" max="3604" width="14.28515625" style="89" customWidth="1"/>
    <col min="3605" max="3605" width="15.5703125" style="89" customWidth="1"/>
    <col min="3606" max="3612" width="11.42578125" style="89"/>
    <col min="3613" max="3615" width="11.5703125" style="89" bestFit="1" customWidth="1"/>
    <col min="3616" max="3625" width="12.5703125" style="89" bestFit="1" customWidth="1"/>
    <col min="3626" max="3840" width="11.42578125" style="89"/>
    <col min="3841" max="3841" width="16.140625" style="89" customWidth="1"/>
    <col min="3842" max="3842" width="14.85546875" style="89" customWidth="1"/>
    <col min="3843" max="3843" width="10.42578125" style="89" bestFit="1" customWidth="1"/>
    <col min="3844" max="3844" width="11" style="89" bestFit="1" customWidth="1"/>
    <col min="3845" max="3845" width="14.5703125" style="89" bestFit="1" customWidth="1"/>
    <col min="3846" max="3846" width="11.5703125" style="89" bestFit="1" customWidth="1"/>
    <col min="3847" max="3847" width="13.140625" style="89" bestFit="1" customWidth="1"/>
    <col min="3848" max="3848" width="14.7109375" style="89" bestFit="1" customWidth="1"/>
    <col min="3849" max="3850" width="14.140625" style="89" bestFit="1" customWidth="1"/>
    <col min="3851" max="3851" width="18" style="89" bestFit="1" customWidth="1"/>
    <col min="3852" max="3852" width="17.140625" style="89" customWidth="1"/>
    <col min="3853" max="3853" width="6.7109375" style="89" customWidth="1"/>
    <col min="3854" max="3854" width="15" style="89" customWidth="1"/>
    <col min="3855" max="3855" width="7.7109375" style="89" customWidth="1"/>
    <col min="3856" max="3856" width="9.140625" style="89" customWidth="1"/>
    <col min="3857" max="3860" width="14.28515625" style="89" customWidth="1"/>
    <col min="3861" max="3861" width="15.5703125" style="89" customWidth="1"/>
    <col min="3862" max="3868" width="11.42578125" style="89"/>
    <col min="3869" max="3871" width="11.5703125" style="89" bestFit="1" customWidth="1"/>
    <col min="3872" max="3881" width="12.5703125" style="89" bestFit="1" customWidth="1"/>
    <col min="3882" max="4096" width="11.42578125" style="89"/>
    <col min="4097" max="4097" width="16.140625" style="89" customWidth="1"/>
    <col min="4098" max="4098" width="14.85546875" style="89" customWidth="1"/>
    <col min="4099" max="4099" width="10.42578125" style="89" bestFit="1" customWidth="1"/>
    <col min="4100" max="4100" width="11" style="89" bestFit="1" customWidth="1"/>
    <col min="4101" max="4101" width="14.5703125" style="89" bestFit="1" customWidth="1"/>
    <col min="4102" max="4102" width="11.5703125" style="89" bestFit="1" customWidth="1"/>
    <col min="4103" max="4103" width="13.140625" style="89" bestFit="1" customWidth="1"/>
    <col min="4104" max="4104" width="14.7109375" style="89" bestFit="1" customWidth="1"/>
    <col min="4105" max="4106" width="14.140625" style="89" bestFit="1" customWidth="1"/>
    <col min="4107" max="4107" width="18" style="89" bestFit="1" customWidth="1"/>
    <col min="4108" max="4108" width="17.140625" style="89" customWidth="1"/>
    <col min="4109" max="4109" width="6.7109375" style="89" customWidth="1"/>
    <col min="4110" max="4110" width="15" style="89" customWidth="1"/>
    <col min="4111" max="4111" width="7.7109375" style="89" customWidth="1"/>
    <col min="4112" max="4112" width="9.140625" style="89" customWidth="1"/>
    <col min="4113" max="4116" width="14.28515625" style="89" customWidth="1"/>
    <col min="4117" max="4117" width="15.5703125" style="89" customWidth="1"/>
    <col min="4118" max="4124" width="11.42578125" style="89"/>
    <col min="4125" max="4127" width="11.5703125" style="89" bestFit="1" customWidth="1"/>
    <col min="4128" max="4137" width="12.5703125" style="89" bestFit="1" customWidth="1"/>
    <col min="4138" max="4352" width="11.42578125" style="89"/>
    <col min="4353" max="4353" width="16.140625" style="89" customWidth="1"/>
    <col min="4354" max="4354" width="14.85546875" style="89" customWidth="1"/>
    <col min="4355" max="4355" width="10.42578125" style="89" bestFit="1" customWidth="1"/>
    <col min="4356" max="4356" width="11" style="89" bestFit="1" customWidth="1"/>
    <col min="4357" max="4357" width="14.5703125" style="89" bestFit="1" customWidth="1"/>
    <col min="4358" max="4358" width="11.5703125" style="89" bestFit="1" customWidth="1"/>
    <col min="4359" max="4359" width="13.140625" style="89" bestFit="1" customWidth="1"/>
    <col min="4360" max="4360" width="14.7109375" style="89" bestFit="1" customWidth="1"/>
    <col min="4361" max="4362" width="14.140625" style="89" bestFit="1" customWidth="1"/>
    <col min="4363" max="4363" width="18" style="89" bestFit="1" customWidth="1"/>
    <col min="4364" max="4364" width="17.140625" style="89" customWidth="1"/>
    <col min="4365" max="4365" width="6.7109375" style="89" customWidth="1"/>
    <col min="4366" max="4366" width="15" style="89" customWidth="1"/>
    <col min="4367" max="4367" width="7.7109375" style="89" customWidth="1"/>
    <col min="4368" max="4368" width="9.140625" style="89" customWidth="1"/>
    <col min="4369" max="4372" width="14.28515625" style="89" customWidth="1"/>
    <col min="4373" max="4373" width="15.5703125" style="89" customWidth="1"/>
    <col min="4374" max="4380" width="11.42578125" style="89"/>
    <col min="4381" max="4383" width="11.5703125" style="89" bestFit="1" customWidth="1"/>
    <col min="4384" max="4393" width="12.5703125" style="89" bestFit="1" customWidth="1"/>
    <col min="4394" max="4608" width="11.42578125" style="89"/>
    <col min="4609" max="4609" width="16.140625" style="89" customWidth="1"/>
    <col min="4610" max="4610" width="14.85546875" style="89" customWidth="1"/>
    <col min="4611" max="4611" width="10.42578125" style="89" bestFit="1" customWidth="1"/>
    <col min="4612" max="4612" width="11" style="89" bestFit="1" customWidth="1"/>
    <col min="4613" max="4613" width="14.5703125" style="89" bestFit="1" customWidth="1"/>
    <col min="4614" max="4614" width="11.5703125" style="89" bestFit="1" customWidth="1"/>
    <col min="4615" max="4615" width="13.140625" style="89" bestFit="1" customWidth="1"/>
    <col min="4616" max="4616" width="14.7109375" style="89" bestFit="1" customWidth="1"/>
    <col min="4617" max="4618" width="14.140625" style="89" bestFit="1" customWidth="1"/>
    <col min="4619" max="4619" width="18" style="89" bestFit="1" customWidth="1"/>
    <col min="4620" max="4620" width="17.140625" style="89" customWidth="1"/>
    <col min="4621" max="4621" width="6.7109375" style="89" customWidth="1"/>
    <col min="4622" max="4622" width="15" style="89" customWidth="1"/>
    <col min="4623" max="4623" width="7.7109375" style="89" customWidth="1"/>
    <col min="4624" max="4624" width="9.140625" style="89" customWidth="1"/>
    <col min="4625" max="4628" width="14.28515625" style="89" customWidth="1"/>
    <col min="4629" max="4629" width="15.5703125" style="89" customWidth="1"/>
    <col min="4630" max="4636" width="11.42578125" style="89"/>
    <col min="4637" max="4639" width="11.5703125" style="89" bestFit="1" customWidth="1"/>
    <col min="4640" max="4649" width="12.5703125" style="89" bestFit="1" customWidth="1"/>
    <col min="4650" max="4864" width="11.42578125" style="89"/>
    <col min="4865" max="4865" width="16.140625" style="89" customWidth="1"/>
    <col min="4866" max="4866" width="14.85546875" style="89" customWidth="1"/>
    <col min="4867" max="4867" width="10.42578125" style="89" bestFit="1" customWidth="1"/>
    <col min="4868" max="4868" width="11" style="89" bestFit="1" customWidth="1"/>
    <col min="4869" max="4869" width="14.5703125" style="89" bestFit="1" customWidth="1"/>
    <col min="4870" max="4870" width="11.5703125" style="89" bestFit="1" customWidth="1"/>
    <col min="4871" max="4871" width="13.140625" style="89" bestFit="1" customWidth="1"/>
    <col min="4872" max="4872" width="14.7109375" style="89" bestFit="1" customWidth="1"/>
    <col min="4873" max="4874" width="14.140625" style="89" bestFit="1" customWidth="1"/>
    <col min="4875" max="4875" width="18" style="89" bestFit="1" customWidth="1"/>
    <col min="4876" max="4876" width="17.140625" style="89" customWidth="1"/>
    <col min="4877" max="4877" width="6.7109375" style="89" customWidth="1"/>
    <col min="4878" max="4878" width="15" style="89" customWidth="1"/>
    <col min="4879" max="4879" width="7.7109375" style="89" customWidth="1"/>
    <col min="4880" max="4880" width="9.140625" style="89" customWidth="1"/>
    <col min="4881" max="4884" width="14.28515625" style="89" customWidth="1"/>
    <col min="4885" max="4885" width="15.5703125" style="89" customWidth="1"/>
    <col min="4886" max="4892" width="11.42578125" style="89"/>
    <col min="4893" max="4895" width="11.5703125" style="89" bestFit="1" customWidth="1"/>
    <col min="4896" max="4905" width="12.5703125" style="89" bestFit="1" customWidth="1"/>
    <col min="4906" max="5120" width="11.42578125" style="89"/>
    <col min="5121" max="5121" width="16.140625" style="89" customWidth="1"/>
    <col min="5122" max="5122" width="14.85546875" style="89" customWidth="1"/>
    <col min="5123" max="5123" width="10.42578125" style="89" bestFit="1" customWidth="1"/>
    <col min="5124" max="5124" width="11" style="89" bestFit="1" customWidth="1"/>
    <col min="5125" max="5125" width="14.5703125" style="89" bestFit="1" customWidth="1"/>
    <col min="5126" max="5126" width="11.5703125" style="89" bestFit="1" customWidth="1"/>
    <col min="5127" max="5127" width="13.140625" style="89" bestFit="1" customWidth="1"/>
    <col min="5128" max="5128" width="14.7109375" style="89" bestFit="1" customWidth="1"/>
    <col min="5129" max="5130" width="14.140625" style="89" bestFit="1" customWidth="1"/>
    <col min="5131" max="5131" width="18" style="89" bestFit="1" customWidth="1"/>
    <col min="5132" max="5132" width="17.140625" style="89" customWidth="1"/>
    <col min="5133" max="5133" width="6.7109375" style="89" customWidth="1"/>
    <col min="5134" max="5134" width="15" style="89" customWidth="1"/>
    <col min="5135" max="5135" width="7.7109375" style="89" customWidth="1"/>
    <col min="5136" max="5136" width="9.140625" style="89" customWidth="1"/>
    <col min="5137" max="5140" width="14.28515625" style="89" customWidth="1"/>
    <col min="5141" max="5141" width="15.5703125" style="89" customWidth="1"/>
    <col min="5142" max="5148" width="11.42578125" style="89"/>
    <col min="5149" max="5151" width="11.5703125" style="89" bestFit="1" customWidth="1"/>
    <col min="5152" max="5161" width="12.5703125" style="89" bestFit="1" customWidth="1"/>
    <col min="5162" max="5376" width="11.42578125" style="89"/>
    <col min="5377" max="5377" width="16.140625" style="89" customWidth="1"/>
    <col min="5378" max="5378" width="14.85546875" style="89" customWidth="1"/>
    <col min="5379" max="5379" width="10.42578125" style="89" bestFit="1" customWidth="1"/>
    <col min="5380" max="5380" width="11" style="89" bestFit="1" customWidth="1"/>
    <col min="5381" max="5381" width="14.5703125" style="89" bestFit="1" customWidth="1"/>
    <col min="5382" max="5382" width="11.5703125" style="89" bestFit="1" customWidth="1"/>
    <col min="5383" max="5383" width="13.140625" style="89" bestFit="1" customWidth="1"/>
    <col min="5384" max="5384" width="14.7109375" style="89" bestFit="1" customWidth="1"/>
    <col min="5385" max="5386" width="14.140625" style="89" bestFit="1" customWidth="1"/>
    <col min="5387" max="5387" width="18" style="89" bestFit="1" customWidth="1"/>
    <col min="5388" max="5388" width="17.140625" style="89" customWidth="1"/>
    <col min="5389" max="5389" width="6.7109375" style="89" customWidth="1"/>
    <col min="5390" max="5390" width="15" style="89" customWidth="1"/>
    <col min="5391" max="5391" width="7.7109375" style="89" customWidth="1"/>
    <col min="5392" max="5392" width="9.140625" style="89" customWidth="1"/>
    <col min="5393" max="5396" width="14.28515625" style="89" customWidth="1"/>
    <col min="5397" max="5397" width="15.5703125" style="89" customWidth="1"/>
    <col min="5398" max="5404" width="11.42578125" style="89"/>
    <col min="5405" max="5407" width="11.5703125" style="89" bestFit="1" customWidth="1"/>
    <col min="5408" max="5417" width="12.5703125" style="89" bestFit="1" customWidth="1"/>
    <col min="5418" max="5632" width="11.42578125" style="89"/>
    <col min="5633" max="5633" width="16.140625" style="89" customWidth="1"/>
    <col min="5634" max="5634" width="14.85546875" style="89" customWidth="1"/>
    <col min="5635" max="5635" width="10.42578125" style="89" bestFit="1" customWidth="1"/>
    <col min="5636" max="5636" width="11" style="89" bestFit="1" customWidth="1"/>
    <col min="5637" max="5637" width="14.5703125" style="89" bestFit="1" customWidth="1"/>
    <col min="5638" max="5638" width="11.5703125" style="89" bestFit="1" customWidth="1"/>
    <col min="5639" max="5639" width="13.140625" style="89" bestFit="1" customWidth="1"/>
    <col min="5640" max="5640" width="14.7109375" style="89" bestFit="1" customWidth="1"/>
    <col min="5641" max="5642" width="14.140625" style="89" bestFit="1" customWidth="1"/>
    <col min="5643" max="5643" width="18" style="89" bestFit="1" customWidth="1"/>
    <col min="5644" max="5644" width="17.140625" style="89" customWidth="1"/>
    <col min="5645" max="5645" width="6.7109375" style="89" customWidth="1"/>
    <col min="5646" max="5646" width="15" style="89" customWidth="1"/>
    <col min="5647" max="5647" width="7.7109375" style="89" customWidth="1"/>
    <col min="5648" max="5648" width="9.140625" style="89" customWidth="1"/>
    <col min="5649" max="5652" width="14.28515625" style="89" customWidth="1"/>
    <col min="5653" max="5653" width="15.5703125" style="89" customWidth="1"/>
    <col min="5654" max="5660" width="11.42578125" style="89"/>
    <col min="5661" max="5663" width="11.5703125" style="89" bestFit="1" customWidth="1"/>
    <col min="5664" max="5673" width="12.5703125" style="89" bestFit="1" customWidth="1"/>
    <col min="5674" max="5888" width="11.42578125" style="89"/>
    <col min="5889" max="5889" width="16.140625" style="89" customWidth="1"/>
    <col min="5890" max="5890" width="14.85546875" style="89" customWidth="1"/>
    <col min="5891" max="5891" width="10.42578125" style="89" bestFit="1" customWidth="1"/>
    <col min="5892" max="5892" width="11" style="89" bestFit="1" customWidth="1"/>
    <col min="5893" max="5893" width="14.5703125" style="89" bestFit="1" customWidth="1"/>
    <col min="5894" max="5894" width="11.5703125" style="89" bestFit="1" customWidth="1"/>
    <col min="5895" max="5895" width="13.140625" style="89" bestFit="1" customWidth="1"/>
    <col min="5896" max="5896" width="14.7109375" style="89" bestFit="1" customWidth="1"/>
    <col min="5897" max="5898" width="14.140625" style="89" bestFit="1" customWidth="1"/>
    <col min="5899" max="5899" width="18" style="89" bestFit="1" customWidth="1"/>
    <col min="5900" max="5900" width="17.140625" style="89" customWidth="1"/>
    <col min="5901" max="5901" width="6.7109375" style="89" customWidth="1"/>
    <col min="5902" max="5902" width="15" style="89" customWidth="1"/>
    <col min="5903" max="5903" width="7.7109375" style="89" customWidth="1"/>
    <col min="5904" max="5904" width="9.140625" style="89" customWidth="1"/>
    <col min="5905" max="5908" width="14.28515625" style="89" customWidth="1"/>
    <col min="5909" max="5909" width="15.5703125" style="89" customWidth="1"/>
    <col min="5910" max="5916" width="11.42578125" style="89"/>
    <col min="5917" max="5919" width="11.5703125" style="89" bestFit="1" customWidth="1"/>
    <col min="5920" max="5929" width="12.5703125" style="89" bestFit="1" customWidth="1"/>
    <col min="5930" max="6144" width="11.42578125" style="89"/>
    <col min="6145" max="6145" width="16.140625" style="89" customWidth="1"/>
    <col min="6146" max="6146" width="14.85546875" style="89" customWidth="1"/>
    <col min="6147" max="6147" width="10.42578125" style="89" bestFit="1" customWidth="1"/>
    <col min="6148" max="6148" width="11" style="89" bestFit="1" customWidth="1"/>
    <col min="6149" max="6149" width="14.5703125" style="89" bestFit="1" customWidth="1"/>
    <col min="6150" max="6150" width="11.5703125" style="89" bestFit="1" customWidth="1"/>
    <col min="6151" max="6151" width="13.140625" style="89" bestFit="1" customWidth="1"/>
    <col min="6152" max="6152" width="14.7109375" style="89" bestFit="1" customWidth="1"/>
    <col min="6153" max="6154" width="14.140625" style="89" bestFit="1" customWidth="1"/>
    <col min="6155" max="6155" width="18" style="89" bestFit="1" customWidth="1"/>
    <col min="6156" max="6156" width="17.140625" style="89" customWidth="1"/>
    <col min="6157" max="6157" width="6.7109375" style="89" customWidth="1"/>
    <col min="6158" max="6158" width="15" style="89" customWidth="1"/>
    <col min="6159" max="6159" width="7.7109375" style="89" customWidth="1"/>
    <col min="6160" max="6160" width="9.140625" style="89" customWidth="1"/>
    <col min="6161" max="6164" width="14.28515625" style="89" customWidth="1"/>
    <col min="6165" max="6165" width="15.5703125" style="89" customWidth="1"/>
    <col min="6166" max="6172" width="11.42578125" style="89"/>
    <col min="6173" max="6175" width="11.5703125" style="89" bestFit="1" customWidth="1"/>
    <col min="6176" max="6185" width="12.5703125" style="89" bestFit="1" customWidth="1"/>
    <col min="6186" max="6400" width="11.42578125" style="89"/>
    <col min="6401" max="6401" width="16.140625" style="89" customWidth="1"/>
    <col min="6402" max="6402" width="14.85546875" style="89" customWidth="1"/>
    <col min="6403" max="6403" width="10.42578125" style="89" bestFit="1" customWidth="1"/>
    <col min="6404" max="6404" width="11" style="89" bestFit="1" customWidth="1"/>
    <col min="6405" max="6405" width="14.5703125" style="89" bestFit="1" customWidth="1"/>
    <col min="6406" max="6406" width="11.5703125" style="89" bestFit="1" customWidth="1"/>
    <col min="6407" max="6407" width="13.140625" style="89" bestFit="1" customWidth="1"/>
    <col min="6408" max="6408" width="14.7109375" style="89" bestFit="1" customWidth="1"/>
    <col min="6409" max="6410" width="14.140625" style="89" bestFit="1" customWidth="1"/>
    <col min="6411" max="6411" width="18" style="89" bestFit="1" customWidth="1"/>
    <col min="6412" max="6412" width="17.140625" style="89" customWidth="1"/>
    <col min="6413" max="6413" width="6.7109375" style="89" customWidth="1"/>
    <col min="6414" max="6414" width="15" style="89" customWidth="1"/>
    <col min="6415" max="6415" width="7.7109375" style="89" customWidth="1"/>
    <col min="6416" max="6416" width="9.140625" style="89" customWidth="1"/>
    <col min="6417" max="6420" width="14.28515625" style="89" customWidth="1"/>
    <col min="6421" max="6421" width="15.5703125" style="89" customWidth="1"/>
    <col min="6422" max="6428" width="11.42578125" style="89"/>
    <col min="6429" max="6431" width="11.5703125" style="89" bestFit="1" customWidth="1"/>
    <col min="6432" max="6441" width="12.5703125" style="89" bestFit="1" customWidth="1"/>
    <col min="6442" max="6656" width="11.42578125" style="89"/>
    <col min="6657" max="6657" width="16.140625" style="89" customWidth="1"/>
    <col min="6658" max="6658" width="14.85546875" style="89" customWidth="1"/>
    <col min="6659" max="6659" width="10.42578125" style="89" bestFit="1" customWidth="1"/>
    <col min="6660" max="6660" width="11" style="89" bestFit="1" customWidth="1"/>
    <col min="6661" max="6661" width="14.5703125" style="89" bestFit="1" customWidth="1"/>
    <col min="6662" max="6662" width="11.5703125" style="89" bestFit="1" customWidth="1"/>
    <col min="6663" max="6663" width="13.140625" style="89" bestFit="1" customWidth="1"/>
    <col min="6664" max="6664" width="14.7109375" style="89" bestFit="1" customWidth="1"/>
    <col min="6665" max="6666" width="14.140625" style="89" bestFit="1" customWidth="1"/>
    <col min="6667" max="6667" width="18" style="89" bestFit="1" customWidth="1"/>
    <col min="6668" max="6668" width="17.140625" style="89" customWidth="1"/>
    <col min="6669" max="6669" width="6.7109375" style="89" customWidth="1"/>
    <col min="6670" max="6670" width="15" style="89" customWidth="1"/>
    <col min="6671" max="6671" width="7.7109375" style="89" customWidth="1"/>
    <col min="6672" max="6672" width="9.140625" style="89" customWidth="1"/>
    <col min="6673" max="6676" width="14.28515625" style="89" customWidth="1"/>
    <col min="6677" max="6677" width="15.5703125" style="89" customWidth="1"/>
    <col min="6678" max="6684" width="11.42578125" style="89"/>
    <col min="6685" max="6687" width="11.5703125" style="89" bestFit="1" customWidth="1"/>
    <col min="6688" max="6697" width="12.5703125" style="89" bestFit="1" customWidth="1"/>
    <col min="6698" max="6912" width="11.42578125" style="89"/>
    <col min="6913" max="6913" width="16.140625" style="89" customWidth="1"/>
    <col min="6914" max="6914" width="14.85546875" style="89" customWidth="1"/>
    <col min="6915" max="6915" width="10.42578125" style="89" bestFit="1" customWidth="1"/>
    <col min="6916" max="6916" width="11" style="89" bestFit="1" customWidth="1"/>
    <col min="6917" max="6917" width="14.5703125" style="89" bestFit="1" customWidth="1"/>
    <col min="6918" max="6918" width="11.5703125" style="89" bestFit="1" customWidth="1"/>
    <col min="6919" max="6919" width="13.140625" style="89" bestFit="1" customWidth="1"/>
    <col min="6920" max="6920" width="14.7109375" style="89" bestFit="1" customWidth="1"/>
    <col min="6921" max="6922" width="14.140625" style="89" bestFit="1" customWidth="1"/>
    <col min="6923" max="6923" width="18" style="89" bestFit="1" customWidth="1"/>
    <col min="6924" max="6924" width="17.140625" style="89" customWidth="1"/>
    <col min="6925" max="6925" width="6.7109375" style="89" customWidth="1"/>
    <col min="6926" max="6926" width="15" style="89" customWidth="1"/>
    <col min="6927" max="6927" width="7.7109375" style="89" customWidth="1"/>
    <col min="6928" max="6928" width="9.140625" style="89" customWidth="1"/>
    <col min="6929" max="6932" width="14.28515625" style="89" customWidth="1"/>
    <col min="6933" max="6933" width="15.5703125" style="89" customWidth="1"/>
    <col min="6934" max="6940" width="11.42578125" style="89"/>
    <col min="6941" max="6943" width="11.5703125" style="89" bestFit="1" customWidth="1"/>
    <col min="6944" max="6953" width="12.5703125" style="89" bestFit="1" customWidth="1"/>
    <col min="6954" max="7168" width="11.42578125" style="89"/>
    <col min="7169" max="7169" width="16.140625" style="89" customWidth="1"/>
    <col min="7170" max="7170" width="14.85546875" style="89" customWidth="1"/>
    <col min="7171" max="7171" width="10.42578125" style="89" bestFit="1" customWidth="1"/>
    <col min="7172" max="7172" width="11" style="89" bestFit="1" customWidth="1"/>
    <col min="7173" max="7173" width="14.5703125" style="89" bestFit="1" customWidth="1"/>
    <col min="7174" max="7174" width="11.5703125" style="89" bestFit="1" customWidth="1"/>
    <col min="7175" max="7175" width="13.140625" style="89" bestFit="1" customWidth="1"/>
    <col min="7176" max="7176" width="14.7109375" style="89" bestFit="1" customWidth="1"/>
    <col min="7177" max="7178" width="14.140625" style="89" bestFit="1" customWidth="1"/>
    <col min="7179" max="7179" width="18" style="89" bestFit="1" customWidth="1"/>
    <col min="7180" max="7180" width="17.140625" style="89" customWidth="1"/>
    <col min="7181" max="7181" width="6.7109375" style="89" customWidth="1"/>
    <col min="7182" max="7182" width="15" style="89" customWidth="1"/>
    <col min="7183" max="7183" width="7.7109375" style="89" customWidth="1"/>
    <col min="7184" max="7184" width="9.140625" style="89" customWidth="1"/>
    <col min="7185" max="7188" width="14.28515625" style="89" customWidth="1"/>
    <col min="7189" max="7189" width="15.5703125" style="89" customWidth="1"/>
    <col min="7190" max="7196" width="11.42578125" style="89"/>
    <col min="7197" max="7199" width="11.5703125" style="89" bestFit="1" customWidth="1"/>
    <col min="7200" max="7209" width="12.5703125" style="89" bestFit="1" customWidth="1"/>
    <col min="7210" max="7424" width="11.42578125" style="89"/>
    <col min="7425" max="7425" width="16.140625" style="89" customWidth="1"/>
    <col min="7426" max="7426" width="14.85546875" style="89" customWidth="1"/>
    <col min="7427" max="7427" width="10.42578125" style="89" bestFit="1" customWidth="1"/>
    <col min="7428" max="7428" width="11" style="89" bestFit="1" customWidth="1"/>
    <col min="7429" max="7429" width="14.5703125" style="89" bestFit="1" customWidth="1"/>
    <col min="7430" max="7430" width="11.5703125" style="89" bestFit="1" customWidth="1"/>
    <col min="7431" max="7431" width="13.140625" style="89" bestFit="1" customWidth="1"/>
    <col min="7432" max="7432" width="14.7109375" style="89" bestFit="1" customWidth="1"/>
    <col min="7433" max="7434" width="14.140625" style="89" bestFit="1" customWidth="1"/>
    <col min="7435" max="7435" width="18" style="89" bestFit="1" customWidth="1"/>
    <col min="7436" max="7436" width="17.140625" style="89" customWidth="1"/>
    <col min="7437" max="7437" width="6.7109375" style="89" customWidth="1"/>
    <col min="7438" max="7438" width="15" style="89" customWidth="1"/>
    <col min="7439" max="7439" width="7.7109375" style="89" customWidth="1"/>
    <col min="7440" max="7440" width="9.140625" style="89" customWidth="1"/>
    <col min="7441" max="7444" width="14.28515625" style="89" customWidth="1"/>
    <col min="7445" max="7445" width="15.5703125" style="89" customWidth="1"/>
    <col min="7446" max="7452" width="11.42578125" style="89"/>
    <col min="7453" max="7455" width="11.5703125" style="89" bestFit="1" customWidth="1"/>
    <col min="7456" max="7465" width="12.5703125" style="89" bestFit="1" customWidth="1"/>
    <col min="7466" max="7680" width="11.42578125" style="89"/>
    <col min="7681" max="7681" width="16.140625" style="89" customWidth="1"/>
    <col min="7682" max="7682" width="14.85546875" style="89" customWidth="1"/>
    <col min="7683" max="7683" width="10.42578125" style="89" bestFit="1" customWidth="1"/>
    <col min="7684" max="7684" width="11" style="89" bestFit="1" customWidth="1"/>
    <col min="7685" max="7685" width="14.5703125" style="89" bestFit="1" customWidth="1"/>
    <col min="7686" max="7686" width="11.5703125" style="89" bestFit="1" customWidth="1"/>
    <col min="7687" max="7687" width="13.140625" style="89" bestFit="1" customWidth="1"/>
    <col min="7688" max="7688" width="14.7109375" style="89" bestFit="1" customWidth="1"/>
    <col min="7689" max="7690" width="14.140625" style="89" bestFit="1" customWidth="1"/>
    <col min="7691" max="7691" width="18" style="89" bestFit="1" customWidth="1"/>
    <col min="7692" max="7692" width="17.140625" style="89" customWidth="1"/>
    <col min="7693" max="7693" width="6.7109375" style="89" customWidth="1"/>
    <col min="7694" max="7694" width="15" style="89" customWidth="1"/>
    <col min="7695" max="7695" width="7.7109375" style="89" customWidth="1"/>
    <col min="7696" max="7696" width="9.140625" style="89" customWidth="1"/>
    <col min="7697" max="7700" width="14.28515625" style="89" customWidth="1"/>
    <col min="7701" max="7701" width="15.5703125" style="89" customWidth="1"/>
    <col min="7702" max="7708" width="11.42578125" style="89"/>
    <col min="7709" max="7711" width="11.5703125" style="89" bestFit="1" customWidth="1"/>
    <col min="7712" max="7721" width="12.5703125" style="89" bestFit="1" customWidth="1"/>
    <col min="7722" max="7936" width="11.42578125" style="89"/>
    <col min="7937" max="7937" width="16.140625" style="89" customWidth="1"/>
    <col min="7938" max="7938" width="14.85546875" style="89" customWidth="1"/>
    <col min="7939" max="7939" width="10.42578125" style="89" bestFit="1" customWidth="1"/>
    <col min="7940" max="7940" width="11" style="89" bestFit="1" customWidth="1"/>
    <col min="7941" max="7941" width="14.5703125" style="89" bestFit="1" customWidth="1"/>
    <col min="7942" max="7942" width="11.5703125" style="89" bestFit="1" customWidth="1"/>
    <col min="7943" max="7943" width="13.140625" style="89" bestFit="1" customWidth="1"/>
    <col min="7944" max="7944" width="14.7109375" style="89" bestFit="1" customWidth="1"/>
    <col min="7945" max="7946" width="14.140625" style="89" bestFit="1" customWidth="1"/>
    <col min="7947" max="7947" width="18" style="89" bestFit="1" customWidth="1"/>
    <col min="7948" max="7948" width="17.140625" style="89" customWidth="1"/>
    <col min="7949" max="7949" width="6.7109375" style="89" customWidth="1"/>
    <col min="7950" max="7950" width="15" style="89" customWidth="1"/>
    <col min="7951" max="7951" width="7.7109375" style="89" customWidth="1"/>
    <col min="7952" max="7952" width="9.140625" style="89" customWidth="1"/>
    <col min="7953" max="7956" width="14.28515625" style="89" customWidth="1"/>
    <col min="7957" max="7957" width="15.5703125" style="89" customWidth="1"/>
    <col min="7958" max="7964" width="11.42578125" style="89"/>
    <col min="7965" max="7967" width="11.5703125" style="89" bestFit="1" customWidth="1"/>
    <col min="7968" max="7977" width="12.5703125" style="89" bestFit="1" customWidth="1"/>
    <col min="7978" max="8192" width="11.42578125" style="89"/>
    <col min="8193" max="8193" width="16.140625" style="89" customWidth="1"/>
    <col min="8194" max="8194" width="14.85546875" style="89" customWidth="1"/>
    <col min="8195" max="8195" width="10.42578125" style="89" bestFit="1" customWidth="1"/>
    <col min="8196" max="8196" width="11" style="89" bestFit="1" customWidth="1"/>
    <col min="8197" max="8197" width="14.5703125" style="89" bestFit="1" customWidth="1"/>
    <col min="8198" max="8198" width="11.5703125" style="89" bestFit="1" customWidth="1"/>
    <col min="8199" max="8199" width="13.140625" style="89" bestFit="1" customWidth="1"/>
    <col min="8200" max="8200" width="14.7109375" style="89" bestFit="1" customWidth="1"/>
    <col min="8201" max="8202" width="14.140625" style="89" bestFit="1" customWidth="1"/>
    <col min="8203" max="8203" width="18" style="89" bestFit="1" customWidth="1"/>
    <col min="8204" max="8204" width="17.140625" style="89" customWidth="1"/>
    <col min="8205" max="8205" width="6.7109375" style="89" customWidth="1"/>
    <col min="8206" max="8206" width="15" style="89" customWidth="1"/>
    <col min="8207" max="8207" width="7.7109375" style="89" customWidth="1"/>
    <col min="8208" max="8208" width="9.140625" style="89" customWidth="1"/>
    <col min="8209" max="8212" width="14.28515625" style="89" customWidth="1"/>
    <col min="8213" max="8213" width="15.5703125" style="89" customWidth="1"/>
    <col min="8214" max="8220" width="11.42578125" style="89"/>
    <col min="8221" max="8223" width="11.5703125" style="89" bestFit="1" customWidth="1"/>
    <col min="8224" max="8233" width="12.5703125" style="89" bestFit="1" customWidth="1"/>
    <col min="8234" max="8448" width="11.42578125" style="89"/>
    <col min="8449" max="8449" width="16.140625" style="89" customWidth="1"/>
    <col min="8450" max="8450" width="14.85546875" style="89" customWidth="1"/>
    <col min="8451" max="8451" width="10.42578125" style="89" bestFit="1" customWidth="1"/>
    <col min="8452" max="8452" width="11" style="89" bestFit="1" customWidth="1"/>
    <col min="8453" max="8453" width="14.5703125" style="89" bestFit="1" customWidth="1"/>
    <col min="8454" max="8454" width="11.5703125" style="89" bestFit="1" customWidth="1"/>
    <col min="8455" max="8455" width="13.140625" style="89" bestFit="1" customWidth="1"/>
    <col min="8456" max="8456" width="14.7109375" style="89" bestFit="1" customWidth="1"/>
    <col min="8457" max="8458" width="14.140625" style="89" bestFit="1" customWidth="1"/>
    <col min="8459" max="8459" width="18" style="89" bestFit="1" customWidth="1"/>
    <col min="8460" max="8460" width="17.140625" style="89" customWidth="1"/>
    <col min="8461" max="8461" width="6.7109375" style="89" customWidth="1"/>
    <col min="8462" max="8462" width="15" style="89" customWidth="1"/>
    <col min="8463" max="8463" width="7.7109375" style="89" customWidth="1"/>
    <col min="8464" max="8464" width="9.140625" style="89" customWidth="1"/>
    <col min="8465" max="8468" width="14.28515625" style="89" customWidth="1"/>
    <col min="8469" max="8469" width="15.5703125" style="89" customWidth="1"/>
    <col min="8470" max="8476" width="11.42578125" style="89"/>
    <col min="8477" max="8479" width="11.5703125" style="89" bestFit="1" customWidth="1"/>
    <col min="8480" max="8489" width="12.5703125" style="89" bestFit="1" customWidth="1"/>
    <col min="8490" max="8704" width="11.42578125" style="89"/>
    <col min="8705" max="8705" width="16.140625" style="89" customWidth="1"/>
    <col min="8706" max="8706" width="14.85546875" style="89" customWidth="1"/>
    <col min="8707" max="8707" width="10.42578125" style="89" bestFit="1" customWidth="1"/>
    <col min="8708" max="8708" width="11" style="89" bestFit="1" customWidth="1"/>
    <col min="8709" max="8709" width="14.5703125" style="89" bestFit="1" customWidth="1"/>
    <col min="8710" max="8710" width="11.5703125" style="89" bestFit="1" customWidth="1"/>
    <col min="8711" max="8711" width="13.140625" style="89" bestFit="1" customWidth="1"/>
    <col min="8712" max="8712" width="14.7109375" style="89" bestFit="1" customWidth="1"/>
    <col min="8713" max="8714" width="14.140625" style="89" bestFit="1" customWidth="1"/>
    <col min="8715" max="8715" width="18" style="89" bestFit="1" customWidth="1"/>
    <col min="8716" max="8716" width="17.140625" style="89" customWidth="1"/>
    <col min="8717" max="8717" width="6.7109375" style="89" customWidth="1"/>
    <col min="8718" max="8718" width="15" style="89" customWidth="1"/>
    <col min="8719" max="8719" width="7.7109375" style="89" customWidth="1"/>
    <col min="8720" max="8720" width="9.140625" style="89" customWidth="1"/>
    <col min="8721" max="8724" width="14.28515625" style="89" customWidth="1"/>
    <col min="8725" max="8725" width="15.5703125" style="89" customWidth="1"/>
    <col min="8726" max="8732" width="11.42578125" style="89"/>
    <col min="8733" max="8735" width="11.5703125" style="89" bestFit="1" customWidth="1"/>
    <col min="8736" max="8745" width="12.5703125" style="89" bestFit="1" customWidth="1"/>
    <col min="8746" max="8960" width="11.42578125" style="89"/>
    <col min="8961" max="8961" width="16.140625" style="89" customWidth="1"/>
    <col min="8962" max="8962" width="14.85546875" style="89" customWidth="1"/>
    <col min="8963" max="8963" width="10.42578125" style="89" bestFit="1" customWidth="1"/>
    <col min="8964" max="8964" width="11" style="89" bestFit="1" customWidth="1"/>
    <col min="8965" max="8965" width="14.5703125" style="89" bestFit="1" customWidth="1"/>
    <col min="8966" max="8966" width="11.5703125" style="89" bestFit="1" customWidth="1"/>
    <col min="8967" max="8967" width="13.140625" style="89" bestFit="1" customWidth="1"/>
    <col min="8968" max="8968" width="14.7109375" style="89" bestFit="1" customWidth="1"/>
    <col min="8969" max="8970" width="14.140625" style="89" bestFit="1" customWidth="1"/>
    <col min="8971" max="8971" width="18" style="89" bestFit="1" customWidth="1"/>
    <col min="8972" max="8972" width="17.140625" style="89" customWidth="1"/>
    <col min="8973" max="8973" width="6.7109375" style="89" customWidth="1"/>
    <col min="8974" max="8974" width="15" style="89" customWidth="1"/>
    <col min="8975" max="8975" width="7.7109375" style="89" customWidth="1"/>
    <col min="8976" max="8976" width="9.140625" style="89" customWidth="1"/>
    <col min="8977" max="8980" width="14.28515625" style="89" customWidth="1"/>
    <col min="8981" max="8981" width="15.5703125" style="89" customWidth="1"/>
    <col min="8982" max="8988" width="11.42578125" style="89"/>
    <col min="8989" max="8991" width="11.5703125" style="89" bestFit="1" customWidth="1"/>
    <col min="8992" max="9001" width="12.5703125" style="89" bestFit="1" customWidth="1"/>
    <col min="9002" max="9216" width="11.42578125" style="89"/>
    <col min="9217" max="9217" width="16.140625" style="89" customWidth="1"/>
    <col min="9218" max="9218" width="14.85546875" style="89" customWidth="1"/>
    <col min="9219" max="9219" width="10.42578125" style="89" bestFit="1" customWidth="1"/>
    <col min="9220" max="9220" width="11" style="89" bestFit="1" customWidth="1"/>
    <col min="9221" max="9221" width="14.5703125" style="89" bestFit="1" customWidth="1"/>
    <col min="9222" max="9222" width="11.5703125" style="89" bestFit="1" customWidth="1"/>
    <col min="9223" max="9223" width="13.140625" style="89" bestFit="1" customWidth="1"/>
    <col min="9224" max="9224" width="14.7109375" style="89" bestFit="1" customWidth="1"/>
    <col min="9225" max="9226" width="14.140625" style="89" bestFit="1" customWidth="1"/>
    <col min="9227" max="9227" width="18" style="89" bestFit="1" customWidth="1"/>
    <col min="9228" max="9228" width="17.140625" style="89" customWidth="1"/>
    <col min="9229" max="9229" width="6.7109375" style="89" customWidth="1"/>
    <col min="9230" max="9230" width="15" style="89" customWidth="1"/>
    <col min="9231" max="9231" width="7.7109375" style="89" customWidth="1"/>
    <col min="9232" max="9232" width="9.140625" style="89" customWidth="1"/>
    <col min="9233" max="9236" width="14.28515625" style="89" customWidth="1"/>
    <col min="9237" max="9237" width="15.5703125" style="89" customWidth="1"/>
    <col min="9238" max="9244" width="11.42578125" style="89"/>
    <col min="9245" max="9247" width="11.5703125" style="89" bestFit="1" customWidth="1"/>
    <col min="9248" max="9257" width="12.5703125" style="89" bestFit="1" customWidth="1"/>
    <col min="9258" max="9472" width="11.42578125" style="89"/>
    <col min="9473" max="9473" width="16.140625" style="89" customWidth="1"/>
    <col min="9474" max="9474" width="14.85546875" style="89" customWidth="1"/>
    <col min="9475" max="9475" width="10.42578125" style="89" bestFit="1" customWidth="1"/>
    <col min="9476" max="9476" width="11" style="89" bestFit="1" customWidth="1"/>
    <col min="9477" max="9477" width="14.5703125" style="89" bestFit="1" customWidth="1"/>
    <col min="9478" max="9478" width="11.5703125" style="89" bestFit="1" customWidth="1"/>
    <col min="9479" max="9479" width="13.140625" style="89" bestFit="1" customWidth="1"/>
    <col min="9480" max="9480" width="14.7109375" style="89" bestFit="1" customWidth="1"/>
    <col min="9481" max="9482" width="14.140625" style="89" bestFit="1" customWidth="1"/>
    <col min="9483" max="9483" width="18" style="89" bestFit="1" customWidth="1"/>
    <col min="9484" max="9484" width="17.140625" style="89" customWidth="1"/>
    <col min="9485" max="9485" width="6.7109375" style="89" customWidth="1"/>
    <col min="9486" max="9486" width="15" style="89" customWidth="1"/>
    <col min="9487" max="9487" width="7.7109375" style="89" customWidth="1"/>
    <col min="9488" max="9488" width="9.140625" style="89" customWidth="1"/>
    <col min="9489" max="9492" width="14.28515625" style="89" customWidth="1"/>
    <col min="9493" max="9493" width="15.5703125" style="89" customWidth="1"/>
    <col min="9494" max="9500" width="11.42578125" style="89"/>
    <col min="9501" max="9503" width="11.5703125" style="89" bestFit="1" customWidth="1"/>
    <col min="9504" max="9513" width="12.5703125" style="89" bestFit="1" customWidth="1"/>
    <col min="9514" max="9728" width="11.42578125" style="89"/>
    <col min="9729" max="9729" width="16.140625" style="89" customWidth="1"/>
    <col min="9730" max="9730" width="14.85546875" style="89" customWidth="1"/>
    <col min="9731" max="9731" width="10.42578125" style="89" bestFit="1" customWidth="1"/>
    <col min="9732" max="9732" width="11" style="89" bestFit="1" customWidth="1"/>
    <col min="9733" max="9733" width="14.5703125" style="89" bestFit="1" customWidth="1"/>
    <col min="9734" max="9734" width="11.5703125" style="89" bestFit="1" customWidth="1"/>
    <col min="9735" max="9735" width="13.140625" style="89" bestFit="1" customWidth="1"/>
    <col min="9736" max="9736" width="14.7109375" style="89" bestFit="1" customWidth="1"/>
    <col min="9737" max="9738" width="14.140625" style="89" bestFit="1" customWidth="1"/>
    <col min="9739" max="9739" width="18" style="89" bestFit="1" customWidth="1"/>
    <col min="9740" max="9740" width="17.140625" style="89" customWidth="1"/>
    <col min="9741" max="9741" width="6.7109375" style="89" customWidth="1"/>
    <col min="9742" max="9742" width="15" style="89" customWidth="1"/>
    <col min="9743" max="9743" width="7.7109375" style="89" customWidth="1"/>
    <col min="9744" max="9744" width="9.140625" style="89" customWidth="1"/>
    <col min="9745" max="9748" width="14.28515625" style="89" customWidth="1"/>
    <col min="9749" max="9749" width="15.5703125" style="89" customWidth="1"/>
    <col min="9750" max="9756" width="11.42578125" style="89"/>
    <col min="9757" max="9759" width="11.5703125" style="89" bestFit="1" customWidth="1"/>
    <col min="9760" max="9769" width="12.5703125" style="89" bestFit="1" customWidth="1"/>
    <col min="9770" max="9984" width="11.42578125" style="89"/>
    <col min="9985" max="9985" width="16.140625" style="89" customWidth="1"/>
    <col min="9986" max="9986" width="14.85546875" style="89" customWidth="1"/>
    <col min="9987" max="9987" width="10.42578125" style="89" bestFit="1" customWidth="1"/>
    <col min="9988" max="9988" width="11" style="89" bestFit="1" customWidth="1"/>
    <col min="9989" max="9989" width="14.5703125" style="89" bestFit="1" customWidth="1"/>
    <col min="9990" max="9990" width="11.5703125" style="89" bestFit="1" customWidth="1"/>
    <col min="9991" max="9991" width="13.140625" style="89" bestFit="1" customWidth="1"/>
    <col min="9992" max="9992" width="14.7109375" style="89" bestFit="1" customWidth="1"/>
    <col min="9993" max="9994" width="14.140625" style="89" bestFit="1" customWidth="1"/>
    <col min="9995" max="9995" width="18" style="89" bestFit="1" customWidth="1"/>
    <col min="9996" max="9996" width="17.140625" style="89" customWidth="1"/>
    <col min="9997" max="9997" width="6.7109375" style="89" customWidth="1"/>
    <col min="9998" max="9998" width="15" style="89" customWidth="1"/>
    <col min="9999" max="9999" width="7.7109375" style="89" customWidth="1"/>
    <col min="10000" max="10000" width="9.140625" style="89" customWidth="1"/>
    <col min="10001" max="10004" width="14.28515625" style="89" customWidth="1"/>
    <col min="10005" max="10005" width="15.5703125" style="89" customWidth="1"/>
    <col min="10006" max="10012" width="11.42578125" style="89"/>
    <col min="10013" max="10015" width="11.5703125" style="89" bestFit="1" customWidth="1"/>
    <col min="10016" max="10025" width="12.5703125" style="89" bestFit="1" customWidth="1"/>
    <col min="10026" max="10240" width="11.42578125" style="89"/>
    <col min="10241" max="10241" width="16.140625" style="89" customWidth="1"/>
    <col min="10242" max="10242" width="14.85546875" style="89" customWidth="1"/>
    <col min="10243" max="10243" width="10.42578125" style="89" bestFit="1" customWidth="1"/>
    <col min="10244" max="10244" width="11" style="89" bestFit="1" customWidth="1"/>
    <col min="10245" max="10245" width="14.5703125" style="89" bestFit="1" customWidth="1"/>
    <col min="10246" max="10246" width="11.5703125" style="89" bestFit="1" customWidth="1"/>
    <col min="10247" max="10247" width="13.140625" style="89" bestFit="1" customWidth="1"/>
    <col min="10248" max="10248" width="14.7109375" style="89" bestFit="1" customWidth="1"/>
    <col min="10249" max="10250" width="14.140625" style="89" bestFit="1" customWidth="1"/>
    <col min="10251" max="10251" width="18" style="89" bestFit="1" customWidth="1"/>
    <col min="10252" max="10252" width="17.140625" style="89" customWidth="1"/>
    <col min="10253" max="10253" width="6.7109375" style="89" customWidth="1"/>
    <col min="10254" max="10254" width="15" style="89" customWidth="1"/>
    <col min="10255" max="10255" width="7.7109375" style="89" customWidth="1"/>
    <col min="10256" max="10256" width="9.140625" style="89" customWidth="1"/>
    <col min="10257" max="10260" width="14.28515625" style="89" customWidth="1"/>
    <col min="10261" max="10261" width="15.5703125" style="89" customWidth="1"/>
    <col min="10262" max="10268" width="11.42578125" style="89"/>
    <col min="10269" max="10271" width="11.5703125" style="89" bestFit="1" customWidth="1"/>
    <col min="10272" max="10281" width="12.5703125" style="89" bestFit="1" customWidth="1"/>
    <col min="10282" max="10496" width="11.42578125" style="89"/>
    <col min="10497" max="10497" width="16.140625" style="89" customWidth="1"/>
    <col min="10498" max="10498" width="14.85546875" style="89" customWidth="1"/>
    <col min="10499" max="10499" width="10.42578125" style="89" bestFit="1" customWidth="1"/>
    <col min="10500" max="10500" width="11" style="89" bestFit="1" customWidth="1"/>
    <col min="10501" max="10501" width="14.5703125" style="89" bestFit="1" customWidth="1"/>
    <col min="10502" max="10502" width="11.5703125" style="89" bestFit="1" customWidth="1"/>
    <col min="10503" max="10503" width="13.140625" style="89" bestFit="1" customWidth="1"/>
    <col min="10504" max="10504" width="14.7109375" style="89" bestFit="1" customWidth="1"/>
    <col min="10505" max="10506" width="14.140625" style="89" bestFit="1" customWidth="1"/>
    <col min="10507" max="10507" width="18" style="89" bestFit="1" customWidth="1"/>
    <col min="10508" max="10508" width="17.140625" style="89" customWidth="1"/>
    <col min="10509" max="10509" width="6.7109375" style="89" customWidth="1"/>
    <col min="10510" max="10510" width="15" style="89" customWidth="1"/>
    <col min="10511" max="10511" width="7.7109375" style="89" customWidth="1"/>
    <col min="10512" max="10512" width="9.140625" style="89" customWidth="1"/>
    <col min="10513" max="10516" width="14.28515625" style="89" customWidth="1"/>
    <col min="10517" max="10517" width="15.5703125" style="89" customWidth="1"/>
    <col min="10518" max="10524" width="11.42578125" style="89"/>
    <col min="10525" max="10527" width="11.5703125" style="89" bestFit="1" customWidth="1"/>
    <col min="10528" max="10537" width="12.5703125" style="89" bestFit="1" customWidth="1"/>
    <col min="10538" max="10752" width="11.42578125" style="89"/>
    <col min="10753" max="10753" width="16.140625" style="89" customWidth="1"/>
    <col min="10754" max="10754" width="14.85546875" style="89" customWidth="1"/>
    <col min="10755" max="10755" width="10.42578125" style="89" bestFit="1" customWidth="1"/>
    <col min="10756" max="10756" width="11" style="89" bestFit="1" customWidth="1"/>
    <col min="10757" max="10757" width="14.5703125" style="89" bestFit="1" customWidth="1"/>
    <col min="10758" max="10758" width="11.5703125" style="89" bestFit="1" customWidth="1"/>
    <col min="10759" max="10759" width="13.140625" style="89" bestFit="1" customWidth="1"/>
    <col min="10760" max="10760" width="14.7109375" style="89" bestFit="1" customWidth="1"/>
    <col min="10761" max="10762" width="14.140625" style="89" bestFit="1" customWidth="1"/>
    <col min="10763" max="10763" width="18" style="89" bestFit="1" customWidth="1"/>
    <col min="10764" max="10764" width="17.140625" style="89" customWidth="1"/>
    <col min="10765" max="10765" width="6.7109375" style="89" customWidth="1"/>
    <col min="10766" max="10766" width="15" style="89" customWidth="1"/>
    <col min="10767" max="10767" width="7.7109375" style="89" customWidth="1"/>
    <col min="10768" max="10768" width="9.140625" style="89" customWidth="1"/>
    <col min="10769" max="10772" width="14.28515625" style="89" customWidth="1"/>
    <col min="10773" max="10773" width="15.5703125" style="89" customWidth="1"/>
    <col min="10774" max="10780" width="11.42578125" style="89"/>
    <col min="10781" max="10783" width="11.5703125" style="89" bestFit="1" customWidth="1"/>
    <col min="10784" max="10793" width="12.5703125" style="89" bestFit="1" customWidth="1"/>
    <col min="10794" max="11008" width="11.42578125" style="89"/>
    <col min="11009" max="11009" width="16.140625" style="89" customWidth="1"/>
    <col min="11010" max="11010" width="14.85546875" style="89" customWidth="1"/>
    <col min="11011" max="11011" width="10.42578125" style="89" bestFit="1" customWidth="1"/>
    <col min="11012" max="11012" width="11" style="89" bestFit="1" customWidth="1"/>
    <col min="11013" max="11013" width="14.5703125" style="89" bestFit="1" customWidth="1"/>
    <col min="11014" max="11014" width="11.5703125" style="89" bestFit="1" customWidth="1"/>
    <col min="11015" max="11015" width="13.140625" style="89" bestFit="1" customWidth="1"/>
    <col min="11016" max="11016" width="14.7109375" style="89" bestFit="1" customWidth="1"/>
    <col min="11017" max="11018" width="14.140625" style="89" bestFit="1" customWidth="1"/>
    <col min="11019" max="11019" width="18" style="89" bestFit="1" customWidth="1"/>
    <col min="11020" max="11020" width="17.140625" style="89" customWidth="1"/>
    <col min="11021" max="11021" width="6.7109375" style="89" customWidth="1"/>
    <col min="11022" max="11022" width="15" style="89" customWidth="1"/>
    <col min="11023" max="11023" width="7.7109375" style="89" customWidth="1"/>
    <col min="11024" max="11024" width="9.140625" style="89" customWidth="1"/>
    <col min="11025" max="11028" width="14.28515625" style="89" customWidth="1"/>
    <col min="11029" max="11029" width="15.5703125" style="89" customWidth="1"/>
    <col min="11030" max="11036" width="11.42578125" style="89"/>
    <col min="11037" max="11039" width="11.5703125" style="89" bestFit="1" customWidth="1"/>
    <col min="11040" max="11049" width="12.5703125" style="89" bestFit="1" customWidth="1"/>
    <col min="11050" max="11264" width="11.42578125" style="89"/>
    <col min="11265" max="11265" width="16.140625" style="89" customWidth="1"/>
    <col min="11266" max="11266" width="14.85546875" style="89" customWidth="1"/>
    <col min="11267" max="11267" width="10.42578125" style="89" bestFit="1" customWidth="1"/>
    <col min="11268" max="11268" width="11" style="89" bestFit="1" customWidth="1"/>
    <col min="11269" max="11269" width="14.5703125" style="89" bestFit="1" customWidth="1"/>
    <col min="11270" max="11270" width="11.5703125" style="89" bestFit="1" customWidth="1"/>
    <col min="11271" max="11271" width="13.140625" style="89" bestFit="1" customWidth="1"/>
    <col min="11272" max="11272" width="14.7109375" style="89" bestFit="1" customWidth="1"/>
    <col min="11273" max="11274" width="14.140625" style="89" bestFit="1" customWidth="1"/>
    <col min="11275" max="11275" width="18" style="89" bestFit="1" customWidth="1"/>
    <col min="11276" max="11276" width="17.140625" style="89" customWidth="1"/>
    <col min="11277" max="11277" width="6.7109375" style="89" customWidth="1"/>
    <col min="11278" max="11278" width="15" style="89" customWidth="1"/>
    <col min="11279" max="11279" width="7.7109375" style="89" customWidth="1"/>
    <col min="11280" max="11280" width="9.140625" style="89" customWidth="1"/>
    <col min="11281" max="11284" width="14.28515625" style="89" customWidth="1"/>
    <col min="11285" max="11285" width="15.5703125" style="89" customWidth="1"/>
    <col min="11286" max="11292" width="11.42578125" style="89"/>
    <col min="11293" max="11295" width="11.5703125" style="89" bestFit="1" customWidth="1"/>
    <col min="11296" max="11305" width="12.5703125" style="89" bestFit="1" customWidth="1"/>
    <col min="11306" max="11520" width="11.42578125" style="89"/>
    <col min="11521" max="11521" width="16.140625" style="89" customWidth="1"/>
    <col min="11522" max="11522" width="14.85546875" style="89" customWidth="1"/>
    <col min="11523" max="11523" width="10.42578125" style="89" bestFit="1" customWidth="1"/>
    <col min="11524" max="11524" width="11" style="89" bestFit="1" customWidth="1"/>
    <col min="11525" max="11525" width="14.5703125" style="89" bestFit="1" customWidth="1"/>
    <col min="11526" max="11526" width="11.5703125" style="89" bestFit="1" customWidth="1"/>
    <col min="11527" max="11527" width="13.140625" style="89" bestFit="1" customWidth="1"/>
    <col min="11528" max="11528" width="14.7109375" style="89" bestFit="1" customWidth="1"/>
    <col min="11529" max="11530" width="14.140625" style="89" bestFit="1" customWidth="1"/>
    <col min="11531" max="11531" width="18" style="89" bestFit="1" customWidth="1"/>
    <col min="11532" max="11532" width="17.140625" style="89" customWidth="1"/>
    <col min="11533" max="11533" width="6.7109375" style="89" customWidth="1"/>
    <col min="11534" max="11534" width="15" style="89" customWidth="1"/>
    <col min="11535" max="11535" width="7.7109375" style="89" customWidth="1"/>
    <col min="11536" max="11536" width="9.140625" style="89" customWidth="1"/>
    <col min="11537" max="11540" width="14.28515625" style="89" customWidth="1"/>
    <col min="11541" max="11541" width="15.5703125" style="89" customWidth="1"/>
    <col min="11542" max="11548" width="11.42578125" style="89"/>
    <col min="11549" max="11551" width="11.5703125" style="89" bestFit="1" customWidth="1"/>
    <col min="11552" max="11561" width="12.5703125" style="89" bestFit="1" customWidth="1"/>
    <col min="11562" max="11776" width="11.42578125" style="89"/>
    <col min="11777" max="11777" width="16.140625" style="89" customWidth="1"/>
    <col min="11778" max="11778" width="14.85546875" style="89" customWidth="1"/>
    <col min="11779" max="11779" width="10.42578125" style="89" bestFit="1" customWidth="1"/>
    <col min="11780" max="11780" width="11" style="89" bestFit="1" customWidth="1"/>
    <col min="11781" max="11781" width="14.5703125" style="89" bestFit="1" customWidth="1"/>
    <col min="11782" max="11782" width="11.5703125" style="89" bestFit="1" customWidth="1"/>
    <col min="11783" max="11783" width="13.140625" style="89" bestFit="1" customWidth="1"/>
    <col min="11784" max="11784" width="14.7109375" style="89" bestFit="1" customWidth="1"/>
    <col min="11785" max="11786" width="14.140625" style="89" bestFit="1" customWidth="1"/>
    <col min="11787" max="11787" width="18" style="89" bestFit="1" customWidth="1"/>
    <col min="11788" max="11788" width="17.140625" style="89" customWidth="1"/>
    <col min="11789" max="11789" width="6.7109375" style="89" customWidth="1"/>
    <col min="11790" max="11790" width="15" style="89" customWidth="1"/>
    <col min="11791" max="11791" width="7.7109375" style="89" customWidth="1"/>
    <col min="11792" max="11792" width="9.140625" style="89" customWidth="1"/>
    <col min="11793" max="11796" width="14.28515625" style="89" customWidth="1"/>
    <col min="11797" max="11797" width="15.5703125" style="89" customWidth="1"/>
    <col min="11798" max="11804" width="11.42578125" style="89"/>
    <col min="11805" max="11807" width="11.5703125" style="89" bestFit="1" customWidth="1"/>
    <col min="11808" max="11817" width="12.5703125" style="89" bestFit="1" customWidth="1"/>
    <col min="11818" max="12032" width="11.42578125" style="89"/>
    <col min="12033" max="12033" width="16.140625" style="89" customWidth="1"/>
    <col min="12034" max="12034" width="14.85546875" style="89" customWidth="1"/>
    <col min="12035" max="12035" width="10.42578125" style="89" bestFit="1" customWidth="1"/>
    <col min="12036" max="12036" width="11" style="89" bestFit="1" customWidth="1"/>
    <col min="12037" max="12037" width="14.5703125" style="89" bestFit="1" customWidth="1"/>
    <col min="12038" max="12038" width="11.5703125" style="89" bestFit="1" customWidth="1"/>
    <col min="12039" max="12039" width="13.140625" style="89" bestFit="1" customWidth="1"/>
    <col min="12040" max="12040" width="14.7109375" style="89" bestFit="1" customWidth="1"/>
    <col min="12041" max="12042" width="14.140625" style="89" bestFit="1" customWidth="1"/>
    <col min="12043" max="12043" width="18" style="89" bestFit="1" customWidth="1"/>
    <col min="12044" max="12044" width="17.140625" style="89" customWidth="1"/>
    <col min="12045" max="12045" width="6.7109375" style="89" customWidth="1"/>
    <col min="12046" max="12046" width="15" style="89" customWidth="1"/>
    <col min="12047" max="12047" width="7.7109375" style="89" customWidth="1"/>
    <col min="12048" max="12048" width="9.140625" style="89" customWidth="1"/>
    <col min="12049" max="12052" width="14.28515625" style="89" customWidth="1"/>
    <col min="12053" max="12053" width="15.5703125" style="89" customWidth="1"/>
    <col min="12054" max="12060" width="11.42578125" style="89"/>
    <col min="12061" max="12063" width="11.5703125" style="89" bestFit="1" customWidth="1"/>
    <col min="12064" max="12073" width="12.5703125" style="89" bestFit="1" customWidth="1"/>
    <col min="12074" max="12288" width="11.42578125" style="89"/>
    <col min="12289" max="12289" width="16.140625" style="89" customWidth="1"/>
    <col min="12290" max="12290" width="14.85546875" style="89" customWidth="1"/>
    <col min="12291" max="12291" width="10.42578125" style="89" bestFit="1" customWidth="1"/>
    <col min="12292" max="12292" width="11" style="89" bestFit="1" customWidth="1"/>
    <col min="12293" max="12293" width="14.5703125" style="89" bestFit="1" customWidth="1"/>
    <col min="12294" max="12294" width="11.5703125" style="89" bestFit="1" customWidth="1"/>
    <col min="12295" max="12295" width="13.140625" style="89" bestFit="1" customWidth="1"/>
    <col min="12296" max="12296" width="14.7109375" style="89" bestFit="1" customWidth="1"/>
    <col min="12297" max="12298" width="14.140625" style="89" bestFit="1" customWidth="1"/>
    <col min="12299" max="12299" width="18" style="89" bestFit="1" customWidth="1"/>
    <col min="12300" max="12300" width="17.140625" style="89" customWidth="1"/>
    <col min="12301" max="12301" width="6.7109375" style="89" customWidth="1"/>
    <col min="12302" max="12302" width="15" style="89" customWidth="1"/>
    <col min="12303" max="12303" width="7.7109375" style="89" customWidth="1"/>
    <col min="12304" max="12304" width="9.140625" style="89" customWidth="1"/>
    <col min="12305" max="12308" width="14.28515625" style="89" customWidth="1"/>
    <col min="12309" max="12309" width="15.5703125" style="89" customWidth="1"/>
    <col min="12310" max="12316" width="11.42578125" style="89"/>
    <col min="12317" max="12319" width="11.5703125" style="89" bestFit="1" customWidth="1"/>
    <col min="12320" max="12329" width="12.5703125" style="89" bestFit="1" customWidth="1"/>
    <col min="12330" max="12544" width="11.42578125" style="89"/>
    <col min="12545" max="12545" width="16.140625" style="89" customWidth="1"/>
    <col min="12546" max="12546" width="14.85546875" style="89" customWidth="1"/>
    <col min="12547" max="12547" width="10.42578125" style="89" bestFit="1" customWidth="1"/>
    <col min="12548" max="12548" width="11" style="89" bestFit="1" customWidth="1"/>
    <col min="12549" max="12549" width="14.5703125" style="89" bestFit="1" customWidth="1"/>
    <col min="12550" max="12550" width="11.5703125" style="89" bestFit="1" customWidth="1"/>
    <col min="12551" max="12551" width="13.140625" style="89" bestFit="1" customWidth="1"/>
    <col min="12552" max="12552" width="14.7109375" style="89" bestFit="1" customWidth="1"/>
    <col min="12553" max="12554" width="14.140625" style="89" bestFit="1" customWidth="1"/>
    <col min="12555" max="12555" width="18" style="89" bestFit="1" customWidth="1"/>
    <col min="12556" max="12556" width="17.140625" style="89" customWidth="1"/>
    <col min="12557" max="12557" width="6.7109375" style="89" customWidth="1"/>
    <col min="12558" max="12558" width="15" style="89" customWidth="1"/>
    <col min="12559" max="12559" width="7.7109375" style="89" customWidth="1"/>
    <col min="12560" max="12560" width="9.140625" style="89" customWidth="1"/>
    <col min="12561" max="12564" width="14.28515625" style="89" customWidth="1"/>
    <col min="12565" max="12565" width="15.5703125" style="89" customWidth="1"/>
    <col min="12566" max="12572" width="11.42578125" style="89"/>
    <col min="12573" max="12575" width="11.5703125" style="89" bestFit="1" customWidth="1"/>
    <col min="12576" max="12585" width="12.5703125" style="89" bestFit="1" customWidth="1"/>
    <col min="12586" max="12800" width="11.42578125" style="89"/>
    <col min="12801" max="12801" width="16.140625" style="89" customWidth="1"/>
    <col min="12802" max="12802" width="14.85546875" style="89" customWidth="1"/>
    <col min="12803" max="12803" width="10.42578125" style="89" bestFit="1" customWidth="1"/>
    <col min="12804" max="12804" width="11" style="89" bestFit="1" customWidth="1"/>
    <col min="12805" max="12805" width="14.5703125" style="89" bestFit="1" customWidth="1"/>
    <col min="12806" max="12806" width="11.5703125" style="89" bestFit="1" customWidth="1"/>
    <col min="12807" max="12807" width="13.140625" style="89" bestFit="1" customWidth="1"/>
    <col min="12808" max="12808" width="14.7109375" style="89" bestFit="1" customWidth="1"/>
    <col min="12809" max="12810" width="14.140625" style="89" bestFit="1" customWidth="1"/>
    <col min="12811" max="12811" width="18" style="89" bestFit="1" customWidth="1"/>
    <col min="12812" max="12812" width="17.140625" style="89" customWidth="1"/>
    <col min="12813" max="12813" width="6.7109375" style="89" customWidth="1"/>
    <col min="12814" max="12814" width="15" style="89" customWidth="1"/>
    <col min="12815" max="12815" width="7.7109375" style="89" customWidth="1"/>
    <col min="12816" max="12816" width="9.140625" style="89" customWidth="1"/>
    <col min="12817" max="12820" width="14.28515625" style="89" customWidth="1"/>
    <col min="12821" max="12821" width="15.5703125" style="89" customWidth="1"/>
    <col min="12822" max="12828" width="11.42578125" style="89"/>
    <col min="12829" max="12831" width="11.5703125" style="89" bestFit="1" customWidth="1"/>
    <col min="12832" max="12841" width="12.5703125" style="89" bestFit="1" customWidth="1"/>
    <col min="12842" max="13056" width="11.42578125" style="89"/>
    <col min="13057" max="13057" width="16.140625" style="89" customWidth="1"/>
    <col min="13058" max="13058" width="14.85546875" style="89" customWidth="1"/>
    <col min="13059" max="13059" width="10.42578125" style="89" bestFit="1" customWidth="1"/>
    <col min="13060" max="13060" width="11" style="89" bestFit="1" customWidth="1"/>
    <col min="13061" max="13061" width="14.5703125" style="89" bestFit="1" customWidth="1"/>
    <col min="13062" max="13062" width="11.5703125" style="89" bestFit="1" customWidth="1"/>
    <col min="13063" max="13063" width="13.140625" style="89" bestFit="1" customWidth="1"/>
    <col min="13064" max="13064" width="14.7109375" style="89" bestFit="1" customWidth="1"/>
    <col min="13065" max="13066" width="14.140625" style="89" bestFit="1" customWidth="1"/>
    <col min="13067" max="13067" width="18" style="89" bestFit="1" customWidth="1"/>
    <col min="13068" max="13068" width="17.140625" style="89" customWidth="1"/>
    <col min="13069" max="13069" width="6.7109375" style="89" customWidth="1"/>
    <col min="13070" max="13070" width="15" style="89" customWidth="1"/>
    <col min="13071" max="13071" width="7.7109375" style="89" customWidth="1"/>
    <col min="13072" max="13072" width="9.140625" style="89" customWidth="1"/>
    <col min="13073" max="13076" width="14.28515625" style="89" customWidth="1"/>
    <col min="13077" max="13077" width="15.5703125" style="89" customWidth="1"/>
    <col min="13078" max="13084" width="11.42578125" style="89"/>
    <col min="13085" max="13087" width="11.5703125" style="89" bestFit="1" customWidth="1"/>
    <col min="13088" max="13097" width="12.5703125" style="89" bestFit="1" customWidth="1"/>
    <col min="13098" max="13312" width="11.42578125" style="89"/>
    <col min="13313" max="13313" width="16.140625" style="89" customWidth="1"/>
    <col min="13314" max="13314" width="14.85546875" style="89" customWidth="1"/>
    <col min="13315" max="13315" width="10.42578125" style="89" bestFit="1" customWidth="1"/>
    <col min="13316" max="13316" width="11" style="89" bestFit="1" customWidth="1"/>
    <col min="13317" max="13317" width="14.5703125" style="89" bestFit="1" customWidth="1"/>
    <col min="13318" max="13318" width="11.5703125" style="89" bestFit="1" customWidth="1"/>
    <col min="13319" max="13319" width="13.140625" style="89" bestFit="1" customWidth="1"/>
    <col min="13320" max="13320" width="14.7109375" style="89" bestFit="1" customWidth="1"/>
    <col min="13321" max="13322" width="14.140625" style="89" bestFit="1" customWidth="1"/>
    <col min="13323" max="13323" width="18" style="89" bestFit="1" customWidth="1"/>
    <col min="13324" max="13324" width="17.140625" style="89" customWidth="1"/>
    <col min="13325" max="13325" width="6.7109375" style="89" customWidth="1"/>
    <col min="13326" max="13326" width="15" style="89" customWidth="1"/>
    <col min="13327" max="13327" width="7.7109375" style="89" customWidth="1"/>
    <col min="13328" max="13328" width="9.140625" style="89" customWidth="1"/>
    <col min="13329" max="13332" width="14.28515625" style="89" customWidth="1"/>
    <col min="13333" max="13333" width="15.5703125" style="89" customWidth="1"/>
    <col min="13334" max="13340" width="11.42578125" style="89"/>
    <col min="13341" max="13343" width="11.5703125" style="89" bestFit="1" customWidth="1"/>
    <col min="13344" max="13353" width="12.5703125" style="89" bestFit="1" customWidth="1"/>
    <col min="13354" max="13568" width="11.42578125" style="89"/>
    <col min="13569" max="13569" width="16.140625" style="89" customWidth="1"/>
    <col min="13570" max="13570" width="14.85546875" style="89" customWidth="1"/>
    <col min="13571" max="13571" width="10.42578125" style="89" bestFit="1" customWidth="1"/>
    <col min="13572" max="13572" width="11" style="89" bestFit="1" customWidth="1"/>
    <col min="13573" max="13573" width="14.5703125" style="89" bestFit="1" customWidth="1"/>
    <col min="13574" max="13574" width="11.5703125" style="89" bestFit="1" customWidth="1"/>
    <col min="13575" max="13575" width="13.140625" style="89" bestFit="1" customWidth="1"/>
    <col min="13576" max="13576" width="14.7109375" style="89" bestFit="1" customWidth="1"/>
    <col min="13577" max="13578" width="14.140625" style="89" bestFit="1" customWidth="1"/>
    <col min="13579" max="13579" width="18" style="89" bestFit="1" customWidth="1"/>
    <col min="13580" max="13580" width="17.140625" style="89" customWidth="1"/>
    <col min="13581" max="13581" width="6.7109375" style="89" customWidth="1"/>
    <col min="13582" max="13582" width="15" style="89" customWidth="1"/>
    <col min="13583" max="13583" width="7.7109375" style="89" customWidth="1"/>
    <col min="13584" max="13584" width="9.140625" style="89" customWidth="1"/>
    <col min="13585" max="13588" width="14.28515625" style="89" customWidth="1"/>
    <col min="13589" max="13589" width="15.5703125" style="89" customWidth="1"/>
    <col min="13590" max="13596" width="11.42578125" style="89"/>
    <col min="13597" max="13599" width="11.5703125" style="89" bestFit="1" customWidth="1"/>
    <col min="13600" max="13609" width="12.5703125" style="89" bestFit="1" customWidth="1"/>
    <col min="13610" max="13824" width="11.42578125" style="89"/>
    <col min="13825" max="13825" width="16.140625" style="89" customWidth="1"/>
    <col min="13826" max="13826" width="14.85546875" style="89" customWidth="1"/>
    <col min="13827" max="13827" width="10.42578125" style="89" bestFit="1" customWidth="1"/>
    <col min="13828" max="13828" width="11" style="89" bestFit="1" customWidth="1"/>
    <col min="13829" max="13829" width="14.5703125" style="89" bestFit="1" customWidth="1"/>
    <col min="13830" max="13830" width="11.5703125" style="89" bestFit="1" customWidth="1"/>
    <col min="13831" max="13831" width="13.140625" style="89" bestFit="1" customWidth="1"/>
    <col min="13832" max="13832" width="14.7109375" style="89" bestFit="1" customWidth="1"/>
    <col min="13833" max="13834" width="14.140625" style="89" bestFit="1" customWidth="1"/>
    <col min="13835" max="13835" width="18" style="89" bestFit="1" customWidth="1"/>
    <col min="13836" max="13836" width="17.140625" style="89" customWidth="1"/>
    <col min="13837" max="13837" width="6.7109375" style="89" customWidth="1"/>
    <col min="13838" max="13838" width="15" style="89" customWidth="1"/>
    <col min="13839" max="13839" width="7.7109375" style="89" customWidth="1"/>
    <col min="13840" max="13840" width="9.140625" style="89" customWidth="1"/>
    <col min="13841" max="13844" width="14.28515625" style="89" customWidth="1"/>
    <col min="13845" max="13845" width="15.5703125" style="89" customWidth="1"/>
    <col min="13846" max="13852" width="11.42578125" style="89"/>
    <col min="13853" max="13855" width="11.5703125" style="89" bestFit="1" customWidth="1"/>
    <col min="13856" max="13865" width="12.5703125" style="89" bestFit="1" customWidth="1"/>
    <col min="13866" max="14080" width="11.42578125" style="89"/>
    <col min="14081" max="14081" width="16.140625" style="89" customWidth="1"/>
    <col min="14082" max="14082" width="14.85546875" style="89" customWidth="1"/>
    <col min="14083" max="14083" width="10.42578125" style="89" bestFit="1" customWidth="1"/>
    <col min="14084" max="14084" width="11" style="89" bestFit="1" customWidth="1"/>
    <col min="14085" max="14085" width="14.5703125" style="89" bestFit="1" customWidth="1"/>
    <col min="14086" max="14086" width="11.5703125" style="89" bestFit="1" customWidth="1"/>
    <col min="14087" max="14087" width="13.140625" style="89" bestFit="1" customWidth="1"/>
    <col min="14088" max="14088" width="14.7109375" style="89" bestFit="1" customWidth="1"/>
    <col min="14089" max="14090" width="14.140625" style="89" bestFit="1" customWidth="1"/>
    <col min="14091" max="14091" width="18" style="89" bestFit="1" customWidth="1"/>
    <col min="14092" max="14092" width="17.140625" style="89" customWidth="1"/>
    <col min="14093" max="14093" width="6.7109375" style="89" customWidth="1"/>
    <col min="14094" max="14094" width="15" style="89" customWidth="1"/>
    <col min="14095" max="14095" width="7.7109375" style="89" customWidth="1"/>
    <col min="14096" max="14096" width="9.140625" style="89" customWidth="1"/>
    <col min="14097" max="14100" width="14.28515625" style="89" customWidth="1"/>
    <col min="14101" max="14101" width="15.5703125" style="89" customWidth="1"/>
    <col min="14102" max="14108" width="11.42578125" style="89"/>
    <col min="14109" max="14111" width="11.5703125" style="89" bestFit="1" customWidth="1"/>
    <col min="14112" max="14121" width="12.5703125" style="89" bestFit="1" customWidth="1"/>
    <col min="14122" max="14336" width="11.42578125" style="89"/>
    <col min="14337" max="14337" width="16.140625" style="89" customWidth="1"/>
    <col min="14338" max="14338" width="14.85546875" style="89" customWidth="1"/>
    <col min="14339" max="14339" width="10.42578125" style="89" bestFit="1" customWidth="1"/>
    <col min="14340" max="14340" width="11" style="89" bestFit="1" customWidth="1"/>
    <col min="14341" max="14341" width="14.5703125" style="89" bestFit="1" customWidth="1"/>
    <col min="14342" max="14342" width="11.5703125" style="89" bestFit="1" customWidth="1"/>
    <col min="14343" max="14343" width="13.140625" style="89" bestFit="1" customWidth="1"/>
    <col min="14344" max="14344" width="14.7109375" style="89" bestFit="1" customWidth="1"/>
    <col min="14345" max="14346" width="14.140625" style="89" bestFit="1" customWidth="1"/>
    <col min="14347" max="14347" width="18" style="89" bestFit="1" customWidth="1"/>
    <col min="14348" max="14348" width="17.140625" style="89" customWidth="1"/>
    <col min="14349" max="14349" width="6.7109375" style="89" customWidth="1"/>
    <col min="14350" max="14350" width="15" style="89" customWidth="1"/>
    <col min="14351" max="14351" width="7.7109375" style="89" customWidth="1"/>
    <col min="14352" max="14352" width="9.140625" style="89" customWidth="1"/>
    <col min="14353" max="14356" width="14.28515625" style="89" customWidth="1"/>
    <col min="14357" max="14357" width="15.5703125" style="89" customWidth="1"/>
    <col min="14358" max="14364" width="11.42578125" style="89"/>
    <col min="14365" max="14367" width="11.5703125" style="89" bestFit="1" customWidth="1"/>
    <col min="14368" max="14377" width="12.5703125" style="89" bestFit="1" customWidth="1"/>
    <col min="14378" max="14592" width="11.42578125" style="89"/>
    <col min="14593" max="14593" width="16.140625" style="89" customWidth="1"/>
    <col min="14594" max="14594" width="14.85546875" style="89" customWidth="1"/>
    <col min="14595" max="14595" width="10.42578125" style="89" bestFit="1" customWidth="1"/>
    <col min="14596" max="14596" width="11" style="89" bestFit="1" customWidth="1"/>
    <col min="14597" max="14597" width="14.5703125" style="89" bestFit="1" customWidth="1"/>
    <col min="14598" max="14598" width="11.5703125" style="89" bestFit="1" customWidth="1"/>
    <col min="14599" max="14599" width="13.140625" style="89" bestFit="1" customWidth="1"/>
    <col min="14600" max="14600" width="14.7109375" style="89" bestFit="1" customWidth="1"/>
    <col min="14601" max="14602" width="14.140625" style="89" bestFit="1" customWidth="1"/>
    <col min="14603" max="14603" width="18" style="89" bestFit="1" customWidth="1"/>
    <col min="14604" max="14604" width="17.140625" style="89" customWidth="1"/>
    <col min="14605" max="14605" width="6.7109375" style="89" customWidth="1"/>
    <col min="14606" max="14606" width="15" style="89" customWidth="1"/>
    <col min="14607" max="14607" width="7.7109375" style="89" customWidth="1"/>
    <col min="14608" max="14608" width="9.140625" style="89" customWidth="1"/>
    <col min="14609" max="14612" width="14.28515625" style="89" customWidth="1"/>
    <col min="14613" max="14613" width="15.5703125" style="89" customWidth="1"/>
    <col min="14614" max="14620" width="11.42578125" style="89"/>
    <col min="14621" max="14623" width="11.5703125" style="89" bestFit="1" customWidth="1"/>
    <col min="14624" max="14633" width="12.5703125" style="89" bestFit="1" customWidth="1"/>
    <col min="14634" max="14848" width="11.42578125" style="89"/>
    <col min="14849" max="14849" width="16.140625" style="89" customWidth="1"/>
    <col min="14850" max="14850" width="14.85546875" style="89" customWidth="1"/>
    <col min="14851" max="14851" width="10.42578125" style="89" bestFit="1" customWidth="1"/>
    <col min="14852" max="14852" width="11" style="89" bestFit="1" customWidth="1"/>
    <col min="14853" max="14853" width="14.5703125" style="89" bestFit="1" customWidth="1"/>
    <col min="14854" max="14854" width="11.5703125" style="89" bestFit="1" customWidth="1"/>
    <col min="14855" max="14855" width="13.140625" style="89" bestFit="1" customWidth="1"/>
    <col min="14856" max="14856" width="14.7109375" style="89" bestFit="1" customWidth="1"/>
    <col min="14857" max="14858" width="14.140625" style="89" bestFit="1" customWidth="1"/>
    <col min="14859" max="14859" width="18" style="89" bestFit="1" customWidth="1"/>
    <col min="14860" max="14860" width="17.140625" style="89" customWidth="1"/>
    <col min="14861" max="14861" width="6.7109375" style="89" customWidth="1"/>
    <col min="14862" max="14862" width="15" style="89" customWidth="1"/>
    <col min="14863" max="14863" width="7.7109375" style="89" customWidth="1"/>
    <col min="14864" max="14864" width="9.140625" style="89" customWidth="1"/>
    <col min="14865" max="14868" width="14.28515625" style="89" customWidth="1"/>
    <col min="14869" max="14869" width="15.5703125" style="89" customWidth="1"/>
    <col min="14870" max="14876" width="11.42578125" style="89"/>
    <col min="14877" max="14879" width="11.5703125" style="89" bestFit="1" customWidth="1"/>
    <col min="14880" max="14889" width="12.5703125" style="89" bestFit="1" customWidth="1"/>
    <col min="14890" max="15104" width="11.42578125" style="89"/>
    <col min="15105" max="15105" width="16.140625" style="89" customWidth="1"/>
    <col min="15106" max="15106" width="14.85546875" style="89" customWidth="1"/>
    <col min="15107" max="15107" width="10.42578125" style="89" bestFit="1" customWidth="1"/>
    <col min="15108" max="15108" width="11" style="89" bestFit="1" customWidth="1"/>
    <col min="15109" max="15109" width="14.5703125" style="89" bestFit="1" customWidth="1"/>
    <col min="15110" max="15110" width="11.5703125" style="89" bestFit="1" customWidth="1"/>
    <col min="15111" max="15111" width="13.140625" style="89" bestFit="1" customWidth="1"/>
    <col min="15112" max="15112" width="14.7109375" style="89" bestFit="1" customWidth="1"/>
    <col min="15113" max="15114" width="14.140625" style="89" bestFit="1" customWidth="1"/>
    <col min="15115" max="15115" width="18" style="89" bestFit="1" customWidth="1"/>
    <col min="15116" max="15116" width="17.140625" style="89" customWidth="1"/>
    <col min="15117" max="15117" width="6.7109375" style="89" customWidth="1"/>
    <col min="15118" max="15118" width="15" style="89" customWidth="1"/>
    <col min="15119" max="15119" width="7.7109375" style="89" customWidth="1"/>
    <col min="15120" max="15120" width="9.140625" style="89" customWidth="1"/>
    <col min="15121" max="15124" width="14.28515625" style="89" customWidth="1"/>
    <col min="15125" max="15125" width="15.5703125" style="89" customWidth="1"/>
    <col min="15126" max="15132" width="11.42578125" style="89"/>
    <col min="15133" max="15135" width="11.5703125" style="89" bestFit="1" customWidth="1"/>
    <col min="15136" max="15145" width="12.5703125" style="89" bestFit="1" customWidth="1"/>
    <col min="15146" max="15360" width="11.42578125" style="89"/>
    <col min="15361" max="15361" width="16.140625" style="89" customWidth="1"/>
    <col min="15362" max="15362" width="14.85546875" style="89" customWidth="1"/>
    <col min="15363" max="15363" width="10.42578125" style="89" bestFit="1" customWidth="1"/>
    <col min="15364" max="15364" width="11" style="89" bestFit="1" customWidth="1"/>
    <col min="15365" max="15365" width="14.5703125" style="89" bestFit="1" customWidth="1"/>
    <col min="15366" max="15366" width="11.5703125" style="89" bestFit="1" customWidth="1"/>
    <col min="15367" max="15367" width="13.140625" style="89" bestFit="1" customWidth="1"/>
    <col min="15368" max="15368" width="14.7109375" style="89" bestFit="1" customWidth="1"/>
    <col min="15369" max="15370" width="14.140625" style="89" bestFit="1" customWidth="1"/>
    <col min="15371" max="15371" width="18" style="89" bestFit="1" customWidth="1"/>
    <col min="15372" max="15372" width="17.140625" style="89" customWidth="1"/>
    <col min="15373" max="15373" width="6.7109375" style="89" customWidth="1"/>
    <col min="15374" max="15374" width="15" style="89" customWidth="1"/>
    <col min="15375" max="15375" width="7.7109375" style="89" customWidth="1"/>
    <col min="15376" max="15376" width="9.140625" style="89" customWidth="1"/>
    <col min="15377" max="15380" width="14.28515625" style="89" customWidth="1"/>
    <col min="15381" max="15381" width="15.5703125" style="89" customWidth="1"/>
    <col min="15382" max="15388" width="11.42578125" style="89"/>
    <col min="15389" max="15391" width="11.5703125" style="89" bestFit="1" customWidth="1"/>
    <col min="15392" max="15401" width="12.5703125" style="89" bestFit="1" customWidth="1"/>
    <col min="15402" max="15616" width="11.42578125" style="89"/>
    <col min="15617" max="15617" width="16.140625" style="89" customWidth="1"/>
    <col min="15618" max="15618" width="14.85546875" style="89" customWidth="1"/>
    <col min="15619" max="15619" width="10.42578125" style="89" bestFit="1" customWidth="1"/>
    <col min="15620" max="15620" width="11" style="89" bestFit="1" customWidth="1"/>
    <col min="15621" max="15621" width="14.5703125" style="89" bestFit="1" customWidth="1"/>
    <col min="15622" max="15622" width="11.5703125" style="89" bestFit="1" customWidth="1"/>
    <col min="15623" max="15623" width="13.140625" style="89" bestFit="1" customWidth="1"/>
    <col min="15624" max="15624" width="14.7109375" style="89" bestFit="1" customWidth="1"/>
    <col min="15625" max="15626" width="14.140625" style="89" bestFit="1" customWidth="1"/>
    <col min="15627" max="15627" width="18" style="89" bestFit="1" customWidth="1"/>
    <col min="15628" max="15628" width="17.140625" style="89" customWidth="1"/>
    <col min="15629" max="15629" width="6.7109375" style="89" customWidth="1"/>
    <col min="15630" max="15630" width="15" style="89" customWidth="1"/>
    <col min="15631" max="15631" width="7.7109375" style="89" customWidth="1"/>
    <col min="15632" max="15632" width="9.140625" style="89" customWidth="1"/>
    <col min="15633" max="15636" width="14.28515625" style="89" customWidth="1"/>
    <col min="15637" max="15637" width="15.5703125" style="89" customWidth="1"/>
    <col min="15638" max="15644" width="11.42578125" style="89"/>
    <col min="15645" max="15647" width="11.5703125" style="89" bestFit="1" customWidth="1"/>
    <col min="15648" max="15657" width="12.5703125" style="89" bestFit="1" customWidth="1"/>
    <col min="15658" max="15872" width="11.42578125" style="89"/>
    <col min="15873" max="15873" width="16.140625" style="89" customWidth="1"/>
    <col min="15874" max="15874" width="14.85546875" style="89" customWidth="1"/>
    <col min="15875" max="15875" width="10.42578125" style="89" bestFit="1" customWidth="1"/>
    <col min="15876" max="15876" width="11" style="89" bestFit="1" customWidth="1"/>
    <col min="15877" max="15877" width="14.5703125" style="89" bestFit="1" customWidth="1"/>
    <col min="15878" max="15878" width="11.5703125" style="89" bestFit="1" customWidth="1"/>
    <col min="15879" max="15879" width="13.140625" style="89" bestFit="1" customWidth="1"/>
    <col min="15880" max="15880" width="14.7109375" style="89" bestFit="1" customWidth="1"/>
    <col min="15881" max="15882" width="14.140625" style="89" bestFit="1" customWidth="1"/>
    <col min="15883" max="15883" width="18" style="89" bestFit="1" customWidth="1"/>
    <col min="15884" max="15884" width="17.140625" style="89" customWidth="1"/>
    <col min="15885" max="15885" width="6.7109375" style="89" customWidth="1"/>
    <col min="15886" max="15886" width="15" style="89" customWidth="1"/>
    <col min="15887" max="15887" width="7.7109375" style="89" customWidth="1"/>
    <col min="15888" max="15888" width="9.140625" style="89" customWidth="1"/>
    <col min="15889" max="15892" width="14.28515625" style="89" customWidth="1"/>
    <col min="15893" max="15893" width="15.5703125" style="89" customWidth="1"/>
    <col min="15894" max="15900" width="11.42578125" style="89"/>
    <col min="15901" max="15903" width="11.5703125" style="89" bestFit="1" customWidth="1"/>
    <col min="15904" max="15913" width="12.5703125" style="89" bestFit="1" customWidth="1"/>
    <col min="15914" max="16128" width="11.42578125" style="89"/>
    <col min="16129" max="16129" width="16.140625" style="89" customWidth="1"/>
    <col min="16130" max="16130" width="14.85546875" style="89" customWidth="1"/>
    <col min="16131" max="16131" width="10.42578125" style="89" bestFit="1" customWidth="1"/>
    <col min="16132" max="16132" width="11" style="89" bestFit="1" customWidth="1"/>
    <col min="16133" max="16133" width="14.5703125" style="89" bestFit="1" customWidth="1"/>
    <col min="16134" max="16134" width="11.5703125" style="89" bestFit="1" customWidth="1"/>
    <col min="16135" max="16135" width="13.140625" style="89" bestFit="1" customWidth="1"/>
    <col min="16136" max="16136" width="14.7109375" style="89" bestFit="1" customWidth="1"/>
    <col min="16137" max="16138" width="14.140625" style="89" bestFit="1" customWidth="1"/>
    <col min="16139" max="16139" width="18" style="89" bestFit="1" customWidth="1"/>
    <col min="16140" max="16140" width="17.140625" style="89" customWidth="1"/>
    <col min="16141" max="16141" width="6.7109375" style="89" customWidth="1"/>
    <col min="16142" max="16142" width="15" style="89" customWidth="1"/>
    <col min="16143" max="16143" width="7.7109375" style="89" customWidth="1"/>
    <col min="16144" max="16144" width="9.140625" style="89" customWidth="1"/>
    <col min="16145" max="16148" width="14.28515625" style="89" customWidth="1"/>
    <col min="16149" max="16149" width="15.5703125" style="89" customWidth="1"/>
    <col min="16150" max="16156" width="11.42578125" style="89"/>
    <col min="16157" max="16159" width="11.5703125" style="89" bestFit="1" customWidth="1"/>
    <col min="16160" max="16169" width="12.5703125" style="89" bestFit="1" customWidth="1"/>
    <col min="16170" max="16384" width="11.42578125" style="89"/>
  </cols>
  <sheetData>
    <row r="1" spans="1:41" ht="18.75" x14ac:dyDescent="0.3">
      <c r="E1" s="268" t="s">
        <v>33</v>
      </c>
      <c r="F1" s="268"/>
      <c r="G1" s="268"/>
      <c r="H1" s="268"/>
      <c r="I1" s="90"/>
      <c r="K1" s="269" t="s">
        <v>34</v>
      </c>
      <c r="L1" s="269"/>
      <c r="M1" s="269"/>
      <c r="N1" s="269"/>
      <c r="O1" s="269"/>
      <c r="P1" s="269"/>
    </row>
    <row r="2" spans="1:41" ht="18.75" x14ac:dyDescent="0.3">
      <c r="B2" s="270" t="s">
        <v>35</v>
      </c>
      <c r="C2" s="270"/>
      <c r="D2" s="270"/>
      <c r="E2" s="271" t="s">
        <v>36</v>
      </c>
      <c r="F2" s="271"/>
      <c r="G2" s="271"/>
      <c r="H2" s="91" t="s">
        <v>37</v>
      </c>
      <c r="I2" s="272" t="s">
        <v>38</v>
      </c>
      <c r="J2" s="272"/>
      <c r="K2" s="92" t="s">
        <v>39</v>
      </c>
      <c r="L2" s="273" t="s">
        <v>40</v>
      </c>
      <c r="M2" s="273"/>
      <c r="N2" s="274">
        <v>44196</v>
      </c>
      <c r="O2" s="273"/>
      <c r="P2" s="273"/>
      <c r="Q2" s="266" t="s">
        <v>41</v>
      </c>
      <c r="R2" s="266"/>
      <c r="S2" s="266"/>
      <c r="T2" s="267"/>
    </row>
    <row r="3" spans="1:41" ht="60" x14ac:dyDescent="0.25">
      <c r="A3" s="93"/>
      <c r="B3" s="94" t="s">
        <v>42</v>
      </c>
      <c r="C3" s="94" t="s">
        <v>43</v>
      </c>
      <c r="D3" s="94" t="s">
        <v>44</v>
      </c>
      <c r="E3" s="95" t="s">
        <v>45</v>
      </c>
      <c r="F3" s="95" t="s">
        <v>46</v>
      </c>
      <c r="G3" s="95" t="s">
        <v>47</v>
      </c>
      <c r="H3" s="95" t="s">
        <v>48</v>
      </c>
      <c r="I3" s="96" t="s">
        <v>49</v>
      </c>
      <c r="J3" s="96" t="s">
        <v>50</v>
      </c>
      <c r="K3" s="97" t="s">
        <v>51</v>
      </c>
      <c r="L3" s="97" t="s">
        <v>52</v>
      </c>
      <c r="M3" s="97" t="s">
        <v>53</v>
      </c>
      <c r="N3" s="97" t="s">
        <v>54</v>
      </c>
      <c r="O3" s="97" t="s">
        <v>53</v>
      </c>
      <c r="P3" s="97" t="s">
        <v>55</v>
      </c>
      <c r="Q3" s="98" t="s">
        <v>56</v>
      </c>
      <c r="R3" s="98" t="s">
        <v>57</v>
      </c>
      <c r="S3" s="98" t="s">
        <v>58</v>
      </c>
      <c r="T3" s="98" t="s">
        <v>59</v>
      </c>
      <c r="U3" s="93" t="s">
        <v>60</v>
      </c>
      <c r="V3" s="93" t="s">
        <v>61</v>
      </c>
      <c r="W3" s="93" t="s">
        <v>62</v>
      </c>
      <c r="X3" s="93" t="s">
        <v>63</v>
      </c>
      <c r="Y3" s="93" t="s">
        <v>64</v>
      </c>
      <c r="Z3" s="93" t="s">
        <v>65</v>
      </c>
      <c r="AA3" s="93" t="s">
        <v>66</v>
      </c>
      <c r="AB3" s="93" t="s">
        <v>67</v>
      </c>
      <c r="AC3" s="93" t="s">
        <v>68</v>
      </c>
      <c r="AD3" s="93" t="s">
        <v>69</v>
      </c>
      <c r="AE3" s="93" t="s">
        <v>70</v>
      </c>
      <c r="AF3" s="93" t="s">
        <v>71</v>
      </c>
      <c r="AG3" s="93" t="s">
        <v>72</v>
      </c>
      <c r="AH3" s="93" t="s">
        <v>73</v>
      </c>
      <c r="AI3" s="99" t="s">
        <v>74</v>
      </c>
      <c r="AJ3" s="93" t="s">
        <v>75</v>
      </c>
      <c r="AK3" s="93" t="s">
        <v>76</v>
      </c>
      <c r="AL3" s="93" t="s">
        <v>77</v>
      </c>
      <c r="AM3" s="93" t="s">
        <v>78</v>
      </c>
      <c r="AN3" s="93" t="s">
        <v>79</v>
      </c>
      <c r="AO3" s="93" t="s">
        <v>68</v>
      </c>
    </row>
    <row r="4" spans="1:41" x14ac:dyDescent="0.25">
      <c r="A4" s="100" t="s">
        <v>80</v>
      </c>
      <c r="B4" s="101">
        <f>DELPHINE!D58</f>
        <v>1</v>
      </c>
      <c r="C4" s="101">
        <f>DELPHINE!D70</f>
        <v>0</v>
      </c>
      <c r="D4" s="101">
        <f>DELPHINE!D64</f>
        <v>1</v>
      </c>
      <c r="E4" s="102">
        <f>COUNTIFS(DELPHINE!BB3:BB49,"x",DELPHINE!BB3:BB49,"X")</f>
        <v>0</v>
      </c>
      <c r="F4" s="102">
        <f>E4-G4</f>
        <v>0</v>
      </c>
      <c r="G4" s="102">
        <f>COUNTIFS(DELPHINE!BB3:BB49,"x",DELPHINE!BB3:BB49,"X",DELPHINE!E3:E49,"31/12/2019")</f>
        <v>0</v>
      </c>
      <c r="H4" s="103">
        <f>+B4-E4</f>
        <v>1</v>
      </c>
      <c r="I4" s="104">
        <f>COUNTIFS(DELPHINE!I3:I49,"&lt;&gt;",DELPHINE!BA3:BA49,"",DELPHINE!BB3:BB49,"")</f>
        <v>1</v>
      </c>
      <c r="J4" s="104">
        <f>COUNTIFS(DELPHINE!BA3:BA49,"x",DELPHINE!BB3:BB49,"")</f>
        <v>0</v>
      </c>
      <c r="K4" s="105">
        <f>H4-I4-J4</f>
        <v>0</v>
      </c>
      <c r="L4" s="106" t="e">
        <f>DELPHINE!E109+DELPHINE!F109+DELPHINE!G109+DELPHINE!H109+DELPHINE!I109+DELPHINE!J109+DELPHINE!K109+DELPHINE!M109+DELPHINE!N109+DELPHINE!O109+DELPHINE!P109+DELPHINE!Q109+DELPHINE!R109</f>
        <v>#VALUE!</v>
      </c>
      <c r="M4" s="105">
        <f>DELPHINE!L109</f>
        <v>0</v>
      </c>
      <c r="N4" s="105">
        <f>DELPHINE!E103+DELPHINE!F103+DELPHINE!G103+DELPHINE!H103+DELPHINE!I103+DELPHINE!K103+DELPHINE!M103+DELPHINE!N103+DELPHINE!O103+DELPHINE!P103+DELPHINE!Q103+DELPHINE!R103</f>
        <v>0</v>
      </c>
      <c r="O4" s="105">
        <f>DELPHINE!L103</f>
        <v>0</v>
      </c>
      <c r="P4" s="105">
        <f>DELPHINE!J103</f>
        <v>0</v>
      </c>
      <c r="Q4" s="107" t="e">
        <f t="shared" ref="Q4:R10" si="0">F4/C4</f>
        <v>#DIV/0!</v>
      </c>
      <c r="R4" s="107">
        <f t="shared" si="0"/>
        <v>0</v>
      </c>
      <c r="S4" s="107">
        <f t="shared" ref="S4:S10" si="1">E4/B4</f>
        <v>0</v>
      </c>
      <c r="T4" s="107">
        <f t="shared" ref="T4:T10" si="2">(E4+I4)/B4</f>
        <v>1</v>
      </c>
      <c r="U4" s="108">
        <f>+ROUND(AVERAGE(DELPHINE!$K$3:K90),0)</f>
        <v>0</v>
      </c>
      <c r="V4" s="108">
        <f>COUNTIF(DELPHINE!L3:L67,"OUI")</f>
        <v>0</v>
      </c>
      <c r="W4" s="108">
        <f t="shared" ref="W4:W10" si="3">+ROUND(V4/B4*100,)</f>
        <v>0</v>
      </c>
      <c r="X4" s="108">
        <f>+COUNTIF(DELPHINE!M3:M90,"oui")</f>
        <v>1</v>
      </c>
      <c r="Y4" s="108">
        <f t="shared" ref="Y4:Y10" si="4">+ROUND(X4/B4*100,)</f>
        <v>100</v>
      </c>
      <c r="Z4" s="108">
        <f>+COUNTA(DELPHINE!BC3:BC90)</f>
        <v>1</v>
      </c>
      <c r="AA4" s="109">
        <f t="shared" ref="AA4:AA10" si="5">+ROUND(Z4/B4*100,)/100</f>
        <v>1</v>
      </c>
      <c r="AB4" s="108"/>
      <c r="AC4" s="108">
        <f>+COUNTIF(DELPHINE!$K$3:$K$49,6)</f>
        <v>0</v>
      </c>
      <c r="AD4" s="108">
        <f>+COUNTIF(DELPHINE!$K$3:$K$49,7)</f>
        <v>0</v>
      </c>
      <c r="AE4" s="108">
        <f>+COUNTIF(DELPHINE!$K$3:$K$49,8)</f>
        <v>0</v>
      </c>
      <c r="AF4" s="108">
        <f>+COUNTIF(DELPHINE!$K$3:$K$49,9)</f>
        <v>0</v>
      </c>
      <c r="AG4" s="108">
        <f>+COUNTIF(DELPHINE!$K$3:$K$49,10)</f>
        <v>0</v>
      </c>
      <c r="AH4" s="108">
        <f>+COUNTIF(DELPHINE!$K$3:$K$49,11)</f>
        <v>0</v>
      </c>
      <c r="AI4" s="108">
        <f>+COUNTIF(DELPHINE!$K$3:$K$49,12)</f>
        <v>0</v>
      </c>
      <c r="AJ4" s="108">
        <f>+COUNTIF(DELPHINE!$K$3:$K$49,1)</f>
        <v>1</v>
      </c>
      <c r="AK4" s="108">
        <f>+COUNTIF(DELPHINE!$K$3:$K$49,2)</f>
        <v>0</v>
      </c>
      <c r="AL4" s="108">
        <f>+COUNTIF(DELPHINE!$K$3:$K$49,3)</f>
        <v>0</v>
      </c>
      <c r="AM4" s="108">
        <f>+COUNTIF(DELPHINE!$K$3:$K$49,4)</f>
        <v>0</v>
      </c>
      <c r="AN4" s="108">
        <f>+COUNTIF(DELPHINE!$K$3:$K$49,5)</f>
        <v>0</v>
      </c>
      <c r="AO4" s="108"/>
    </row>
    <row r="5" spans="1:41" x14ac:dyDescent="0.25">
      <c r="A5" s="110" t="s">
        <v>81</v>
      </c>
      <c r="B5" s="101">
        <v>42</v>
      </c>
      <c r="C5" s="101">
        <v>16</v>
      </c>
      <c r="D5" s="101">
        <f t="shared" ref="D5:D10" si="6">B5-C5</f>
        <v>26</v>
      </c>
      <c r="E5" s="102" t="e">
        <f t="shared" ref="E5:E10" si="7">+SUM(AB5:AO5)</f>
        <v>#VALUE!</v>
      </c>
      <c r="F5" s="102">
        <v>15</v>
      </c>
      <c r="G5" s="102" t="e">
        <f t="shared" ref="G5:G11" si="8">E5-F5</f>
        <v>#VALUE!</v>
      </c>
      <c r="H5" s="103" t="e">
        <f t="shared" ref="H5:H10" si="9">+B5-E5</f>
        <v>#VALUE!</v>
      </c>
      <c r="I5" s="104">
        <v>0</v>
      </c>
      <c r="J5" s="104">
        <v>0</v>
      </c>
      <c r="K5" s="105" t="e">
        <f t="shared" ref="K5:K11" si="10">H5-I5-J5</f>
        <v>#VALUE!</v>
      </c>
      <c r="L5" s="105">
        <v>1</v>
      </c>
      <c r="M5" s="105"/>
      <c r="N5" s="105">
        <v>11</v>
      </c>
      <c r="O5" s="105">
        <v>6</v>
      </c>
      <c r="P5" s="105">
        <v>0</v>
      </c>
      <c r="Q5" s="107">
        <f t="shared" si="0"/>
        <v>0.9375</v>
      </c>
      <c r="R5" s="107" t="e">
        <f t="shared" si="0"/>
        <v>#VALUE!</v>
      </c>
      <c r="S5" s="107" t="e">
        <f t="shared" si="1"/>
        <v>#VALUE!</v>
      </c>
      <c r="T5" s="107" t="e">
        <f t="shared" si="2"/>
        <v>#VALUE!</v>
      </c>
      <c r="U5" s="108">
        <v>85</v>
      </c>
      <c r="V5" s="108" t="e">
        <v>#VALUE!</v>
      </c>
      <c r="W5" s="108" t="e">
        <f t="shared" si="3"/>
        <v>#VALUE!</v>
      </c>
      <c r="X5" s="108" t="e">
        <v>#VALUE!</v>
      </c>
      <c r="Y5" s="108" t="e">
        <f t="shared" si="4"/>
        <v>#VALUE!</v>
      </c>
      <c r="Z5" s="108">
        <v>3</v>
      </c>
      <c r="AA5" s="109">
        <f t="shared" si="5"/>
        <v>7.0000000000000007E-2</v>
      </c>
      <c r="AB5" s="108"/>
      <c r="AC5" s="108" t="e">
        <v>#VALUE!</v>
      </c>
      <c r="AD5" s="108" t="e">
        <v>#VALUE!</v>
      </c>
      <c r="AE5" s="108" t="e">
        <v>#VALUE!</v>
      </c>
      <c r="AF5" s="108" t="e">
        <v>#VALUE!</v>
      </c>
      <c r="AG5" s="108" t="e">
        <v>#VALUE!</v>
      </c>
      <c r="AH5" s="108" t="e">
        <v>#VALUE!</v>
      </c>
      <c r="AI5" s="108" t="e">
        <v>#VALUE!</v>
      </c>
      <c r="AJ5" s="108" t="e">
        <v>#VALUE!</v>
      </c>
      <c r="AK5" s="108" t="e">
        <v>#VALUE!</v>
      </c>
      <c r="AL5" s="108" t="e">
        <v>#VALUE!</v>
      </c>
      <c r="AM5" s="108" t="e">
        <v>#VALUE!</v>
      </c>
      <c r="AN5" s="108" t="e">
        <v>#VALUE!</v>
      </c>
      <c r="AO5" s="108"/>
    </row>
    <row r="6" spans="1:41" x14ac:dyDescent="0.25">
      <c r="A6" s="110" t="s">
        <v>82</v>
      </c>
      <c r="B6" s="101">
        <v>31</v>
      </c>
      <c r="C6" s="101">
        <v>12</v>
      </c>
      <c r="D6" s="101">
        <f t="shared" si="6"/>
        <v>19</v>
      </c>
      <c r="E6" s="102" t="e">
        <f t="shared" si="7"/>
        <v>#VALUE!</v>
      </c>
      <c r="F6" s="102">
        <v>12</v>
      </c>
      <c r="G6" s="102" t="e">
        <f t="shared" si="8"/>
        <v>#VALUE!</v>
      </c>
      <c r="H6" s="103" t="e">
        <f t="shared" si="9"/>
        <v>#VALUE!</v>
      </c>
      <c r="I6" s="104">
        <v>0</v>
      </c>
      <c r="J6" s="104">
        <v>0</v>
      </c>
      <c r="K6" s="105" t="e">
        <f t="shared" si="10"/>
        <v>#VALUE!</v>
      </c>
      <c r="L6" s="105">
        <v>0</v>
      </c>
      <c r="M6" s="105"/>
      <c r="N6" s="105">
        <v>6</v>
      </c>
      <c r="O6" s="105">
        <v>4</v>
      </c>
      <c r="P6" s="105">
        <v>0</v>
      </c>
      <c r="Q6" s="107">
        <f t="shared" si="0"/>
        <v>1</v>
      </c>
      <c r="R6" s="107" t="e">
        <f t="shared" si="0"/>
        <v>#VALUE!</v>
      </c>
      <c r="S6" s="107" t="e">
        <f t="shared" si="1"/>
        <v>#VALUE!</v>
      </c>
      <c r="T6" s="107" t="e">
        <f t="shared" si="2"/>
        <v>#VALUE!</v>
      </c>
      <c r="U6" s="108">
        <v>81</v>
      </c>
      <c r="V6" s="108" t="e">
        <v>#VALUE!</v>
      </c>
      <c r="W6" s="108" t="e">
        <f t="shared" si="3"/>
        <v>#VALUE!</v>
      </c>
      <c r="X6" s="108" t="e">
        <v>#VALUE!</v>
      </c>
      <c r="Y6" s="108" t="e">
        <f t="shared" si="4"/>
        <v>#VALUE!</v>
      </c>
      <c r="Z6" s="108">
        <v>2</v>
      </c>
      <c r="AA6" s="109">
        <f t="shared" si="5"/>
        <v>0.06</v>
      </c>
      <c r="AB6" s="108"/>
      <c r="AC6" s="108" t="e">
        <v>#VALUE!</v>
      </c>
      <c r="AD6" s="108" t="e">
        <v>#VALUE!</v>
      </c>
      <c r="AE6" s="108" t="e">
        <v>#VALUE!</v>
      </c>
      <c r="AF6" s="108" t="e">
        <v>#VALUE!</v>
      </c>
      <c r="AG6" s="108" t="e">
        <v>#VALUE!</v>
      </c>
      <c r="AH6" s="108" t="e">
        <v>#VALUE!</v>
      </c>
      <c r="AI6" s="108" t="e">
        <v>#VALUE!</v>
      </c>
      <c r="AJ6" s="108" t="e">
        <v>#VALUE!</v>
      </c>
      <c r="AK6" s="108" t="e">
        <v>#VALUE!</v>
      </c>
      <c r="AL6" s="108" t="e">
        <v>#VALUE!</v>
      </c>
      <c r="AM6" s="108" t="e">
        <v>#VALUE!</v>
      </c>
      <c r="AN6" s="108" t="e">
        <v>#VALUE!</v>
      </c>
      <c r="AO6" s="108"/>
    </row>
    <row r="7" spans="1:41" x14ac:dyDescent="0.25">
      <c r="A7" s="110" t="s">
        <v>83</v>
      </c>
      <c r="B7" s="101">
        <v>22</v>
      </c>
      <c r="C7" s="101">
        <v>11</v>
      </c>
      <c r="D7" s="101">
        <f t="shared" si="6"/>
        <v>11</v>
      </c>
      <c r="E7" s="102" t="e">
        <f t="shared" si="7"/>
        <v>#VALUE!</v>
      </c>
      <c r="F7" s="102">
        <v>10</v>
      </c>
      <c r="G7" s="102" t="e">
        <f t="shared" si="8"/>
        <v>#VALUE!</v>
      </c>
      <c r="H7" s="103" t="e">
        <f t="shared" si="9"/>
        <v>#VALUE!</v>
      </c>
      <c r="I7" s="104">
        <v>0</v>
      </c>
      <c r="J7" s="104">
        <v>0</v>
      </c>
      <c r="K7" s="105" t="e">
        <f t="shared" si="10"/>
        <v>#VALUE!</v>
      </c>
      <c r="L7" s="105">
        <v>1</v>
      </c>
      <c r="M7" s="105"/>
      <c r="N7" s="105">
        <v>6</v>
      </c>
      <c r="O7" s="105">
        <v>1</v>
      </c>
      <c r="P7" s="105">
        <v>0</v>
      </c>
      <c r="Q7" s="107">
        <f t="shared" si="0"/>
        <v>0.90909090909090906</v>
      </c>
      <c r="R7" s="107" t="e">
        <f t="shared" si="0"/>
        <v>#VALUE!</v>
      </c>
      <c r="S7" s="107" t="e">
        <f t="shared" si="1"/>
        <v>#VALUE!</v>
      </c>
      <c r="T7" s="107" t="e">
        <f t="shared" si="2"/>
        <v>#VALUE!</v>
      </c>
      <c r="U7" s="108">
        <v>81</v>
      </c>
      <c r="V7" s="108" t="e">
        <v>#VALUE!</v>
      </c>
      <c r="W7" s="108" t="e">
        <f t="shared" si="3"/>
        <v>#VALUE!</v>
      </c>
      <c r="X7" s="108" t="e">
        <v>#VALUE!</v>
      </c>
      <c r="Y7" s="108" t="e">
        <f t="shared" si="4"/>
        <v>#VALUE!</v>
      </c>
      <c r="Z7" s="108">
        <v>3</v>
      </c>
      <c r="AA7" s="109">
        <f t="shared" si="5"/>
        <v>0.14000000000000001</v>
      </c>
      <c r="AB7" s="108"/>
      <c r="AC7" s="108" t="e">
        <v>#VALUE!</v>
      </c>
      <c r="AD7" s="108" t="e">
        <v>#VALUE!</v>
      </c>
      <c r="AE7" s="108" t="e">
        <v>#VALUE!</v>
      </c>
      <c r="AF7" s="108" t="e">
        <v>#VALUE!</v>
      </c>
      <c r="AG7" s="108" t="e">
        <v>#VALUE!</v>
      </c>
      <c r="AH7" s="108" t="e">
        <v>#VALUE!</v>
      </c>
      <c r="AI7" s="108" t="e">
        <v>#VALUE!</v>
      </c>
      <c r="AJ7" s="108" t="e">
        <v>#VALUE!</v>
      </c>
      <c r="AK7" s="108" t="e">
        <v>#VALUE!</v>
      </c>
      <c r="AL7" s="108" t="e">
        <v>#VALUE!</v>
      </c>
      <c r="AM7" s="108" t="e">
        <v>#VALUE!</v>
      </c>
      <c r="AN7" s="108" t="e">
        <v>#VALUE!</v>
      </c>
      <c r="AO7" s="108"/>
    </row>
    <row r="8" spans="1:41" x14ac:dyDescent="0.25">
      <c r="A8" s="110" t="s">
        <v>84</v>
      </c>
      <c r="B8" s="101">
        <v>39</v>
      </c>
      <c r="C8" s="101">
        <v>15</v>
      </c>
      <c r="D8" s="101">
        <f t="shared" si="6"/>
        <v>24</v>
      </c>
      <c r="E8" s="102" t="e">
        <f t="shared" si="7"/>
        <v>#VALUE!</v>
      </c>
      <c r="F8" s="102">
        <v>13</v>
      </c>
      <c r="G8" s="102" t="e">
        <f t="shared" si="8"/>
        <v>#VALUE!</v>
      </c>
      <c r="H8" s="103" t="e">
        <f t="shared" si="9"/>
        <v>#VALUE!</v>
      </c>
      <c r="I8" s="104">
        <v>0</v>
      </c>
      <c r="J8" s="104">
        <v>0</v>
      </c>
      <c r="K8" s="105" t="e">
        <f t="shared" si="10"/>
        <v>#VALUE!</v>
      </c>
      <c r="L8" s="105">
        <v>1</v>
      </c>
      <c r="M8" s="105"/>
      <c r="N8" s="105">
        <v>10</v>
      </c>
      <c r="O8" s="105">
        <v>2</v>
      </c>
      <c r="P8" s="105">
        <v>10</v>
      </c>
      <c r="Q8" s="107">
        <f t="shared" si="0"/>
        <v>0.8666666666666667</v>
      </c>
      <c r="R8" s="107" t="e">
        <f t="shared" si="0"/>
        <v>#VALUE!</v>
      </c>
      <c r="S8" s="107" t="e">
        <f t="shared" si="1"/>
        <v>#VALUE!</v>
      </c>
      <c r="T8" s="107" t="e">
        <f t="shared" si="2"/>
        <v>#VALUE!</v>
      </c>
      <c r="U8" s="108">
        <v>134</v>
      </c>
      <c r="V8" s="108" t="e">
        <v>#VALUE!</v>
      </c>
      <c r="W8" s="108" t="e">
        <f t="shared" si="3"/>
        <v>#VALUE!</v>
      </c>
      <c r="X8" s="108" t="e">
        <v>#VALUE!</v>
      </c>
      <c r="Y8" s="108" t="e">
        <f t="shared" si="4"/>
        <v>#VALUE!</v>
      </c>
      <c r="Z8" s="108">
        <v>5</v>
      </c>
      <c r="AA8" s="109">
        <f t="shared" si="5"/>
        <v>0.13</v>
      </c>
      <c r="AB8" s="108"/>
      <c r="AC8" s="108" t="e">
        <v>#VALUE!</v>
      </c>
      <c r="AD8" s="108" t="e">
        <v>#VALUE!</v>
      </c>
      <c r="AE8" s="108" t="e">
        <v>#VALUE!</v>
      </c>
      <c r="AF8" s="108" t="e">
        <v>#VALUE!</v>
      </c>
      <c r="AG8" s="108" t="e">
        <v>#VALUE!</v>
      </c>
      <c r="AH8" s="108" t="e">
        <v>#VALUE!</v>
      </c>
      <c r="AI8" s="108" t="e">
        <v>#VALUE!</v>
      </c>
      <c r="AJ8" s="108" t="e">
        <v>#VALUE!</v>
      </c>
      <c r="AK8" s="108" t="e">
        <v>#VALUE!</v>
      </c>
      <c r="AL8" s="108" t="e">
        <v>#VALUE!</v>
      </c>
      <c r="AM8" s="108" t="e">
        <v>#VALUE!</v>
      </c>
      <c r="AN8" s="108" t="e">
        <v>#VALUE!</v>
      </c>
      <c r="AO8" s="108"/>
    </row>
    <row r="9" spans="1:41" x14ac:dyDescent="0.25">
      <c r="A9" s="110" t="s">
        <v>31</v>
      </c>
      <c r="B9" s="101">
        <v>37</v>
      </c>
      <c r="C9" s="101">
        <v>18</v>
      </c>
      <c r="D9" s="101">
        <f t="shared" si="6"/>
        <v>19</v>
      </c>
      <c r="E9" s="102" t="e">
        <f t="shared" si="7"/>
        <v>#VALUE!</v>
      </c>
      <c r="F9" s="102">
        <v>15</v>
      </c>
      <c r="G9" s="102" t="e">
        <f t="shared" si="8"/>
        <v>#VALUE!</v>
      </c>
      <c r="H9" s="103" t="e">
        <f t="shared" si="9"/>
        <v>#VALUE!</v>
      </c>
      <c r="I9" s="104">
        <v>0</v>
      </c>
      <c r="J9" s="104">
        <v>0</v>
      </c>
      <c r="K9" s="105" t="e">
        <f t="shared" si="10"/>
        <v>#VALUE!</v>
      </c>
      <c r="L9" s="105">
        <v>1</v>
      </c>
      <c r="M9" s="105"/>
      <c r="N9" s="105">
        <v>8</v>
      </c>
      <c r="O9" s="105">
        <v>9</v>
      </c>
      <c r="P9" s="105">
        <v>1</v>
      </c>
      <c r="Q9" s="107">
        <f t="shared" si="0"/>
        <v>0.83333333333333337</v>
      </c>
      <c r="R9" s="107" t="e">
        <f t="shared" si="0"/>
        <v>#VALUE!</v>
      </c>
      <c r="S9" s="107" t="e">
        <f t="shared" si="1"/>
        <v>#VALUE!</v>
      </c>
      <c r="T9" s="107" t="e">
        <f t="shared" si="2"/>
        <v>#VALUE!</v>
      </c>
      <c r="U9" s="108">
        <v>134</v>
      </c>
      <c r="V9" s="108" t="e">
        <v>#VALUE!</v>
      </c>
      <c r="W9" s="108" t="e">
        <f t="shared" si="3"/>
        <v>#VALUE!</v>
      </c>
      <c r="X9" s="108" t="e">
        <v>#VALUE!</v>
      </c>
      <c r="Y9" s="108" t="e">
        <f t="shared" si="4"/>
        <v>#VALUE!</v>
      </c>
      <c r="Z9" s="108">
        <v>5</v>
      </c>
      <c r="AA9" s="109">
        <f t="shared" si="5"/>
        <v>0.14000000000000001</v>
      </c>
      <c r="AB9" s="108"/>
      <c r="AC9" s="108" t="e">
        <v>#VALUE!</v>
      </c>
      <c r="AD9" s="108" t="e">
        <v>#VALUE!</v>
      </c>
      <c r="AE9" s="108" t="e">
        <v>#VALUE!</v>
      </c>
      <c r="AF9" s="108" t="e">
        <v>#VALUE!</v>
      </c>
      <c r="AG9" s="108" t="e">
        <v>#VALUE!</v>
      </c>
      <c r="AH9" s="108" t="e">
        <v>#VALUE!</v>
      </c>
      <c r="AI9" s="108" t="e">
        <v>#VALUE!</v>
      </c>
      <c r="AJ9" s="108" t="e">
        <v>#VALUE!</v>
      </c>
      <c r="AK9" s="108" t="e">
        <v>#VALUE!</v>
      </c>
      <c r="AL9" s="108" t="e">
        <v>#VALUE!</v>
      </c>
      <c r="AM9" s="108" t="e">
        <v>#VALUE!</v>
      </c>
      <c r="AN9" s="108" t="e">
        <v>#VALUE!</v>
      </c>
      <c r="AO9" s="108"/>
    </row>
    <row r="10" spans="1:41" x14ac:dyDescent="0.25">
      <c r="A10" s="108" t="s">
        <v>85</v>
      </c>
      <c r="B10" s="101">
        <v>57</v>
      </c>
      <c r="C10" s="101">
        <v>26</v>
      </c>
      <c r="D10" s="101">
        <f t="shared" si="6"/>
        <v>31</v>
      </c>
      <c r="E10" s="102" t="e">
        <f t="shared" si="7"/>
        <v>#VALUE!</v>
      </c>
      <c r="F10" s="102">
        <v>17</v>
      </c>
      <c r="G10" s="102" t="e">
        <f t="shared" si="8"/>
        <v>#VALUE!</v>
      </c>
      <c r="H10" s="103" t="e">
        <f t="shared" si="9"/>
        <v>#VALUE!</v>
      </c>
      <c r="I10" s="104">
        <v>0</v>
      </c>
      <c r="J10" s="104">
        <v>0</v>
      </c>
      <c r="K10" s="105" t="e">
        <f t="shared" si="10"/>
        <v>#VALUE!</v>
      </c>
      <c r="L10" s="105">
        <v>6</v>
      </c>
      <c r="M10" s="105"/>
      <c r="N10" s="105">
        <v>26</v>
      </c>
      <c r="O10" s="105">
        <v>4</v>
      </c>
      <c r="P10" s="105">
        <v>0</v>
      </c>
      <c r="Q10" s="107">
        <f t="shared" si="0"/>
        <v>0.65384615384615385</v>
      </c>
      <c r="R10" s="107" t="e">
        <f t="shared" si="0"/>
        <v>#VALUE!</v>
      </c>
      <c r="S10" s="107" t="e">
        <f t="shared" si="1"/>
        <v>#VALUE!</v>
      </c>
      <c r="T10" s="107" t="e">
        <f t="shared" si="2"/>
        <v>#VALUE!</v>
      </c>
      <c r="U10" s="108">
        <v>134</v>
      </c>
      <c r="V10" s="108" t="e">
        <v>#VALUE!</v>
      </c>
      <c r="W10" s="108" t="e">
        <f t="shared" si="3"/>
        <v>#VALUE!</v>
      </c>
      <c r="X10" s="108" t="e">
        <v>#VALUE!</v>
      </c>
      <c r="Y10" s="108" t="e">
        <f t="shared" si="4"/>
        <v>#VALUE!</v>
      </c>
      <c r="Z10" s="108">
        <v>5</v>
      </c>
      <c r="AA10" s="109">
        <f t="shared" si="5"/>
        <v>0.09</v>
      </c>
      <c r="AB10" s="108"/>
      <c r="AC10" s="108" t="e">
        <v>#VALUE!</v>
      </c>
      <c r="AD10" s="108" t="e">
        <v>#VALUE!</v>
      </c>
      <c r="AE10" s="108" t="e">
        <v>#VALUE!</v>
      </c>
      <c r="AF10" s="108" t="e">
        <v>#VALUE!</v>
      </c>
      <c r="AG10" s="108" t="e">
        <v>#VALUE!</v>
      </c>
      <c r="AH10" s="108" t="e">
        <v>#VALUE!</v>
      </c>
      <c r="AI10" s="108" t="e">
        <v>#VALUE!</v>
      </c>
      <c r="AJ10" s="108" t="e">
        <v>#VALUE!</v>
      </c>
      <c r="AK10" s="108" t="e">
        <v>#VALUE!</v>
      </c>
      <c r="AL10" s="108" t="e">
        <v>#VALUE!</v>
      </c>
      <c r="AM10" s="108" t="e">
        <v>#VALUE!</v>
      </c>
      <c r="AN10" s="108" t="e">
        <v>#VALUE!</v>
      </c>
      <c r="AO10" s="108"/>
    </row>
    <row r="11" spans="1:41" x14ac:dyDescent="0.25">
      <c r="A11" s="108"/>
      <c r="B11" s="101"/>
      <c r="C11" s="101"/>
      <c r="D11" s="101"/>
      <c r="E11" s="102"/>
      <c r="F11" s="102"/>
      <c r="G11" s="102">
        <f t="shared" si="8"/>
        <v>0</v>
      </c>
      <c r="H11" s="103"/>
      <c r="I11" s="111"/>
      <c r="J11" s="111"/>
      <c r="K11" s="105">
        <f t="shared" si="10"/>
        <v>0</v>
      </c>
      <c r="L11" s="105"/>
      <c r="M11" s="105"/>
      <c r="N11" s="105"/>
      <c r="O11" s="105"/>
      <c r="P11" s="105"/>
      <c r="Q11" s="112"/>
      <c r="R11" s="107"/>
      <c r="S11" s="107"/>
      <c r="T11" s="107"/>
      <c r="U11" s="108"/>
      <c r="V11" s="108"/>
      <c r="W11" s="108"/>
      <c r="X11" s="108"/>
      <c r="Y11" s="108"/>
      <c r="Z11" s="108"/>
      <c r="AA11" s="113"/>
      <c r="AB11" s="108"/>
      <c r="AC11" s="108"/>
      <c r="AD11" s="108"/>
      <c r="AE11" s="108"/>
      <c r="AF11" s="108"/>
      <c r="AG11" s="108"/>
      <c r="AH11" s="108"/>
      <c r="AI11" s="110"/>
      <c r="AJ11" s="108"/>
      <c r="AK11" s="108"/>
      <c r="AL11" s="108"/>
      <c r="AM11" s="108"/>
      <c r="AN11" s="108"/>
      <c r="AO11" s="108"/>
    </row>
    <row r="12" spans="1:41" x14ac:dyDescent="0.25">
      <c r="A12" s="114" t="s">
        <v>86</v>
      </c>
      <c r="B12" s="114">
        <f>+SUM(B4:B10)</f>
        <v>229</v>
      </c>
      <c r="C12" s="114">
        <f>+SUM(C4:C10)</f>
        <v>98</v>
      </c>
      <c r="D12" s="114">
        <f>+SUM(D4:D10)</f>
        <v>131</v>
      </c>
      <c r="E12" s="114" t="e">
        <f t="shared" ref="E12:AO12" si="11">+SUM(E4:E10)</f>
        <v>#VALUE!</v>
      </c>
      <c r="F12" s="114">
        <f t="shared" si="11"/>
        <v>82</v>
      </c>
      <c r="G12" s="114" t="e">
        <f t="shared" si="11"/>
        <v>#VALUE!</v>
      </c>
      <c r="H12" s="114" t="e">
        <f>+SUM(H4:H10)</f>
        <v>#VALUE!</v>
      </c>
      <c r="I12" s="114">
        <f t="shared" si="11"/>
        <v>1</v>
      </c>
      <c r="J12" s="114">
        <f t="shared" si="11"/>
        <v>0</v>
      </c>
      <c r="K12" s="114" t="e">
        <f>+SUM(K4:K10)</f>
        <v>#VALUE!</v>
      </c>
      <c r="L12" s="114" t="e">
        <f>+SUM(L4:L11)</f>
        <v>#VALUE!</v>
      </c>
      <c r="M12" s="114">
        <f>+SUM(M4:M11)</f>
        <v>0</v>
      </c>
      <c r="N12" s="114">
        <f>+SUM(N4:N11)</f>
        <v>67</v>
      </c>
      <c r="O12" s="114">
        <f>+SUM(O4:O11)</f>
        <v>26</v>
      </c>
      <c r="P12" s="114">
        <f>+SUM(P4:P11)</f>
        <v>11</v>
      </c>
      <c r="Q12" s="115">
        <f>F12/C12</f>
        <v>0.83673469387755106</v>
      </c>
      <c r="R12" s="115">
        <f>F12/D12</f>
        <v>0.62595419847328249</v>
      </c>
      <c r="S12" s="115" t="e">
        <f>E12/B12</f>
        <v>#VALUE!</v>
      </c>
      <c r="T12" s="115" t="e">
        <f>(I12+E12)/B12</f>
        <v>#VALUE!</v>
      </c>
      <c r="U12" s="114"/>
      <c r="V12" s="114" t="e">
        <f t="shared" si="11"/>
        <v>#VALUE!</v>
      </c>
      <c r="W12" s="114" t="e">
        <f t="shared" si="11"/>
        <v>#VALUE!</v>
      </c>
      <c r="X12" s="114" t="e">
        <f t="shared" si="11"/>
        <v>#VALUE!</v>
      </c>
      <c r="Y12" s="114" t="e">
        <f t="shared" si="11"/>
        <v>#VALUE!</v>
      </c>
      <c r="Z12" s="114">
        <f t="shared" si="11"/>
        <v>24</v>
      </c>
      <c r="AA12" s="116">
        <f>Z12/B12</f>
        <v>0.10480349344978165</v>
      </c>
      <c r="AB12" s="114">
        <f t="shared" si="11"/>
        <v>0</v>
      </c>
      <c r="AC12" s="114" t="e">
        <f t="shared" si="11"/>
        <v>#VALUE!</v>
      </c>
      <c r="AD12" s="114" t="e">
        <f t="shared" si="11"/>
        <v>#VALUE!</v>
      </c>
      <c r="AE12" s="114" t="e">
        <f t="shared" si="11"/>
        <v>#VALUE!</v>
      </c>
      <c r="AF12" s="114" t="e">
        <f t="shared" si="11"/>
        <v>#VALUE!</v>
      </c>
      <c r="AG12" s="114" t="e">
        <f t="shared" si="11"/>
        <v>#VALUE!</v>
      </c>
      <c r="AH12" s="114" t="e">
        <f t="shared" si="11"/>
        <v>#VALUE!</v>
      </c>
      <c r="AI12" s="114" t="e">
        <f t="shared" si="11"/>
        <v>#VALUE!</v>
      </c>
      <c r="AJ12" s="114" t="e">
        <f t="shared" si="11"/>
        <v>#VALUE!</v>
      </c>
      <c r="AK12" s="114" t="e">
        <f t="shared" si="11"/>
        <v>#VALUE!</v>
      </c>
      <c r="AL12" s="114" t="e">
        <f t="shared" si="11"/>
        <v>#VALUE!</v>
      </c>
      <c r="AM12" s="114" t="e">
        <f t="shared" si="11"/>
        <v>#VALUE!</v>
      </c>
      <c r="AN12" s="114" t="e">
        <f t="shared" si="11"/>
        <v>#VALUE!</v>
      </c>
      <c r="AO12" s="114">
        <f t="shared" si="11"/>
        <v>0</v>
      </c>
    </row>
    <row r="13" spans="1:41" x14ac:dyDescent="0.25">
      <c r="A13" s="114" t="s">
        <v>87</v>
      </c>
      <c r="B13" s="114"/>
      <c r="C13" s="114"/>
      <c r="D13" s="114"/>
      <c r="E13" s="114"/>
      <c r="F13" s="114"/>
      <c r="G13" s="114"/>
      <c r="H13" s="114"/>
      <c r="I13" s="114"/>
      <c r="J13" s="114"/>
      <c r="K13" s="114"/>
      <c r="L13" s="114"/>
      <c r="M13" s="114"/>
      <c r="N13" s="114"/>
      <c r="O13" s="114"/>
      <c r="P13" s="114"/>
      <c r="Q13" s="114"/>
      <c r="R13" s="114"/>
      <c r="S13" s="114"/>
      <c r="T13" s="114"/>
      <c r="U13" s="114"/>
      <c r="V13" s="114"/>
      <c r="W13" s="114"/>
      <c r="X13" s="114"/>
      <c r="Y13" s="114"/>
      <c r="Z13" s="114"/>
      <c r="AA13" s="114"/>
      <c r="AB13" s="114">
        <f>+AB12</f>
        <v>0</v>
      </c>
      <c r="AC13" s="114" t="e">
        <f>+AC12+AB13</f>
        <v>#VALUE!</v>
      </c>
      <c r="AD13" s="114" t="e">
        <f t="shared" ref="AD13:AN13" si="12">+AD12+AC13</f>
        <v>#VALUE!</v>
      </c>
      <c r="AE13" s="114" t="e">
        <f t="shared" si="12"/>
        <v>#VALUE!</v>
      </c>
      <c r="AF13" s="114" t="e">
        <f t="shared" si="12"/>
        <v>#VALUE!</v>
      </c>
      <c r="AG13" s="114" t="e">
        <f t="shared" si="12"/>
        <v>#VALUE!</v>
      </c>
      <c r="AH13" s="114" t="e">
        <f t="shared" si="12"/>
        <v>#VALUE!</v>
      </c>
      <c r="AI13" s="114" t="e">
        <f t="shared" si="12"/>
        <v>#VALUE!</v>
      </c>
      <c r="AJ13" s="114" t="e">
        <f t="shared" si="12"/>
        <v>#VALUE!</v>
      </c>
      <c r="AK13" s="114" t="e">
        <f t="shared" si="12"/>
        <v>#VALUE!</v>
      </c>
      <c r="AL13" s="114" t="e">
        <f t="shared" si="12"/>
        <v>#VALUE!</v>
      </c>
      <c r="AM13" s="114" t="e">
        <f t="shared" si="12"/>
        <v>#VALUE!</v>
      </c>
      <c r="AN13" s="114" t="e">
        <f t="shared" si="12"/>
        <v>#VALUE!</v>
      </c>
      <c r="AO13" s="114" t="e">
        <f>+AO12+AN13</f>
        <v>#VALUE!</v>
      </c>
    </row>
    <row r="14" spans="1:41" x14ac:dyDescent="0.25">
      <c r="A14" s="114" t="s">
        <v>88</v>
      </c>
      <c r="B14" s="114"/>
      <c r="C14" s="114"/>
      <c r="D14" s="114"/>
      <c r="E14" s="114"/>
      <c r="F14" s="114"/>
      <c r="G14" s="114"/>
      <c r="H14" s="114"/>
      <c r="I14" s="114"/>
      <c r="J14" s="114"/>
      <c r="K14" s="114"/>
      <c r="L14" s="114"/>
      <c r="M14" s="114"/>
      <c r="N14" s="114"/>
      <c r="O14" s="114"/>
      <c r="P14" s="114"/>
      <c r="Q14" s="114"/>
      <c r="R14" s="114"/>
      <c r="S14" s="114"/>
      <c r="T14" s="114"/>
      <c r="U14" s="114"/>
      <c r="V14" s="114"/>
      <c r="W14" s="114"/>
      <c r="X14" s="114"/>
      <c r="Y14" s="114"/>
      <c r="Z14" s="114"/>
      <c r="AA14" s="114"/>
      <c r="AB14" s="114">
        <f>+AB13/$B$12*100</f>
        <v>0</v>
      </c>
      <c r="AC14" s="117" t="e">
        <f>+AC13/$B$12</f>
        <v>#VALUE!</v>
      </c>
      <c r="AD14" s="117" t="e">
        <f t="shared" ref="AD14:AO14" si="13">+AD13/$B$12</f>
        <v>#VALUE!</v>
      </c>
      <c r="AE14" s="117" t="e">
        <f t="shared" si="13"/>
        <v>#VALUE!</v>
      </c>
      <c r="AF14" s="117" t="e">
        <f t="shared" si="13"/>
        <v>#VALUE!</v>
      </c>
      <c r="AG14" s="117" t="e">
        <f t="shared" si="13"/>
        <v>#VALUE!</v>
      </c>
      <c r="AH14" s="117" t="e">
        <f t="shared" si="13"/>
        <v>#VALUE!</v>
      </c>
      <c r="AI14" s="117" t="e">
        <f t="shared" si="13"/>
        <v>#VALUE!</v>
      </c>
      <c r="AJ14" s="117" t="e">
        <f t="shared" si="13"/>
        <v>#VALUE!</v>
      </c>
      <c r="AK14" s="117" t="e">
        <f t="shared" si="13"/>
        <v>#VALUE!</v>
      </c>
      <c r="AL14" s="117" t="e">
        <f t="shared" si="13"/>
        <v>#VALUE!</v>
      </c>
      <c r="AM14" s="117" t="e">
        <f t="shared" si="13"/>
        <v>#VALUE!</v>
      </c>
      <c r="AN14" s="117" t="e">
        <f t="shared" si="13"/>
        <v>#VALUE!</v>
      </c>
      <c r="AO14" s="117" t="e">
        <f t="shared" si="13"/>
        <v>#VALUE!</v>
      </c>
    </row>
    <row r="15" spans="1:41" x14ac:dyDescent="0.25">
      <c r="A15" s="108"/>
      <c r="B15" s="108"/>
      <c r="C15" s="108"/>
      <c r="D15" s="108"/>
      <c r="E15" s="108"/>
      <c r="F15" s="108"/>
      <c r="G15" s="108"/>
      <c r="H15" s="108"/>
      <c r="I15" s="110"/>
      <c r="J15" s="110"/>
      <c r="K15" s="108"/>
      <c r="L15" s="108"/>
      <c r="M15" s="108"/>
      <c r="N15" s="108"/>
      <c r="O15" s="108"/>
      <c r="P15" s="108"/>
      <c r="Q15" s="108"/>
      <c r="R15" s="108"/>
      <c r="S15" s="108"/>
      <c r="T15" s="108"/>
      <c r="U15" s="108"/>
      <c r="V15" s="108"/>
      <c r="W15" s="108"/>
      <c r="X15" s="108"/>
      <c r="Y15" s="108"/>
      <c r="Z15" s="108"/>
      <c r="AA15" s="108"/>
      <c r="AB15" s="108"/>
      <c r="AC15" s="108"/>
      <c r="AD15" s="108"/>
      <c r="AE15" s="108"/>
      <c r="AF15" s="108"/>
      <c r="AG15" s="108"/>
      <c r="AH15" s="108"/>
      <c r="AI15" s="110"/>
      <c r="AJ15" s="108"/>
      <c r="AK15" s="108"/>
      <c r="AL15" s="108"/>
      <c r="AM15" s="108"/>
      <c r="AN15" s="108"/>
      <c r="AO15" s="108"/>
    </row>
    <row r="17" spans="1:20" x14ac:dyDescent="0.25">
      <c r="A17" s="118" t="s">
        <v>48</v>
      </c>
      <c r="B17" s="119"/>
      <c r="C17" s="118"/>
      <c r="D17" s="118"/>
      <c r="E17" s="118" t="e">
        <f>+B12-E12</f>
        <v>#VALUE!</v>
      </c>
      <c r="F17" s="118"/>
      <c r="G17" s="118"/>
      <c r="I17" s="118"/>
      <c r="J17" s="118"/>
      <c r="Q17" s="118"/>
      <c r="R17" s="118"/>
      <c r="S17" s="118"/>
      <c r="T17" s="118"/>
    </row>
  </sheetData>
  <mergeCells count="8">
    <mergeCell ref="Q2:T2"/>
    <mergeCell ref="E1:H1"/>
    <mergeCell ref="K1:P1"/>
    <mergeCell ref="B2:D2"/>
    <mergeCell ref="E2:G2"/>
    <mergeCell ref="I2:J2"/>
    <mergeCell ref="L2:M2"/>
    <mergeCell ref="N2:P2"/>
  </mergeCells>
  <pageMargins left="0.7" right="0.7" top="0.75" bottom="0.75" header="0.3" footer="0.3"/>
  <pageSetup paperSize="8" scale="3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42"/>
  <sheetViews>
    <sheetView topLeftCell="A14" workbookViewId="0">
      <selection activeCell="J32" sqref="J32"/>
    </sheetView>
  </sheetViews>
  <sheetFormatPr baseColWidth="10" defaultRowHeight="15" x14ac:dyDescent="0.25"/>
  <cols>
    <col min="1" max="1" width="19.85546875" customWidth="1"/>
    <col min="2" max="2" width="15.85546875" bestFit="1" customWidth="1"/>
    <col min="3" max="3" width="16.7109375" bestFit="1" customWidth="1"/>
    <col min="4" max="5" width="16.7109375" customWidth="1"/>
    <col min="6" max="6" width="21.7109375" customWidth="1"/>
    <col min="7" max="7" width="19.140625" bestFit="1" customWidth="1"/>
    <col min="8" max="8" width="13.28515625" customWidth="1"/>
    <col min="9" max="9" width="16.28515625" customWidth="1"/>
    <col min="11" max="11" width="32.42578125" bestFit="1" customWidth="1"/>
    <col min="12" max="12" width="19.7109375" customWidth="1"/>
    <col min="13" max="13" width="13.140625" style="167" customWidth="1"/>
    <col min="14" max="14" width="38.5703125" customWidth="1"/>
    <col min="15" max="15" width="29" bestFit="1" customWidth="1"/>
    <col min="259" max="259" width="19.85546875" customWidth="1"/>
    <col min="260" max="260" width="15.85546875" bestFit="1" customWidth="1"/>
    <col min="261" max="261" width="16.7109375" bestFit="1" customWidth="1"/>
    <col min="262" max="263" width="16.7109375" customWidth="1"/>
    <col min="264" max="264" width="21.7109375" customWidth="1"/>
    <col min="265" max="265" width="19.140625" bestFit="1" customWidth="1"/>
    <col min="266" max="266" width="13.28515625" customWidth="1"/>
    <col min="515" max="515" width="19.85546875" customWidth="1"/>
    <col min="516" max="516" width="15.85546875" bestFit="1" customWidth="1"/>
    <col min="517" max="517" width="16.7109375" bestFit="1" customWidth="1"/>
    <col min="518" max="519" width="16.7109375" customWidth="1"/>
    <col min="520" max="520" width="21.7109375" customWidth="1"/>
    <col min="521" max="521" width="19.140625" bestFit="1" customWidth="1"/>
    <col min="522" max="522" width="13.28515625" customWidth="1"/>
    <col min="771" max="771" width="19.85546875" customWidth="1"/>
    <col min="772" max="772" width="15.85546875" bestFit="1" customWidth="1"/>
    <col min="773" max="773" width="16.7109375" bestFit="1" customWidth="1"/>
    <col min="774" max="775" width="16.7109375" customWidth="1"/>
    <col min="776" max="776" width="21.7109375" customWidth="1"/>
    <col min="777" max="777" width="19.140625" bestFit="1" customWidth="1"/>
    <col min="778" max="778" width="13.28515625" customWidth="1"/>
    <col min="1027" max="1027" width="19.85546875" customWidth="1"/>
    <col min="1028" max="1028" width="15.85546875" bestFit="1" customWidth="1"/>
    <col min="1029" max="1029" width="16.7109375" bestFit="1" customWidth="1"/>
    <col min="1030" max="1031" width="16.7109375" customWidth="1"/>
    <col min="1032" max="1032" width="21.7109375" customWidth="1"/>
    <col min="1033" max="1033" width="19.140625" bestFit="1" customWidth="1"/>
    <col min="1034" max="1034" width="13.28515625" customWidth="1"/>
    <col min="1283" max="1283" width="19.85546875" customWidth="1"/>
    <col min="1284" max="1284" width="15.85546875" bestFit="1" customWidth="1"/>
    <col min="1285" max="1285" width="16.7109375" bestFit="1" customWidth="1"/>
    <col min="1286" max="1287" width="16.7109375" customWidth="1"/>
    <col min="1288" max="1288" width="21.7109375" customWidth="1"/>
    <col min="1289" max="1289" width="19.140625" bestFit="1" customWidth="1"/>
    <col min="1290" max="1290" width="13.28515625" customWidth="1"/>
    <col min="1539" max="1539" width="19.85546875" customWidth="1"/>
    <col min="1540" max="1540" width="15.85546875" bestFit="1" customWidth="1"/>
    <col min="1541" max="1541" width="16.7109375" bestFit="1" customWidth="1"/>
    <col min="1542" max="1543" width="16.7109375" customWidth="1"/>
    <col min="1544" max="1544" width="21.7109375" customWidth="1"/>
    <col min="1545" max="1545" width="19.140625" bestFit="1" customWidth="1"/>
    <col min="1546" max="1546" width="13.28515625" customWidth="1"/>
    <col min="1795" max="1795" width="19.85546875" customWidth="1"/>
    <col min="1796" max="1796" width="15.85546875" bestFit="1" customWidth="1"/>
    <col min="1797" max="1797" width="16.7109375" bestFit="1" customWidth="1"/>
    <col min="1798" max="1799" width="16.7109375" customWidth="1"/>
    <col min="1800" max="1800" width="21.7109375" customWidth="1"/>
    <col min="1801" max="1801" width="19.140625" bestFit="1" customWidth="1"/>
    <col min="1802" max="1802" width="13.28515625" customWidth="1"/>
    <col min="2051" max="2051" width="19.85546875" customWidth="1"/>
    <col min="2052" max="2052" width="15.85546875" bestFit="1" customWidth="1"/>
    <col min="2053" max="2053" width="16.7109375" bestFit="1" customWidth="1"/>
    <col min="2054" max="2055" width="16.7109375" customWidth="1"/>
    <col min="2056" max="2056" width="21.7109375" customWidth="1"/>
    <col min="2057" max="2057" width="19.140625" bestFit="1" customWidth="1"/>
    <col min="2058" max="2058" width="13.28515625" customWidth="1"/>
    <col min="2307" max="2307" width="19.85546875" customWidth="1"/>
    <col min="2308" max="2308" width="15.85546875" bestFit="1" customWidth="1"/>
    <col min="2309" max="2309" width="16.7109375" bestFit="1" customWidth="1"/>
    <col min="2310" max="2311" width="16.7109375" customWidth="1"/>
    <col min="2312" max="2312" width="21.7109375" customWidth="1"/>
    <col min="2313" max="2313" width="19.140625" bestFit="1" customWidth="1"/>
    <col min="2314" max="2314" width="13.28515625" customWidth="1"/>
    <col min="2563" max="2563" width="19.85546875" customWidth="1"/>
    <col min="2564" max="2564" width="15.85546875" bestFit="1" customWidth="1"/>
    <col min="2565" max="2565" width="16.7109375" bestFit="1" customWidth="1"/>
    <col min="2566" max="2567" width="16.7109375" customWidth="1"/>
    <col min="2568" max="2568" width="21.7109375" customWidth="1"/>
    <col min="2569" max="2569" width="19.140625" bestFit="1" customWidth="1"/>
    <col min="2570" max="2570" width="13.28515625" customWidth="1"/>
    <col min="2819" max="2819" width="19.85546875" customWidth="1"/>
    <col min="2820" max="2820" width="15.85546875" bestFit="1" customWidth="1"/>
    <col min="2821" max="2821" width="16.7109375" bestFit="1" customWidth="1"/>
    <col min="2822" max="2823" width="16.7109375" customWidth="1"/>
    <col min="2824" max="2824" width="21.7109375" customWidth="1"/>
    <col min="2825" max="2825" width="19.140625" bestFit="1" customWidth="1"/>
    <col min="2826" max="2826" width="13.28515625" customWidth="1"/>
    <col min="3075" max="3075" width="19.85546875" customWidth="1"/>
    <col min="3076" max="3076" width="15.85546875" bestFit="1" customWidth="1"/>
    <col min="3077" max="3077" width="16.7109375" bestFit="1" customWidth="1"/>
    <col min="3078" max="3079" width="16.7109375" customWidth="1"/>
    <col min="3080" max="3080" width="21.7109375" customWidth="1"/>
    <col min="3081" max="3081" width="19.140625" bestFit="1" customWidth="1"/>
    <col min="3082" max="3082" width="13.28515625" customWidth="1"/>
    <col min="3331" max="3331" width="19.85546875" customWidth="1"/>
    <col min="3332" max="3332" width="15.85546875" bestFit="1" customWidth="1"/>
    <col min="3333" max="3333" width="16.7109375" bestFit="1" customWidth="1"/>
    <col min="3334" max="3335" width="16.7109375" customWidth="1"/>
    <col min="3336" max="3336" width="21.7109375" customWidth="1"/>
    <col min="3337" max="3337" width="19.140625" bestFit="1" customWidth="1"/>
    <col min="3338" max="3338" width="13.28515625" customWidth="1"/>
    <col min="3587" max="3587" width="19.85546875" customWidth="1"/>
    <col min="3588" max="3588" width="15.85546875" bestFit="1" customWidth="1"/>
    <col min="3589" max="3589" width="16.7109375" bestFit="1" customWidth="1"/>
    <col min="3590" max="3591" width="16.7109375" customWidth="1"/>
    <col min="3592" max="3592" width="21.7109375" customWidth="1"/>
    <col min="3593" max="3593" width="19.140625" bestFit="1" customWidth="1"/>
    <col min="3594" max="3594" width="13.28515625" customWidth="1"/>
    <col min="3843" max="3843" width="19.85546875" customWidth="1"/>
    <col min="3844" max="3844" width="15.85546875" bestFit="1" customWidth="1"/>
    <col min="3845" max="3845" width="16.7109375" bestFit="1" customWidth="1"/>
    <col min="3846" max="3847" width="16.7109375" customWidth="1"/>
    <col min="3848" max="3848" width="21.7109375" customWidth="1"/>
    <col min="3849" max="3849" width="19.140625" bestFit="1" customWidth="1"/>
    <col min="3850" max="3850" width="13.28515625" customWidth="1"/>
    <col min="4099" max="4099" width="19.85546875" customWidth="1"/>
    <col min="4100" max="4100" width="15.85546875" bestFit="1" customWidth="1"/>
    <col min="4101" max="4101" width="16.7109375" bestFit="1" customWidth="1"/>
    <col min="4102" max="4103" width="16.7109375" customWidth="1"/>
    <col min="4104" max="4104" width="21.7109375" customWidth="1"/>
    <col min="4105" max="4105" width="19.140625" bestFit="1" customWidth="1"/>
    <col min="4106" max="4106" width="13.28515625" customWidth="1"/>
    <col min="4355" max="4355" width="19.85546875" customWidth="1"/>
    <col min="4356" max="4356" width="15.85546875" bestFit="1" customWidth="1"/>
    <col min="4357" max="4357" width="16.7109375" bestFit="1" customWidth="1"/>
    <col min="4358" max="4359" width="16.7109375" customWidth="1"/>
    <col min="4360" max="4360" width="21.7109375" customWidth="1"/>
    <col min="4361" max="4361" width="19.140625" bestFit="1" customWidth="1"/>
    <col min="4362" max="4362" width="13.28515625" customWidth="1"/>
    <col min="4611" max="4611" width="19.85546875" customWidth="1"/>
    <col min="4612" max="4612" width="15.85546875" bestFit="1" customWidth="1"/>
    <col min="4613" max="4613" width="16.7109375" bestFit="1" customWidth="1"/>
    <col min="4614" max="4615" width="16.7109375" customWidth="1"/>
    <col min="4616" max="4616" width="21.7109375" customWidth="1"/>
    <col min="4617" max="4617" width="19.140625" bestFit="1" customWidth="1"/>
    <col min="4618" max="4618" width="13.28515625" customWidth="1"/>
    <col min="4867" max="4867" width="19.85546875" customWidth="1"/>
    <col min="4868" max="4868" width="15.85546875" bestFit="1" customWidth="1"/>
    <col min="4869" max="4869" width="16.7109375" bestFit="1" customWidth="1"/>
    <col min="4870" max="4871" width="16.7109375" customWidth="1"/>
    <col min="4872" max="4872" width="21.7109375" customWidth="1"/>
    <col min="4873" max="4873" width="19.140625" bestFit="1" customWidth="1"/>
    <col min="4874" max="4874" width="13.28515625" customWidth="1"/>
    <col min="5123" max="5123" width="19.85546875" customWidth="1"/>
    <col min="5124" max="5124" width="15.85546875" bestFit="1" customWidth="1"/>
    <col min="5125" max="5125" width="16.7109375" bestFit="1" customWidth="1"/>
    <col min="5126" max="5127" width="16.7109375" customWidth="1"/>
    <col min="5128" max="5128" width="21.7109375" customWidth="1"/>
    <col min="5129" max="5129" width="19.140625" bestFit="1" customWidth="1"/>
    <col min="5130" max="5130" width="13.28515625" customWidth="1"/>
    <col min="5379" max="5379" width="19.85546875" customWidth="1"/>
    <col min="5380" max="5380" width="15.85546875" bestFit="1" customWidth="1"/>
    <col min="5381" max="5381" width="16.7109375" bestFit="1" customWidth="1"/>
    <col min="5382" max="5383" width="16.7109375" customWidth="1"/>
    <col min="5384" max="5384" width="21.7109375" customWidth="1"/>
    <col min="5385" max="5385" width="19.140625" bestFit="1" customWidth="1"/>
    <col min="5386" max="5386" width="13.28515625" customWidth="1"/>
    <col min="5635" max="5635" width="19.85546875" customWidth="1"/>
    <col min="5636" max="5636" width="15.85546875" bestFit="1" customWidth="1"/>
    <col min="5637" max="5637" width="16.7109375" bestFit="1" customWidth="1"/>
    <col min="5638" max="5639" width="16.7109375" customWidth="1"/>
    <col min="5640" max="5640" width="21.7109375" customWidth="1"/>
    <col min="5641" max="5641" width="19.140625" bestFit="1" customWidth="1"/>
    <col min="5642" max="5642" width="13.28515625" customWidth="1"/>
    <col min="5891" max="5891" width="19.85546875" customWidth="1"/>
    <col min="5892" max="5892" width="15.85546875" bestFit="1" customWidth="1"/>
    <col min="5893" max="5893" width="16.7109375" bestFit="1" customWidth="1"/>
    <col min="5894" max="5895" width="16.7109375" customWidth="1"/>
    <col min="5896" max="5896" width="21.7109375" customWidth="1"/>
    <col min="5897" max="5897" width="19.140625" bestFit="1" customWidth="1"/>
    <col min="5898" max="5898" width="13.28515625" customWidth="1"/>
    <col min="6147" max="6147" width="19.85546875" customWidth="1"/>
    <col min="6148" max="6148" width="15.85546875" bestFit="1" customWidth="1"/>
    <col min="6149" max="6149" width="16.7109375" bestFit="1" customWidth="1"/>
    <col min="6150" max="6151" width="16.7109375" customWidth="1"/>
    <col min="6152" max="6152" width="21.7109375" customWidth="1"/>
    <col min="6153" max="6153" width="19.140625" bestFit="1" customWidth="1"/>
    <col min="6154" max="6154" width="13.28515625" customWidth="1"/>
    <col min="6403" max="6403" width="19.85546875" customWidth="1"/>
    <col min="6404" max="6404" width="15.85546875" bestFit="1" customWidth="1"/>
    <col min="6405" max="6405" width="16.7109375" bestFit="1" customWidth="1"/>
    <col min="6406" max="6407" width="16.7109375" customWidth="1"/>
    <col min="6408" max="6408" width="21.7109375" customWidth="1"/>
    <col min="6409" max="6409" width="19.140625" bestFit="1" customWidth="1"/>
    <col min="6410" max="6410" width="13.28515625" customWidth="1"/>
    <col min="6659" max="6659" width="19.85546875" customWidth="1"/>
    <col min="6660" max="6660" width="15.85546875" bestFit="1" customWidth="1"/>
    <col min="6661" max="6661" width="16.7109375" bestFit="1" customWidth="1"/>
    <col min="6662" max="6663" width="16.7109375" customWidth="1"/>
    <col min="6664" max="6664" width="21.7109375" customWidth="1"/>
    <col min="6665" max="6665" width="19.140625" bestFit="1" customWidth="1"/>
    <col min="6666" max="6666" width="13.28515625" customWidth="1"/>
    <col min="6915" max="6915" width="19.85546875" customWidth="1"/>
    <col min="6916" max="6916" width="15.85546875" bestFit="1" customWidth="1"/>
    <col min="6917" max="6917" width="16.7109375" bestFit="1" customWidth="1"/>
    <col min="6918" max="6919" width="16.7109375" customWidth="1"/>
    <col min="6920" max="6920" width="21.7109375" customWidth="1"/>
    <col min="6921" max="6921" width="19.140625" bestFit="1" customWidth="1"/>
    <col min="6922" max="6922" width="13.28515625" customWidth="1"/>
    <col min="7171" max="7171" width="19.85546875" customWidth="1"/>
    <col min="7172" max="7172" width="15.85546875" bestFit="1" customWidth="1"/>
    <col min="7173" max="7173" width="16.7109375" bestFit="1" customWidth="1"/>
    <col min="7174" max="7175" width="16.7109375" customWidth="1"/>
    <col min="7176" max="7176" width="21.7109375" customWidth="1"/>
    <col min="7177" max="7177" width="19.140625" bestFit="1" customWidth="1"/>
    <col min="7178" max="7178" width="13.28515625" customWidth="1"/>
    <col min="7427" max="7427" width="19.85546875" customWidth="1"/>
    <col min="7428" max="7428" width="15.85546875" bestFit="1" customWidth="1"/>
    <col min="7429" max="7429" width="16.7109375" bestFit="1" customWidth="1"/>
    <col min="7430" max="7431" width="16.7109375" customWidth="1"/>
    <col min="7432" max="7432" width="21.7109375" customWidth="1"/>
    <col min="7433" max="7433" width="19.140625" bestFit="1" customWidth="1"/>
    <col min="7434" max="7434" width="13.28515625" customWidth="1"/>
    <col min="7683" max="7683" width="19.85546875" customWidth="1"/>
    <col min="7684" max="7684" width="15.85546875" bestFit="1" customWidth="1"/>
    <col min="7685" max="7685" width="16.7109375" bestFit="1" customWidth="1"/>
    <col min="7686" max="7687" width="16.7109375" customWidth="1"/>
    <col min="7688" max="7688" width="21.7109375" customWidth="1"/>
    <col min="7689" max="7689" width="19.140625" bestFit="1" customWidth="1"/>
    <col min="7690" max="7690" width="13.28515625" customWidth="1"/>
    <col min="7939" max="7939" width="19.85546875" customWidth="1"/>
    <col min="7940" max="7940" width="15.85546875" bestFit="1" customWidth="1"/>
    <col min="7941" max="7941" width="16.7109375" bestFit="1" customWidth="1"/>
    <col min="7942" max="7943" width="16.7109375" customWidth="1"/>
    <col min="7944" max="7944" width="21.7109375" customWidth="1"/>
    <col min="7945" max="7945" width="19.140625" bestFit="1" customWidth="1"/>
    <col min="7946" max="7946" width="13.28515625" customWidth="1"/>
    <col min="8195" max="8195" width="19.85546875" customWidth="1"/>
    <col min="8196" max="8196" width="15.85546875" bestFit="1" customWidth="1"/>
    <col min="8197" max="8197" width="16.7109375" bestFit="1" customWidth="1"/>
    <col min="8198" max="8199" width="16.7109375" customWidth="1"/>
    <col min="8200" max="8200" width="21.7109375" customWidth="1"/>
    <col min="8201" max="8201" width="19.140625" bestFit="1" customWidth="1"/>
    <col min="8202" max="8202" width="13.28515625" customWidth="1"/>
    <col min="8451" max="8451" width="19.85546875" customWidth="1"/>
    <col min="8452" max="8452" width="15.85546875" bestFit="1" customWidth="1"/>
    <col min="8453" max="8453" width="16.7109375" bestFit="1" customWidth="1"/>
    <col min="8454" max="8455" width="16.7109375" customWidth="1"/>
    <col min="8456" max="8456" width="21.7109375" customWidth="1"/>
    <col min="8457" max="8457" width="19.140625" bestFit="1" customWidth="1"/>
    <col min="8458" max="8458" width="13.28515625" customWidth="1"/>
    <col min="8707" max="8707" width="19.85546875" customWidth="1"/>
    <col min="8708" max="8708" width="15.85546875" bestFit="1" customWidth="1"/>
    <col min="8709" max="8709" width="16.7109375" bestFit="1" customWidth="1"/>
    <col min="8710" max="8711" width="16.7109375" customWidth="1"/>
    <col min="8712" max="8712" width="21.7109375" customWidth="1"/>
    <col min="8713" max="8713" width="19.140625" bestFit="1" customWidth="1"/>
    <col min="8714" max="8714" width="13.28515625" customWidth="1"/>
    <col min="8963" max="8963" width="19.85546875" customWidth="1"/>
    <col min="8964" max="8964" width="15.85546875" bestFit="1" customWidth="1"/>
    <col min="8965" max="8965" width="16.7109375" bestFit="1" customWidth="1"/>
    <col min="8966" max="8967" width="16.7109375" customWidth="1"/>
    <col min="8968" max="8968" width="21.7109375" customWidth="1"/>
    <col min="8969" max="8969" width="19.140625" bestFit="1" customWidth="1"/>
    <col min="8970" max="8970" width="13.28515625" customWidth="1"/>
    <col min="9219" max="9219" width="19.85546875" customWidth="1"/>
    <col min="9220" max="9220" width="15.85546875" bestFit="1" customWidth="1"/>
    <col min="9221" max="9221" width="16.7109375" bestFit="1" customWidth="1"/>
    <col min="9222" max="9223" width="16.7109375" customWidth="1"/>
    <col min="9224" max="9224" width="21.7109375" customWidth="1"/>
    <col min="9225" max="9225" width="19.140625" bestFit="1" customWidth="1"/>
    <col min="9226" max="9226" width="13.28515625" customWidth="1"/>
    <col min="9475" max="9475" width="19.85546875" customWidth="1"/>
    <col min="9476" max="9476" width="15.85546875" bestFit="1" customWidth="1"/>
    <col min="9477" max="9477" width="16.7109375" bestFit="1" customWidth="1"/>
    <col min="9478" max="9479" width="16.7109375" customWidth="1"/>
    <col min="9480" max="9480" width="21.7109375" customWidth="1"/>
    <col min="9481" max="9481" width="19.140625" bestFit="1" customWidth="1"/>
    <col min="9482" max="9482" width="13.28515625" customWidth="1"/>
    <col min="9731" max="9731" width="19.85546875" customWidth="1"/>
    <col min="9732" max="9732" width="15.85546875" bestFit="1" customWidth="1"/>
    <col min="9733" max="9733" width="16.7109375" bestFit="1" customWidth="1"/>
    <col min="9734" max="9735" width="16.7109375" customWidth="1"/>
    <col min="9736" max="9736" width="21.7109375" customWidth="1"/>
    <col min="9737" max="9737" width="19.140625" bestFit="1" customWidth="1"/>
    <col min="9738" max="9738" width="13.28515625" customWidth="1"/>
    <col min="9987" max="9987" width="19.85546875" customWidth="1"/>
    <col min="9988" max="9988" width="15.85546875" bestFit="1" customWidth="1"/>
    <col min="9989" max="9989" width="16.7109375" bestFit="1" customWidth="1"/>
    <col min="9990" max="9991" width="16.7109375" customWidth="1"/>
    <col min="9992" max="9992" width="21.7109375" customWidth="1"/>
    <col min="9993" max="9993" width="19.140625" bestFit="1" customWidth="1"/>
    <col min="9994" max="9994" width="13.28515625" customWidth="1"/>
    <col min="10243" max="10243" width="19.85546875" customWidth="1"/>
    <col min="10244" max="10244" width="15.85546875" bestFit="1" customWidth="1"/>
    <col min="10245" max="10245" width="16.7109375" bestFit="1" customWidth="1"/>
    <col min="10246" max="10247" width="16.7109375" customWidth="1"/>
    <col min="10248" max="10248" width="21.7109375" customWidth="1"/>
    <col min="10249" max="10249" width="19.140625" bestFit="1" customWidth="1"/>
    <col min="10250" max="10250" width="13.28515625" customWidth="1"/>
    <col min="10499" max="10499" width="19.85546875" customWidth="1"/>
    <col min="10500" max="10500" width="15.85546875" bestFit="1" customWidth="1"/>
    <col min="10501" max="10501" width="16.7109375" bestFit="1" customWidth="1"/>
    <col min="10502" max="10503" width="16.7109375" customWidth="1"/>
    <col min="10504" max="10504" width="21.7109375" customWidth="1"/>
    <col min="10505" max="10505" width="19.140625" bestFit="1" customWidth="1"/>
    <col min="10506" max="10506" width="13.28515625" customWidth="1"/>
    <col min="10755" max="10755" width="19.85546875" customWidth="1"/>
    <col min="10756" max="10756" width="15.85546875" bestFit="1" customWidth="1"/>
    <col min="10757" max="10757" width="16.7109375" bestFit="1" customWidth="1"/>
    <col min="10758" max="10759" width="16.7109375" customWidth="1"/>
    <col min="10760" max="10760" width="21.7109375" customWidth="1"/>
    <col min="10761" max="10761" width="19.140625" bestFit="1" customWidth="1"/>
    <col min="10762" max="10762" width="13.28515625" customWidth="1"/>
    <col min="11011" max="11011" width="19.85546875" customWidth="1"/>
    <col min="11012" max="11012" width="15.85546875" bestFit="1" customWidth="1"/>
    <col min="11013" max="11013" width="16.7109375" bestFit="1" customWidth="1"/>
    <col min="11014" max="11015" width="16.7109375" customWidth="1"/>
    <col min="11016" max="11016" width="21.7109375" customWidth="1"/>
    <col min="11017" max="11017" width="19.140625" bestFit="1" customWidth="1"/>
    <col min="11018" max="11018" width="13.28515625" customWidth="1"/>
    <col min="11267" max="11267" width="19.85546875" customWidth="1"/>
    <col min="11268" max="11268" width="15.85546875" bestFit="1" customWidth="1"/>
    <col min="11269" max="11269" width="16.7109375" bestFit="1" customWidth="1"/>
    <col min="11270" max="11271" width="16.7109375" customWidth="1"/>
    <col min="11272" max="11272" width="21.7109375" customWidth="1"/>
    <col min="11273" max="11273" width="19.140625" bestFit="1" customWidth="1"/>
    <col min="11274" max="11274" width="13.28515625" customWidth="1"/>
    <col min="11523" max="11523" width="19.85546875" customWidth="1"/>
    <col min="11524" max="11524" width="15.85546875" bestFit="1" customWidth="1"/>
    <col min="11525" max="11525" width="16.7109375" bestFit="1" customWidth="1"/>
    <col min="11526" max="11527" width="16.7109375" customWidth="1"/>
    <col min="11528" max="11528" width="21.7109375" customWidth="1"/>
    <col min="11529" max="11529" width="19.140625" bestFit="1" customWidth="1"/>
    <col min="11530" max="11530" width="13.28515625" customWidth="1"/>
    <col min="11779" max="11779" width="19.85546875" customWidth="1"/>
    <col min="11780" max="11780" width="15.85546875" bestFit="1" customWidth="1"/>
    <col min="11781" max="11781" width="16.7109375" bestFit="1" customWidth="1"/>
    <col min="11782" max="11783" width="16.7109375" customWidth="1"/>
    <col min="11784" max="11784" width="21.7109375" customWidth="1"/>
    <col min="11785" max="11785" width="19.140625" bestFit="1" customWidth="1"/>
    <col min="11786" max="11786" width="13.28515625" customWidth="1"/>
    <col min="12035" max="12035" width="19.85546875" customWidth="1"/>
    <col min="12036" max="12036" width="15.85546875" bestFit="1" customWidth="1"/>
    <col min="12037" max="12037" width="16.7109375" bestFit="1" customWidth="1"/>
    <col min="12038" max="12039" width="16.7109375" customWidth="1"/>
    <col min="12040" max="12040" width="21.7109375" customWidth="1"/>
    <col min="12041" max="12041" width="19.140625" bestFit="1" customWidth="1"/>
    <col min="12042" max="12042" width="13.28515625" customWidth="1"/>
    <col min="12291" max="12291" width="19.85546875" customWidth="1"/>
    <col min="12292" max="12292" width="15.85546875" bestFit="1" customWidth="1"/>
    <col min="12293" max="12293" width="16.7109375" bestFit="1" customWidth="1"/>
    <col min="12294" max="12295" width="16.7109375" customWidth="1"/>
    <col min="12296" max="12296" width="21.7109375" customWidth="1"/>
    <col min="12297" max="12297" width="19.140625" bestFit="1" customWidth="1"/>
    <col min="12298" max="12298" width="13.28515625" customWidth="1"/>
    <col min="12547" max="12547" width="19.85546875" customWidth="1"/>
    <col min="12548" max="12548" width="15.85546875" bestFit="1" customWidth="1"/>
    <col min="12549" max="12549" width="16.7109375" bestFit="1" customWidth="1"/>
    <col min="12550" max="12551" width="16.7109375" customWidth="1"/>
    <col min="12552" max="12552" width="21.7109375" customWidth="1"/>
    <col min="12553" max="12553" width="19.140625" bestFit="1" customWidth="1"/>
    <col min="12554" max="12554" width="13.28515625" customWidth="1"/>
    <col min="12803" max="12803" width="19.85546875" customWidth="1"/>
    <col min="12804" max="12804" width="15.85546875" bestFit="1" customWidth="1"/>
    <col min="12805" max="12805" width="16.7109375" bestFit="1" customWidth="1"/>
    <col min="12806" max="12807" width="16.7109375" customWidth="1"/>
    <col min="12808" max="12808" width="21.7109375" customWidth="1"/>
    <col min="12809" max="12809" width="19.140625" bestFit="1" customWidth="1"/>
    <col min="12810" max="12810" width="13.28515625" customWidth="1"/>
    <col min="13059" max="13059" width="19.85546875" customWidth="1"/>
    <col min="13060" max="13060" width="15.85546875" bestFit="1" customWidth="1"/>
    <col min="13061" max="13061" width="16.7109375" bestFit="1" customWidth="1"/>
    <col min="13062" max="13063" width="16.7109375" customWidth="1"/>
    <col min="13064" max="13064" width="21.7109375" customWidth="1"/>
    <col min="13065" max="13065" width="19.140625" bestFit="1" customWidth="1"/>
    <col min="13066" max="13066" width="13.28515625" customWidth="1"/>
    <col min="13315" max="13315" width="19.85546875" customWidth="1"/>
    <col min="13316" max="13316" width="15.85546875" bestFit="1" customWidth="1"/>
    <col min="13317" max="13317" width="16.7109375" bestFit="1" customWidth="1"/>
    <col min="13318" max="13319" width="16.7109375" customWidth="1"/>
    <col min="13320" max="13320" width="21.7109375" customWidth="1"/>
    <col min="13321" max="13321" width="19.140625" bestFit="1" customWidth="1"/>
    <col min="13322" max="13322" width="13.28515625" customWidth="1"/>
    <col min="13571" max="13571" width="19.85546875" customWidth="1"/>
    <col min="13572" max="13572" width="15.85546875" bestFit="1" customWidth="1"/>
    <col min="13573" max="13573" width="16.7109375" bestFit="1" customWidth="1"/>
    <col min="13574" max="13575" width="16.7109375" customWidth="1"/>
    <col min="13576" max="13576" width="21.7109375" customWidth="1"/>
    <col min="13577" max="13577" width="19.140625" bestFit="1" customWidth="1"/>
    <col min="13578" max="13578" width="13.28515625" customWidth="1"/>
    <col min="13827" max="13827" width="19.85546875" customWidth="1"/>
    <col min="13828" max="13828" width="15.85546875" bestFit="1" customWidth="1"/>
    <col min="13829" max="13829" width="16.7109375" bestFit="1" customWidth="1"/>
    <col min="13830" max="13831" width="16.7109375" customWidth="1"/>
    <col min="13832" max="13832" width="21.7109375" customWidth="1"/>
    <col min="13833" max="13833" width="19.140625" bestFit="1" customWidth="1"/>
    <col min="13834" max="13834" width="13.28515625" customWidth="1"/>
    <col min="14083" max="14083" width="19.85546875" customWidth="1"/>
    <col min="14084" max="14084" width="15.85546875" bestFit="1" customWidth="1"/>
    <col min="14085" max="14085" width="16.7109375" bestFit="1" customWidth="1"/>
    <col min="14086" max="14087" width="16.7109375" customWidth="1"/>
    <col min="14088" max="14088" width="21.7109375" customWidth="1"/>
    <col min="14089" max="14089" width="19.140625" bestFit="1" customWidth="1"/>
    <col min="14090" max="14090" width="13.28515625" customWidth="1"/>
    <col min="14339" max="14339" width="19.85546875" customWidth="1"/>
    <col min="14340" max="14340" width="15.85546875" bestFit="1" customWidth="1"/>
    <col min="14341" max="14341" width="16.7109375" bestFit="1" customWidth="1"/>
    <col min="14342" max="14343" width="16.7109375" customWidth="1"/>
    <col min="14344" max="14344" width="21.7109375" customWidth="1"/>
    <col min="14345" max="14345" width="19.140625" bestFit="1" customWidth="1"/>
    <col min="14346" max="14346" width="13.28515625" customWidth="1"/>
    <col min="14595" max="14595" width="19.85546875" customWidth="1"/>
    <col min="14596" max="14596" width="15.85546875" bestFit="1" customWidth="1"/>
    <col min="14597" max="14597" width="16.7109375" bestFit="1" customWidth="1"/>
    <col min="14598" max="14599" width="16.7109375" customWidth="1"/>
    <col min="14600" max="14600" width="21.7109375" customWidth="1"/>
    <col min="14601" max="14601" width="19.140625" bestFit="1" customWidth="1"/>
    <col min="14602" max="14602" width="13.28515625" customWidth="1"/>
    <col min="14851" max="14851" width="19.85546875" customWidth="1"/>
    <col min="14852" max="14852" width="15.85546875" bestFit="1" customWidth="1"/>
    <col min="14853" max="14853" width="16.7109375" bestFit="1" customWidth="1"/>
    <col min="14854" max="14855" width="16.7109375" customWidth="1"/>
    <col min="14856" max="14856" width="21.7109375" customWidth="1"/>
    <col min="14857" max="14857" width="19.140625" bestFit="1" customWidth="1"/>
    <col min="14858" max="14858" width="13.28515625" customWidth="1"/>
    <col min="15107" max="15107" width="19.85546875" customWidth="1"/>
    <col min="15108" max="15108" width="15.85546875" bestFit="1" customWidth="1"/>
    <col min="15109" max="15109" width="16.7109375" bestFit="1" customWidth="1"/>
    <col min="15110" max="15111" width="16.7109375" customWidth="1"/>
    <col min="15112" max="15112" width="21.7109375" customWidth="1"/>
    <col min="15113" max="15113" width="19.140625" bestFit="1" customWidth="1"/>
    <col min="15114" max="15114" width="13.28515625" customWidth="1"/>
    <col min="15363" max="15363" width="19.85546875" customWidth="1"/>
    <col min="15364" max="15364" width="15.85546875" bestFit="1" customWidth="1"/>
    <col min="15365" max="15365" width="16.7109375" bestFit="1" customWidth="1"/>
    <col min="15366" max="15367" width="16.7109375" customWidth="1"/>
    <col min="15368" max="15368" width="21.7109375" customWidth="1"/>
    <col min="15369" max="15369" width="19.140625" bestFit="1" customWidth="1"/>
    <col min="15370" max="15370" width="13.28515625" customWidth="1"/>
    <col min="15619" max="15619" width="19.85546875" customWidth="1"/>
    <col min="15620" max="15620" width="15.85546875" bestFit="1" customWidth="1"/>
    <col min="15621" max="15621" width="16.7109375" bestFit="1" customWidth="1"/>
    <col min="15622" max="15623" width="16.7109375" customWidth="1"/>
    <col min="15624" max="15624" width="21.7109375" customWidth="1"/>
    <col min="15625" max="15625" width="19.140625" bestFit="1" customWidth="1"/>
    <col min="15626" max="15626" width="13.28515625" customWidth="1"/>
    <col min="15875" max="15875" width="19.85546875" customWidth="1"/>
    <col min="15876" max="15876" width="15.85546875" bestFit="1" customWidth="1"/>
    <col min="15877" max="15877" width="16.7109375" bestFit="1" customWidth="1"/>
    <col min="15878" max="15879" width="16.7109375" customWidth="1"/>
    <col min="15880" max="15880" width="21.7109375" customWidth="1"/>
    <col min="15881" max="15881" width="19.140625" bestFit="1" customWidth="1"/>
    <col min="15882" max="15882" width="13.28515625" customWidth="1"/>
    <col min="16131" max="16131" width="19.85546875" customWidth="1"/>
    <col min="16132" max="16132" width="15.85546875" bestFit="1" customWidth="1"/>
    <col min="16133" max="16133" width="16.7109375" bestFit="1" customWidth="1"/>
    <col min="16134" max="16135" width="16.7109375" customWidth="1"/>
    <col min="16136" max="16136" width="21.7109375" customWidth="1"/>
    <col min="16137" max="16137" width="19.140625" bestFit="1" customWidth="1"/>
    <col min="16138" max="16138" width="13.28515625" customWidth="1"/>
  </cols>
  <sheetData>
    <row r="1" spans="1:15" x14ac:dyDescent="0.25">
      <c r="A1" s="275" t="s">
        <v>134</v>
      </c>
      <c r="B1" s="275"/>
      <c r="C1" s="275"/>
      <c r="D1" s="275"/>
      <c r="E1" s="275"/>
      <c r="F1" s="275"/>
      <c r="G1" s="275"/>
    </row>
    <row r="2" spans="1:15" x14ac:dyDescent="0.25">
      <c r="J2" s="279" t="s">
        <v>193</v>
      </c>
      <c r="K2" s="279"/>
      <c r="L2" s="279"/>
      <c r="M2" s="279"/>
      <c r="N2" s="279"/>
    </row>
    <row r="3" spans="1:15" x14ac:dyDescent="0.25">
      <c r="A3" s="123" t="s">
        <v>135</v>
      </c>
      <c r="B3" s="160" t="s">
        <v>91</v>
      </c>
      <c r="C3" s="276" t="s">
        <v>92</v>
      </c>
      <c r="D3" s="277"/>
      <c r="E3" s="278"/>
      <c r="F3" s="123" t="s">
        <v>93</v>
      </c>
      <c r="G3" s="123" t="s">
        <v>94</v>
      </c>
      <c r="H3" s="163" t="s">
        <v>174</v>
      </c>
      <c r="I3" s="163" t="s">
        <v>175</v>
      </c>
      <c r="J3" s="161" t="s">
        <v>148</v>
      </c>
      <c r="K3" s="163" t="s">
        <v>117</v>
      </c>
      <c r="L3" s="163" t="s">
        <v>113</v>
      </c>
      <c r="M3" s="163" t="s">
        <v>190</v>
      </c>
      <c r="N3" s="161" t="s">
        <v>189</v>
      </c>
      <c r="O3" s="161" t="s">
        <v>194</v>
      </c>
    </row>
    <row r="4" spans="1:15" x14ac:dyDescent="0.25">
      <c r="A4" s="123">
        <v>2019</v>
      </c>
      <c r="B4" s="160" t="s">
        <v>109</v>
      </c>
      <c r="C4" s="162">
        <v>31</v>
      </c>
      <c r="D4" s="162">
        <v>1</v>
      </c>
      <c r="E4" s="162">
        <f>$A$4</f>
        <v>2019</v>
      </c>
      <c r="F4" s="123" t="s">
        <v>112</v>
      </c>
      <c r="G4" s="123" t="s">
        <v>111</v>
      </c>
      <c r="H4" s="160">
        <v>100</v>
      </c>
      <c r="I4" s="160">
        <v>50</v>
      </c>
      <c r="J4" s="123" t="s">
        <v>152</v>
      </c>
      <c r="K4" s="163" t="s">
        <v>154</v>
      </c>
      <c r="L4" s="163" t="s">
        <v>138</v>
      </c>
      <c r="M4" s="163" t="s">
        <v>191</v>
      </c>
      <c r="N4" s="123" t="s">
        <v>214</v>
      </c>
      <c r="O4" s="161" t="s">
        <v>191</v>
      </c>
    </row>
    <row r="5" spans="1:15" x14ac:dyDescent="0.25">
      <c r="A5" s="123"/>
      <c r="B5" s="160" t="s">
        <v>122</v>
      </c>
      <c r="C5" s="162">
        <v>28</v>
      </c>
      <c r="D5" s="162">
        <v>2</v>
      </c>
      <c r="E5" s="162">
        <f t="shared" ref="E5:E15" si="0">$A$4</f>
        <v>2019</v>
      </c>
      <c r="F5" s="123" t="s">
        <v>115</v>
      </c>
      <c r="G5" s="123" t="s">
        <v>114</v>
      </c>
      <c r="J5" s="123" t="s">
        <v>153</v>
      </c>
      <c r="K5" s="163" t="s">
        <v>155</v>
      </c>
      <c r="L5" s="163" t="s">
        <v>139</v>
      </c>
      <c r="M5" s="163" t="s">
        <v>192</v>
      </c>
      <c r="N5" s="123" t="s">
        <v>202</v>
      </c>
      <c r="O5" s="161" t="s">
        <v>192</v>
      </c>
    </row>
    <row r="6" spans="1:15" x14ac:dyDescent="0.25">
      <c r="B6" s="160" t="s">
        <v>121</v>
      </c>
      <c r="C6" s="162">
        <v>31</v>
      </c>
      <c r="D6" s="162">
        <v>3</v>
      </c>
      <c r="E6" s="162">
        <f t="shared" si="0"/>
        <v>2019</v>
      </c>
      <c r="F6" s="123" t="s">
        <v>118</v>
      </c>
      <c r="G6" s="123" t="s">
        <v>224</v>
      </c>
      <c r="J6" s="123" t="s">
        <v>149</v>
      </c>
      <c r="K6" s="163" t="s">
        <v>156</v>
      </c>
      <c r="L6" s="163" t="s">
        <v>225</v>
      </c>
      <c r="M6" s="163"/>
      <c r="N6" s="123" t="s">
        <v>195</v>
      </c>
      <c r="O6" s="123" t="s">
        <v>152</v>
      </c>
    </row>
    <row r="7" spans="1:15" x14ac:dyDescent="0.25">
      <c r="B7" s="160"/>
      <c r="C7" s="162">
        <v>30</v>
      </c>
      <c r="D7" s="162">
        <v>4</v>
      </c>
      <c r="E7" s="162">
        <f t="shared" si="0"/>
        <v>2019</v>
      </c>
      <c r="F7" s="123" t="s">
        <v>116</v>
      </c>
      <c r="J7" s="161" t="s">
        <v>131</v>
      </c>
      <c r="K7" s="163" t="s">
        <v>151</v>
      </c>
      <c r="L7" s="163" t="s">
        <v>226</v>
      </c>
      <c r="M7" s="163"/>
      <c r="N7" s="123" t="s">
        <v>203</v>
      </c>
      <c r="O7" s="123" t="s">
        <v>153</v>
      </c>
    </row>
    <row r="8" spans="1:15" x14ac:dyDescent="0.25">
      <c r="B8" s="160"/>
      <c r="C8" s="162">
        <v>31</v>
      </c>
      <c r="D8" s="162">
        <v>5</v>
      </c>
      <c r="E8" s="162">
        <f t="shared" si="0"/>
        <v>2019</v>
      </c>
      <c r="F8" s="123" t="s">
        <v>136</v>
      </c>
      <c r="K8" s="163" t="s">
        <v>177</v>
      </c>
      <c r="L8" s="163" t="s">
        <v>141</v>
      </c>
      <c r="M8" s="163"/>
      <c r="N8" s="123" t="s">
        <v>201</v>
      </c>
      <c r="O8" s="123" t="s">
        <v>149</v>
      </c>
    </row>
    <row r="9" spans="1:15" x14ac:dyDescent="0.25">
      <c r="C9" s="162">
        <v>30</v>
      </c>
      <c r="D9" s="162">
        <v>6</v>
      </c>
      <c r="E9" s="162">
        <f t="shared" si="0"/>
        <v>2019</v>
      </c>
      <c r="F9" s="123" t="s">
        <v>125</v>
      </c>
      <c r="K9" s="161" t="s">
        <v>131</v>
      </c>
      <c r="L9" s="163" t="s">
        <v>142</v>
      </c>
      <c r="M9" s="163"/>
      <c r="N9" s="123" t="s">
        <v>196</v>
      </c>
      <c r="O9" s="161" t="s">
        <v>138</v>
      </c>
    </row>
    <row r="10" spans="1:15" x14ac:dyDescent="0.25">
      <c r="C10" s="162">
        <v>31</v>
      </c>
      <c r="D10" s="162">
        <v>7</v>
      </c>
      <c r="E10" s="162">
        <f t="shared" si="0"/>
        <v>2019</v>
      </c>
      <c r="F10" s="123" t="s">
        <v>110</v>
      </c>
      <c r="L10" s="163" t="s">
        <v>140</v>
      </c>
      <c r="M10" s="163"/>
      <c r="N10" s="123" t="s">
        <v>197</v>
      </c>
      <c r="O10" s="161" t="s">
        <v>139</v>
      </c>
    </row>
    <row r="11" spans="1:15" x14ac:dyDescent="0.25">
      <c r="C11" s="162">
        <v>31</v>
      </c>
      <c r="D11" s="162">
        <v>8</v>
      </c>
      <c r="E11" s="162">
        <f t="shared" si="0"/>
        <v>2019</v>
      </c>
      <c r="F11" s="123" t="s">
        <v>119</v>
      </c>
      <c r="L11" s="163" t="s">
        <v>227</v>
      </c>
      <c r="M11" s="163"/>
      <c r="N11" s="123"/>
      <c r="O11" s="161" t="s">
        <v>143</v>
      </c>
    </row>
    <row r="12" spans="1:15" x14ac:dyDescent="0.25">
      <c r="C12" s="162">
        <v>30</v>
      </c>
      <c r="D12" s="162">
        <v>9</v>
      </c>
      <c r="E12" s="162">
        <f t="shared" si="0"/>
        <v>2019</v>
      </c>
      <c r="F12" s="123" t="s">
        <v>126</v>
      </c>
      <c r="I12" s="123" t="s">
        <v>221</v>
      </c>
      <c r="L12" t="s">
        <v>239</v>
      </c>
      <c r="N12" s="123"/>
      <c r="O12" s="161" t="s">
        <v>144</v>
      </c>
    </row>
    <row r="13" spans="1:15" x14ac:dyDescent="0.25">
      <c r="C13" s="162">
        <v>31</v>
      </c>
      <c r="D13" s="162">
        <v>10</v>
      </c>
      <c r="E13" s="162">
        <f t="shared" si="0"/>
        <v>2019</v>
      </c>
      <c r="F13" s="123" t="s">
        <v>127</v>
      </c>
      <c r="I13" s="123" t="s">
        <v>200</v>
      </c>
      <c r="N13" s="123"/>
      <c r="O13" s="161" t="s">
        <v>141</v>
      </c>
    </row>
    <row r="14" spans="1:15" x14ac:dyDescent="0.25">
      <c r="C14" s="162">
        <v>30</v>
      </c>
      <c r="D14" s="162">
        <v>11</v>
      </c>
      <c r="E14" s="162">
        <f t="shared" si="0"/>
        <v>2019</v>
      </c>
      <c r="F14" s="123" t="s">
        <v>128</v>
      </c>
      <c r="I14" s="123" t="s">
        <v>205</v>
      </c>
      <c r="O14" s="161" t="s">
        <v>142</v>
      </c>
    </row>
    <row r="15" spans="1:15" x14ac:dyDescent="0.25">
      <c r="C15" s="162">
        <v>31</v>
      </c>
      <c r="D15" s="162">
        <v>12</v>
      </c>
      <c r="E15" s="162">
        <f t="shared" si="0"/>
        <v>2019</v>
      </c>
      <c r="F15" s="123" t="s">
        <v>129</v>
      </c>
      <c r="O15" s="161" t="s">
        <v>140</v>
      </c>
    </row>
    <row r="16" spans="1:15" x14ac:dyDescent="0.25">
      <c r="E16" s="162"/>
      <c r="F16" s="123" t="s">
        <v>130</v>
      </c>
      <c r="O16" s="161" t="s">
        <v>131</v>
      </c>
    </row>
    <row r="17" spans="1:11" x14ac:dyDescent="0.25">
      <c r="E17" s="162"/>
      <c r="F17" s="123" t="s">
        <v>137</v>
      </c>
    </row>
    <row r="18" spans="1:11" x14ac:dyDescent="0.25">
      <c r="F18" s="123"/>
    </row>
    <row r="21" spans="1:11" x14ac:dyDescent="0.25">
      <c r="E21" s="123" t="s">
        <v>99</v>
      </c>
      <c r="F21" s="123" t="s">
        <v>100</v>
      </c>
      <c r="G21" s="123" t="s">
        <v>101</v>
      </c>
      <c r="H21" s="123" t="s">
        <v>102</v>
      </c>
      <c r="I21" s="123" t="s">
        <v>103</v>
      </c>
      <c r="J21" s="123" t="s">
        <v>145</v>
      </c>
      <c r="K21" s="123" t="s">
        <v>185</v>
      </c>
    </row>
    <row r="22" spans="1:11" x14ac:dyDescent="0.25">
      <c r="E22" s="123" t="s">
        <v>200</v>
      </c>
      <c r="F22" s="244" t="s">
        <v>200</v>
      </c>
      <c r="G22" s="123" t="s">
        <v>113</v>
      </c>
      <c r="H22" s="123" t="s">
        <v>200</v>
      </c>
      <c r="I22" s="123" t="s">
        <v>200</v>
      </c>
      <c r="J22" s="123" t="s">
        <v>200</v>
      </c>
      <c r="K22" s="123" t="s">
        <v>200</v>
      </c>
    </row>
    <row r="23" spans="1:11" x14ac:dyDescent="0.25">
      <c r="E23" s="123" t="s">
        <v>205</v>
      </c>
      <c r="F23" s="123" t="s">
        <v>205</v>
      </c>
      <c r="G23" s="123" t="s">
        <v>117</v>
      </c>
      <c r="H23" s="123" t="s">
        <v>205</v>
      </c>
      <c r="I23" s="123" t="s">
        <v>205</v>
      </c>
      <c r="J23" s="123" t="s">
        <v>205</v>
      </c>
      <c r="K23" s="123" t="s">
        <v>205</v>
      </c>
    </row>
    <row r="24" spans="1:11" x14ac:dyDescent="0.25">
      <c r="E24" s="123" t="s">
        <v>222</v>
      </c>
      <c r="F24" s="123" t="s">
        <v>222</v>
      </c>
      <c r="H24" s="123" t="s">
        <v>223</v>
      </c>
      <c r="J24" s="123" t="s">
        <v>222</v>
      </c>
    </row>
    <row r="25" spans="1:11" x14ac:dyDescent="0.25">
      <c r="H25" s="123" t="s">
        <v>222</v>
      </c>
      <c r="J25" s="123" t="s">
        <v>224</v>
      </c>
    </row>
    <row r="26" spans="1:11" x14ac:dyDescent="0.25">
      <c r="H26" s="245"/>
      <c r="I26" s="159"/>
    </row>
    <row r="27" spans="1:11" x14ac:dyDescent="0.25">
      <c r="A27" s="123" t="s">
        <v>91</v>
      </c>
      <c r="B27" s="123" t="s">
        <v>93</v>
      </c>
      <c r="C27" s="123" t="s">
        <v>94</v>
      </c>
      <c r="D27" s="123" t="s">
        <v>206</v>
      </c>
      <c r="E27" s="123" t="s">
        <v>207</v>
      </c>
      <c r="F27" s="123" t="s">
        <v>228</v>
      </c>
      <c r="G27" s="123" t="s">
        <v>184</v>
      </c>
    </row>
    <row r="28" spans="1:11" ht="15" customHeight="1" x14ac:dyDescent="0.25">
      <c r="A28" s="123" t="s">
        <v>109</v>
      </c>
      <c r="B28" s="249" t="s">
        <v>112</v>
      </c>
      <c r="C28" s="250" t="s">
        <v>111</v>
      </c>
      <c r="D28" s="161" t="s">
        <v>208</v>
      </c>
      <c r="E28" s="244" t="s">
        <v>152</v>
      </c>
      <c r="F28" s="161" t="s">
        <v>200</v>
      </c>
      <c r="G28" s="251" t="s">
        <v>245</v>
      </c>
    </row>
    <row r="29" spans="1:11" x14ac:dyDescent="0.25">
      <c r="A29" s="123" t="s">
        <v>122</v>
      </c>
      <c r="B29" s="248" t="s">
        <v>115</v>
      </c>
      <c r="C29" s="160" t="s">
        <v>114</v>
      </c>
      <c r="D29" s="161" t="s">
        <v>242</v>
      </c>
      <c r="E29" s="123" t="s">
        <v>153</v>
      </c>
      <c r="F29" s="161" t="s">
        <v>205</v>
      </c>
      <c r="G29" s="161" t="s">
        <v>199</v>
      </c>
    </row>
    <row r="30" spans="1:11" x14ac:dyDescent="0.25">
      <c r="A30" s="123" t="s">
        <v>121</v>
      </c>
      <c r="B30" s="248" t="s">
        <v>118</v>
      </c>
      <c r="C30" s="160" t="s">
        <v>224</v>
      </c>
      <c r="D30" s="161" t="s">
        <v>243</v>
      </c>
      <c r="E30" s="123" t="s">
        <v>149</v>
      </c>
    </row>
    <row r="31" spans="1:11" x14ac:dyDescent="0.25">
      <c r="B31" s="123" t="s">
        <v>116</v>
      </c>
      <c r="D31" s="161" t="s">
        <v>244</v>
      </c>
      <c r="E31" s="163" t="s">
        <v>138</v>
      </c>
    </row>
    <row r="32" spans="1:11" x14ac:dyDescent="0.25">
      <c r="B32" s="123" t="s">
        <v>136</v>
      </c>
      <c r="E32" s="163" t="s">
        <v>139</v>
      </c>
    </row>
    <row r="33" spans="2:5" x14ac:dyDescent="0.25">
      <c r="B33" s="123" t="s">
        <v>125</v>
      </c>
      <c r="E33" s="163" t="s">
        <v>225</v>
      </c>
    </row>
    <row r="34" spans="2:5" x14ac:dyDescent="0.25">
      <c r="B34" s="123" t="s">
        <v>110</v>
      </c>
      <c r="E34" s="163" t="s">
        <v>226</v>
      </c>
    </row>
    <row r="35" spans="2:5" x14ac:dyDescent="0.25">
      <c r="B35" s="123" t="s">
        <v>119</v>
      </c>
      <c r="E35" s="163" t="s">
        <v>141</v>
      </c>
    </row>
    <row r="36" spans="2:5" x14ac:dyDescent="0.25">
      <c r="B36" s="123" t="s">
        <v>126</v>
      </c>
      <c r="E36" s="163" t="s">
        <v>142</v>
      </c>
    </row>
    <row r="37" spans="2:5" x14ac:dyDescent="0.25">
      <c r="B37" s="123" t="s">
        <v>127</v>
      </c>
      <c r="E37" s="163" t="s">
        <v>140</v>
      </c>
    </row>
    <row r="38" spans="2:5" x14ac:dyDescent="0.25">
      <c r="B38" s="123" t="s">
        <v>128</v>
      </c>
      <c r="E38" s="247" t="s">
        <v>131</v>
      </c>
    </row>
    <row r="39" spans="2:5" x14ac:dyDescent="0.25">
      <c r="B39" s="123" t="s">
        <v>129</v>
      </c>
      <c r="E39" s="247"/>
    </row>
    <row r="40" spans="2:5" x14ac:dyDescent="0.25">
      <c r="B40" s="123" t="s">
        <v>130</v>
      </c>
    </row>
    <row r="41" spans="2:5" x14ac:dyDescent="0.25">
      <c r="B41" s="123" t="s">
        <v>131</v>
      </c>
    </row>
    <row r="42" spans="2:5" x14ac:dyDescent="0.25">
      <c r="B42" s="123"/>
    </row>
  </sheetData>
  <sheetProtection selectLockedCells="1" selectUnlockedCells="1"/>
  <mergeCells count="3">
    <mergeCell ref="A1:G1"/>
    <mergeCell ref="C3:E3"/>
    <mergeCell ref="J2:N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tabSelected="1" workbookViewId="0">
      <selection activeCell="F20" sqref="F20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N172"/>
  <sheetViews>
    <sheetView zoomScale="85" zoomScaleNormal="85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M3" sqref="BM3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hidden="1" customWidth="1"/>
    <col min="7" max="7" width="19.7109375" style="89" hidden="1" customWidth="1"/>
    <col min="8" max="8" width="14.85546875" style="89" hidden="1" customWidth="1"/>
    <col min="9" max="9" width="16.85546875" style="89" hidden="1" customWidth="1"/>
    <col min="10" max="12" width="11.42578125" style="89" hidden="1" customWidth="1"/>
    <col min="13" max="13" width="18.140625" style="89" hidden="1" customWidth="1"/>
    <col min="14" max="14" width="11.42578125" style="89" hidden="1" customWidth="1"/>
    <col min="15" max="15" width="12.5703125" style="89" hidden="1" customWidth="1"/>
    <col min="16" max="16" width="25" style="89" hidden="1" customWidth="1"/>
    <col min="17" max="17" width="16.5703125" style="89" hidden="1" customWidth="1"/>
    <col min="18" max="18" width="24" style="89" hidden="1" customWidth="1"/>
    <col min="19" max="19" width="16.5703125" style="89" hidden="1" customWidth="1"/>
    <col min="20" max="21" width="20" style="89" hidden="1" customWidth="1"/>
    <col min="22" max="22" width="20.85546875" style="89" hidden="1" customWidth="1"/>
    <col min="23" max="23" width="11.42578125" style="89" hidden="1" customWidth="1"/>
    <col min="24" max="24" width="23.7109375" style="89" hidden="1" customWidth="1"/>
    <col min="25" max="25" width="14" style="89" hidden="1" customWidth="1"/>
    <col min="26" max="26" width="13.28515625" style="89" hidden="1" customWidth="1"/>
    <col min="27" max="28" width="18.5703125" style="89" hidden="1" customWidth="1"/>
    <col min="29" max="29" width="18" style="89" hidden="1" customWidth="1"/>
    <col min="30" max="30" width="11.42578125" hidden="1" customWidth="1"/>
    <col min="31" max="32" width="18" style="89" hidden="1" customWidth="1"/>
    <col min="33" max="33" width="11.42578125" style="89" hidden="1" customWidth="1"/>
    <col min="34" max="34" width="18.7109375" hidden="1" customWidth="1"/>
    <col min="35" max="35" width="18.7109375" style="168" hidden="1" customWidth="1"/>
    <col min="36" max="36" width="20" style="166" hidden="1" customWidth="1"/>
    <col min="37" max="39" width="18" style="89" hidden="1" customWidth="1"/>
    <col min="40" max="45" width="19" style="89" hidden="1" customWidth="1"/>
    <col min="46" max="46" width="11.42578125" hidden="1" customWidth="1"/>
    <col min="47" max="51" width="11.42578125" style="89" hidden="1" customWidth="1"/>
    <col min="52" max="52" width="15.140625" style="89" hidden="1" customWidth="1"/>
    <col min="53" max="53" width="14" style="89" hidden="1" customWidth="1"/>
    <col min="54" max="54" width="15.140625" style="89" hidden="1" customWidth="1"/>
    <col min="55" max="55" width="11.42578125" style="89" hidden="1" customWidth="1"/>
    <col min="56" max="56" width="22.28515625" style="89" hidden="1" customWidth="1"/>
    <col min="57" max="58" width="29.5703125" style="89" hidden="1" customWidth="1"/>
    <col min="59" max="59" width="30.85546875" style="89" hidden="1" customWidth="1"/>
    <col min="60" max="62" width="11.42578125" style="89" hidden="1" customWidth="1"/>
    <col min="63" max="64" width="11.42578125" style="89" customWidth="1"/>
    <col min="65" max="78" width="30.7109375" style="89" customWidth="1"/>
    <col min="79" max="112" width="11.42578125" style="89" customWidth="1"/>
    <col min="113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C1" s="90">
        <f>COLUMN()</f>
        <v>55</v>
      </c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228</v>
      </c>
      <c r="AM2" s="237" t="s">
        <v>229</v>
      </c>
      <c r="AN2" s="237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220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72" t="s">
        <v>138</v>
      </c>
      <c r="B3" s="170" t="s">
        <v>248</v>
      </c>
      <c r="C3" s="165" t="s">
        <v>251</v>
      </c>
      <c r="D3" s="171" t="s">
        <v>109</v>
      </c>
      <c r="E3" s="189" t="s">
        <v>246</v>
      </c>
      <c r="F3" s="188" t="s">
        <v>112</v>
      </c>
      <c r="G3" s="189" t="s">
        <v>114</v>
      </c>
      <c r="H3" s="189" t="s">
        <v>242</v>
      </c>
      <c r="I3" s="189" t="s">
        <v>247</v>
      </c>
      <c r="J3" s="189" t="s">
        <v>249</v>
      </c>
      <c r="K3" s="190">
        <f t="shared" ref="K3:K49" si="0">IF(I3="","",MONTH(I3))</f>
        <v>1</v>
      </c>
      <c r="L3" s="190">
        <f t="shared" ref="L3:L49" si="1">IF(I3="","",DAYS360(E3,I3))</f>
        <v>30</v>
      </c>
      <c r="M3" s="188" t="s">
        <v>200</v>
      </c>
      <c r="N3" s="188" t="s">
        <v>200</v>
      </c>
      <c r="O3" s="188" t="s">
        <v>113</v>
      </c>
      <c r="P3" s="188" t="s">
        <v>200</v>
      </c>
      <c r="Q3" s="188" t="s">
        <v>200</v>
      </c>
      <c r="R3" s="188" t="s">
        <v>222</v>
      </c>
      <c r="S3" s="292" t="s">
        <v>250</v>
      </c>
      <c r="T3" s="191" t="s">
        <v>238</v>
      </c>
      <c r="U3" s="291" t="s">
        <v>252</v>
      </c>
      <c r="V3" s="291" t="s">
        <v>253</v>
      </c>
      <c r="W3" s="291" t="s">
        <v>254</v>
      </c>
      <c r="X3" s="291" t="s">
        <v>255</v>
      </c>
      <c r="Y3" s="291" t="s">
        <v>256</v>
      </c>
      <c r="Z3" s="291" t="s">
        <v>257</v>
      </c>
      <c r="AA3" s="291" t="s">
        <v>258</v>
      </c>
      <c r="AB3" s="291" t="s">
        <v>259</v>
      </c>
      <c r="AC3" s="291" t="s">
        <v>260</v>
      </c>
      <c r="AD3" s="291" t="s">
        <v>261</v>
      </c>
      <c r="AE3" s="291" t="s">
        <v>262</v>
      </c>
      <c r="AF3" s="291" t="s">
        <v>263</v>
      </c>
      <c r="AG3" s="291" t="s">
        <v>263</v>
      </c>
      <c r="AH3" s="225">
        <f>SUM(PORTEFEUILLE_DELPHINE[[#This Row],[PCR COMPTABLE €]:[MONTANT
RESPONSABLE RELATION CLIENT €]])-PORTEFEUILLE_DELPHINE[[#This Row],[MONTANT TOTAL LETTRE DE MISION €]]</f>
        <v>-15</v>
      </c>
      <c r="AI3" s="191" t="s">
        <v>152</v>
      </c>
      <c r="AJ3" s="188" t="s">
        <v>155</v>
      </c>
      <c r="AK3" s="188" t="s">
        <v>138</v>
      </c>
      <c r="AL3" s="188" t="s">
        <v>200</v>
      </c>
      <c r="AM3" s="191" t="s">
        <v>250</v>
      </c>
      <c r="AN3" s="188" t="s">
        <v>245</v>
      </c>
      <c r="AO3" s="188" t="s">
        <v>200</v>
      </c>
      <c r="AP3" s="188" t="s">
        <v>230</v>
      </c>
      <c r="AQ3" s="188" t="s">
        <v>230</v>
      </c>
      <c r="AR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" s="188" t="str">
        <f>IF(PORTEFEUILLE_DELPHINE[[#This Row],[BONI AAC]]&lt;&gt;0,1,"")</f>
        <v/>
      </c>
      <c r="AU3" s="188" t="str">
        <f>IF(PORTEFEUILLE_DELPHINE[[#This Row],[MALI AAC]]&lt;&gt;0,1,"")</f>
        <v/>
      </c>
      <c r="AV3" s="225">
        <f>IF(AP3&lt;&gt;"",IF((AP3*Paramètres!$H$4)-PORTEFEUILLE_DELPHINE[[#This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€]]-(DELPHINE!AP3*Paramètres!$H$4),0),0)</f>
        <v>0</v>
      </c>
      <c r="AW3" s="225">
        <f>IF(AP3&lt;&gt;"",IF(((AP3*Paramètres!$H$4)-PORTEFEUILLE_DELPHINE[[#This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" s="190" t="str">
        <f>IF(PORTEFEUILLE_DELPHINE[[#This Row],[BONI COMPTABLE]]&lt;&gt;0,1,"")</f>
        <v/>
      </c>
      <c r="AY3" s="190" t="str">
        <f>IF(PORTEFEUILLE_DELPHINE[[#This Row],[MALI COMPTABLE]]&lt;&gt;0,1,"")</f>
        <v/>
      </c>
      <c r="AZ3" s="188" t="s">
        <v>230</v>
      </c>
      <c r="BA3" s="188" t="s">
        <v>230</v>
      </c>
      <c r="BB3" s="188" t="s">
        <v>230</v>
      </c>
      <c r="BC3" s="188" t="s">
        <v>230</v>
      </c>
      <c r="BD3" s="188" t="s">
        <v>230</v>
      </c>
      <c r="BE3" s="188" t="s">
        <v>230</v>
      </c>
      <c r="BF3" s="188"/>
      <c r="BG3" s="192"/>
      <c r="BH3" s="194"/>
      <c r="BI3" s="194"/>
      <c r="BJ3" s="195"/>
      <c r="BK3" s="194"/>
    </row>
    <row r="4" spans="1:78" ht="14.25" customHeight="1" x14ac:dyDescent="0.25">
      <c r="A4" s="172"/>
      <c r="B4" s="170"/>
      <c r="C4" s="170"/>
      <c r="D4" s="171"/>
      <c r="E4" s="189"/>
      <c r="F4" s="188"/>
      <c r="G4" s="189"/>
      <c r="H4" s="189"/>
      <c r="I4" s="189"/>
      <c r="J4" s="189"/>
      <c r="K4" s="190" t="str">
        <f t="shared" si="0"/>
        <v/>
      </c>
      <c r="L4" s="190" t="str">
        <f t="shared" si="1"/>
        <v/>
      </c>
      <c r="M4" s="188"/>
      <c r="N4" s="188"/>
      <c r="O4" s="188"/>
      <c r="P4" s="188"/>
      <c r="Q4" s="188"/>
      <c r="R4" s="188"/>
      <c r="S4" s="292"/>
      <c r="T4" s="191"/>
      <c r="U4" s="291"/>
      <c r="V4" s="291"/>
      <c r="W4" s="291"/>
      <c r="X4" s="291"/>
      <c r="Y4" s="291"/>
      <c r="Z4" s="291"/>
      <c r="AA4" s="291"/>
      <c r="AB4" s="291"/>
      <c r="AC4" s="291"/>
      <c r="AD4" s="291"/>
      <c r="AE4" s="291"/>
      <c r="AF4" s="305"/>
      <c r="AG4" s="291">
        <f>SUM(PORTEFEUILLE_DELPHINE[[#This Row],[PCR COMPTABLE €]:[MONTANT
RESPONSABLE RELATION CLIENT €]])</f>
        <v>0</v>
      </c>
      <c r="AH4" s="225">
        <f>SUM(PORTEFEUILLE_DELPHINE[[#This Row],[PCR COMPTABLE €]:[MONTANT
RESPONSABLE RELATION CLIENT €]])-PORTEFEUILLE_DELPHINE[[#This Row],[MONTANT TOTAL LETTRE DE MISION €]]</f>
        <v>0</v>
      </c>
      <c r="AI4" s="191"/>
      <c r="AJ4" s="188"/>
      <c r="AK4" s="188"/>
      <c r="AL4" s="188"/>
      <c r="AM4" s="191"/>
      <c r="AN4" s="188"/>
      <c r="AO4" s="188"/>
      <c r="AP4" s="188"/>
      <c r="AQ4" s="188"/>
      <c r="AR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" s="188" t="str">
        <f>IF(PORTEFEUILLE_DELPHINE[[#This Row],[BONI AAC]]&lt;&gt;0,1,"")</f>
        <v/>
      </c>
      <c r="AU4" s="188" t="str">
        <f>IF(PORTEFEUILLE_DELPHINE[[#This Row],[MALI AAC]]&lt;&gt;0,1,"")</f>
        <v/>
      </c>
      <c r="AV4" s="225">
        <f>IF(AP4&lt;&gt;"",IF((AP4*Paramètres!$H$4)-PORTEFEUILLE_DELPHINE[[#This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€]]-(DELPHINE!AP4*Paramètres!$H$4),0),0)</f>
        <v>0</v>
      </c>
      <c r="AW4" s="225">
        <f>IF(AP4&lt;&gt;"",IF(((AP4*Paramètres!$H$4)-PORTEFEUILLE_DELPHINE[[#This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" s="190" t="str">
        <f>IF(PORTEFEUILLE_DELPHINE[[#This Row],[BONI COMPTABLE]]&lt;&gt;0,1,"")</f>
        <v/>
      </c>
      <c r="AY4" s="190" t="str">
        <f>IF(PORTEFEUILLE_DELPHINE[[#This Row],[MALI COMPTABLE]]&lt;&gt;0,1,"")</f>
        <v/>
      </c>
      <c r="AZ4" s="188"/>
      <c r="BA4" s="188"/>
      <c r="BB4" s="188"/>
      <c r="BC4" s="188"/>
      <c r="BD4" s="188"/>
      <c r="BE4" s="188"/>
      <c r="BF4" s="188"/>
      <c r="BG4" s="192"/>
      <c r="BH4" s="194"/>
      <c r="BI4" s="194"/>
      <c r="BJ4" s="195"/>
      <c r="BK4" s="194"/>
    </row>
    <row r="5" spans="1:78" x14ac:dyDescent="0.25">
      <c r="A5" s="172"/>
      <c r="B5" s="170"/>
      <c r="C5" s="174"/>
      <c r="D5" s="171"/>
      <c r="E5" s="189"/>
      <c r="F5" s="188"/>
      <c r="G5" s="189"/>
      <c r="H5" s="189"/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92"/>
      <c r="T5" s="191"/>
      <c r="U5" s="291"/>
      <c r="V5" s="291"/>
      <c r="W5" s="291"/>
      <c r="X5" s="291"/>
      <c r="Y5" s="291"/>
      <c r="Z5" s="291"/>
      <c r="AA5" s="291"/>
      <c r="AB5" s="291"/>
      <c r="AC5" s="291"/>
      <c r="AD5" s="291"/>
      <c r="AE5" s="291"/>
      <c r="AF5" s="305"/>
      <c r="AG5" s="291">
        <f>SUM(PORTEFEUILLE_DELPHINE[[#This Row],[PCR COMPTABLE €]:[MONTANT
RESPONSABLE RELATION CLIENT €]])</f>
        <v>0</v>
      </c>
      <c r="AH5" s="225">
        <f>SUM(PORTEFEUILLE_DELPHINE[[#This Row],[PCR COMPTABLE €]:[MONTANT
RESPONSABLE RELATION CLIENT €]])-PORTEFEUILLE_DELPHINE[[#This Row],[MONTANT TOTAL LETTRE DE MISION €]]</f>
        <v>0</v>
      </c>
      <c r="AI5" s="191"/>
      <c r="AJ5" s="188"/>
      <c r="AK5" s="188"/>
      <c r="AL5" s="188"/>
      <c r="AM5" s="191"/>
      <c r="AN5" s="188"/>
      <c r="AO5" s="188"/>
      <c r="AP5" s="188"/>
      <c r="AQ5" s="188"/>
      <c r="AR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" s="188" t="str">
        <f>IF(PORTEFEUILLE_DELPHINE[[#This Row],[BONI AAC]]&lt;&gt;0,1,"")</f>
        <v/>
      </c>
      <c r="AU5" s="188" t="str">
        <f>IF(PORTEFEUILLE_DELPHINE[[#This Row],[MALI AAC]]&lt;&gt;0,1,"")</f>
        <v/>
      </c>
      <c r="AV5" s="225">
        <f>IF(AP5&lt;&gt;"",IF((AP5*Paramètres!$H$4)-PORTEFEUILLE_DELPHINE[[#This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€]]-(DELPHINE!AP5*Paramètres!$H$4),0),0)</f>
        <v>0</v>
      </c>
      <c r="AW5" s="225">
        <f>IF(AP5&lt;&gt;"",IF(((AP5*Paramètres!$H$4)-PORTEFEUILLE_DELPHINE[[#This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" s="190" t="str">
        <f>IF(PORTEFEUILLE_DELPHINE[[#This Row],[BONI COMPTABLE]]&lt;&gt;0,1,"")</f>
        <v/>
      </c>
      <c r="AY5" s="190" t="str">
        <f>IF(PORTEFEUILLE_DELPHINE[[#This Row],[MALI COMPTABLE]]&lt;&gt;0,1,"")</f>
        <v/>
      </c>
      <c r="AZ5" s="188"/>
      <c r="BA5" s="188"/>
      <c r="BB5" s="188"/>
      <c r="BC5" s="188"/>
      <c r="BD5" s="188"/>
      <c r="BE5" s="188"/>
      <c r="BF5" s="188"/>
      <c r="BG5" s="192"/>
      <c r="BH5" s="194"/>
      <c r="BI5" s="194"/>
      <c r="BJ5" s="195"/>
      <c r="BK5" s="194"/>
    </row>
    <row r="6" spans="1:78" x14ac:dyDescent="0.25">
      <c r="A6" s="172"/>
      <c r="B6" s="170"/>
      <c r="C6" s="17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92"/>
      <c r="T6" s="191"/>
      <c r="U6" s="291"/>
      <c r="V6" s="291"/>
      <c r="W6" s="291"/>
      <c r="X6" s="291"/>
      <c r="Y6" s="291"/>
      <c r="Z6" s="291"/>
      <c r="AA6" s="291"/>
      <c r="AB6" s="291"/>
      <c r="AC6" s="291"/>
      <c r="AD6" s="291"/>
      <c r="AE6" s="291"/>
      <c r="AF6" s="305"/>
      <c r="AG6" s="291">
        <f>SUM(PORTEFEUILLE_DELPHINE[[#This Row],[PCR COMPTABLE €]:[MONTANT
RESPONSABLE RELATION CLIENT €]])</f>
        <v>0</v>
      </c>
      <c r="AH6" s="225">
        <f>SUM(PORTEFEUILLE_DELPHINE[[#This Row],[PCR COMPTABLE €]:[MONTANT
RESPONSABLE RELATION CLIENT €]])-PORTEFEUILLE_DELPHINE[[#This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6" s="188" t="str">
        <f>IF(PORTEFEUILLE_DELPHINE[[#This Row],[BONI AAC]]&lt;&gt;0,1,"")</f>
        <v/>
      </c>
      <c r="AU6" s="188" t="str">
        <f>IF(PORTEFEUILLE_DELPHINE[[#This Row],[MALI AAC]]&lt;&gt;0,1,"")</f>
        <v/>
      </c>
      <c r="AV6" s="225">
        <f>IF(AP6&lt;&gt;"",IF((AP6*Paramètres!$H$4)-PORTEFEUILLE_DELPHINE[[#This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€]]-(DELPHINE!AP6*Paramètres!$H$4),0),0)</f>
        <v>0</v>
      </c>
      <c r="AW6" s="225">
        <f>IF(AP6&lt;&gt;"",IF(((AP6*Paramètres!$H$4)-PORTEFEUILLE_DELPHINE[[#This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6" s="190" t="str">
        <f>IF(PORTEFEUILLE_DELPHINE[[#This Row],[BONI COMPTABLE]]&lt;&gt;0,1,"")</f>
        <v/>
      </c>
      <c r="AY6" s="190" t="str">
        <f>IF(PORTEFEUILLE_DELPHINE[[#This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customFormat="1" x14ac:dyDescent="0.25">
      <c r="A7" s="172"/>
      <c r="B7" s="170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92"/>
      <c r="T7" s="191"/>
      <c r="U7" s="291"/>
      <c r="V7" s="291"/>
      <c r="W7" s="291"/>
      <c r="X7" s="291"/>
      <c r="Y7" s="291"/>
      <c r="Z7" s="291"/>
      <c r="AA7" s="291"/>
      <c r="AB7" s="291"/>
      <c r="AC7" s="291"/>
      <c r="AD7" s="291"/>
      <c r="AE7" s="291"/>
      <c r="AF7" s="305"/>
      <c r="AG7" s="291">
        <f>SUM(PORTEFEUILLE_DELPHINE[[#This Row],[PCR COMPTABLE €]:[MONTANT
RESPONSABLE RELATION CLIENT €]])</f>
        <v>0</v>
      </c>
      <c r="AH7" s="225">
        <f>SUM(PORTEFEUILLE_DELPHINE[[#This Row],[PCR COMPTABLE €]:[MONTANT
RESPONSABLE RELATION CLIENT €]])-PORTEFEUILLE_DELPHINE[[#This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7" s="188" t="str">
        <f>IF(PORTEFEUILLE_DELPHINE[[#This Row],[BONI AAC]]&lt;&gt;0,1,"")</f>
        <v/>
      </c>
      <c r="AU7" s="188" t="str">
        <f>IF(PORTEFEUILLE_DELPHINE[[#This Row],[MALI AAC]]&lt;&gt;0,1,"")</f>
        <v/>
      </c>
      <c r="AV7" s="225">
        <f>IF(AP7&lt;&gt;"",IF((AP7*Paramètres!$H$4)-PORTEFEUILLE_DELPHINE[[#This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€]]-(DELPHINE!AP7*Paramètres!$H$4),0),0)</f>
        <v>0</v>
      </c>
      <c r="AW7" s="225">
        <f>IF(AP7&lt;&gt;"",IF(((AP7*Paramètres!$H$4)-PORTEFEUILLE_DELPHINE[[#This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7" s="190" t="str">
        <f>IF(PORTEFEUILLE_DELPHINE[[#This Row],[BONI COMPTABLE]]&lt;&gt;0,1,"")</f>
        <v/>
      </c>
      <c r="AY7" s="190" t="str">
        <f>IF(PORTEFEUILLE_DELPHINE[[#This Row],[MALI COMPTABLE]]&lt;&gt;0,1,"")</f>
        <v/>
      </c>
      <c r="AZ7" s="188"/>
      <c r="BA7" s="188"/>
      <c r="BB7" s="188"/>
      <c r="BC7" s="188"/>
      <c r="BD7" s="188"/>
      <c r="BE7" s="188"/>
      <c r="BF7" s="188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92"/>
      <c r="T8" s="191"/>
      <c r="U8" s="291"/>
      <c r="V8" s="291"/>
      <c r="W8" s="291"/>
      <c r="X8" s="291"/>
      <c r="Y8" s="291"/>
      <c r="Z8" s="291"/>
      <c r="AA8" s="291"/>
      <c r="AB8" s="291"/>
      <c r="AC8" s="291"/>
      <c r="AD8" s="291"/>
      <c r="AE8" s="291"/>
      <c r="AF8" s="305"/>
      <c r="AG8" s="291">
        <f>SUM(PORTEFEUILLE_DELPHINE[[#This Row],[PCR COMPTABLE €]:[MONTANT
RESPONSABLE RELATION CLIENT €]])</f>
        <v>0</v>
      </c>
      <c r="AH8" s="225">
        <f>SUM(PORTEFEUILLE_DELPHINE[[#This Row],[PCR COMPTABLE €]:[MONTANT
RESPONSABLE RELATION CLIENT €]])-PORTEFEUILLE_DELPHINE[[#This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8" s="188" t="str">
        <f>IF(PORTEFEUILLE_DELPHINE[[#This Row],[BONI AAC]]&lt;&gt;0,1,"")</f>
        <v/>
      </c>
      <c r="AU8" s="188" t="str">
        <f>IF(PORTEFEUILLE_DELPHINE[[#This Row],[MALI AAC]]&lt;&gt;0,1,"")</f>
        <v/>
      </c>
      <c r="AV8" s="225">
        <f>IF(AP8&lt;&gt;"",IF((AP8*Paramètres!$H$4)-PORTEFEUILLE_DELPHINE[[#This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€]]-(DELPHINE!AP8*Paramètres!$H$4),0),0)</f>
        <v>0</v>
      </c>
      <c r="AW8" s="225">
        <f>IF(AP8&lt;&gt;"",IF(((AP8*Paramètres!$H$4)-PORTEFEUILLE_DELPHINE[[#This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8" s="190" t="str">
        <f>IF(PORTEFEUILLE_DELPHINE[[#This Row],[BONI COMPTABLE]]&lt;&gt;0,1,"")</f>
        <v/>
      </c>
      <c r="AY8" s="190" t="str">
        <f>IF(PORTEFEUILLE_DELPHINE[[#This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88"/>
      <c r="T9" s="289"/>
      <c r="U9" s="290"/>
      <c r="V9" s="290"/>
      <c r="W9" s="290"/>
      <c r="X9" s="290"/>
      <c r="Y9" s="290"/>
      <c r="Z9" s="290"/>
      <c r="AA9" s="290"/>
      <c r="AB9" s="290"/>
      <c r="AC9" s="290"/>
      <c r="AD9" s="290"/>
      <c r="AE9" s="290"/>
      <c r="AF9" s="306"/>
      <c r="AG9" s="291">
        <f>SUM(PORTEFEUILLE_DELPHINE[[#This Row],[PCR COMPTABLE €]:[MONTANT
RESPONSABLE RELATION CLIENT €]])</f>
        <v>0</v>
      </c>
      <c r="AH9" s="225">
        <f>SUM(PORTEFEUILLE_DELPHINE[[#This Row],[PCR COMPTABLE €]:[MONTANT
RESPONSABLE RELATION CLIENT €]])-PORTEFEUILLE_DELPHINE[[#This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9" s="188" t="str">
        <f>IF(PORTEFEUILLE_DELPHINE[[#This Row],[BONI AAC]]&lt;&gt;0,1,"")</f>
        <v/>
      </c>
      <c r="AU9" s="188" t="str">
        <f>IF(PORTEFEUILLE_DELPHINE[[#This Row],[MALI AAC]]&lt;&gt;0,1,"")</f>
        <v/>
      </c>
      <c r="AV9" s="225">
        <f>IF(AP9&lt;&gt;"",IF((AP9*Paramètres!$H$4)-PORTEFEUILLE_DELPHINE[[#This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€]]-(DELPHINE!AP9*Paramètres!$H$4),0),0)</f>
        <v>0</v>
      </c>
      <c r="AW9" s="225">
        <f>IF(AP9&lt;&gt;"",IF(((AP9*Paramètres!$H$4)-PORTEFEUILLE_DELPHINE[[#This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9" s="190" t="str">
        <f>IF(PORTEFEUILLE_DELPHINE[[#This Row],[BONI COMPTABLE]]&lt;&gt;0,1,"")</f>
        <v/>
      </c>
      <c r="AY9" s="190" t="str">
        <f>IF(PORTEFEUILLE_DELPHINE[[#This Row],[MALI COMPTABLE]]&lt;&gt;0,1,"")</f>
        <v/>
      </c>
      <c r="AZ9" s="196"/>
      <c r="BA9" s="188"/>
      <c r="BB9" s="188"/>
      <c r="BC9" s="188"/>
      <c r="BD9" s="196"/>
      <c r="BE9" s="196"/>
      <c r="BF9" s="196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92"/>
      <c r="T10" s="191"/>
      <c r="U10" s="291"/>
      <c r="V10" s="291"/>
      <c r="W10" s="291"/>
      <c r="X10" s="291"/>
      <c r="Y10" s="291"/>
      <c r="Z10" s="291"/>
      <c r="AA10" s="291"/>
      <c r="AB10" s="291"/>
      <c r="AC10" s="291"/>
      <c r="AD10" s="291"/>
      <c r="AE10" s="291"/>
      <c r="AF10" s="305"/>
      <c r="AG10" s="291">
        <f>SUM(PORTEFEUILLE_DELPHINE[[#This Row],[PCR COMPTABLE €]:[MONTANT
RESPONSABLE RELATION CLIENT €]])</f>
        <v>0</v>
      </c>
      <c r="AH10" s="225">
        <f>SUM(PORTEFEUILLE_DELPHINE[[#This Row],[PCR COMPTABLE €]:[MONTANT
RESPONSABLE RELATION CLIENT €]])-PORTEFEUILLE_DELPHINE[[#This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0" s="188" t="str">
        <f>IF(PORTEFEUILLE_DELPHINE[[#This Row],[BONI AAC]]&lt;&gt;0,1,"")</f>
        <v/>
      </c>
      <c r="AU10" s="188" t="str">
        <f>IF(PORTEFEUILLE_DELPHINE[[#This Row],[MALI AAC]]&lt;&gt;0,1,"")</f>
        <v/>
      </c>
      <c r="AV10" s="225">
        <f>IF(AP10&lt;&gt;"",IF((AP10*Paramètres!$H$4)-PORTEFEUILLE_DELPHINE[[#This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€]]-(DELPHINE!AP10*Paramètres!$H$4),0),0)</f>
        <v>0</v>
      </c>
      <c r="AW10" s="225">
        <f>IF(AP10&lt;&gt;"",IF(((AP10*Paramètres!$H$4)-PORTEFEUILLE_DELPHINE[[#This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0" s="190" t="str">
        <f>IF(PORTEFEUILLE_DELPHINE[[#This Row],[BONI COMPTABLE]]&lt;&gt;0,1,"")</f>
        <v/>
      </c>
      <c r="AY10" s="190" t="str">
        <f>IF(PORTEFEUILLE_DELPHINE[[#This Row],[MALI COMPTABLE]]&lt;&gt;0,1,"")</f>
        <v/>
      </c>
      <c r="AZ10" s="188"/>
      <c r="BA10" s="188"/>
      <c r="BB10" s="188"/>
      <c r="BC10" s="188"/>
      <c r="BD10" s="196"/>
      <c r="BE10" s="196"/>
      <c r="BF10" s="196"/>
      <c r="BG10" s="192"/>
      <c r="BH10" s="194"/>
      <c r="BI10" s="194"/>
      <c r="BJ10" s="195"/>
      <c r="BK10" s="194"/>
    </row>
    <row r="11" spans="1:78" x14ac:dyDescent="0.25">
      <c r="A11" s="172"/>
      <c r="B11" s="170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93"/>
      <c r="T11" s="294"/>
      <c r="U11" s="295"/>
      <c r="V11" s="295"/>
      <c r="W11" s="295"/>
      <c r="X11" s="295"/>
      <c r="Y11" s="295"/>
      <c r="Z11" s="295"/>
      <c r="AA11" s="295"/>
      <c r="AB11" s="295"/>
      <c r="AC11" s="295"/>
      <c r="AD11" s="295"/>
      <c r="AE11" s="295"/>
      <c r="AF11" s="307"/>
      <c r="AG11" s="291">
        <f>SUM(PORTEFEUILLE_DELPHINE[[#This Row],[PCR COMPTABLE €]:[MONTANT
RESPONSABLE RELATION CLIENT €]])</f>
        <v>0</v>
      </c>
      <c r="AH11" s="225">
        <f>SUM(PORTEFEUILLE_DELPHINE[[#This Row],[PCR COMPTABLE €]:[MONTANT
RESPONSABLE RELATION CLIENT €]])-PORTEFEUILLE_DELPHINE[[#This Row],[MONTANT TOTAL LETTRE DE MISION €]]</f>
        <v>0</v>
      </c>
      <c r="AI11" s="191"/>
      <c r="AJ11" s="188"/>
      <c r="AK11" s="188"/>
      <c r="AL11" s="188"/>
      <c r="AM11" s="191"/>
      <c r="AN11" s="197"/>
      <c r="AO11" s="197"/>
      <c r="AP11" s="197"/>
      <c r="AQ11" s="197"/>
      <c r="AR1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1" s="188" t="str">
        <f>IF(PORTEFEUILLE_DELPHINE[[#This Row],[BONI AAC]]&lt;&gt;0,1,"")</f>
        <v/>
      </c>
      <c r="AU11" s="188" t="str">
        <f>IF(PORTEFEUILLE_DELPHINE[[#This Row],[MALI AAC]]&lt;&gt;0,1,"")</f>
        <v/>
      </c>
      <c r="AV11" s="225">
        <f>IF(AP11&lt;&gt;"",IF((AP11*Paramètres!$H$4)-PORTEFEUILLE_DELPHINE[[#This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€]]-(DELPHINE!AP11*Paramètres!$H$4),0),0)</f>
        <v>0</v>
      </c>
      <c r="AW11" s="225">
        <f>IF(AP11&lt;&gt;"",IF(((AP11*Paramètres!$H$4)-PORTEFEUILLE_DELPHINE[[#This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1" s="190" t="str">
        <f>IF(PORTEFEUILLE_DELPHINE[[#This Row],[BONI COMPTABLE]]&lt;&gt;0,1,"")</f>
        <v/>
      </c>
      <c r="AY11" s="190" t="str">
        <f>IF(PORTEFEUILLE_DELPHINE[[#This Row],[MALI COMPTABLE]]&lt;&gt;0,1,"")</f>
        <v/>
      </c>
      <c r="AZ11" s="188"/>
      <c r="BA11" s="188"/>
      <c r="BB11" s="188"/>
      <c r="BC11" s="188"/>
      <c r="BD11" s="196"/>
      <c r="BE11" s="196"/>
      <c r="BF11" s="196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92"/>
      <c r="T12" s="191"/>
      <c r="U12" s="291"/>
      <c r="V12" s="291"/>
      <c r="W12" s="291"/>
      <c r="X12" s="291"/>
      <c r="Y12" s="291"/>
      <c r="Z12" s="291"/>
      <c r="AA12" s="291"/>
      <c r="AB12" s="291"/>
      <c r="AC12" s="291"/>
      <c r="AD12" s="291"/>
      <c r="AE12" s="291"/>
      <c r="AF12" s="305"/>
      <c r="AG12" s="291">
        <f>SUM(PORTEFEUILLE_DELPHINE[[#This Row],[PCR COMPTABLE €]:[MONTANT
RESPONSABLE RELATION CLIENT €]])</f>
        <v>0</v>
      </c>
      <c r="AH12" s="225">
        <f>SUM(PORTEFEUILLE_DELPHINE[[#This Row],[PCR COMPTABLE €]:[MONTANT
RESPONSABLE RELATION CLIENT €]])-PORTEFEUILLE_DELPHINE[[#This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2" s="188" t="str">
        <f>IF(PORTEFEUILLE_DELPHINE[[#This Row],[BONI AAC]]&lt;&gt;0,1,"")</f>
        <v/>
      </c>
      <c r="AU12" s="188" t="str">
        <f>IF(PORTEFEUILLE_DELPHINE[[#This Row],[MALI AAC]]&lt;&gt;0,1,"")</f>
        <v/>
      </c>
      <c r="AV12" s="225">
        <f>IF(AP12&lt;&gt;"",IF((AP12*Paramètres!$H$4)-PORTEFEUILLE_DELPHINE[[#This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€]]-(DELPHINE!AP12*Paramètres!$H$4),0),0)</f>
        <v>0</v>
      </c>
      <c r="AW12" s="225">
        <f>IF(AP12&lt;&gt;"",IF(((AP12*Paramètres!$H$4)-PORTEFEUILLE_DELPHINE[[#This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2" s="190" t="str">
        <f>IF(PORTEFEUILLE_DELPHINE[[#This Row],[BONI COMPTABLE]]&lt;&gt;0,1,"")</f>
        <v/>
      </c>
      <c r="AY12" s="190" t="str">
        <f>IF(PORTEFEUILLE_DELPHINE[[#This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8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88"/>
      <c r="T13" s="289"/>
      <c r="U13" s="290"/>
      <c r="V13" s="290"/>
      <c r="W13" s="290"/>
      <c r="X13" s="290"/>
      <c r="Y13" s="290"/>
      <c r="Z13" s="290"/>
      <c r="AA13" s="290"/>
      <c r="AB13" s="290"/>
      <c r="AC13" s="290"/>
      <c r="AD13" s="290"/>
      <c r="AE13" s="290"/>
      <c r="AF13" s="306"/>
      <c r="AG13" s="291">
        <f>SUM(PORTEFEUILLE_DELPHINE[[#This Row],[PCR COMPTABLE €]:[MONTANT
RESPONSABLE RELATION CLIENT €]])</f>
        <v>0</v>
      </c>
      <c r="AH13" s="225">
        <f>SUM(PORTEFEUILLE_DELPHINE[[#This Row],[PCR COMPTABLE €]:[MONTANT
RESPONSABLE RELATION CLIENT €]])-PORTEFEUILLE_DELPHINE[[#This Row],[MONTANT TOTAL LETTRE DE MISION €]]</f>
        <v>0</v>
      </c>
      <c r="AI13" s="191"/>
      <c r="AJ13" s="188"/>
      <c r="AK13" s="188"/>
      <c r="AL13" s="188"/>
      <c r="AM13" s="191"/>
      <c r="AN13" s="196"/>
      <c r="AO13" s="196"/>
      <c r="AP13" s="196"/>
      <c r="AQ13" s="196"/>
      <c r="AR1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3" s="188" t="str">
        <f>IF(PORTEFEUILLE_DELPHINE[[#This Row],[BONI AAC]]&lt;&gt;0,1,"")</f>
        <v/>
      </c>
      <c r="AU13" s="188" t="str">
        <f>IF(PORTEFEUILLE_DELPHINE[[#This Row],[MALI AAC]]&lt;&gt;0,1,"")</f>
        <v/>
      </c>
      <c r="AV13" s="225">
        <f>IF(AP13&lt;&gt;"",IF((AP13*Paramètres!$H$4)-PORTEFEUILLE_DELPHINE[[#This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€]]-(DELPHINE!AP13*Paramètres!$H$4),0),0)</f>
        <v>0</v>
      </c>
      <c r="AW13" s="225">
        <f>IF(AP13&lt;&gt;"",IF(((AP13*Paramètres!$H$4)-PORTEFEUILLE_DELPHINE[[#This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3" s="190" t="str">
        <f>IF(PORTEFEUILLE_DELPHINE[[#This Row],[BONI COMPTABLE]]&lt;&gt;0,1,"")</f>
        <v/>
      </c>
      <c r="AY13" s="190" t="str">
        <f>IF(PORTEFEUILLE_DELPHINE[[#This Row],[MALI COMPTABLE]]&lt;&gt;0,1,"")</f>
        <v/>
      </c>
      <c r="AZ13" s="196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8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88"/>
      <c r="T14" s="289"/>
      <c r="U14" s="290"/>
      <c r="V14" s="290"/>
      <c r="W14" s="290"/>
      <c r="X14" s="290"/>
      <c r="Y14" s="290"/>
      <c r="Z14" s="290"/>
      <c r="AA14" s="290"/>
      <c r="AB14" s="290"/>
      <c r="AC14" s="290"/>
      <c r="AD14" s="290"/>
      <c r="AE14" s="290"/>
      <c r="AF14" s="306"/>
      <c r="AG14" s="291">
        <f>SUM(PORTEFEUILLE_DELPHINE[[#This Row],[PCR COMPTABLE €]:[MONTANT
RESPONSABLE RELATION CLIENT €]])</f>
        <v>0</v>
      </c>
      <c r="AH14" s="225">
        <f>SUM(PORTEFEUILLE_DELPHINE[[#This Row],[PCR COMPTABLE €]:[MONTANT
RESPONSABLE RELATION CLIENT €]])-PORTEFEUILLE_DELPHINE[[#This Row],[MONTANT TOTAL LETTRE DE MISION €]]</f>
        <v>0</v>
      </c>
      <c r="AI14" s="191"/>
      <c r="AJ14" s="188"/>
      <c r="AK14" s="188"/>
      <c r="AL14" s="188"/>
      <c r="AM14" s="191"/>
      <c r="AN14" s="196"/>
      <c r="AO14" s="196"/>
      <c r="AP14" s="196"/>
      <c r="AQ14" s="196"/>
      <c r="AR1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4" s="188" t="str">
        <f>IF(PORTEFEUILLE_DELPHINE[[#This Row],[BONI AAC]]&lt;&gt;0,1,"")</f>
        <v/>
      </c>
      <c r="AU14" s="188" t="str">
        <f>IF(PORTEFEUILLE_DELPHINE[[#This Row],[MALI AAC]]&lt;&gt;0,1,"")</f>
        <v/>
      </c>
      <c r="AV14" s="225">
        <f>IF(AP14&lt;&gt;"",IF((AP14*Paramètres!$H$4)-PORTEFEUILLE_DELPHINE[[#This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€]]-(DELPHINE!AP14*Paramètres!$H$4),0),0)</f>
        <v>0</v>
      </c>
      <c r="AW14" s="225">
        <f>IF(AP14&lt;&gt;"",IF(((AP14*Paramètres!$H$4)-PORTEFEUILLE_DELPHINE[[#This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4" s="190" t="str">
        <f>IF(PORTEFEUILLE_DELPHINE[[#This Row],[BONI COMPTABLE]]&lt;&gt;0,1,"")</f>
        <v/>
      </c>
      <c r="AY14" s="190" t="str">
        <f>IF(PORTEFEUILLE_DELPHINE[[#This Row],[MALI COMPTABLE]]&lt;&gt;0,1,"")</f>
        <v/>
      </c>
      <c r="AZ14" s="196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65"/>
      <c r="D15" s="171"/>
      <c r="E15" s="189"/>
      <c r="F15" s="188"/>
      <c r="G15" s="188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88"/>
      <c r="T15" s="289"/>
      <c r="U15" s="290"/>
      <c r="V15" s="290"/>
      <c r="W15" s="290"/>
      <c r="X15" s="290"/>
      <c r="Y15" s="290"/>
      <c r="Z15" s="290"/>
      <c r="AA15" s="290"/>
      <c r="AB15" s="290"/>
      <c r="AC15" s="290"/>
      <c r="AD15" s="290"/>
      <c r="AE15" s="290"/>
      <c r="AF15" s="306"/>
      <c r="AG15" s="291">
        <f>SUM(PORTEFEUILLE_DELPHINE[[#This Row],[PCR COMPTABLE €]:[MONTANT
RESPONSABLE RELATION CLIENT €]])</f>
        <v>0</v>
      </c>
      <c r="AH15" s="225">
        <f>SUM(PORTEFEUILLE_DELPHINE[[#This Row],[PCR COMPTABLE €]:[MONTANT
RESPONSABLE RELATION CLIENT €]])-PORTEFEUILLE_DELPHINE[[#This Row],[MONTANT TOTAL LETTRE DE MISION €]]</f>
        <v>0</v>
      </c>
      <c r="AI15" s="191"/>
      <c r="AJ15" s="188"/>
      <c r="AK15" s="188"/>
      <c r="AL15" s="188"/>
      <c r="AM15" s="191"/>
      <c r="AN15" s="196"/>
      <c r="AO15" s="196"/>
      <c r="AP15" s="196"/>
      <c r="AQ15" s="196"/>
      <c r="AR1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5" s="188" t="str">
        <f>IF(PORTEFEUILLE_DELPHINE[[#This Row],[BONI AAC]]&lt;&gt;0,1,"")</f>
        <v/>
      </c>
      <c r="AU15" s="188" t="str">
        <f>IF(PORTEFEUILLE_DELPHINE[[#This Row],[MALI AAC]]&lt;&gt;0,1,"")</f>
        <v/>
      </c>
      <c r="AV15" s="225">
        <f>IF(AP15&lt;&gt;"",IF((AP15*Paramètres!$H$4)-PORTEFEUILLE_DELPHINE[[#This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€]]-(DELPHINE!AP15*Paramètres!$H$4),0),0)</f>
        <v>0</v>
      </c>
      <c r="AW15" s="225">
        <f>IF(AP15&lt;&gt;"",IF(((AP15*Paramètres!$H$4)-PORTEFEUILLE_DELPHINE[[#This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5" s="190" t="str">
        <f>IF(PORTEFEUILLE_DELPHINE[[#This Row],[BONI COMPTABLE]]&lt;&gt;0,1,"")</f>
        <v/>
      </c>
      <c r="AY15" s="190" t="str">
        <f>IF(PORTEFEUILLE_DELPHINE[[#This Row],[MALI COMPTABLE]]&lt;&gt;0,1,"")</f>
        <v/>
      </c>
      <c r="AZ15" s="196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65"/>
      <c r="D16" s="171"/>
      <c r="E16" s="189"/>
      <c r="F16" s="188"/>
      <c r="G16" s="188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88"/>
      <c r="T16" s="289"/>
      <c r="U16" s="290"/>
      <c r="V16" s="290"/>
      <c r="W16" s="290"/>
      <c r="X16" s="290"/>
      <c r="Y16" s="290"/>
      <c r="Z16" s="290"/>
      <c r="AA16" s="290"/>
      <c r="AB16" s="290"/>
      <c r="AC16" s="290"/>
      <c r="AD16" s="290"/>
      <c r="AE16" s="290"/>
      <c r="AF16" s="306"/>
      <c r="AG16" s="291">
        <f>SUM(PORTEFEUILLE_DELPHINE[[#This Row],[PCR COMPTABLE €]:[MONTANT
RESPONSABLE RELATION CLIENT €]])</f>
        <v>0</v>
      </c>
      <c r="AH16" s="225">
        <f>SUM(PORTEFEUILLE_DELPHINE[[#This Row],[PCR COMPTABLE €]:[MONTANT
RESPONSABLE RELATION CLIENT €]])-PORTEFEUILLE_DELPHINE[[#This Row],[MONTANT TOTAL LETTRE DE MISION €]]</f>
        <v>0</v>
      </c>
      <c r="AI16" s="191"/>
      <c r="AJ16" s="188"/>
      <c r="AK16" s="188"/>
      <c r="AL16" s="188"/>
      <c r="AM16" s="191"/>
      <c r="AN16" s="196"/>
      <c r="AO16" s="196"/>
      <c r="AP16" s="196"/>
      <c r="AQ16" s="196"/>
      <c r="AR1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6" s="188" t="str">
        <f>IF(PORTEFEUILLE_DELPHINE[[#This Row],[BONI AAC]]&lt;&gt;0,1,"")</f>
        <v/>
      </c>
      <c r="AU16" s="188" t="str">
        <f>IF(PORTEFEUILLE_DELPHINE[[#This Row],[MALI AAC]]&lt;&gt;0,1,"")</f>
        <v/>
      </c>
      <c r="AV16" s="225">
        <f>IF(AP16&lt;&gt;"",IF((AP16*Paramètres!$H$4)-PORTEFEUILLE_DELPHINE[[#This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€]]-(DELPHINE!AP16*Paramètres!$H$4),0),0)</f>
        <v>0</v>
      </c>
      <c r="AW16" s="225">
        <f>IF(AP16&lt;&gt;"",IF(((AP16*Paramètres!$H$4)-PORTEFEUILLE_DELPHINE[[#This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6" s="190" t="str">
        <f>IF(PORTEFEUILLE_DELPHINE[[#This Row],[BONI COMPTABLE]]&lt;&gt;0,1,"")</f>
        <v/>
      </c>
      <c r="AY16" s="190" t="str">
        <f>IF(PORTEFEUILLE_DELPHINE[[#This Row],[MALI COMPTABLE]]&lt;&gt;0,1,"")</f>
        <v/>
      </c>
      <c r="AZ16" s="196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s="90" customFormat="1" x14ac:dyDescent="0.25">
      <c r="A17" s="176"/>
      <c r="B17" s="170"/>
      <c r="C17" s="16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92"/>
      <c r="T17" s="191"/>
      <c r="U17" s="291"/>
      <c r="V17" s="291"/>
      <c r="W17" s="291"/>
      <c r="X17" s="291"/>
      <c r="Y17" s="291"/>
      <c r="Z17" s="291"/>
      <c r="AA17" s="291"/>
      <c r="AB17" s="291"/>
      <c r="AC17" s="291"/>
      <c r="AD17" s="291"/>
      <c r="AE17" s="291"/>
      <c r="AF17" s="305"/>
      <c r="AG17" s="291">
        <f>SUM(PORTEFEUILLE_DELPHINE[[#This Row],[PCR COMPTABLE €]:[MONTANT
RESPONSABLE RELATION CLIENT €]])</f>
        <v>0</v>
      </c>
      <c r="AH17" s="225">
        <f>SUM(PORTEFEUILLE_DELPHINE[[#This Row],[PCR COMPTABLE €]:[MONTANT
RESPONSABLE RELATION CLIENT €]])-PORTEFEUILLE_DELPHINE[[#This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7" s="188" t="str">
        <f>IF(PORTEFEUILLE_DELPHINE[[#This Row],[BONI AAC]]&lt;&gt;0,1,"")</f>
        <v/>
      </c>
      <c r="AU17" s="188" t="str">
        <f>IF(PORTEFEUILLE_DELPHINE[[#This Row],[MALI AAC]]&lt;&gt;0,1,"")</f>
        <v/>
      </c>
      <c r="AV17" s="225">
        <f>IF(AP17&lt;&gt;"",IF((AP17*Paramètres!$H$4)-PORTEFEUILLE_DELPHINE[[#This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€]]-(DELPHINE!AP17*Paramètres!$H$4),0),0)</f>
        <v>0</v>
      </c>
      <c r="AW17" s="225">
        <f>IF(AP17&lt;&gt;"",IF(((AP17*Paramètres!$H$4)-PORTEFEUILLE_DELPHINE[[#This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7" s="190" t="str">
        <f>IF(PORTEFEUILLE_DELPHINE[[#This Row],[BONI COMPTABLE]]&lt;&gt;0,1,"")</f>
        <v/>
      </c>
      <c r="AY17" s="190" t="str">
        <f>IF(PORTEFEUILLE_DELPHINE[[#This Row],[MALI COMPTABLE]]&lt;&gt;0,1,"")</f>
        <v/>
      </c>
      <c r="AZ17" s="188"/>
      <c r="BA17" s="188"/>
      <c r="BB17" s="188"/>
      <c r="BC17" s="188"/>
      <c r="BD17" s="196"/>
      <c r="BE17" s="196"/>
      <c r="BF17" s="196"/>
      <c r="BG17" s="192"/>
      <c r="BH17" s="196"/>
      <c r="BI17" s="196"/>
      <c r="BJ17" s="198"/>
      <c r="BK17" s="196"/>
    </row>
    <row r="18" spans="1:63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92"/>
      <c r="T18" s="191"/>
      <c r="U18" s="291"/>
      <c r="V18" s="291"/>
      <c r="W18" s="291"/>
      <c r="X18" s="291"/>
      <c r="Y18" s="291"/>
      <c r="Z18" s="291"/>
      <c r="AA18" s="291"/>
      <c r="AB18" s="291"/>
      <c r="AC18" s="291"/>
      <c r="AD18" s="291"/>
      <c r="AE18" s="291"/>
      <c r="AF18" s="305"/>
      <c r="AG18" s="291">
        <f>SUM(PORTEFEUILLE_DELPHINE[[#This Row],[PCR COMPTABLE €]:[MONTANT
RESPONSABLE RELATION CLIENT €]])</f>
        <v>0</v>
      </c>
      <c r="AH18" s="225">
        <f>SUM(PORTEFEUILLE_DELPHINE[[#This Row],[PCR COMPTABLE €]:[MONTANT
RESPONSABLE RELATION CLIENT €]])-PORTEFEUILLE_DELPHINE[[#This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8" s="188" t="str">
        <f>IF(PORTEFEUILLE_DELPHINE[[#This Row],[BONI AAC]]&lt;&gt;0,1,"")</f>
        <v/>
      </c>
      <c r="AU18" s="188" t="str">
        <f>IF(PORTEFEUILLE_DELPHINE[[#This Row],[MALI AAC]]&lt;&gt;0,1,"")</f>
        <v/>
      </c>
      <c r="AV18" s="225">
        <f>IF(AP18&lt;&gt;"",IF((AP18*Paramètres!$H$4)-PORTEFEUILLE_DELPHINE[[#This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€]]-(DELPHINE!AP18*Paramètres!$H$4),0),0)</f>
        <v>0</v>
      </c>
      <c r="AW18" s="225">
        <f>IF(AP18&lt;&gt;"",IF(((AP18*Paramètres!$H$4)-PORTEFEUILLE_DELPHINE[[#This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8" s="190" t="str">
        <f>IF(PORTEFEUILLE_DELPHINE[[#This Row],[BONI COMPTABLE]]&lt;&gt;0,1,"")</f>
        <v/>
      </c>
      <c r="AY18" s="190" t="str">
        <f>IF(PORTEFEUILLE_DELPHINE[[#This Row],[MALI COMPTABLE]]&lt;&gt;0,1,"")</f>
        <v/>
      </c>
      <c r="AZ18" s="188"/>
      <c r="BA18" s="188"/>
      <c r="BB18" s="188"/>
      <c r="BC18" s="188"/>
      <c r="BD18" s="196"/>
      <c r="BE18" s="196"/>
      <c r="BF18" s="196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92"/>
      <c r="T19" s="191"/>
      <c r="U19" s="291"/>
      <c r="V19" s="291"/>
      <c r="W19" s="291"/>
      <c r="X19" s="291"/>
      <c r="Y19" s="291"/>
      <c r="Z19" s="291"/>
      <c r="AA19" s="291"/>
      <c r="AB19" s="291"/>
      <c r="AC19" s="291"/>
      <c r="AD19" s="291"/>
      <c r="AE19" s="291"/>
      <c r="AF19" s="305"/>
      <c r="AG19" s="291">
        <f>SUM(PORTEFEUILLE_DELPHINE[[#This Row],[PCR COMPTABLE €]:[MONTANT
RESPONSABLE RELATION CLIENT €]])</f>
        <v>0</v>
      </c>
      <c r="AH19" s="225">
        <f>SUM(PORTEFEUILLE_DELPHINE[[#This Row],[PCR COMPTABLE €]:[MONTANT
RESPONSABLE RELATION CLIENT €]])-PORTEFEUILLE_DELPHINE[[#This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9" s="188" t="str">
        <f>IF(PORTEFEUILLE_DELPHINE[[#This Row],[BONI AAC]]&lt;&gt;0,1,"")</f>
        <v/>
      </c>
      <c r="AU19" s="188" t="str">
        <f>IF(PORTEFEUILLE_DELPHINE[[#This Row],[MALI AAC]]&lt;&gt;0,1,"")</f>
        <v/>
      </c>
      <c r="AV19" s="225">
        <f>IF(AP19&lt;&gt;"",IF((AP19*Paramètres!$H$4)-PORTEFEUILLE_DELPHINE[[#This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€]]-(DELPHINE!AP19*Paramètres!$H$4),0),0)</f>
        <v>0</v>
      </c>
      <c r="AW19" s="225">
        <f>IF(AP19&lt;&gt;"",IF(((AP19*Paramètres!$H$4)-PORTEFEUILLE_DELPHINE[[#This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9" s="190" t="str">
        <f>IF(PORTEFEUILLE_DELPHINE[[#This Row],[BONI COMPTABLE]]&lt;&gt;0,1,"")</f>
        <v/>
      </c>
      <c r="AY19" s="190" t="str">
        <f>IF(PORTEFEUILLE_DELPHINE[[#This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9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92"/>
      <c r="T20" s="191"/>
      <c r="U20" s="291"/>
      <c r="V20" s="291"/>
      <c r="W20" s="291"/>
      <c r="X20" s="291"/>
      <c r="Y20" s="291"/>
      <c r="Z20" s="291"/>
      <c r="AA20" s="291"/>
      <c r="AB20" s="291"/>
      <c r="AC20" s="291"/>
      <c r="AD20" s="291"/>
      <c r="AE20" s="291"/>
      <c r="AF20" s="305"/>
      <c r="AG20" s="291">
        <f>SUM(PORTEFEUILLE_DELPHINE[[#This Row],[PCR COMPTABLE €]:[MONTANT
RESPONSABLE RELATION CLIENT €]])</f>
        <v>0</v>
      </c>
      <c r="AH20" s="225">
        <f>SUM(PORTEFEUILLE_DELPHINE[[#This Row],[PCR COMPTABLE €]:[MONTANT
RESPONSABLE RELATION CLIENT €]])-PORTEFEUILLE_DELPHINE[[#This Row],[MONTANT TOTAL LETTRE DE MISION €]]</f>
        <v>0</v>
      </c>
      <c r="AI20" s="191"/>
      <c r="AJ20" s="188"/>
      <c r="AK20" s="188"/>
      <c r="AL20" s="188"/>
      <c r="AM20" s="191"/>
      <c r="AN20" s="188"/>
      <c r="AO20" s="188"/>
      <c r="AP20" s="188"/>
      <c r="AQ20" s="188"/>
      <c r="AR2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0" s="188" t="str">
        <f>IF(PORTEFEUILLE_DELPHINE[[#This Row],[BONI AAC]]&lt;&gt;0,1,"")</f>
        <v/>
      </c>
      <c r="AU20" s="188" t="str">
        <f>IF(PORTEFEUILLE_DELPHINE[[#This Row],[MALI AAC]]&lt;&gt;0,1,"")</f>
        <v/>
      </c>
      <c r="AV20" s="225">
        <f>IF(AP20&lt;&gt;"",IF((AP20*Paramètres!$H$4)-PORTEFEUILLE_DELPHINE[[#This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€]]-(DELPHINE!AP20*Paramètres!$H$4),0),0)</f>
        <v>0</v>
      </c>
      <c r="AW20" s="225">
        <f>IF(AP20&lt;&gt;"",IF(((AP20*Paramètres!$H$4)-PORTEFEUILLE_DELPHINE[[#This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0" s="190" t="str">
        <f>IF(PORTEFEUILLE_DELPHINE[[#This Row],[BONI COMPTABLE]]&lt;&gt;0,1,"")</f>
        <v/>
      </c>
      <c r="AY20" s="190" t="str">
        <f>IF(PORTEFEUILLE_DELPHINE[[#This Row],[MALI COMPTABLE]]&lt;&gt;0,1,"")</f>
        <v/>
      </c>
      <c r="AZ20" s="188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7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92"/>
      <c r="T21" s="191"/>
      <c r="U21" s="291"/>
      <c r="V21" s="291"/>
      <c r="W21" s="291"/>
      <c r="X21" s="291"/>
      <c r="Y21" s="291"/>
      <c r="Z21" s="291"/>
      <c r="AA21" s="291"/>
      <c r="AB21" s="291"/>
      <c r="AC21" s="291"/>
      <c r="AD21" s="291"/>
      <c r="AE21" s="291"/>
      <c r="AF21" s="305"/>
      <c r="AG21" s="291">
        <f>SUM(PORTEFEUILLE_DELPHINE[[#This Row],[PCR COMPTABLE €]:[MONTANT
RESPONSABLE RELATION CLIENT €]])</f>
        <v>0</v>
      </c>
      <c r="AH21" s="225">
        <f>SUM(PORTEFEUILLE_DELPHINE[[#This Row],[PCR COMPTABLE €]:[MONTANT
RESPONSABLE RELATION CLIENT €]])-PORTEFEUILLE_DELPHINE[[#This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1" s="188" t="str">
        <f>IF(PORTEFEUILLE_DELPHINE[[#This Row],[BONI AAC]]&lt;&gt;0,1,"")</f>
        <v/>
      </c>
      <c r="AU21" s="188" t="str">
        <f>IF(PORTEFEUILLE_DELPHINE[[#This Row],[MALI AAC]]&lt;&gt;0,1,"")</f>
        <v/>
      </c>
      <c r="AV21" s="225">
        <f>IF(AP21&lt;&gt;"",IF((AP21*Paramètres!$H$4)-PORTEFEUILLE_DELPHINE[[#This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€]]-(DELPHINE!AP21*Paramètres!$H$4),0),0)</f>
        <v>0</v>
      </c>
      <c r="AW21" s="225">
        <f>IF(AP21&lt;&gt;"",IF(((AP21*Paramètres!$H$4)-PORTEFEUILLE_DELPHINE[[#This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1" s="190" t="str">
        <f>IF(PORTEFEUILLE_DELPHINE[[#This Row],[BONI COMPTABLE]]&lt;&gt;0,1,"")</f>
        <v/>
      </c>
      <c r="AY21" s="190" t="str">
        <f>IF(PORTEFEUILLE_DELPHINE[[#This Row],[MALI COMPTABLE]]&lt;&gt;0,1,"")</f>
        <v/>
      </c>
      <c r="AZ21" s="188"/>
      <c r="BA21" s="188"/>
      <c r="BB21" s="188"/>
      <c r="BC21" s="188"/>
      <c r="BD21" s="188"/>
      <c r="BE21" s="188"/>
      <c r="BF21" s="188"/>
      <c r="BG21" s="192"/>
      <c r="BH21" s="194"/>
      <c r="BI21" s="194"/>
      <c r="BJ21" s="195"/>
      <c r="BK21" s="194"/>
    </row>
    <row r="22" spans="1:63" x14ac:dyDescent="0.25">
      <c r="A22" s="172"/>
      <c r="B22" s="177"/>
      <c r="C22" s="165"/>
      <c r="D22" s="171"/>
      <c r="E22" s="189"/>
      <c r="F22" s="188"/>
      <c r="G22" s="188"/>
      <c r="H22" s="189"/>
      <c r="I22" s="188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88"/>
      <c r="T22" s="289"/>
      <c r="U22" s="290"/>
      <c r="V22" s="290"/>
      <c r="W22" s="290"/>
      <c r="X22" s="290"/>
      <c r="Y22" s="290"/>
      <c r="Z22" s="290"/>
      <c r="AA22" s="290"/>
      <c r="AB22" s="290"/>
      <c r="AC22" s="290"/>
      <c r="AD22" s="290"/>
      <c r="AE22" s="290"/>
      <c r="AF22" s="306"/>
      <c r="AG22" s="291">
        <f>SUM(PORTEFEUILLE_DELPHINE[[#This Row],[PCR COMPTABLE €]:[MONTANT
RESPONSABLE RELATION CLIENT €]])</f>
        <v>0</v>
      </c>
      <c r="AH22" s="225">
        <f>SUM(PORTEFEUILLE_DELPHINE[[#This Row],[PCR COMPTABLE €]:[MONTANT
RESPONSABLE RELATION CLIENT €]])-PORTEFEUILLE_DELPHINE[[#This Row],[MONTANT TOTAL LETTRE DE MISION €]]</f>
        <v>0</v>
      </c>
      <c r="AI22" s="191"/>
      <c r="AJ22" s="188"/>
      <c r="AK22" s="188"/>
      <c r="AL22" s="188"/>
      <c r="AM22" s="191"/>
      <c r="AN22" s="196"/>
      <c r="AO22" s="196"/>
      <c r="AP22" s="196"/>
      <c r="AQ22" s="196"/>
      <c r="AR2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2" s="188" t="str">
        <f>IF(PORTEFEUILLE_DELPHINE[[#This Row],[BONI AAC]]&lt;&gt;0,1,"")</f>
        <v/>
      </c>
      <c r="AU22" s="188" t="str">
        <f>IF(PORTEFEUILLE_DELPHINE[[#This Row],[MALI AAC]]&lt;&gt;0,1,"")</f>
        <v/>
      </c>
      <c r="AV22" s="225">
        <f>IF(AP22&lt;&gt;"",IF((AP22*Paramètres!$H$4)-PORTEFEUILLE_DELPHINE[[#This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€]]-(DELPHINE!AP22*Paramètres!$H$4),0),0)</f>
        <v>0</v>
      </c>
      <c r="AW22" s="225">
        <f>IF(AP22&lt;&gt;"",IF(((AP22*Paramètres!$H$4)-PORTEFEUILLE_DELPHINE[[#This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2" s="190" t="str">
        <f>IF(PORTEFEUILLE_DELPHINE[[#This Row],[BONI COMPTABLE]]&lt;&gt;0,1,"")</f>
        <v/>
      </c>
      <c r="AY22" s="190" t="str">
        <f>IF(PORTEFEUILLE_DELPHINE[[#This Row],[MALI COMPTABLE]]&lt;&gt;0,1,"")</f>
        <v/>
      </c>
      <c r="AZ22" s="196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7"/>
      <c r="C23" s="165"/>
      <c r="D23" s="171"/>
      <c r="E23" s="189"/>
      <c r="F23" s="188"/>
      <c r="G23" s="188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88"/>
      <c r="T23" s="289"/>
      <c r="U23" s="290"/>
      <c r="V23" s="290"/>
      <c r="W23" s="290"/>
      <c r="X23" s="290"/>
      <c r="Y23" s="290"/>
      <c r="Z23" s="290"/>
      <c r="AA23" s="290"/>
      <c r="AB23" s="290"/>
      <c r="AC23" s="290"/>
      <c r="AD23" s="290"/>
      <c r="AE23" s="290"/>
      <c r="AF23" s="306"/>
      <c r="AG23" s="291">
        <f>SUM(PORTEFEUILLE_DELPHINE[[#This Row],[PCR COMPTABLE €]:[MONTANT
RESPONSABLE RELATION CLIENT €]])</f>
        <v>0</v>
      </c>
      <c r="AH23" s="225">
        <f>SUM(PORTEFEUILLE_DELPHINE[[#This Row],[PCR COMPTABLE €]:[MONTANT
RESPONSABLE RELATION CLIENT €]])-PORTEFEUILLE_DELPHINE[[#This Row],[MONTANT TOTAL LETTRE DE MISION €]]</f>
        <v>0</v>
      </c>
      <c r="AI23" s="191"/>
      <c r="AJ23" s="188"/>
      <c r="AK23" s="188"/>
      <c r="AL23" s="188"/>
      <c r="AM23" s="191"/>
      <c r="AN23" s="196"/>
      <c r="AO23" s="196"/>
      <c r="AP23" s="196"/>
      <c r="AQ23" s="196"/>
      <c r="AR2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3" s="188" t="str">
        <f>IF(PORTEFEUILLE_DELPHINE[[#This Row],[BONI AAC]]&lt;&gt;0,1,"")</f>
        <v/>
      </c>
      <c r="AU23" s="188" t="str">
        <f>IF(PORTEFEUILLE_DELPHINE[[#This Row],[MALI AAC]]&lt;&gt;0,1,"")</f>
        <v/>
      </c>
      <c r="AV23" s="225">
        <f>IF(AP23&lt;&gt;"",IF((AP23*Paramètres!$H$4)-PORTEFEUILLE_DELPHINE[[#This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€]]-(DELPHINE!AP23*Paramètres!$H$4),0),0)</f>
        <v>0</v>
      </c>
      <c r="AW23" s="225">
        <f>IF(AP23&lt;&gt;"",IF(((AP23*Paramètres!$H$4)-PORTEFEUILLE_DELPHINE[[#This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3" s="190" t="str">
        <f>IF(PORTEFEUILLE_DELPHINE[[#This Row],[BONI COMPTABLE]]&lt;&gt;0,1,"")</f>
        <v/>
      </c>
      <c r="AY23" s="190" t="str">
        <f>IF(PORTEFEUILLE_DELPHINE[[#This Row],[MALI COMPTABLE]]&lt;&gt;0,1,"")</f>
        <v/>
      </c>
      <c r="AZ23" s="196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7"/>
      <c r="C24" s="165"/>
      <c r="D24" s="171"/>
      <c r="E24" s="189"/>
      <c r="F24" s="188"/>
      <c r="G24" s="189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92"/>
      <c r="T24" s="191"/>
      <c r="U24" s="291"/>
      <c r="V24" s="291"/>
      <c r="W24" s="291"/>
      <c r="X24" s="291"/>
      <c r="Y24" s="291"/>
      <c r="Z24" s="291"/>
      <c r="AA24" s="291"/>
      <c r="AB24" s="291"/>
      <c r="AC24" s="291"/>
      <c r="AD24" s="291"/>
      <c r="AE24" s="291"/>
      <c r="AF24" s="305"/>
      <c r="AG24" s="291">
        <f>SUM(PORTEFEUILLE_DELPHINE[[#This Row],[PCR COMPTABLE €]:[MONTANT
RESPONSABLE RELATION CLIENT €]])</f>
        <v>0</v>
      </c>
      <c r="AH24" s="225">
        <f>SUM(PORTEFEUILLE_DELPHINE[[#This Row],[PCR COMPTABLE €]:[MONTANT
RESPONSABLE RELATION CLIENT €]])-PORTEFEUILLE_DELPHINE[[#This Row],[MONTANT TOTAL LETTRE DE MISION €]]</f>
        <v>0</v>
      </c>
      <c r="AI24" s="191"/>
      <c r="AJ24" s="188"/>
      <c r="AK24" s="188"/>
      <c r="AL24" s="188"/>
      <c r="AM24" s="191"/>
      <c r="AN24" s="188"/>
      <c r="AO24" s="188"/>
      <c r="AP24" s="188"/>
      <c r="AQ24" s="188"/>
      <c r="AR2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4" s="188" t="str">
        <f>IF(PORTEFEUILLE_DELPHINE[[#This Row],[BONI AAC]]&lt;&gt;0,1,"")</f>
        <v/>
      </c>
      <c r="AU24" s="188" t="str">
        <f>IF(PORTEFEUILLE_DELPHINE[[#This Row],[MALI AAC]]&lt;&gt;0,1,"")</f>
        <v/>
      </c>
      <c r="AV24" s="225">
        <f>IF(AP24&lt;&gt;"",IF((AP24*Paramètres!$H$4)-PORTEFEUILLE_DELPHINE[[#This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€]]-(DELPHINE!AP24*Paramètres!$H$4),0),0)</f>
        <v>0</v>
      </c>
      <c r="AW24" s="225">
        <f>IF(AP24&lt;&gt;"",IF(((AP24*Paramètres!$H$4)-PORTEFEUILLE_DELPHINE[[#This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4" s="190" t="str">
        <f>IF(PORTEFEUILLE_DELPHINE[[#This Row],[BONI COMPTABLE]]&lt;&gt;0,1,"")</f>
        <v/>
      </c>
      <c r="AY24" s="190" t="str">
        <f>IF(PORTEFEUILLE_DELPHINE[[#This Row],[MALI COMPTABLE]]&lt;&gt;0,1,"")</f>
        <v/>
      </c>
      <c r="AZ24" s="188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8"/>
      <c r="C25" s="165"/>
      <c r="D25" s="171"/>
      <c r="E25" s="189"/>
      <c r="F25" s="188"/>
      <c r="G25" s="189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92"/>
      <c r="T25" s="191"/>
      <c r="U25" s="291"/>
      <c r="V25" s="291"/>
      <c r="W25" s="291"/>
      <c r="X25" s="291"/>
      <c r="Y25" s="291"/>
      <c r="Z25" s="291"/>
      <c r="AA25" s="291"/>
      <c r="AB25" s="291"/>
      <c r="AC25" s="291"/>
      <c r="AD25" s="291"/>
      <c r="AE25" s="291"/>
      <c r="AF25" s="305"/>
      <c r="AG25" s="291">
        <f>SUM(PORTEFEUILLE_DELPHINE[[#This Row],[PCR COMPTABLE €]:[MONTANT
RESPONSABLE RELATION CLIENT €]])</f>
        <v>0</v>
      </c>
      <c r="AH25" s="225">
        <f>SUM(PORTEFEUILLE_DELPHINE[[#This Row],[PCR COMPTABLE €]:[MONTANT
RESPONSABLE RELATION CLIENT €]])-PORTEFEUILLE_DELPHINE[[#This Row],[MONTANT TOTAL LETTRE DE MISION €]]</f>
        <v>0</v>
      </c>
      <c r="AI25" s="191"/>
      <c r="AJ25" s="188"/>
      <c r="AK25" s="188"/>
      <c r="AL25" s="188"/>
      <c r="AM25" s="191"/>
      <c r="AN25" s="188"/>
      <c r="AO25" s="188"/>
      <c r="AP25" s="188"/>
      <c r="AQ25" s="188"/>
      <c r="AR2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5" s="188" t="str">
        <f>IF(PORTEFEUILLE_DELPHINE[[#This Row],[BONI AAC]]&lt;&gt;0,1,"")</f>
        <v/>
      </c>
      <c r="AU25" s="188" t="str">
        <f>IF(PORTEFEUILLE_DELPHINE[[#This Row],[MALI AAC]]&lt;&gt;0,1,"")</f>
        <v/>
      </c>
      <c r="AV25" s="225">
        <f>IF(AP25&lt;&gt;"",IF((AP25*Paramètres!$H$4)-PORTEFEUILLE_DELPHINE[[#This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€]]-(DELPHINE!AP25*Paramètres!$H$4),0),0)</f>
        <v>0</v>
      </c>
      <c r="AW25" s="225">
        <f>IF(AP25&lt;&gt;"",IF(((AP25*Paramètres!$H$4)-PORTEFEUILLE_DELPHINE[[#This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5" s="190" t="str">
        <f>IF(PORTEFEUILLE_DELPHINE[[#This Row],[BONI COMPTABLE]]&lt;&gt;0,1,"")</f>
        <v/>
      </c>
      <c r="AY25" s="190" t="str">
        <f>IF(PORTEFEUILLE_DELPHINE[[#This Row],[MALI COMPTABLE]]&lt;&gt;0,1,"")</f>
        <v/>
      </c>
      <c r="AZ25" s="188"/>
      <c r="BA25" s="188"/>
      <c r="BB25" s="188"/>
      <c r="BC25" s="188"/>
      <c r="BD25" s="196"/>
      <c r="BE25" s="196"/>
      <c r="BF25" s="196"/>
      <c r="BG25" s="192"/>
      <c r="BH25" s="194"/>
      <c r="BI25" s="194"/>
      <c r="BJ25" s="195"/>
      <c r="BK25" s="194"/>
    </row>
    <row r="26" spans="1:63" x14ac:dyDescent="0.25">
      <c r="A26" s="172"/>
      <c r="B26" s="178"/>
      <c r="C26" s="165"/>
      <c r="D26" s="171"/>
      <c r="E26" s="189"/>
      <c r="F26" s="188"/>
      <c r="G26" s="189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92"/>
      <c r="T26" s="191"/>
      <c r="U26" s="291"/>
      <c r="V26" s="291"/>
      <c r="W26" s="291"/>
      <c r="X26" s="291"/>
      <c r="Y26" s="291"/>
      <c r="Z26" s="291"/>
      <c r="AA26" s="291"/>
      <c r="AB26" s="291"/>
      <c r="AC26" s="291"/>
      <c r="AD26" s="291"/>
      <c r="AE26" s="291"/>
      <c r="AF26" s="305"/>
      <c r="AG26" s="291">
        <f>SUM(PORTEFEUILLE_DELPHINE[[#This Row],[PCR COMPTABLE €]:[MONTANT
RESPONSABLE RELATION CLIENT €]])</f>
        <v>0</v>
      </c>
      <c r="AH26" s="225">
        <f>SUM(PORTEFEUILLE_DELPHINE[[#This Row],[PCR COMPTABLE €]:[MONTANT
RESPONSABLE RELATION CLIENT €]])-PORTEFEUILLE_DELPHINE[[#This Row],[MONTANT TOTAL LETTRE DE MISION €]]</f>
        <v>0</v>
      </c>
      <c r="AI26" s="191"/>
      <c r="AJ26" s="188"/>
      <c r="AK26" s="188"/>
      <c r="AL26" s="188"/>
      <c r="AM26" s="191"/>
      <c r="AN26" s="188"/>
      <c r="AO26" s="188"/>
      <c r="AP26" s="188"/>
      <c r="AQ26" s="188"/>
      <c r="AR2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6" s="188" t="str">
        <f>IF(PORTEFEUILLE_DELPHINE[[#This Row],[BONI AAC]]&lt;&gt;0,1,"")</f>
        <v/>
      </c>
      <c r="AU26" s="188" t="str">
        <f>IF(PORTEFEUILLE_DELPHINE[[#This Row],[MALI AAC]]&lt;&gt;0,1,"")</f>
        <v/>
      </c>
      <c r="AV26" s="225">
        <f>IF(AP26&lt;&gt;"",IF((AP26*Paramètres!$H$4)-PORTEFEUILLE_DELPHINE[[#This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€]]-(DELPHINE!AP26*Paramètres!$H$4),0),0)</f>
        <v>0</v>
      </c>
      <c r="AW26" s="225">
        <f>IF(AP26&lt;&gt;"",IF(((AP26*Paramètres!$H$4)-PORTEFEUILLE_DELPHINE[[#This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6" s="190" t="str">
        <f>IF(PORTEFEUILLE_DELPHINE[[#This Row],[BONI COMPTABLE]]&lt;&gt;0,1,"")</f>
        <v/>
      </c>
      <c r="AY26" s="190" t="str">
        <f>IF(PORTEFEUILLE_DELPHINE[[#This Row],[MALI COMPTABLE]]&lt;&gt;0,1,"")</f>
        <v/>
      </c>
      <c r="AZ26" s="188"/>
      <c r="BA26" s="188"/>
      <c r="BB26" s="188"/>
      <c r="BC26" s="188"/>
      <c r="BD26" s="196"/>
      <c r="BE26" s="196"/>
      <c r="BF26" s="196"/>
      <c r="BG26" s="192"/>
      <c r="BH26" s="194"/>
      <c r="BI26" s="194"/>
      <c r="BJ26" s="195"/>
      <c r="BK26" s="194"/>
    </row>
    <row r="27" spans="1:63" x14ac:dyDescent="0.25">
      <c r="A27" s="172"/>
      <c r="B27" s="179"/>
      <c r="C27" s="165"/>
      <c r="D27" s="171"/>
      <c r="E27" s="189"/>
      <c r="F27" s="188"/>
      <c r="G27" s="188"/>
      <c r="H27" s="189"/>
      <c r="I27" s="189"/>
      <c r="J27" s="19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92"/>
      <c r="T27" s="191"/>
      <c r="U27" s="291"/>
      <c r="V27" s="291"/>
      <c r="W27" s="291"/>
      <c r="X27" s="291"/>
      <c r="Y27" s="291"/>
      <c r="Z27" s="291"/>
      <c r="AA27" s="291"/>
      <c r="AB27" s="291"/>
      <c r="AC27" s="291"/>
      <c r="AD27" s="291"/>
      <c r="AE27" s="291"/>
      <c r="AF27" s="305"/>
      <c r="AG27" s="291">
        <f>SUM(PORTEFEUILLE_DELPHINE[[#This Row],[PCR COMPTABLE €]:[MONTANT
RESPONSABLE RELATION CLIENT €]])</f>
        <v>0</v>
      </c>
      <c r="AH27" s="225">
        <f>SUM(PORTEFEUILLE_DELPHINE[[#This Row],[PCR COMPTABLE €]:[MONTANT
RESPONSABLE RELATION CLIENT €]])-PORTEFEUILLE_DELPHINE[[#This Row],[MONTANT TOTAL LETTRE DE MISION €]]</f>
        <v>0</v>
      </c>
      <c r="AI27" s="191"/>
      <c r="AJ27" s="188"/>
      <c r="AK27" s="188"/>
      <c r="AL27" s="188"/>
      <c r="AM27" s="191"/>
      <c r="AN27" s="188"/>
      <c r="AO27" s="188"/>
      <c r="AP27" s="188"/>
      <c r="AQ27" s="188"/>
      <c r="AR2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7" s="188" t="str">
        <f>IF(PORTEFEUILLE_DELPHINE[[#This Row],[BONI AAC]]&lt;&gt;0,1,"")</f>
        <v/>
      </c>
      <c r="AU27" s="188" t="str">
        <f>IF(PORTEFEUILLE_DELPHINE[[#This Row],[MALI AAC]]&lt;&gt;0,1,"")</f>
        <v/>
      </c>
      <c r="AV27" s="225">
        <f>IF(AP27&lt;&gt;"",IF((AP27*Paramètres!$H$4)-PORTEFEUILLE_DELPHINE[[#This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€]]-(DELPHINE!AP27*Paramètres!$H$4),0),0)</f>
        <v>0</v>
      </c>
      <c r="AW27" s="225">
        <f>IF(AP27&lt;&gt;"",IF(((AP27*Paramètres!$H$4)-PORTEFEUILLE_DELPHINE[[#This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7" s="190" t="str">
        <f>IF(PORTEFEUILLE_DELPHINE[[#This Row],[BONI COMPTABLE]]&lt;&gt;0,1,"")</f>
        <v/>
      </c>
      <c r="AY27" s="190" t="str">
        <f>IF(PORTEFEUILLE_DELPHINE[[#This Row],[MALI COMPTABLE]]&lt;&gt;0,1,"")</f>
        <v/>
      </c>
      <c r="AZ27" s="188"/>
      <c r="BA27" s="188"/>
      <c r="BB27" s="188"/>
      <c r="BC27" s="188"/>
      <c r="BD27" s="196"/>
      <c r="BE27" s="196"/>
      <c r="BF27" s="196"/>
      <c r="BG27" s="192"/>
      <c r="BH27" s="194"/>
      <c r="BI27" s="194"/>
      <c r="BJ27" s="195"/>
      <c r="BK27" s="194"/>
    </row>
    <row r="28" spans="1:63" x14ac:dyDescent="0.25">
      <c r="A28" s="172"/>
      <c r="B28" s="18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92"/>
      <c r="T28" s="191"/>
      <c r="U28" s="291"/>
      <c r="V28" s="291"/>
      <c r="W28" s="291"/>
      <c r="X28" s="291"/>
      <c r="Y28" s="291"/>
      <c r="Z28" s="291"/>
      <c r="AA28" s="291"/>
      <c r="AB28" s="291"/>
      <c r="AC28" s="291"/>
      <c r="AD28" s="291"/>
      <c r="AE28" s="291"/>
      <c r="AF28" s="305"/>
      <c r="AG28" s="291">
        <f>SUM(PORTEFEUILLE_DELPHINE[[#This Row],[PCR COMPTABLE €]:[MONTANT
RESPONSABLE RELATION CLIENT €]])</f>
        <v>0</v>
      </c>
      <c r="AH28" s="225">
        <f>SUM(PORTEFEUILLE_DELPHINE[[#This Row],[PCR COMPTABLE €]:[MONTANT
RESPONSABLE RELATION CLIENT €]])-PORTEFEUILLE_DELPHINE[[#This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8" s="188" t="str">
        <f>IF(PORTEFEUILLE_DELPHINE[[#This Row],[BONI AAC]]&lt;&gt;0,1,"")</f>
        <v/>
      </c>
      <c r="AU28" s="188" t="str">
        <f>IF(PORTEFEUILLE_DELPHINE[[#This Row],[MALI AAC]]&lt;&gt;0,1,"")</f>
        <v/>
      </c>
      <c r="AV28" s="225">
        <f>IF(AP28&lt;&gt;"",IF((AP28*Paramètres!$H$4)-PORTEFEUILLE_DELPHINE[[#This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€]]-(DELPHINE!AP28*Paramètres!$H$4),0),0)</f>
        <v>0</v>
      </c>
      <c r="AW28" s="225">
        <f>IF(AP28&lt;&gt;"",IF(((AP28*Paramètres!$H$4)-PORTEFEUILLE_DELPHINE[[#This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8" s="190" t="str">
        <f>IF(PORTEFEUILLE_DELPHINE[[#This Row],[BONI COMPTABLE]]&lt;&gt;0,1,"")</f>
        <v/>
      </c>
      <c r="AY28" s="190" t="str">
        <f>IF(PORTEFEUILLE_DELPHINE[[#This Row],[MALI COMPTABLE]]&lt;&gt;0,1,"")</f>
        <v/>
      </c>
      <c r="AZ28" s="188"/>
      <c r="BA28" s="188"/>
      <c r="BB28" s="188"/>
      <c r="BC28" s="188"/>
      <c r="BD28" s="188"/>
      <c r="BE28" s="188"/>
      <c r="BF28" s="188"/>
      <c r="BG28" s="192"/>
      <c r="BH28" s="194"/>
      <c r="BI28" s="194"/>
      <c r="BJ28" s="195"/>
      <c r="BK28" s="194"/>
    </row>
    <row r="29" spans="1:63" x14ac:dyDescent="0.25">
      <c r="A29" s="172"/>
      <c r="B29" s="178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92"/>
      <c r="T29" s="191"/>
      <c r="U29" s="291"/>
      <c r="V29" s="291"/>
      <c r="W29" s="291"/>
      <c r="X29" s="291"/>
      <c r="Y29" s="291"/>
      <c r="Z29" s="291"/>
      <c r="AA29" s="291"/>
      <c r="AB29" s="291"/>
      <c r="AC29" s="291"/>
      <c r="AD29" s="291"/>
      <c r="AE29" s="291"/>
      <c r="AF29" s="305"/>
      <c r="AG29" s="291">
        <f>SUM(PORTEFEUILLE_DELPHINE[[#This Row],[PCR COMPTABLE €]:[MONTANT
RESPONSABLE RELATION CLIENT €]])</f>
        <v>0</v>
      </c>
      <c r="AH29" s="225">
        <f>SUM(PORTEFEUILLE_DELPHINE[[#This Row],[PCR COMPTABLE €]:[MONTANT
RESPONSABLE RELATION CLIENT €]])-PORTEFEUILLE_DELPHINE[[#This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9" s="188" t="str">
        <f>IF(PORTEFEUILLE_DELPHINE[[#This Row],[BONI AAC]]&lt;&gt;0,1,"")</f>
        <v/>
      </c>
      <c r="AU29" s="188" t="str">
        <f>IF(PORTEFEUILLE_DELPHINE[[#This Row],[MALI AAC]]&lt;&gt;0,1,"")</f>
        <v/>
      </c>
      <c r="AV29" s="225">
        <f>IF(AP29&lt;&gt;"",IF((AP29*Paramètres!$H$4)-PORTEFEUILLE_DELPHINE[[#This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€]]-(DELPHINE!AP29*Paramètres!$H$4),0),0)</f>
        <v>0</v>
      </c>
      <c r="AW29" s="225">
        <f>IF(AP29&lt;&gt;"",IF(((AP29*Paramètres!$H$4)-PORTEFEUILLE_DELPHINE[[#This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9" s="190" t="str">
        <f>IF(PORTEFEUILLE_DELPHINE[[#This Row],[BONI COMPTABLE]]&lt;&gt;0,1,"")</f>
        <v/>
      </c>
      <c r="AY29" s="190" t="str">
        <f>IF(PORTEFEUILLE_DELPHINE[[#This Row],[MALI COMPTABLE]]&lt;&gt;0,1,"")</f>
        <v/>
      </c>
      <c r="AZ29" s="188"/>
      <c r="BA29" s="188"/>
      <c r="BB29" s="188"/>
      <c r="BC29" s="188"/>
      <c r="BD29" s="188"/>
      <c r="BE29" s="188"/>
      <c r="BF29" s="188"/>
      <c r="BG29" s="192"/>
      <c r="BH29" s="194"/>
      <c r="BI29" s="194"/>
      <c r="BJ29" s="195"/>
      <c r="BK29" s="194"/>
    </row>
    <row r="30" spans="1:63" x14ac:dyDescent="0.25">
      <c r="A30" s="172"/>
      <c r="B30" s="178"/>
      <c r="C30" s="165"/>
      <c r="D30" s="171"/>
      <c r="E30" s="189"/>
      <c r="F30" s="188"/>
      <c r="G30" s="188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88"/>
      <c r="T30" s="289"/>
      <c r="U30" s="290"/>
      <c r="V30" s="290"/>
      <c r="W30" s="290"/>
      <c r="X30" s="290"/>
      <c r="Y30" s="290"/>
      <c r="Z30" s="290"/>
      <c r="AA30" s="290"/>
      <c r="AB30" s="290"/>
      <c r="AC30" s="290"/>
      <c r="AD30" s="290"/>
      <c r="AE30" s="290"/>
      <c r="AF30" s="306"/>
      <c r="AG30" s="291">
        <f>SUM(PORTEFEUILLE_DELPHINE[[#This Row],[PCR COMPTABLE €]:[MONTANT
RESPONSABLE RELATION CLIENT €]])</f>
        <v>0</v>
      </c>
      <c r="AH30" s="225">
        <f>SUM(PORTEFEUILLE_DELPHINE[[#This Row],[PCR COMPTABLE €]:[MONTANT
RESPONSABLE RELATION CLIENT €]])-PORTEFEUILLE_DELPHINE[[#This Row],[MONTANT TOTAL LETTRE DE MISION €]]</f>
        <v>0</v>
      </c>
      <c r="AI30" s="191"/>
      <c r="AJ30" s="188"/>
      <c r="AK30" s="188"/>
      <c r="AL30" s="188"/>
      <c r="AM30" s="191"/>
      <c r="AN30" s="196"/>
      <c r="AO30" s="196"/>
      <c r="AP30" s="196"/>
      <c r="AQ30" s="196"/>
      <c r="AR3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0" s="188" t="str">
        <f>IF(PORTEFEUILLE_DELPHINE[[#This Row],[BONI AAC]]&lt;&gt;0,1,"")</f>
        <v/>
      </c>
      <c r="AU30" s="188" t="str">
        <f>IF(PORTEFEUILLE_DELPHINE[[#This Row],[MALI AAC]]&lt;&gt;0,1,"")</f>
        <v/>
      </c>
      <c r="AV30" s="225">
        <f>IF(AP30&lt;&gt;"",IF((AP30*Paramètres!$H$4)-PORTEFEUILLE_DELPHINE[[#This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€]]-(DELPHINE!AP30*Paramètres!$H$4),0),0)</f>
        <v>0</v>
      </c>
      <c r="AW30" s="225">
        <f>IF(AP30&lt;&gt;"",IF(((AP30*Paramètres!$H$4)-PORTEFEUILLE_DELPHINE[[#This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0" s="190" t="str">
        <f>IF(PORTEFEUILLE_DELPHINE[[#This Row],[BONI COMPTABLE]]&lt;&gt;0,1,"")</f>
        <v/>
      </c>
      <c r="AY30" s="190" t="str">
        <f>IF(PORTEFEUILLE_DELPHINE[[#This Row],[MALI COMPTABLE]]&lt;&gt;0,1,"")</f>
        <v/>
      </c>
      <c r="AZ30" s="196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8"/>
      <c r="C31" s="165"/>
      <c r="D31" s="171"/>
      <c r="E31" s="189"/>
      <c r="F31" s="188"/>
      <c r="G31" s="188"/>
      <c r="H31" s="189"/>
      <c r="I31" s="188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88"/>
      <c r="T31" s="289"/>
      <c r="U31" s="290"/>
      <c r="V31" s="290"/>
      <c r="W31" s="290"/>
      <c r="X31" s="290"/>
      <c r="Y31" s="290"/>
      <c r="Z31" s="290"/>
      <c r="AA31" s="290"/>
      <c r="AB31" s="290"/>
      <c r="AC31" s="290"/>
      <c r="AD31" s="290"/>
      <c r="AE31" s="290"/>
      <c r="AF31" s="306"/>
      <c r="AG31" s="291">
        <f>SUM(PORTEFEUILLE_DELPHINE[[#This Row],[PCR COMPTABLE €]:[MONTANT
RESPONSABLE RELATION CLIENT €]])</f>
        <v>0</v>
      </c>
      <c r="AH31" s="225">
        <f>SUM(PORTEFEUILLE_DELPHINE[[#This Row],[PCR COMPTABLE €]:[MONTANT
RESPONSABLE RELATION CLIENT €]])-PORTEFEUILLE_DELPHINE[[#This Row],[MONTANT TOTAL LETTRE DE MISION €]]</f>
        <v>0</v>
      </c>
      <c r="AI31" s="191"/>
      <c r="AJ31" s="188"/>
      <c r="AK31" s="188"/>
      <c r="AL31" s="188"/>
      <c r="AM31" s="191"/>
      <c r="AN31" s="196"/>
      <c r="AO31" s="196"/>
      <c r="AP31" s="196"/>
      <c r="AQ31" s="196"/>
      <c r="AR3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1" s="188" t="str">
        <f>IF(PORTEFEUILLE_DELPHINE[[#This Row],[BONI AAC]]&lt;&gt;0,1,"")</f>
        <v/>
      </c>
      <c r="AU31" s="188" t="str">
        <f>IF(PORTEFEUILLE_DELPHINE[[#This Row],[MALI AAC]]&lt;&gt;0,1,"")</f>
        <v/>
      </c>
      <c r="AV31" s="225">
        <f>IF(AP31&lt;&gt;"",IF((AP31*Paramètres!$H$4)-PORTEFEUILLE_DELPHINE[[#This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€]]-(DELPHINE!AP31*Paramètres!$H$4),0),0)</f>
        <v>0</v>
      </c>
      <c r="AW31" s="225">
        <f>IF(AP31&lt;&gt;"",IF(((AP31*Paramètres!$H$4)-PORTEFEUILLE_DELPHINE[[#This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1" s="190" t="str">
        <f>IF(PORTEFEUILLE_DELPHINE[[#This Row],[BONI COMPTABLE]]&lt;&gt;0,1,"")</f>
        <v/>
      </c>
      <c r="AY31" s="190" t="str">
        <f>IF(PORTEFEUILLE_DELPHINE[[#This Row],[MALI COMPTABLE]]&lt;&gt;0,1,"")</f>
        <v/>
      </c>
      <c r="AZ31" s="196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8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92"/>
      <c r="T32" s="191"/>
      <c r="U32" s="291"/>
      <c r="V32" s="291"/>
      <c r="W32" s="291"/>
      <c r="X32" s="291"/>
      <c r="Y32" s="291"/>
      <c r="Z32" s="291"/>
      <c r="AA32" s="291"/>
      <c r="AB32" s="291"/>
      <c r="AC32" s="291"/>
      <c r="AD32" s="291"/>
      <c r="AE32" s="291"/>
      <c r="AF32" s="305"/>
      <c r="AG32" s="291">
        <f>SUM(PORTEFEUILLE_DELPHINE[[#This Row],[PCR COMPTABLE €]:[MONTANT
RESPONSABLE RELATION CLIENT €]])</f>
        <v>0</v>
      </c>
      <c r="AH32" s="225">
        <f>SUM(PORTEFEUILLE_DELPHINE[[#This Row],[PCR COMPTABLE €]:[MONTANT
RESPONSABLE RELATION CLIENT €]])-PORTEFEUILLE_DELPHINE[[#This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2" s="188" t="str">
        <f>IF(PORTEFEUILLE_DELPHINE[[#This Row],[BONI AAC]]&lt;&gt;0,1,"")</f>
        <v/>
      </c>
      <c r="AU32" s="188" t="str">
        <f>IF(PORTEFEUILLE_DELPHINE[[#This Row],[MALI AAC]]&lt;&gt;0,1,"")</f>
        <v/>
      </c>
      <c r="AV32" s="225">
        <f>IF(AP32&lt;&gt;"",IF((AP32*Paramètres!$H$4)-PORTEFEUILLE_DELPHINE[[#This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€]]-(DELPHINE!AP32*Paramètres!$H$4),0),0)</f>
        <v>0</v>
      </c>
      <c r="AW32" s="225">
        <f>IF(AP32&lt;&gt;"",IF(((AP32*Paramètres!$H$4)-PORTEFEUILLE_DELPHINE[[#This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2" s="190" t="str">
        <f>IF(PORTEFEUILLE_DELPHINE[[#This Row],[BONI COMPTABLE]]&lt;&gt;0,1,"")</f>
        <v/>
      </c>
      <c r="AY32" s="190" t="str">
        <f>IF(PORTEFEUILLE_DELPHINE[[#This Row],[MALI COMPTABLE]]&lt;&gt;0,1,"")</f>
        <v/>
      </c>
      <c r="AZ32" s="188"/>
      <c r="BA32" s="188"/>
      <c r="BB32" s="188"/>
      <c r="BC32" s="188"/>
      <c r="BD32" s="196"/>
      <c r="BE32" s="196"/>
      <c r="BF32" s="196"/>
      <c r="BG32" s="192"/>
      <c r="BH32" s="194"/>
      <c r="BI32" s="194"/>
      <c r="BJ32" s="195"/>
      <c r="BK32" s="194"/>
    </row>
    <row r="33" spans="1:63" customFormat="1" x14ac:dyDescent="0.25">
      <c r="A33" s="172"/>
      <c r="B33" s="181"/>
      <c r="C33" s="165"/>
      <c r="D33" s="165"/>
      <c r="E33" s="189"/>
      <c r="F33" s="188"/>
      <c r="G33" s="189"/>
      <c r="H33" s="189"/>
      <c r="I33" s="189"/>
      <c r="J33" s="19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92"/>
      <c r="T33" s="191"/>
      <c r="U33" s="291"/>
      <c r="V33" s="291"/>
      <c r="W33" s="291"/>
      <c r="X33" s="291"/>
      <c r="Y33" s="291"/>
      <c r="Z33" s="291"/>
      <c r="AA33" s="291"/>
      <c r="AB33" s="291"/>
      <c r="AC33" s="291"/>
      <c r="AD33" s="291"/>
      <c r="AE33" s="291"/>
      <c r="AF33" s="305"/>
      <c r="AG33" s="291">
        <f>SUM(PORTEFEUILLE_DELPHINE[[#This Row],[PCR COMPTABLE €]:[MONTANT
RESPONSABLE RELATION CLIENT €]])</f>
        <v>0</v>
      </c>
      <c r="AH33" s="225">
        <f>SUM(PORTEFEUILLE_DELPHINE[[#This Row],[PCR COMPTABLE €]:[MONTANT
RESPONSABLE RELATION CLIENT €]])-PORTEFEUILLE_DELPHINE[[#This Row],[MONTANT TOTAL LETTRE DE MISION €]]</f>
        <v>0</v>
      </c>
      <c r="AI33" s="191"/>
      <c r="AJ33" s="188"/>
      <c r="AK33" s="188"/>
      <c r="AL33" s="188"/>
      <c r="AM33" s="191"/>
      <c r="AN33" s="188"/>
      <c r="AO33" s="188"/>
      <c r="AP33" s="188"/>
      <c r="AQ33" s="188"/>
      <c r="AR3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3" s="188" t="str">
        <f>IF(PORTEFEUILLE_DELPHINE[[#This Row],[BONI AAC]]&lt;&gt;0,1,"")</f>
        <v/>
      </c>
      <c r="AU33" s="188" t="str">
        <f>IF(PORTEFEUILLE_DELPHINE[[#This Row],[MALI AAC]]&lt;&gt;0,1,"")</f>
        <v/>
      </c>
      <c r="AV33" s="225">
        <f>IF(AP33&lt;&gt;"",IF((AP33*Paramètres!$H$4)-PORTEFEUILLE_DELPHINE[[#This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€]]-(DELPHINE!AP33*Paramètres!$H$4),0),0)</f>
        <v>0</v>
      </c>
      <c r="AW33" s="225">
        <f>IF(AP33&lt;&gt;"",IF(((AP33*Paramètres!$H$4)-PORTEFEUILLE_DELPHINE[[#This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3" s="190" t="str">
        <f>IF(PORTEFEUILLE_DELPHINE[[#This Row],[BONI COMPTABLE]]&lt;&gt;0,1,"")</f>
        <v/>
      </c>
      <c r="AY33" s="190" t="str">
        <f>IF(PORTEFEUILLE_DELPHINE[[#This Row],[MALI COMPTABLE]]&lt;&gt;0,1,"")</f>
        <v/>
      </c>
      <c r="AZ33" s="188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81"/>
      <c r="C34" s="165"/>
      <c r="D34" s="165"/>
      <c r="E34" s="189"/>
      <c r="F34" s="188"/>
      <c r="G34" s="189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92"/>
      <c r="T34" s="191"/>
      <c r="U34" s="291"/>
      <c r="V34" s="291"/>
      <c r="W34" s="291"/>
      <c r="X34" s="291"/>
      <c r="Y34" s="291"/>
      <c r="Z34" s="291"/>
      <c r="AA34" s="291"/>
      <c r="AB34" s="291"/>
      <c r="AC34" s="291"/>
      <c r="AD34" s="291"/>
      <c r="AE34" s="291"/>
      <c r="AF34" s="305"/>
      <c r="AG34" s="291">
        <f>SUM(PORTEFEUILLE_DELPHINE[[#This Row],[PCR COMPTABLE €]:[MONTANT
RESPONSABLE RELATION CLIENT €]])</f>
        <v>0</v>
      </c>
      <c r="AH34" s="225">
        <f>SUM(PORTEFEUILLE_DELPHINE[[#This Row],[PCR COMPTABLE €]:[MONTANT
RESPONSABLE RELATION CLIENT €]])-PORTEFEUILLE_DELPHINE[[#This Row],[MONTANT TOTAL LETTRE DE MISION €]]</f>
        <v>0</v>
      </c>
      <c r="AI34" s="191"/>
      <c r="AJ34" s="188"/>
      <c r="AK34" s="188"/>
      <c r="AL34" s="188"/>
      <c r="AM34" s="191"/>
      <c r="AN34" s="188"/>
      <c r="AO34" s="188"/>
      <c r="AP34" s="188"/>
      <c r="AQ34" s="188"/>
      <c r="AR3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4" s="188" t="str">
        <f>IF(PORTEFEUILLE_DELPHINE[[#This Row],[BONI AAC]]&lt;&gt;0,1,"")</f>
        <v/>
      </c>
      <c r="AU34" s="188" t="str">
        <f>IF(PORTEFEUILLE_DELPHINE[[#This Row],[MALI AAC]]&lt;&gt;0,1,"")</f>
        <v/>
      </c>
      <c r="AV34" s="225">
        <f>IF(AP34&lt;&gt;"",IF((AP34*Paramètres!$H$4)-PORTEFEUILLE_DELPHINE[[#This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€]]-(DELPHINE!AP34*Paramètres!$H$4),0),0)</f>
        <v>0</v>
      </c>
      <c r="AW34" s="225">
        <f>IF(AP34&lt;&gt;"",IF(((AP34*Paramètres!$H$4)-PORTEFEUILLE_DELPHINE[[#This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4" s="190" t="str">
        <f>IF(PORTEFEUILLE_DELPHINE[[#This Row],[BONI COMPTABLE]]&lt;&gt;0,1,"")</f>
        <v/>
      </c>
      <c r="AY34" s="190" t="str">
        <f>IF(PORTEFEUILLE_DELPHINE[[#This Row],[MALI COMPTABLE]]&lt;&gt;0,1,"")</f>
        <v/>
      </c>
      <c r="AZ34" s="188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81"/>
      <c r="C35" s="165"/>
      <c r="D35" s="171"/>
      <c r="E35" s="189"/>
      <c r="F35" s="188"/>
      <c r="G35" s="188"/>
      <c r="H35" s="189"/>
      <c r="I35" s="188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88"/>
      <c r="T35" s="289"/>
      <c r="U35" s="290"/>
      <c r="V35" s="290"/>
      <c r="W35" s="290"/>
      <c r="X35" s="290"/>
      <c r="Y35" s="290"/>
      <c r="Z35" s="290"/>
      <c r="AA35" s="290"/>
      <c r="AB35" s="290"/>
      <c r="AC35" s="290"/>
      <c r="AD35" s="290"/>
      <c r="AE35" s="290"/>
      <c r="AF35" s="306"/>
      <c r="AG35" s="291">
        <f>SUM(PORTEFEUILLE_DELPHINE[[#This Row],[PCR COMPTABLE €]:[MONTANT
RESPONSABLE RELATION CLIENT €]])</f>
        <v>0</v>
      </c>
      <c r="AH35" s="225">
        <f>SUM(PORTEFEUILLE_DELPHINE[[#This Row],[PCR COMPTABLE €]:[MONTANT
RESPONSABLE RELATION CLIENT €]])-PORTEFEUILLE_DELPHINE[[#This Row],[MONTANT TOTAL LETTRE DE MISION €]]</f>
        <v>0</v>
      </c>
      <c r="AI35" s="191"/>
      <c r="AJ35" s="188"/>
      <c r="AK35" s="188"/>
      <c r="AL35" s="188"/>
      <c r="AM35" s="191"/>
      <c r="AN35" s="196"/>
      <c r="AO35" s="196"/>
      <c r="AP35" s="196"/>
      <c r="AQ35" s="196"/>
      <c r="AR3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5" s="188" t="str">
        <f>IF(PORTEFEUILLE_DELPHINE[[#This Row],[BONI AAC]]&lt;&gt;0,1,"")</f>
        <v/>
      </c>
      <c r="AU35" s="188" t="str">
        <f>IF(PORTEFEUILLE_DELPHINE[[#This Row],[MALI AAC]]&lt;&gt;0,1,"")</f>
        <v/>
      </c>
      <c r="AV35" s="225">
        <f>IF(AP35&lt;&gt;"",IF((AP35*Paramètres!$H$4)-PORTEFEUILLE_DELPHINE[[#This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€]]-(DELPHINE!AP35*Paramètres!$H$4),0),0)</f>
        <v>0</v>
      </c>
      <c r="AW35" s="225">
        <f>IF(AP35&lt;&gt;"",IF(((AP35*Paramètres!$H$4)-PORTEFEUILLE_DELPHINE[[#This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5" s="190" t="str">
        <f>IF(PORTEFEUILLE_DELPHINE[[#This Row],[BONI COMPTABLE]]&lt;&gt;0,1,"")</f>
        <v/>
      </c>
      <c r="AY35" s="190" t="str">
        <f>IF(PORTEFEUILLE_DELPHINE[[#This Row],[MALI COMPTABLE]]&lt;&gt;0,1,"")</f>
        <v/>
      </c>
      <c r="AZ35" s="196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81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92"/>
      <c r="T36" s="191"/>
      <c r="U36" s="291"/>
      <c r="V36" s="291"/>
      <c r="W36" s="291"/>
      <c r="X36" s="291"/>
      <c r="Y36" s="291"/>
      <c r="Z36" s="291"/>
      <c r="AA36" s="291"/>
      <c r="AB36" s="291"/>
      <c r="AC36" s="291"/>
      <c r="AD36" s="291"/>
      <c r="AE36" s="291"/>
      <c r="AF36" s="305"/>
      <c r="AG36" s="291">
        <f>SUM(PORTEFEUILLE_DELPHINE[[#This Row],[PCR COMPTABLE €]:[MONTANT
RESPONSABLE RELATION CLIENT €]])</f>
        <v>0</v>
      </c>
      <c r="AH36" s="225">
        <f>SUM(PORTEFEUILLE_DELPHINE[[#This Row],[PCR COMPTABLE €]:[MONTANT
RESPONSABLE RELATION CLIENT €]])-PORTEFEUILLE_DELPHINE[[#This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6" s="188" t="str">
        <f>IF(PORTEFEUILLE_DELPHINE[[#This Row],[BONI AAC]]&lt;&gt;0,1,"")</f>
        <v/>
      </c>
      <c r="AU36" s="188" t="str">
        <f>IF(PORTEFEUILLE_DELPHINE[[#This Row],[MALI AAC]]&lt;&gt;0,1,"")</f>
        <v/>
      </c>
      <c r="AV36" s="225">
        <f>IF(AP36&lt;&gt;"",IF((AP36*Paramètres!$H$4)-PORTEFEUILLE_DELPHINE[[#This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€]]-(DELPHINE!AP36*Paramètres!$H$4),0),0)</f>
        <v>0</v>
      </c>
      <c r="AW36" s="225">
        <f>IF(AP36&lt;&gt;"",IF(((AP36*Paramètres!$H$4)-PORTEFEUILLE_DELPHINE[[#This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6" s="190" t="str">
        <f>IF(PORTEFEUILLE_DELPHINE[[#This Row],[BONI COMPTABLE]]&lt;&gt;0,1,"")</f>
        <v/>
      </c>
      <c r="AY36" s="190" t="str">
        <f>IF(PORTEFEUILLE_DELPHINE[[#This Row],[MALI COMPTABLE]]&lt;&gt;0,1,"")</f>
        <v/>
      </c>
      <c r="AZ36" s="188"/>
      <c r="BA36" s="188"/>
      <c r="BB36" s="188"/>
      <c r="BC36" s="188"/>
      <c r="BD36" s="188"/>
      <c r="BE36" s="188"/>
      <c r="BF36" s="188"/>
      <c r="BG36" s="192"/>
      <c r="BH36" s="194"/>
      <c r="BI36" s="194"/>
      <c r="BJ36" s="195"/>
      <c r="BK36" s="194"/>
    </row>
    <row r="37" spans="1:63" x14ac:dyDescent="0.25">
      <c r="A37" s="172"/>
      <c r="B37" s="180"/>
      <c r="C37" s="165"/>
      <c r="D37" s="171"/>
      <c r="E37" s="189"/>
      <c r="F37" s="188"/>
      <c r="G37" s="188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88"/>
      <c r="T37" s="289"/>
      <c r="U37" s="290"/>
      <c r="V37" s="290"/>
      <c r="W37" s="290"/>
      <c r="X37" s="290"/>
      <c r="Y37" s="290"/>
      <c r="Z37" s="290"/>
      <c r="AA37" s="290"/>
      <c r="AB37" s="290"/>
      <c r="AC37" s="290"/>
      <c r="AD37" s="290"/>
      <c r="AE37" s="290"/>
      <c r="AF37" s="306"/>
      <c r="AG37" s="291">
        <f>SUM(PORTEFEUILLE_DELPHINE[[#This Row],[PCR COMPTABLE €]:[MONTANT
RESPONSABLE RELATION CLIENT €]])</f>
        <v>0</v>
      </c>
      <c r="AH37" s="225">
        <f>SUM(PORTEFEUILLE_DELPHINE[[#This Row],[PCR COMPTABLE €]:[MONTANT
RESPONSABLE RELATION CLIENT €]])-PORTEFEUILLE_DELPHINE[[#This Row],[MONTANT TOTAL LETTRE DE MISION €]]</f>
        <v>0</v>
      </c>
      <c r="AI37" s="191"/>
      <c r="AJ37" s="188"/>
      <c r="AK37" s="188"/>
      <c r="AL37" s="188"/>
      <c r="AM37" s="191"/>
      <c r="AN37" s="196"/>
      <c r="AO37" s="196"/>
      <c r="AP37" s="196"/>
      <c r="AQ37" s="196"/>
      <c r="AR3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7" s="188" t="str">
        <f>IF(PORTEFEUILLE_DELPHINE[[#This Row],[BONI AAC]]&lt;&gt;0,1,"")</f>
        <v/>
      </c>
      <c r="AU37" s="188" t="str">
        <f>IF(PORTEFEUILLE_DELPHINE[[#This Row],[MALI AAC]]&lt;&gt;0,1,"")</f>
        <v/>
      </c>
      <c r="AV37" s="225">
        <f>IF(AP37&lt;&gt;"",IF((AP37*Paramètres!$H$4)-PORTEFEUILLE_DELPHINE[[#This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€]]-(DELPHINE!AP37*Paramètres!$H$4),0),0)</f>
        <v>0</v>
      </c>
      <c r="AW37" s="225">
        <f>IF(AP37&lt;&gt;"",IF(((AP37*Paramètres!$H$4)-PORTEFEUILLE_DELPHINE[[#This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7" s="190" t="str">
        <f>IF(PORTEFEUILLE_DELPHINE[[#This Row],[BONI COMPTABLE]]&lt;&gt;0,1,"")</f>
        <v/>
      </c>
      <c r="AY37" s="190" t="str">
        <f>IF(PORTEFEUILLE_DELPHINE[[#This Row],[MALI COMPTABLE]]&lt;&gt;0,1,"")</f>
        <v/>
      </c>
      <c r="AZ37" s="196"/>
      <c r="BA37" s="188"/>
      <c r="BB37" s="188"/>
      <c r="BC37" s="188"/>
      <c r="BD37" s="188"/>
      <c r="BE37" s="188"/>
      <c r="BF37" s="188"/>
      <c r="BG37" s="192"/>
      <c r="BH37" s="194"/>
      <c r="BI37" s="194"/>
      <c r="BJ37" s="195"/>
      <c r="BK37" s="194"/>
    </row>
    <row r="38" spans="1:63" x14ac:dyDescent="0.25">
      <c r="A38" s="172"/>
      <c r="B38" s="180"/>
      <c r="C38" s="165"/>
      <c r="D38" s="171"/>
      <c r="E38" s="189"/>
      <c r="F38" s="188"/>
      <c r="G38" s="189"/>
      <c r="H38" s="189"/>
      <c r="I38" s="189"/>
      <c r="J38" s="18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92"/>
      <c r="T38" s="191"/>
      <c r="U38" s="291"/>
      <c r="V38" s="291"/>
      <c r="W38" s="291"/>
      <c r="X38" s="291"/>
      <c r="Y38" s="291"/>
      <c r="Z38" s="291"/>
      <c r="AA38" s="291"/>
      <c r="AB38" s="291"/>
      <c r="AC38" s="291"/>
      <c r="AD38" s="291"/>
      <c r="AE38" s="291"/>
      <c r="AF38" s="305"/>
      <c r="AG38" s="291">
        <f>SUM(PORTEFEUILLE_DELPHINE[[#This Row],[PCR COMPTABLE €]:[MONTANT
RESPONSABLE RELATION CLIENT €]])</f>
        <v>0</v>
      </c>
      <c r="AH38" s="225">
        <f>SUM(PORTEFEUILLE_DELPHINE[[#This Row],[PCR COMPTABLE €]:[MONTANT
RESPONSABLE RELATION CLIENT €]])-PORTEFEUILLE_DELPHINE[[#This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8" s="188" t="str">
        <f>IF(PORTEFEUILLE_DELPHINE[[#This Row],[BONI AAC]]&lt;&gt;0,1,"")</f>
        <v/>
      </c>
      <c r="AU38" s="188" t="str">
        <f>IF(PORTEFEUILLE_DELPHINE[[#This Row],[MALI AAC]]&lt;&gt;0,1,"")</f>
        <v/>
      </c>
      <c r="AV38" s="225">
        <f>IF(AP38&lt;&gt;"",IF((AP38*Paramètres!$H$4)-PORTEFEUILLE_DELPHINE[[#This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€]]-(DELPHINE!AP38*Paramètres!$H$4),0),0)</f>
        <v>0</v>
      </c>
      <c r="AW38" s="225">
        <f>IF(AP38&lt;&gt;"",IF(((AP38*Paramètres!$H$4)-PORTEFEUILLE_DELPHINE[[#This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8" s="190" t="str">
        <f>IF(PORTEFEUILLE_DELPHINE[[#This Row],[BONI COMPTABLE]]&lt;&gt;0,1,"")</f>
        <v/>
      </c>
      <c r="AY38" s="190" t="str">
        <f>IF(PORTEFEUILLE_DELPHINE[[#This Row],[MALI COMPTABLE]]&lt;&gt;0,1,"")</f>
        <v/>
      </c>
      <c r="AZ38" s="188"/>
      <c r="BA38" s="188"/>
      <c r="BB38" s="188"/>
      <c r="BC38" s="188"/>
      <c r="BD38" s="196"/>
      <c r="BE38" s="188"/>
      <c r="BF38" s="188"/>
      <c r="BG38" s="192"/>
      <c r="BH38" s="194"/>
      <c r="BI38" s="194"/>
      <c r="BJ38" s="195"/>
      <c r="BK38" s="194"/>
    </row>
    <row r="39" spans="1:63" x14ac:dyDescent="0.25">
      <c r="A39" s="172"/>
      <c r="B39" s="170"/>
      <c r="C39" s="165"/>
      <c r="D39" s="171"/>
      <c r="E39" s="189"/>
      <c r="F39" s="188"/>
      <c r="G39" s="188"/>
      <c r="H39" s="189"/>
      <c r="I39" s="188"/>
      <c r="J39" s="188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88"/>
      <c r="T39" s="289"/>
      <c r="U39" s="290"/>
      <c r="V39" s="290"/>
      <c r="W39" s="290"/>
      <c r="X39" s="290"/>
      <c r="Y39" s="290"/>
      <c r="Z39" s="290"/>
      <c r="AA39" s="290"/>
      <c r="AB39" s="290"/>
      <c r="AC39" s="290"/>
      <c r="AD39" s="290"/>
      <c r="AE39" s="290"/>
      <c r="AF39" s="306"/>
      <c r="AG39" s="291">
        <f>SUM(PORTEFEUILLE_DELPHINE[[#This Row],[PCR COMPTABLE €]:[MONTANT
RESPONSABLE RELATION CLIENT €]])</f>
        <v>0</v>
      </c>
      <c r="AH39" s="225">
        <f>SUM(PORTEFEUILLE_DELPHINE[[#This Row],[PCR COMPTABLE €]:[MONTANT
RESPONSABLE RELATION CLIENT €]])-PORTEFEUILLE_DELPHINE[[#This Row],[MONTANT TOTAL LETTRE DE MISION €]]</f>
        <v>0</v>
      </c>
      <c r="AI39" s="191"/>
      <c r="AJ39" s="188"/>
      <c r="AK39" s="188"/>
      <c r="AL39" s="188"/>
      <c r="AM39" s="191"/>
      <c r="AN39" s="196"/>
      <c r="AO39" s="196"/>
      <c r="AP39" s="196"/>
      <c r="AQ39" s="196"/>
      <c r="AR3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9" s="188" t="str">
        <f>IF(PORTEFEUILLE_DELPHINE[[#This Row],[BONI AAC]]&lt;&gt;0,1,"")</f>
        <v/>
      </c>
      <c r="AU39" s="188" t="str">
        <f>IF(PORTEFEUILLE_DELPHINE[[#This Row],[MALI AAC]]&lt;&gt;0,1,"")</f>
        <v/>
      </c>
      <c r="AV39" s="225">
        <f>IF(AP39&lt;&gt;"",IF((AP39*Paramètres!$H$4)-PORTEFEUILLE_DELPHINE[[#This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€]]-(DELPHINE!AP39*Paramètres!$H$4),0),0)</f>
        <v>0</v>
      </c>
      <c r="AW39" s="225">
        <f>IF(AP39&lt;&gt;"",IF(((AP39*Paramètres!$H$4)-PORTEFEUILLE_DELPHINE[[#This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9" s="190" t="str">
        <f>IF(PORTEFEUILLE_DELPHINE[[#This Row],[BONI COMPTABLE]]&lt;&gt;0,1,"")</f>
        <v/>
      </c>
      <c r="AY39" s="190" t="str">
        <f>IF(PORTEFEUILLE_DELPHINE[[#This Row],[MALI COMPTABLE]]&lt;&gt;0,1,"")</f>
        <v/>
      </c>
      <c r="AZ39" s="196"/>
      <c r="BA39" s="188"/>
      <c r="BB39" s="188"/>
      <c r="BC39" s="188"/>
      <c r="BD39" s="196"/>
      <c r="BE39" s="196"/>
      <c r="BF39" s="196"/>
      <c r="BG39" s="192"/>
      <c r="BH39" s="194"/>
      <c r="BI39" s="194"/>
      <c r="BJ39" s="195"/>
      <c r="BK39" s="194"/>
    </row>
    <row r="40" spans="1:63" x14ac:dyDescent="0.25">
      <c r="A40" s="172"/>
      <c r="B40" s="170"/>
      <c r="C40" s="165"/>
      <c r="D40" s="171"/>
      <c r="E40" s="189"/>
      <c r="F40" s="188"/>
      <c r="G40" s="188"/>
      <c r="H40" s="189"/>
      <c r="I40" s="188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88"/>
      <c r="T40" s="289"/>
      <c r="U40" s="290"/>
      <c r="V40" s="290"/>
      <c r="W40" s="290"/>
      <c r="X40" s="290"/>
      <c r="Y40" s="290"/>
      <c r="Z40" s="290"/>
      <c r="AA40" s="290"/>
      <c r="AB40" s="290"/>
      <c r="AC40" s="290"/>
      <c r="AD40" s="290"/>
      <c r="AE40" s="290"/>
      <c r="AF40" s="306"/>
      <c r="AG40" s="291">
        <f>SUM(PORTEFEUILLE_DELPHINE[[#This Row],[PCR COMPTABLE €]:[MONTANT
RESPONSABLE RELATION CLIENT €]])</f>
        <v>0</v>
      </c>
      <c r="AH40" s="225">
        <f>SUM(PORTEFEUILLE_DELPHINE[[#This Row],[PCR COMPTABLE €]:[MONTANT
RESPONSABLE RELATION CLIENT €]])-PORTEFEUILLE_DELPHINE[[#This Row],[MONTANT TOTAL LETTRE DE MISION €]]</f>
        <v>0</v>
      </c>
      <c r="AI40" s="191"/>
      <c r="AJ40" s="188"/>
      <c r="AK40" s="188"/>
      <c r="AL40" s="188"/>
      <c r="AM40" s="191"/>
      <c r="AN40" s="196"/>
      <c r="AO40" s="196"/>
      <c r="AP40" s="196"/>
      <c r="AQ40" s="196"/>
      <c r="AR4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0" s="188" t="str">
        <f>IF(PORTEFEUILLE_DELPHINE[[#This Row],[BONI AAC]]&lt;&gt;0,1,"")</f>
        <v/>
      </c>
      <c r="AU40" s="188" t="str">
        <f>IF(PORTEFEUILLE_DELPHINE[[#This Row],[MALI AAC]]&lt;&gt;0,1,"")</f>
        <v/>
      </c>
      <c r="AV40" s="225">
        <f>IF(AP40&lt;&gt;"",IF((AP40*Paramètres!$H$4)-PORTEFEUILLE_DELPHINE[[#This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€]]-(DELPHINE!AP40*Paramètres!$H$4),0),0)</f>
        <v>0</v>
      </c>
      <c r="AW40" s="225">
        <f>IF(AP40&lt;&gt;"",IF(((AP40*Paramètres!$H$4)-PORTEFEUILLE_DELPHINE[[#This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0" s="190" t="str">
        <f>IF(PORTEFEUILLE_DELPHINE[[#This Row],[BONI COMPTABLE]]&lt;&gt;0,1,"")</f>
        <v/>
      </c>
      <c r="AY40" s="190" t="str">
        <f>IF(PORTEFEUILLE_DELPHINE[[#This Row],[MALI COMPTABLE]]&lt;&gt;0,1,"")</f>
        <v/>
      </c>
      <c r="AZ40" s="196"/>
      <c r="BA40" s="188"/>
      <c r="BB40" s="188"/>
      <c r="BC40" s="188"/>
      <c r="BD40" s="196"/>
      <c r="BE40" s="196"/>
      <c r="BF40" s="196"/>
      <c r="BG40" s="192"/>
      <c r="BH40" s="194"/>
      <c r="BI40" s="194"/>
      <c r="BJ40" s="195"/>
      <c r="BK40" s="194"/>
    </row>
    <row r="41" spans="1:63" x14ac:dyDescent="0.25">
      <c r="A41" s="172"/>
      <c r="B41" s="170"/>
      <c r="C41" s="165"/>
      <c r="D41" s="171"/>
      <c r="E41" s="189"/>
      <c r="F41" s="188"/>
      <c r="G41" s="188"/>
      <c r="H41" s="189"/>
      <c r="I41" s="188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88"/>
      <c r="T41" s="289"/>
      <c r="U41" s="290"/>
      <c r="V41" s="290"/>
      <c r="W41" s="290"/>
      <c r="X41" s="290"/>
      <c r="Y41" s="290"/>
      <c r="Z41" s="290"/>
      <c r="AA41" s="290"/>
      <c r="AB41" s="290"/>
      <c r="AC41" s="290"/>
      <c r="AD41" s="290"/>
      <c r="AE41" s="290"/>
      <c r="AF41" s="306"/>
      <c r="AG41" s="291">
        <f>SUM(PORTEFEUILLE_DELPHINE[[#This Row],[PCR COMPTABLE €]:[MONTANT
RESPONSABLE RELATION CLIENT €]])</f>
        <v>0</v>
      </c>
      <c r="AH41" s="225">
        <f>SUM(PORTEFEUILLE_DELPHINE[[#This Row],[PCR COMPTABLE €]:[MONTANT
RESPONSABLE RELATION CLIENT €]])-PORTEFEUILLE_DELPHINE[[#This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1" s="188" t="str">
        <f>IF(PORTEFEUILLE_DELPHINE[[#This Row],[BONI AAC]]&lt;&gt;0,1,"")</f>
        <v/>
      </c>
      <c r="AU41" s="188" t="str">
        <f>IF(PORTEFEUILLE_DELPHINE[[#This Row],[MALI AAC]]&lt;&gt;0,1,"")</f>
        <v/>
      </c>
      <c r="AV41" s="225">
        <f>IF(AP41&lt;&gt;"",IF((AP41*Paramètres!$H$4)-PORTEFEUILLE_DELPHINE[[#This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€]]-(DELPHINE!AP41*Paramètres!$H$4),0),0)</f>
        <v>0</v>
      </c>
      <c r="AW41" s="225">
        <f>IF(AP41&lt;&gt;"",IF(((AP41*Paramètres!$H$4)-PORTEFEUILLE_DELPHINE[[#This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1" s="190" t="str">
        <f>IF(PORTEFEUILLE_DELPHINE[[#This Row],[BONI COMPTABLE]]&lt;&gt;0,1,"")</f>
        <v/>
      </c>
      <c r="AY41" s="190" t="str">
        <f>IF(PORTEFEUILLE_DELPHINE[[#This Row],[MALI COMPTABLE]]&lt;&gt;0,1,"")</f>
        <v/>
      </c>
      <c r="AZ41" s="196"/>
      <c r="BA41" s="188"/>
      <c r="BB41" s="188"/>
      <c r="BC41" s="188"/>
      <c r="BD41" s="196"/>
      <c r="BE41" s="196"/>
      <c r="BF41" s="196"/>
      <c r="BG41" s="192"/>
      <c r="BH41" s="194"/>
      <c r="BI41" s="194"/>
      <c r="BJ41" s="195"/>
      <c r="BK41" s="194"/>
    </row>
    <row r="42" spans="1:63" x14ac:dyDescent="0.25">
      <c r="A42" s="172"/>
      <c r="B42" s="182"/>
      <c r="C42" s="183"/>
      <c r="D42" s="184"/>
      <c r="E42" s="200"/>
      <c r="F42" s="201"/>
      <c r="G42" s="201"/>
      <c r="H42" s="189"/>
      <c r="I42" s="201"/>
      <c r="J42" s="201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96"/>
      <c r="T42" s="297"/>
      <c r="U42" s="298"/>
      <c r="V42" s="298"/>
      <c r="W42" s="298"/>
      <c r="X42" s="298"/>
      <c r="Y42" s="298"/>
      <c r="Z42" s="298"/>
      <c r="AA42" s="298"/>
      <c r="AB42" s="298"/>
      <c r="AC42" s="298"/>
      <c r="AD42" s="298"/>
      <c r="AE42" s="298"/>
      <c r="AF42" s="308"/>
      <c r="AG42" s="291">
        <f>SUM(PORTEFEUILLE_DELPHINE[[#This Row],[PCR COMPTABLE €]:[MONTANT
RESPONSABLE RELATION CLIENT €]])</f>
        <v>0</v>
      </c>
      <c r="AH42" s="225">
        <f>SUM(PORTEFEUILLE_DELPHINE[[#This Row],[PCR COMPTABLE €]:[MONTANT
RESPONSABLE RELATION CLIENT €]])-PORTEFEUILLE_DELPHINE[[#This Row],[MONTANT TOTAL LETTRE DE MISION €]]</f>
        <v>0</v>
      </c>
      <c r="AI42" s="191"/>
      <c r="AJ42" s="188"/>
      <c r="AK42" s="201"/>
      <c r="AL42" s="201"/>
      <c r="AM42" s="246"/>
      <c r="AN42" s="202"/>
      <c r="AO42" s="202"/>
      <c r="AP42" s="202"/>
      <c r="AQ42" s="202"/>
      <c r="AR4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2" s="188" t="str">
        <f>IF(PORTEFEUILLE_DELPHINE[[#This Row],[BONI AAC]]&lt;&gt;0,1,"")</f>
        <v/>
      </c>
      <c r="AU42" s="188" t="str">
        <f>IF(PORTEFEUILLE_DELPHINE[[#This Row],[MALI AAC]]&lt;&gt;0,1,"")</f>
        <v/>
      </c>
      <c r="AV42" s="225">
        <f>IF(AP42&lt;&gt;"",IF((AP42*Paramètres!$H$4)-PORTEFEUILLE_DELPHINE[[#This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€]]-(DELPHINE!AP42*Paramètres!$H$4),0),0)</f>
        <v>0</v>
      </c>
      <c r="AW42" s="225">
        <f>IF(AP42&lt;&gt;"",IF(((AP42*Paramètres!$H$4)-PORTEFEUILLE_DELPHINE[[#This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2" s="190" t="str">
        <f>IF(PORTEFEUILLE_DELPHINE[[#This Row],[BONI COMPTABLE]]&lt;&gt;0,1,"")</f>
        <v/>
      </c>
      <c r="AY42" s="190" t="str">
        <f>IF(PORTEFEUILLE_DELPHINE[[#This Row],[MALI COMPTABLE]]&lt;&gt;0,1,"")</f>
        <v/>
      </c>
      <c r="AZ42" s="202"/>
      <c r="BA42" s="188"/>
      <c r="BB42" s="188"/>
      <c r="BC42" s="188"/>
      <c r="BD42" s="202"/>
      <c r="BE42" s="202"/>
      <c r="BF42" s="202"/>
      <c r="BG42" s="192"/>
      <c r="BH42" s="194"/>
      <c r="BI42" s="194"/>
      <c r="BJ42" s="195"/>
      <c r="BK42" s="194"/>
    </row>
    <row r="43" spans="1:63" x14ac:dyDescent="0.25">
      <c r="A43" s="172"/>
      <c r="B43" s="185"/>
      <c r="C43" s="172"/>
      <c r="D43" s="172"/>
      <c r="E43" s="203"/>
      <c r="F43" s="194"/>
      <c r="G43" s="194"/>
      <c r="H43" s="189"/>
      <c r="I43" s="194"/>
      <c r="J43" s="194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99"/>
      <c r="T43" s="300"/>
      <c r="U43" s="301"/>
      <c r="V43" s="301"/>
      <c r="W43" s="301"/>
      <c r="X43" s="301"/>
      <c r="Y43" s="301"/>
      <c r="Z43" s="301"/>
      <c r="AA43" s="301"/>
      <c r="AB43" s="301"/>
      <c r="AC43" s="301"/>
      <c r="AD43" s="301"/>
      <c r="AE43" s="301"/>
      <c r="AF43" s="309"/>
      <c r="AG43" s="291">
        <f>SUM(PORTEFEUILLE_DELPHINE[[#This Row],[PCR COMPTABLE €]:[MONTANT
RESPONSABLE RELATION CLIENT €]])</f>
        <v>0</v>
      </c>
      <c r="AH43" s="225">
        <f>SUM(PORTEFEUILLE_DELPHINE[[#This Row],[PCR COMPTABLE €]:[MONTANT
RESPONSABLE RELATION CLIENT €]])-PORTEFEUILLE_DELPHINE[[#This Row],[MONTANT TOTAL LETTRE DE MISION €]]</f>
        <v>0</v>
      </c>
      <c r="AI43" s="191"/>
      <c r="AJ43" s="188"/>
      <c r="AK43" s="188"/>
      <c r="AL43" s="188"/>
      <c r="AM43" s="191"/>
      <c r="AN43" s="194"/>
      <c r="AO43" s="194"/>
      <c r="AP43" s="194"/>
      <c r="AQ43" s="194"/>
      <c r="AR4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3" s="188" t="str">
        <f>IF(PORTEFEUILLE_DELPHINE[[#This Row],[BONI AAC]]&lt;&gt;0,1,"")</f>
        <v/>
      </c>
      <c r="AU43" s="188" t="str">
        <f>IF(PORTEFEUILLE_DELPHINE[[#This Row],[MALI AAC]]&lt;&gt;0,1,"")</f>
        <v/>
      </c>
      <c r="AV43" s="225">
        <f>IF(AP43&lt;&gt;"",IF((AP43*Paramètres!$H$4)-PORTEFEUILLE_DELPHINE[[#This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€]]-(DELPHINE!AP43*Paramètres!$H$4),0),0)</f>
        <v>0</v>
      </c>
      <c r="AW43" s="225">
        <f>IF(AP43&lt;&gt;"",IF(((AP43*Paramètres!$H$4)-PORTEFEUILLE_DELPHINE[[#This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3" s="190" t="str">
        <f>IF(PORTEFEUILLE_DELPHINE[[#This Row],[BONI COMPTABLE]]&lt;&gt;0,1,"")</f>
        <v/>
      </c>
      <c r="AY43" s="190" t="str">
        <f>IF(PORTEFEUILLE_DELPHINE[[#This Row],[MALI COMPTABLE]]&lt;&gt;0,1,"")</f>
        <v/>
      </c>
      <c r="AZ43" s="194"/>
      <c r="BA43" s="188"/>
      <c r="BB43" s="188"/>
      <c r="BC43" s="188"/>
      <c r="BD43" s="194"/>
      <c r="BE43" s="194"/>
      <c r="BF43" s="194"/>
      <c r="BG43" s="192"/>
      <c r="BH43" s="194"/>
      <c r="BI43" s="194"/>
      <c r="BJ43" s="195"/>
      <c r="BK43" s="194"/>
    </row>
    <row r="44" spans="1:63" x14ac:dyDescent="0.25">
      <c r="A44" s="172"/>
      <c r="B44" s="185"/>
      <c r="C44" s="172"/>
      <c r="D44" s="172"/>
      <c r="E44" s="203"/>
      <c r="F44" s="194"/>
      <c r="G44" s="194"/>
      <c r="H44" s="189"/>
      <c r="I44" s="194"/>
      <c r="J44" s="194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99"/>
      <c r="T44" s="300"/>
      <c r="U44" s="301"/>
      <c r="V44" s="301"/>
      <c r="W44" s="301"/>
      <c r="X44" s="301"/>
      <c r="Y44" s="301"/>
      <c r="Z44" s="301"/>
      <c r="AA44" s="301"/>
      <c r="AB44" s="301"/>
      <c r="AC44" s="301"/>
      <c r="AD44" s="301"/>
      <c r="AE44" s="301"/>
      <c r="AF44" s="309"/>
      <c r="AG44" s="291">
        <f>SUM(PORTEFEUILLE_DELPHINE[[#This Row],[PCR COMPTABLE €]:[MONTANT
RESPONSABLE RELATION CLIENT €]])</f>
        <v>0</v>
      </c>
      <c r="AH44" s="225">
        <f>SUM(PORTEFEUILLE_DELPHINE[[#This Row],[PCR COMPTABLE €]:[MONTANT
RESPONSABLE RELATION CLIENT €]])-PORTEFEUILLE_DELPHINE[[#This Row],[MONTANT TOTAL LETTRE DE MISION €]]</f>
        <v>0</v>
      </c>
      <c r="AI44" s="191"/>
      <c r="AJ44" s="188"/>
      <c r="AK44" s="188"/>
      <c r="AL44" s="188"/>
      <c r="AM44" s="191"/>
      <c r="AN44" s="194"/>
      <c r="AO44" s="194"/>
      <c r="AP44" s="194"/>
      <c r="AQ44" s="194"/>
      <c r="AR4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4" s="188" t="str">
        <f>IF(PORTEFEUILLE_DELPHINE[[#This Row],[BONI AAC]]&lt;&gt;0,1,"")</f>
        <v/>
      </c>
      <c r="AU44" s="188" t="str">
        <f>IF(PORTEFEUILLE_DELPHINE[[#This Row],[MALI AAC]]&lt;&gt;0,1,"")</f>
        <v/>
      </c>
      <c r="AV44" s="225">
        <f>IF(AP44&lt;&gt;"",IF((AP44*Paramètres!$H$4)-PORTEFEUILLE_DELPHINE[[#This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€]]-(DELPHINE!AP44*Paramètres!$H$4),0),0)</f>
        <v>0</v>
      </c>
      <c r="AW44" s="225">
        <f>IF(AP44&lt;&gt;"",IF(((AP44*Paramètres!$H$4)-PORTEFEUILLE_DELPHINE[[#This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4" s="190" t="str">
        <f>IF(PORTEFEUILLE_DELPHINE[[#This Row],[BONI COMPTABLE]]&lt;&gt;0,1,"")</f>
        <v/>
      </c>
      <c r="AY44" s="190" t="str">
        <f>IF(PORTEFEUILLE_DELPHINE[[#This Row],[MALI COMPTABLE]]&lt;&gt;0,1,"")</f>
        <v/>
      </c>
      <c r="AZ44" s="194"/>
      <c r="BA44" s="188"/>
      <c r="BB44" s="188"/>
      <c r="BC44" s="188"/>
      <c r="BD44" s="194"/>
      <c r="BE44" s="194"/>
      <c r="BF44" s="194"/>
      <c r="BG44" s="192"/>
      <c r="BH44" s="194"/>
      <c r="BI44" s="194"/>
      <c r="BJ44" s="195"/>
      <c r="BK44" s="194"/>
    </row>
    <row r="45" spans="1:63" x14ac:dyDescent="0.25">
      <c r="A45" s="172"/>
      <c r="B45" s="185"/>
      <c r="C45" s="172"/>
      <c r="D45" s="172"/>
      <c r="E45" s="203"/>
      <c r="F45" s="194"/>
      <c r="G45" s="194"/>
      <c r="H45" s="189"/>
      <c r="I45" s="194"/>
      <c r="J45" s="194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99"/>
      <c r="T45" s="300"/>
      <c r="U45" s="301"/>
      <c r="V45" s="301"/>
      <c r="W45" s="301"/>
      <c r="X45" s="301"/>
      <c r="Y45" s="301"/>
      <c r="Z45" s="301"/>
      <c r="AA45" s="301"/>
      <c r="AB45" s="301"/>
      <c r="AC45" s="301"/>
      <c r="AD45" s="301"/>
      <c r="AE45" s="301"/>
      <c r="AF45" s="309"/>
      <c r="AG45" s="291">
        <f>SUM(PORTEFEUILLE_DELPHINE[[#This Row],[PCR COMPTABLE €]:[MONTANT
RESPONSABLE RELATION CLIENT €]])</f>
        <v>0</v>
      </c>
      <c r="AH45" s="225">
        <f>SUM(PORTEFEUILLE_DELPHINE[[#This Row],[PCR COMPTABLE €]:[MONTANT
RESPONSABLE RELATION CLIENT €]])-PORTEFEUILLE_DELPHINE[[#This Row],[MONTANT TOTAL LETTRE DE MISION €]]</f>
        <v>0</v>
      </c>
      <c r="AI45" s="191"/>
      <c r="AJ45" s="188"/>
      <c r="AK45" s="188"/>
      <c r="AL45" s="188"/>
      <c r="AM45" s="191"/>
      <c r="AN45" s="194"/>
      <c r="AO45" s="194"/>
      <c r="AP45" s="194"/>
      <c r="AQ45" s="194"/>
      <c r="AR4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5" s="188" t="str">
        <f>IF(PORTEFEUILLE_DELPHINE[[#This Row],[BONI AAC]]&lt;&gt;0,1,"")</f>
        <v/>
      </c>
      <c r="AU45" s="188" t="str">
        <f>IF(PORTEFEUILLE_DELPHINE[[#This Row],[MALI AAC]]&lt;&gt;0,1,"")</f>
        <v/>
      </c>
      <c r="AV45" s="225">
        <f>IF(AP45&lt;&gt;"",IF((AP45*Paramètres!$H$4)-PORTEFEUILLE_DELPHINE[[#This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€]]-(DELPHINE!AP45*Paramètres!$H$4),0),0)</f>
        <v>0</v>
      </c>
      <c r="AW45" s="225">
        <f>IF(AP45&lt;&gt;"",IF(((AP45*Paramètres!$H$4)-PORTEFEUILLE_DELPHINE[[#This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5" s="190" t="str">
        <f>IF(PORTEFEUILLE_DELPHINE[[#This Row],[BONI COMPTABLE]]&lt;&gt;0,1,"")</f>
        <v/>
      </c>
      <c r="AY45" s="190" t="str">
        <f>IF(PORTEFEUILLE_DELPHINE[[#This Row],[MALI COMPTABLE]]&lt;&gt;0,1,"")</f>
        <v/>
      </c>
      <c r="AZ45" s="194"/>
      <c r="BA45" s="188"/>
      <c r="BB45" s="188"/>
      <c r="BC45" s="188"/>
      <c r="BD45" s="194"/>
      <c r="BE45" s="194"/>
      <c r="BF45" s="194"/>
      <c r="BG45" s="192"/>
      <c r="BH45" s="194"/>
      <c r="BI45" s="194"/>
      <c r="BJ45" s="195"/>
      <c r="BK45" s="194"/>
    </row>
    <row r="46" spans="1:63" x14ac:dyDescent="0.25">
      <c r="A46" s="172"/>
      <c r="B46" s="185"/>
      <c r="C46" s="172"/>
      <c r="D46" s="172"/>
      <c r="E46" s="203"/>
      <c r="F46" s="194"/>
      <c r="G46" s="194"/>
      <c r="H46" s="189"/>
      <c r="I46" s="194"/>
      <c r="J46" s="194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99"/>
      <c r="T46" s="300"/>
      <c r="U46" s="301"/>
      <c r="V46" s="301"/>
      <c r="W46" s="301"/>
      <c r="X46" s="301"/>
      <c r="Y46" s="301"/>
      <c r="Z46" s="301"/>
      <c r="AA46" s="301"/>
      <c r="AB46" s="301"/>
      <c r="AC46" s="301"/>
      <c r="AD46" s="301"/>
      <c r="AE46" s="301"/>
      <c r="AF46" s="309"/>
      <c r="AG46" s="291">
        <f>SUM(PORTEFEUILLE_DELPHINE[[#This Row],[PCR COMPTABLE €]:[MONTANT
RESPONSABLE RELATION CLIENT €]])</f>
        <v>0</v>
      </c>
      <c r="AH46" s="225">
        <f>SUM(PORTEFEUILLE_DELPHINE[[#This Row],[PCR COMPTABLE €]:[MONTANT
RESPONSABLE RELATION CLIENT €]])-PORTEFEUILLE_DELPHINE[[#This Row],[MONTANT TOTAL LETTRE DE MISION €]]</f>
        <v>0</v>
      </c>
      <c r="AI46" s="191"/>
      <c r="AJ46" s="188"/>
      <c r="AK46" s="188"/>
      <c r="AL46" s="188"/>
      <c r="AM46" s="191"/>
      <c r="AN46" s="194"/>
      <c r="AO46" s="194"/>
      <c r="AP46" s="194"/>
      <c r="AQ46" s="194"/>
      <c r="AR4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6" s="188" t="str">
        <f>IF(PORTEFEUILLE_DELPHINE[[#This Row],[BONI AAC]]&lt;&gt;0,1,"")</f>
        <v/>
      </c>
      <c r="AU46" s="188" t="str">
        <f>IF(PORTEFEUILLE_DELPHINE[[#This Row],[MALI AAC]]&lt;&gt;0,1,"")</f>
        <v/>
      </c>
      <c r="AV46" s="225">
        <f>IF(AP46&lt;&gt;"",IF((AP46*Paramètres!$H$4)-PORTEFEUILLE_DELPHINE[[#This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€]]-(DELPHINE!AP46*Paramètres!$H$4),0),0)</f>
        <v>0</v>
      </c>
      <c r="AW46" s="225">
        <f>IF(AP46&lt;&gt;"",IF(((AP46*Paramètres!$H$4)-PORTEFEUILLE_DELPHINE[[#This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6" s="190" t="str">
        <f>IF(PORTEFEUILLE_DELPHINE[[#This Row],[BONI COMPTABLE]]&lt;&gt;0,1,"")</f>
        <v/>
      </c>
      <c r="AY46" s="190" t="str">
        <f>IF(PORTEFEUILLE_DELPHINE[[#This Row],[MALI COMPTABLE]]&lt;&gt;0,1,"")</f>
        <v/>
      </c>
      <c r="AZ46" s="194"/>
      <c r="BA46" s="188"/>
      <c r="BB46" s="188"/>
      <c r="BC46" s="188"/>
      <c r="BD46" s="194"/>
      <c r="BE46" s="194"/>
      <c r="BF46" s="194"/>
      <c r="BG46" s="192"/>
      <c r="BH46" s="194"/>
      <c r="BI46" s="194"/>
      <c r="BJ46" s="195"/>
      <c r="BK46" s="194"/>
    </row>
    <row r="47" spans="1:63" x14ac:dyDescent="0.25">
      <c r="A47" s="172"/>
      <c r="B47" s="179"/>
      <c r="C47" s="176"/>
      <c r="D47" s="172"/>
      <c r="E47" s="203"/>
      <c r="F47" s="194"/>
      <c r="G47" s="194"/>
      <c r="H47" s="189"/>
      <c r="I47" s="194"/>
      <c r="J47" s="194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99"/>
      <c r="T47" s="300"/>
      <c r="U47" s="301"/>
      <c r="V47" s="301"/>
      <c r="W47" s="301"/>
      <c r="X47" s="301"/>
      <c r="Y47" s="301"/>
      <c r="Z47" s="301"/>
      <c r="AA47" s="301"/>
      <c r="AB47" s="301"/>
      <c r="AC47" s="301"/>
      <c r="AD47" s="301"/>
      <c r="AE47" s="301"/>
      <c r="AF47" s="309"/>
      <c r="AG47" s="291">
        <f>SUM(PORTEFEUILLE_DELPHINE[[#This Row],[PCR COMPTABLE €]:[MONTANT
RESPONSABLE RELATION CLIENT €]])</f>
        <v>0</v>
      </c>
      <c r="AH47" s="225">
        <f>SUM(PORTEFEUILLE_DELPHINE[[#This Row],[PCR COMPTABLE €]:[MONTANT
RESPONSABLE RELATION CLIENT €]])-PORTEFEUILLE_DELPHINE[[#This Row],[MONTANT TOTAL LETTRE DE MISION €]]</f>
        <v>0</v>
      </c>
      <c r="AI47" s="191"/>
      <c r="AJ47" s="188"/>
      <c r="AK47" s="188"/>
      <c r="AL47" s="188"/>
      <c r="AM47" s="191"/>
      <c r="AN47" s="194"/>
      <c r="AO47" s="194"/>
      <c r="AP47" s="194"/>
      <c r="AQ47" s="194"/>
      <c r="AR4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7" s="188" t="str">
        <f>IF(PORTEFEUILLE_DELPHINE[[#This Row],[BONI AAC]]&lt;&gt;0,1,"")</f>
        <v/>
      </c>
      <c r="AU47" s="188" t="str">
        <f>IF(PORTEFEUILLE_DELPHINE[[#This Row],[MALI AAC]]&lt;&gt;0,1,"")</f>
        <v/>
      </c>
      <c r="AV47" s="225">
        <f>IF(AP47&lt;&gt;"",IF((AP47*Paramètres!$H$4)-PORTEFEUILLE_DELPHINE[[#This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€]]-(DELPHINE!AP47*Paramètres!$H$4),0),0)</f>
        <v>0</v>
      </c>
      <c r="AW47" s="225">
        <f>IF(AP47&lt;&gt;"",IF(((AP47*Paramètres!$H$4)-PORTEFEUILLE_DELPHINE[[#This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7" s="190" t="str">
        <f>IF(PORTEFEUILLE_DELPHINE[[#This Row],[BONI COMPTABLE]]&lt;&gt;0,1,"")</f>
        <v/>
      </c>
      <c r="AY47" s="190" t="str">
        <f>IF(PORTEFEUILLE_DELPHINE[[#This Row],[MALI COMPTABLE]]&lt;&gt;0,1,"")</f>
        <v/>
      </c>
      <c r="AZ47" s="194"/>
      <c r="BA47" s="188"/>
      <c r="BB47" s="188"/>
      <c r="BC47" s="188"/>
      <c r="BD47" s="194"/>
      <c r="BE47" s="194"/>
      <c r="BF47" s="194"/>
      <c r="BG47" s="192"/>
      <c r="BH47" s="194"/>
      <c r="BI47" s="194"/>
      <c r="BJ47" s="195"/>
      <c r="BK47" s="194"/>
    </row>
    <row r="48" spans="1:63" x14ac:dyDescent="0.25">
      <c r="A48" s="172"/>
      <c r="B48" s="179"/>
      <c r="C48" s="176"/>
      <c r="D48" s="172"/>
      <c r="E48" s="203"/>
      <c r="F48" s="194"/>
      <c r="G48" s="194"/>
      <c r="H48" s="189"/>
      <c r="I48" s="194"/>
      <c r="J48" s="194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99"/>
      <c r="T48" s="300"/>
      <c r="U48" s="301"/>
      <c r="V48" s="301"/>
      <c r="W48" s="301"/>
      <c r="X48" s="301"/>
      <c r="Y48" s="301"/>
      <c r="Z48" s="301"/>
      <c r="AA48" s="301"/>
      <c r="AB48" s="301"/>
      <c r="AC48" s="301"/>
      <c r="AD48" s="301"/>
      <c r="AE48" s="301"/>
      <c r="AF48" s="309"/>
      <c r="AG48" s="291">
        <f>SUM(PORTEFEUILLE_DELPHINE[[#This Row],[PCR COMPTABLE €]:[MONTANT
RESPONSABLE RELATION CLIENT €]])</f>
        <v>0</v>
      </c>
      <c r="AH48" s="225">
        <f>SUM(PORTEFEUILLE_DELPHINE[[#This Row],[PCR COMPTABLE €]:[MONTANT
RESPONSABLE RELATION CLIENT €]])-PORTEFEUILLE_DELPHINE[[#This Row],[MONTANT TOTAL LETTRE DE MISION €]]</f>
        <v>0</v>
      </c>
      <c r="AI48" s="191"/>
      <c r="AJ48" s="188"/>
      <c r="AK48" s="188"/>
      <c r="AL48" s="188"/>
      <c r="AM48" s="191"/>
      <c r="AN48" s="194"/>
      <c r="AO48" s="194"/>
      <c r="AP48" s="194"/>
      <c r="AQ48" s="194"/>
      <c r="AR4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8" s="188" t="str">
        <f>IF(PORTEFEUILLE_DELPHINE[[#This Row],[BONI AAC]]&lt;&gt;0,1,"")</f>
        <v/>
      </c>
      <c r="AU48" s="188" t="str">
        <f>IF(PORTEFEUILLE_DELPHINE[[#This Row],[MALI AAC]]&lt;&gt;0,1,"")</f>
        <v/>
      </c>
      <c r="AV48" s="225">
        <f>IF(AP48&lt;&gt;"",IF((AP48*Paramètres!$H$4)-PORTEFEUILLE_DELPHINE[[#This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€]]-(DELPHINE!AP48*Paramètres!$H$4),0),0)</f>
        <v>0</v>
      </c>
      <c r="AW48" s="225">
        <f>IF(AP48&lt;&gt;"",IF(((AP48*Paramètres!$H$4)-PORTEFEUILLE_DELPHINE[[#This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8" s="190" t="str">
        <f>IF(PORTEFEUILLE_DELPHINE[[#This Row],[BONI COMPTABLE]]&lt;&gt;0,1,"")</f>
        <v/>
      </c>
      <c r="AY48" s="190" t="str">
        <f>IF(PORTEFEUILLE_DELPHINE[[#This Row],[MALI COMPTABLE]]&lt;&gt;0,1,"")</f>
        <v/>
      </c>
      <c r="AZ48" s="194"/>
      <c r="BA48" s="188"/>
      <c r="BB48" s="188"/>
      <c r="BC48" s="188"/>
      <c r="BD48" s="194"/>
      <c r="BE48" s="194"/>
      <c r="BF48" s="194"/>
      <c r="BG48" s="192"/>
      <c r="BH48" s="194"/>
      <c r="BI48" s="194"/>
      <c r="BJ48" s="195"/>
      <c r="BK48" s="194"/>
    </row>
    <row r="49" spans="1:63" x14ac:dyDescent="0.25">
      <c r="A49" s="186"/>
      <c r="B49" s="187"/>
      <c r="C49" s="186"/>
      <c r="D49" s="186"/>
      <c r="E49" s="204"/>
      <c r="F49" s="205"/>
      <c r="G49" s="205"/>
      <c r="H49" s="189"/>
      <c r="I49" s="205"/>
      <c r="J49" s="205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302"/>
      <c r="T49" s="303"/>
      <c r="U49" s="304"/>
      <c r="V49" s="304"/>
      <c r="W49" s="304"/>
      <c r="X49" s="304"/>
      <c r="Y49" s="304"/>
      <c r="Z49" s="304"/>
      <c r="AA49" s="304"/>
      <c r="AB49" s="304"/>
      <c r="AC49" s="304"/>
      <c r="AD49" s="304"/>
      <c r="AE49" s="304"/>
      <c r="AF49" s="310"/>
      <c r="AG49" s="291">
        <f>SUM(PORTEFEUILLE_DELPHINE[[#This Row],[PCR COMPTABLE €]:[MONTANT
RESPONSABLE RELATION CLIENT €]])</f>
        <v>0</v>
      </c>
      <c r="AH49" s="225">
        <f>SUM(PORTEFEUILLE_DELPHINE[[#This Row],[PCR COMPTABLE €]:[MONTANT
RESPONSABLE RELATION CLIENT €]])-PORTEFEUILLE_DELPHINE[[#This Row],[MONTANT TOTAL LETTRE DE MISION €]]</f>
        <v>0</v>
      </c>
      <c r="AI49" s="191"/>
      <c r="AJ49" s="188"/>
      <c r="AK49" s="201"/>
      <c r="AL49" s="201"/>
      <c r="AM49" s="246"/>
      <c r="AN49" s="205"/>
      <c r="AO49" s="205"/>
      <c r="AP49" s="205"/>
      <c r="AQ49" s="205"/>
      <c r="AR4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9" s="188" t="str">
        <f>IF(PORTEFEUILLE_DELPHINE[[#This Row],[BONI AAC]]&lt;&gt;0,1,"")</f>
        <v/>
      </c>
      <c r="AU49" s="188" t="str">
        <f>IF(PORTEFEUILLE_DELPHINE[[#This Row],[MALI AAC]]&lt;&gt;0,1,"")</f>
        <v/>
      </c>
      <c r="AV49" s="225">
        <f>IF(AP49&lt;&gt;"",IF((AP49*Paramètres!$H$4)-PORTEFEUILLE_DELPHINE[[#This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€]]-(DELPHINE!AP49*Paramètres!$H$4),0),0)</f>
        <v>0</v>
      </c>
      <c r="AW49" s="225">
        <f>IF(AP49&lt;&gt;"",IF(((AP49*Paramètres!$H$4)-PORTEFEUILLE_DELPHINE[[#This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9" s="190" t="str">
        <f>IF(PORTEFEUILLE_DELPHINE[[#This Row],[BONI COMPTABLE]]&lt;&gt;0,1,"")</f>
        <v/>
      </c>
      <c r="AY49" s="190" t="str">
        <f>IF(PORTEFEUILLE_DELPHINE[[#This Row],[MALI COMPTABLE]]&lt;&gt;0,1,"")</f>
        <v/>
      </c>
      <c r="AZ49" s="205"/>
      <c r="BA49" s="188"/>
      <c r="BB49" s="188"/>
      <c r="BC49" s="188"/>
      <c r="BD49" s="205"/>
      <c r="BE49" s="205"/>
      <c r="BF49" s="205"/>
      <c r="BG49" s="192"/>
      <c r="BH49" s="205"/>
      <c r="BI49" s="205"/>
      <c r="BJ49" s="206"/>
      <c r="BK49" s="205"/>
    </row>
    <row r="52" spans="1:63" x14ac:dyDescent="0.25">
      <c r="B52" s="89" t="s">
        <v>120</v>
      </c>
    </row>
    <row r="54" spans="1:63" x14ac:dyDescent="0.25">
      <c r="B54" s="280" t="s">
        <v>120</v>
      </c>
      <c r="C54" s="122"/>
      <c r="D54" s="122"/>
      <c r="E54" s="125" t="s">
        <v>112</v>
      </c>
      <c r="F54" s="121" t="s">
        <v>115</v>
      </c>
      <c r="G54" s="126" t="s">
        <v>118</v>
      </c>
      <c r="H54" s="127" t="s">
        <v>116</v>
      </c>
      <c r="I54" s="127" t="s">
        <v>136</v>
      </c>
      <c r="J54" s="128" t="s">
        <v>125</v>
      </c>
      <c r="K54" s="128" t="s">
        <v>110</v>
      </c>
      <c r="L54" s="128" t="s">
        <v>119</v>
      </c>
      <c r="M54" s="128" t="s">
        <v>126</v>
      </c>
      <c r="N54" s="128" t="s">
        <v>127</v>
      </c>
      <c r="O54" s="128" t="s">
        <v>128</v>
      </c>
      <c r="P54" s="128" t="s">
        <v>129</v>
      </c>
      <c r="Q54" s="128" t="s">
        <v>130</v>
      </c>
      <c r="R54" s="128" t="s">
        <v>137</v>
      </c>
      <c r="S54" s="128"/>
      <c r="T54" s="121"/>
      <c r="U54" s="164"/>
      <c r="V54" s="164"/>
      <c r="W54" s="164"/>
      <c r="X54" s="164"/>
      <c r="Y54" s="164"/>
      <c r="Z54" s="164"/>
      <c r="AA54" s="164"/>
      <c r="AB54" s="164"/>
      <c r="AC54" s="164"/>
      <c r="AE54" s="164"/>
      <c r="AF54" s="164"/>
      <c r="AG54" s="164"/>
      <c r="AH54" s="164"/>
      <c r="AI54" s="164"/>
      <c r="AJ54" s="164"/>
      <c r="AK54" s="164"/>
      <c r="AL54" s="164"/>
      <c r="AM54" s="164"/>
      <c r="AN54" s="164"/>
      <c r="AO54" s="164"/>
      <c r="AP54" s="164"/>
      <c r="AQ54" s="164"/>
      <c r="AR54" s="164"/>
      <c r="AS54" s="164"/>
      <c r="AT54" s="164"/>
      <c r="AU54" s="164"/>
      <c r="AV54" s="164"/>
      <c r="AW54" s="164"/>
      <c r="AX54" s="164"/>
      <c r="AY54" s="164"/>
      <c r="AZ54" s="164"/>
    </row>
    <row r="55" spans="1:63" x14ac:dyDescent="0.25">
      <c r="B55" s="281"/>
      <c r="C55" s="120" t="s">
        <v>109</v>
      </c>
      <c r="D55" s="122">
        <f>COUNTIF($D$3:$D$49,"ACS")</f>
        <v>1</v>
      </c>
      <c r="E55" s="129">
        <f>+COUNTIF($F$3:$F$49,"SARL")</f>
        <v>1</v>
      </c>
      <c r="F55" s="121">
        <f>+COUNTIF($F$3:$F$49,"EURL")</f>
        <v>0</v>
      </c>
      <c r="G55" s="124">
        <f>COUNTIFS($F$3:$F$49,"SAS",$D$3:$D$49,"ACS")</f>
        <v>0</v>
      </c>
      <c r="H55" s="122">
        <f>COUNTIFS($F$3:$F$49,"INDIVIDUEL",$D$3:$D$49,"ACS")</f>
        <v>0</v>
      </c>
      <c r="I55" s="122">
        <f>COUNTIF($F$3:$F$49,"ASSOCIATION")</f>
        <v>0</v>
      </c>
      <c r="J55" s="122"/>
      <c r="K55" s="122">
        <f>COUNTIF($F$3:$F$49,"SNC")</f>
        <v>0</v>
      </c>
      <c r="L55" s="122">
        <f>+COUNTIF($F$3:$F$49,"SCI")</f>
        <v>0</v>
      </c>
      <c r="M55" s="130"/>
      <c r="N55" s="131"/>
      <c r="O55" s="132"/>
      <c r="P55" s="122">
        <f>+COUNTIF($F$3:$F$49,"GROUPEMENT")</f>
        <v>0</v>
      </c>
      <c r="Q55" s="121">
        <f>COUNTIF($F$3:$F$49,"EIRL")</f>
        <v>0</v>
      </c>
      <c r="R55" s="121">
        <f>COUNTIF($F$3:$F$49,"AUTRE")</f>
        <v>0</v>
      </c>
      <c r="S55" s="121"/>
      <c r="T55" s="122">
        <f>+SUM(E55:P55)</f>
        <v>1</v>
      </c>
      <c r="U55" s="164"/>
      <c r="V55" s="164"/>
      <c r="W55" s="164"/>
      <c r="X55" s="164"/>
      <c r="Y55" s="164"/>
      <c r="Z55" s="164"/>
      <c r="AA55" s="164"/>
      <c r="AB55" s="164"/>
      <c r="AC55" s="164"/>
      <c r="AE55" s="164"/>
      <c r="AF55" s="164"/>
      <c r="AG55" s="164"/>
      <c r="AH55" s="164"/>
      <c r="AI55" s="164"/>
      <c r="AJ55" s="164"/>
      <c r="AK55" s="164"/>
      <c r="AL55" s="164"/>
      <c r="AM55" s="164"/>
      <c r="AN55" s="164"/>
      <c r="AO55" s="164"/>
      <c r="AP55" s="164"/>
      <c r="AQ55" s="164"/>
      <c r="AR55" s="164"/>
      <c r="AS55" s="164"/>
      <c r="AT55" s="164"/>
      <c r="AU55" s="164"/>
      <c r="AV55" s="164"/>
      <c r="AW55" s="164"/>
      <c r="AX55" s="164"/>
      <c r="AY55" s="164"/>
      <c r="AZ55" s="164"/>
    </row>
    <row r="56" spans="1:63" x14ac:dyDescent="0.25">
      <c r="B56" s="281"/>
      <c r="C56" s="120" t="s">
        <v>121</v>
      </c>
      <c r="D56" s="122">
        <f>COUNTIF($D$3:$D$49,"BNC")</f>
        <v>0</v>
      </c>
      <c r="E56" s="133"/>
      <c r="F56" s="121"/>
      <c r="G56" s="134"/>
      <c r="H56" s="135"/>
      <c r="I56" s="132"/>
      <c r="J56" s="122">
        <f>+COUNTIF($F$3:$F$49,"PROFESSION LIBERALE")</f>
        <v>0</v>
      </c>
      <c r="K56" s="122"/>
      <c r="L56" s="122"/>
      <c r="M56" s="122"/>
      <c r="N56" s="122"/>
      <c r="O56" s="122"/>
      <c r="P56" s="122"/>
      <c r="Q56" s="121"/>
      <c r="R56" s="121"/>
      <c r="S56" s="121"/>
      <c r="T56" s="122">
        <f>+SUM(E56:P56)</f>
        <v>0</v>
      </c>
      <c r="U56" s="164"/>
      <c r="V56" s="164"/>
      <c r="W56" s="164"/>
      <c r="X56" s="164"/>
      <c r="Y56" s="164"/>
      <c r="Z56" s="164"/>
      <c r="AA56" s="164"/>
      <c r="AB56" s="164"/>
      <c r="AC56" s="164"/>
      <c r="AE56" s="164"/>
      <c r="AF56" s="164"/>
      <c r="AG56" s="164"/>
      <c r="AH56" s="164"/>
      <c r="AI56" s="164"/>
      <c r="AJ56" s="164"/>
      <c r="AK56" s="164"/>
      <c r="AL56" s="164"/>
      <c r="AM56" s="164"/>
      <c r="AN56" s="164"/>
      <c r="AO56" s="164"/>
      <c r="AP56" s="164"/>
      <c r="AQ56" s="164"/>
      <c r="AR56" s="164"/>
      <c r="AS56" s="164"/>
      <c r="AT56" s="164"/>
      <c r="AU56" s="164"/>
      <c r="AV56" s="164"/>
      <c r="AW56" s="164"/>
      <c r="AX56" s="164"/>
      <c r="AY56" s="164"/>
      <c r="AZ56" s="164"/>
    </row>
    <row r="57" spans="1:63" x14ac:dyDescent="0.25">
      <c r="B57" s="282"/>
      <c r="C57" s="122" t="s">
        <v>122</v>
      </c>
      <c r="D57" s="122">
        <f>COUNTIF($D$3:$D$49,"AGRI")</f>
        <v>0</v>
      </c>
      <c r="E57" s="129"/>
      <c r="F57" s="121"/>
      <c r="G57" s="124">
        <f>COUNTIFS($F$3:$F$49,"SAS",$D$3:$D$49,"AGRI")</f>
        <v>0</v>
      </c>
      <c r="H57" s="122">
        <f>COUNTIFS($F$3:$F$49,"INDIVIDUEL",$D$3:$D$49,"AGRI")</f>
        <v>0</v>
      </c>
      <c r="I57" s="122"/>
      <c r="J57" s="122"/>
      <c r="K57" s="122"/>
      <c r="L57" s="122"/>
      <c r="M57" s="122">
        <f>COUNTIF($F$3:$F$51,"EARL")</f>
        <v>0</v>
      </c>
      <c r="N57" s="122">
        <f>COUNTIF($F$3:$F$51,"ETA")</f>
        <v>0</v>
      </c>
      <c r="O57" s="122">
        <f>COUNTIF($F$3:$F$51,"SCEA")</f>
        <v>0</v>
      </c>
      <c r="P57" s="122"/>
      <c r="Q57" s="121"/>
      <c r="R57" s="121"/>
      <c r="S57" s="121"/>
      <c r="T57" s="122">
        <f>+SUM(E57:P57)</f>
        <v>0</v>
      </c>
      <c r="U57" s="164"/>
      <c r="V57" s="164"/>
      <c r="W57" s="164"/>
      <c r="X57" s="164"/>
      <c r="Y57" s="164"/>
      <c r="Z57" s="164"/>
      <c r="AA57" s="164"/>
      <c r="AB57" s="164"/>
      <c r="AC57" s="164"/>
      <c r="AE57" s="164"/>
      <c r="AF57" s="164"/>
      <c r="AG57" s="164"/>
      <c r="AH57" s="164"/>
      <c r="AI57" s="164"/>
      <c r="AJ57" s="164"/>
      <c r="AK57" s="164"/>
      <c r="AL57" s="164"/>
      <c r="AM57" s="164"/>
      <c r="AN57" s="164"/>
      <c r="AO57" s="164"/>
      <c r="AP57" s="164"/>
      <c r="AQ57" s="164"/>
      <c r="AR57" s="164"/>
      <c r="AS57" s="164"/>
      <c r="AT57" s="164"/>
      <c r="AU57" s="164"/>
      <c r="AV57" s="164"/>
      <c r="AW57" s="164"/>
      <c r="AX57" s="164"/>
      <c r="AY57" s="164"/>
      <c r="AZ57" s="164"/>
    </row>
    <row r="58" spans="1:63" x14ac:dyDescent="0.25">
      <c r="B58" s="283" t="s">
        <v>123</v>
      </c>
      <c r="C58" s="283"/>
      <c r="D58" s="122">
        <f>+SUM(D55:D57)</f>
        <v>1</v>
      </c>
      <c r="E58" s="129">
        <f>+SUM(E55:E57)</f>
        <v>1</v>
      </c>
      <c r="F58" s="129">
        <f t="shared" ref="F58:R58" si="2">+SUM(F55:F57)</f>
        <v>0</v>
      </c>
      <c r="G58" s="129">
        <f t="shared" si="2"/>
        <v>0</v>
      </c>
      <c r="H58" s="129">
        <f t="shared" si="2"/>
        <v>0</v>
      </c>
      <c r="I58" s="129">
        <f t="shared" si="2"/>
        <v>0</v>
      </c>
      <c r="J58" s="129">
        <f t="shared" si="2"/>
        <v>0</v>
      </c>
      <c r="K58" s="129">
        <f t="shared" si="2"/>
        <v>0</v>
      </c>
      <c r="L58" s="129">
        <f t="shared" si="2"/>
        <v>0</v>
      </c>
      <c r="M58" s="129">
        <f t="shared" si="2"/>
        <v>0</v>
      </c>
      <c r="N58" s="129">
        <f t="shared" si="2"/>
        <v>0</v>
      </c>
      <c r="O58" s="129">
        <f t="shared" si="2"/>
        <v>0</v>
      </c>
      <c r="P58" s="129">
        <f t="shared" si="2"/>
        <v>0</v>
      </c>
      <c r="Q58" s="129">
        <f t="shared" si="2"/>
        <v>0</v>
      </c>
      <c r="R58" s="129">
        <f t="shared" si="2"/>
        <v>0</v>
      </c>
      <c r="S58" s="129"/>
      <c r="T58" s="122">
        <f>+SUM(T55:T57)</f>
        <v>1</v>
      </c>
      <c r="U58" s="164"/>
      <c r="V58" s="164"/>
      <c r="W58" s="164"/>
      <c r="X58" s="164"/>
      <c r="Y58" s="164"/>
      <c r="Z58" s="164"/>
      <c r="AA58" s="164"/>
      <c r="AB58" s="164"/>
      <c r="AC58" s="164"/>
      <c r="AE58" s="164"/>
      <c r="AF58" s="164"/>
      <c r="AG58" s="164"/>
      <c r="AH58" s="164"/>
      <c r="AI58" s="164"/>
      <c r="AJ58" s="164"/>
      <c r="AK58" s="164"/>
      <c r="AL58" s="164"/>
      <c r="AM58" s="164"/>
      <c r="AN58" s="164"/>
      <c r="AO58" s="164"/>
      <c r="AP58" s="164"/>
      <c r="AQ58" s="164"/>
      <c r="AR58" s="164"/>
      <c r="AS58" s="164"/>
      <c r="AT58" s="164"/>
      <c r="AU58" s="164"/>
      <c r="AV58" s="164"/>
      <c r="AW58" s="164"/>
      <c r="AX58" s="164"/>
      <c r="AY58" s="164"/>
      <c r="AZ58" s="164"/>
    </row>
    <row r="59" spans="1:63" x14ac:dyDescent="0.25">
      <c r="B59" s="90"/>
      <c r="C59" s="90"/>
      <c r="D59" s="90"/>
      <c r="E59" s="90"/>
      <c r="G59" s="90"/>
      <c r="H59" s="90"/>
      <c r="I59" s="90"/>
      <c r="J59" s="90"/>
      <c r="K59" s="90"/>
      <c r="L59" s="90"/>
      <c r="M59" s="90"/>
      <c r="N59" s="90"/>
      <c r="O59" s="90"/>
      <c r="P59" s="90"/>
      <c r="T59" s="90"/>
      <c r="U59" s="164"/>
      <c r="V59" s="164"/>
      <c r="W59" s="164"/>
      <c r="X59" s="164"/>
      <c r="Y59" s="164"/>
      <c r="Z59" s="164"/>
      <c r="AA59" s="164"/>
      <c r="AB59" s="164"/>
      <c r="AC59" s="164"/>
      <c r="AE59" s="164"/>
      <c r="AF59" s="164"/>
      <c r="AG59" s="164"/>
      <c r="AH59" s="164"/>
      <c r="AI59" s="164"/>
      <c r="AJ59" s="164"/>
      <c r="AK59" s="164"/>
      <c r="AL59" s="164"/>
      <c r="AM59" s="164"/>
      <c r="AN59" s="164"/>
      <c r="AO59" s="164"/>
      <c r="AP59" s="164"/>
      <c r="AQ59" s="164"/>
      <c r="AR59" s="164"/>
      <c r="AS59" s="164"/>
      <c r="AT59" s="164"/>
      <c r="AU59" s="164"/>
      <c r="AV59" s="164"/>
      <c r="AW59" s="164"/>
      <c r="AX59" s="164"/>
      <c r="AY59" s="164"/>
      <c r="AZ59" s="164"/>
    </row>
    <row r="60" spans="1:63" x14ac:dyDescent="0.25">
      <c r="B60" s="284">
        <v>44196</v>
      </c>
      <c r="C60" s="122"/>
      <c r="D60" s="122"/>
      <c r="E60" s="125" t="str">
        <f t="shared" ref="E60:R60" si="3">E54</f>
        <v>SARL</v>
      </c>
      <c r="F60" s="122" t="str">
        <f t="shared" si="3"/>
        <v>EURL</v>
      </c>
      <c r="G60" s="126" t="str">
        <f t="shared" si="3"/>
        <v>SAS</v>
      </c>
      <c r="H60" s="127" t="str">
        <f t="shared" si="3"/>
        <v>INDIVIDUEL</v>
      </c>
      <c r="I60" s="127" t="str">
        <f t="shared" si="3"/>
        <v>ASSOCIATION</v>
      </c>
      <c r="J60" s="128" t="str">
        <f t="shared" si="3"/>
        <v>PROFESSION LIBERALE</v>
      </c>
      <c r="K60" s="128" t="str">
        <f t="shared" si="3"/>
        <v>SNC</v>
      </c>
      <c r="L60" s="128" t="str">
        <f t="shared" si="3"/>
        <v>SCI</v>
      </c>
      <c r="M60" s="128" t="str">
        <f t="shared" si="3"/>
        <v>EARL</v>
      </c>
      <c r="N60" s="128" t="str">
        <f t="shared" si="3"/>
        <v>ETA</v>
      </c>
      <c r="O60" s="128" t="str">
        <f t="shared" si="3"/>
        <v>SCEA</v>
      </c>
      <c r="P60" s="128" t="str">
        <f t="shared" si="3"/>
        <v>GROUPEMENT</v>
      </c>
      <c r="Q60" s="122" t="str">
        <f t="shared" si="3"/>
        <v>EIRL</v>
      </c>
      <c r="R60" s="122" t="str">
        <f t="shared" si="3"/>
        <v>AUTRES</v>
      </c>
      <c r="S60" s="122"/>
      <c r="T60" s="128" t="s">
        <v>86</v>
      </c>
      <c r="U60" s="164"/>
      <c r="V60" s="164"/>
      <c r="W60" s="164"/>
      <c r="X60" s="164"/>
      <c r="Y60" s="164"/>
      <c r="Z60" s="164"/>
      <c r="AA60" s="164"/>
      <c r="AB60" s="164"/>
      <c r="AC60" s="164"/>
      <c r="AE60" s="164"/>
      <c r="AF60" s="164"/>
      <c r="AG60" s="164"/>
      <c r="AH60" s="164"/>
      <c r="AI60" s="164"/>
      <c r="AJ60" s="164"/>
      <c r="AK60" s="164"/>
      <c r="AL60" s="164"/>
      <c r="AM60" s="164"/>
      <c r="AN60" s="164"/>
      <c r="AO60" s="164"/>
      <c r="AP60" s="164"/>
      <c r="AQ60" s="164"/>
      <c r="AR60" s="164"/>
      <c r="AS60" s="164"/>
      <c r="AT60" s="164"/>
      <c r="AU60" s="164"/>
      <c r="AV60" s="164"/>
      <c r="AW60" s="164"/>
      <c r="AX60" s="164"/>
      <c r="AY60" s="164"/>
      <c r="AZ60" s="164"/>
    </row>
    <row r="61" spans="1:63" x14ac:dyDescent="0.25">
      <c r="B61" s="281"/>
      <c r="C61" s="120" t="s">
        <v>109</v>
      </c>
      <c r="D61" s="122">
        <f>COUNTIFS($E$3:$E$49,DATE(Paramètres!A4,Paramètres!D15,Paramètres!C15),$D$3:$D$49,"ACS")</f>
        <v>1</v>
      </c>
      <c r="E61" s="129">
        <f>COUNTIFS($E$3:$E$49,DATE(Paramètres!A4,Paramètres!D15,Paramètres!C15),$F$3:$F$49,"SARL")</f>
        <v>1</v>
      </c>
      <c r="F61" s="122">
        <f>+COUNTIFS($E$3:$E$49,DATE(Paramètres!A4,Paramètres!D15,Paramètres!C15),$F$3:$F$49,"EURL")</f>
        <v>0</v>
      </c>
      <c r="G61" s="124">
        <f>COUNTIFS($E$3:$E$49,DATE(Paramètres!A4,Paramètres!D15,Paramètres!C15),$F$3:$F$49,"SAS",$D$3:$D$49,"ACS")</f>
        <v>0</v>
      </c>
      <c r="H61" s="122">
        <f>COUNTIFS($E$3:$E$49,DATE(Paramètres!A4,Paramètres!D15,Paramètres!C15),$F$3:$F$49,"INDIVIDUEL",$D$3:$D$49,"ACS")</f>
        <v>0</v>
      </c>
      <c r="I61" s="122">
        <f>+COUNTIFS($E$3:$E$49,DATE(Paramètres!A4,Paramètres!D15,Paramètres!C15),$F$3:$F$49,"ASSOCIATION")</f>
        <v>0</v>
      </c>
      <c r="J61" s="122"/>
      <c r="K61" s="122">
        <f>COUNTIFS($E$3:$E$49,DATE(Paramètres!A4,Paramètres!D15,Paramètres!C15),$F$3:$F$49,"SNC")</f>
        <v>0</v>
      </c>
      <c r="L61" s="122">
        <f>COUNTIFS($E$3:$E$49,DATE(Paramètres!A4,Paramètres!D15,Paramètres!C15),$F$3:$F$49,"SCI")</f>
        <v>0</v>
      </c>
      <c r="M61" s="130"/>
      <c r="N61" s="131"/>
      <c r="O61" s="132"/>
      <c r="P61" s="122">
        <f>COUNTIFS($E$3:$E$49,DATE(Paramètres!A4,Paramètres!D15,Paramètres!C15),$F$3:$F$49,"GROUPEMENT")</f>
        <v>0</v>
      </c>
      <c r="Q61" s="122">
        <f>+COUNTIFS($E$3:$E$49,DATE(Paramètres!A4,Paramètres!D15,Paramètres!C15),$F$3:$F$49,"EIRL")</f>
        <v>0</v>
      </c>
      <c r="R61" s="122">
        <f>+COUNTIFS($E$3:$E$49,DATE(Paramètres!B4,Paramètres!E15,Paramètres!D15),$F$3:$F$49,"AUTRES")</f>
        <v>0</v>
      </c>
      <c r="S61" s="122"/>
      <c r="T61" s="122">
        <f>+SUM(E61:P61)</f>
        <v>1</v>
      </c>
      <c r="U61" s="164"/>
      <c r="V61" s="164"/>
      <c r="W61" s="164"/>
      <c r="X61" s="164"/>
      <c r="Y61" s="164"/>
      <c r="Z61" s="164"/>
      <c r="AA61" s="164"/>
      <c r="AB61" s="164"/>
      <c r="AC61" s="164"/>
      <c r="AE61" s="164"/>
      <c r="AF61" s="164"/>
      <c r="AG61" s="164"/>
      <c r="AH61" s="164"/>
      <c r="AI61" s="164"/>
      <c r="AJ61" s="164"/>
      <c r="AK61" s="164"/>
      <c r="AL61" s="164"/>
      <c r="AM61" s="164"/>
      <c r="AN61" s="164"/>
      <c r="AO61" s="164"/>
      <c r="AP61" s="164"/>
      <c r="AQ61" s="164"/>
      <c r="AR61" s="164"/>
      <c r="AS61" s="164"/>
      <c r="AT61" s="164"/>
      <c r="AU61" s="164"/>
      <c r="AV61" s="164"/>
      <c r="AW61" s="164"/>
      <c r="AX61" s="164"/>
      <c r="AY61" s="164"/>
      <c r="AZ61" s="164"/>
    </row>
    <row r="62" spans="1:63" x14ac:dyDescent="0.25">
      <c r="B62" s="281"/>
      <c r="C62" s="120" t="s">
        <v>121</v>
      </c>
      <c r="D62" s="122">
        <f>COUNTIFS($E$3:$E$49,DATE(Paramètres!A4,Paramètres!D15,Paramètres!C15),$D$3:$D$49,"BNC")</f>
        <v>0</v>
      </c>
      <c r="E62" s="133"/>
      <c r="F62" s="122"/>
      <c r="G62" s="134"/>
      <c r="H62" s="135"/>
      <c r="I62" s="132"/>
      <c r="J62" s="122">
        <f>COUNTIFS($E$3:$E$49,DATE(Paramètres!A4,Paramètres!D15,Paramètres!C15),$D$3:$D$49,"BNC")</f>
        <v>0</v>
      </c>
      <c r="K62" s="130"/>
      <c r="L62" s="131"/>
      <c r="M62" s="131"/>
      <c r="N62" s="131"/>
      <c r="O62" s="131"/>
      <c r="P62" s="132"/>
      <c r="Q62" s="122"/>
      <c r="R62" s="122"/>
      <c r="S62" s="122"/>
      <c r="T62" s="122">
        <f>+SUM(E62:P62)</f>
        <v>0</v>
      </c>
      <c r="U62" s="164"/>
      <c r="V62" s="164"/>
      <c r="W62" s="164"/>
      <c r="X62" s="164"/>
      <c r="Y62" s="164"/>
      <c r="Z62" s="164"/>
      <c r="AA62" s="164"/>
      <c r="AB62" s="164"/>
      <c r="AC62" s="164"/>
      <c r="AE62" s="164"/>
      <c r="AF62" s="164"/>
      <c r="AG62" s="164"/>
      <c r="AH62" s="164"/>
      <c r="AI62" s="164"/>
      <c r="AJ62" s="164"/>
      <c r="AK62" s="164"/>
      <c r="AL62" s="164"/>
      <c r="AM62" s="164"/>
      <c r="AN62" s="164"/>
      <c r="AO62" s="164"/>
      <c r="AP62" s="164"/>
      <c r="AQ62" s="164"/>
      <c r="AR62" s="164"/>
      <c r="AS62" s="164"/>
      <c r="AT62" s="164"/>
      <c r="AU62" s="164"/>
      <c r="AV62" s="164"/>
      <c r="AW62" s="164"/>
      <c r="AX62" s="164"/>
      <c r="AY62" s="164"/>
      <c r="AZ62" s="164"/>
    </row>
    <row r="63" spans="1:63" x14ac:dyDescent="0.25">
      <c r="B63" s="282"/>
      <c r="C63" s="122" t="s">
        <v>122</v>
      </c>
      <c r="D63" s="122">
        <f>COUNTIFS($E$3:$E$49,DATE(Paramètres!A4,Paramètres!D15,Paramètres!C15),$D$3:$D$49,"AGRI")</f>
        <v>0</v>
      </c>
      <c r="E63" s="133"/>
      <c r="F63" s="122"/>
      <c r="G63" s="134">
        <f>COUNTIFS($E$3:$E$49,DATE(Paramètres!A4,Paramètres!D15,Paramètres!C15),$F$3:$F$49,"SAS",$D$3:$D$49,"AGRI")</f>
        <v>0</v>
      </c>
      <c r="H63" s="122">
        <f>COUNTIFS($E$3:$E$49,DATE(Paramètres!A4,Paramètres!D15,Paramètres!C15),$F$3:$F$49,"INDIVIDUEL",$D$3:$D$49,"AGRI")</f>
        <v>0</v>
      </c>
      <c r="I63" s="136"/>
      <c r="J63" s="131"/>
      <c r="K63" s="131"/>
      <c r="L63" s="132"/>
      <c r="M63" s="122">
        <f>COUNTIFS($E$3:$E$49,DATE(Paramètres!A4,Paramètres!D15,Paramètres!C15),$F$3:$F$49,"EARL")</f>
        <v>0</v>
      </c>
      <c r="N63" s="122">
        <f>COUNTIFS($E$3:$E$49,DATE(Paramètres!A4,Paramètres!D15,Paramètres!C15),$F$3:$F$49,"ETA")</f>
        <v>0</v>
      </c>
      <c r="O63" s="122">
        <f>COUNTIFS($E$3:$E$49,DATE(Paramètres!A4,Paramètres!D15,Paramètres!C15),$F$3:$F$49,"SCEA")</f>
        <v>0</v>
      </c>
      <c r="P63" s="122"/>
      <c r="Q63" s="122"/>
      <c r="R63" s="122"/>
      <c r="S63" s="122"/>
      <c r="T63" s="122">
        <f>+SUM(E63:P63)</f>
        <v>0</v>
      </c>
      <c r="U63" s="164"/>
      <c r="V63" s="164"/>
      <c r="W63" s="164"/>
      <c r="X63" s="164"/>
      <c r="Y63" s="164"/>
      <c r="Z63" s="164"/>
      <c r="AA63" s="164"/>
      <c r="AB63" s="164"/>
      <c r="AC63" s="164"/>
      <c r="AE63" s="164"/>
      <c r="AF63" s="164"/>
      <c r="AG63" s="164"/>
      <c r="AH63" s="164"/>
      <c r="AI63" s="164"/>
      <c r="AJ63" s="164"/>
      <c r="AK63" s="164"/>
      <c r="AL63" s="164"/>
      <c r="AM63" s="164"/>
      <c r="AN63" s="164"/>
      <c r="AO63" s="164"/>
      <c r="AP63" s="164"/>
      <c r="AQ63" s="164"/>
      <c r="AR63" s="164"/>
      <c r="AS63" s="164"/>
      <c r="AT63" s="164"/>
      <c r="AU63" s="164"/>
      <c r="AV63" s="164"/>
      <c r="AW63" s="164"/>
      <c r="AX63" s="164"/>
      <c r="AY63" s="164"/>
      <c r="AZ63" s="164"/>
    </row>
    <row r="64" spans="1:63" x14ac:dyDescent="0.25">
      <c r="B64" s="283" t="s">
        <v>123</v>
      </c>
      <c r="C64" s="283"/>
      <c r="D64" s="122">
        <f>+SUM(D61:D63)</f>
        <v>1</v>
      </c>
      <c r="E64" s="129">
        <f>+SUM(E61:E63)</f>
        <v>1</v>
      </c>
      <c r="F64" s="129">
        <f>+SUM(F61:F63)</f>
        <v>0</v>
      </c>
      <c r="G64" s="124">
        <f>+SUM(G61:G63)</f>
        <v>0</v>
      </c>
      <c r="H64" s="122">
        <f>+SUM(H61:H63)</f>
        <v>0</v>
      </c>
      <c r="I64" s="122">
        <f t="shared" ref="I64:R64" si="4">+SUM(I61:I63)</f>
        <v>0</v>
      </c>
      <c r="J64" s="122">
        <f t="shared" si="4"/>
        <v>0</v>
      </c>
      <c r="K64" s="122">
        <f t="shared" si="4"/>
        <v>0</v>
      </c>
      <c r="L64" s="122">
        <f t="shared" si="4"/>
        <v>0</v>
      </c>
      <c r="M64" s="122">
        <f t="shared" si="4"/>
        <v>0</v>
      </c>
      <c r="N64" s="122">
        <f t="shared" si="4"/>
        <v>0</v>
      </c>
      <c r="O64" s="122">
        <f t="shared" si="4"/>
        <v>0</v>
      </c>
      <c r="P64" s="122">
        <f t="shared" si="4"/>
        <v>0</v>
      </c>
      <c r="Q64" s="122">
        <f t="shared" si="4"/>
        <v>0</v>
      </c>
      <c r="R64" s="122">
        <f t="shared" si="4"/>
        <v>0</v>
      </c>
      <c r="S64" s="122"/>
      <c r="T64" s="122">
        <f>+SUM(E64:R64)</f>
        <v>1</v>
      </c>
      <c r="U64" s="164"/>
      <c r="V64" s="164"/>
      <c r="W64" s="164"/>
      <c r="X64" s="164"/>
      <c r="Y64" s="164"/>
      <c r="Z64" s="164"/>
      <c r="AA64" s="164"/>
      <c r="AB64" s="164"/>
      <c r="AC64" s="164"/>
      <c r="AE64" s="164"/>
      <c r="AF64" s="164"/>
      <c r="AG64" s="164"/>
      <c r="AH64" s="164"/>
      <c r="AI64" s="164"/>
      <c r="AJ64" s="164"/>
      <c r="AK64" s="164"/>
      <c r="AL64" s="164"/>
      <c r="AM64" s="164"/>
      <c r="AN64" s="164"/>
      <c r="AO64" s="164"/>
      <c r="AP64" s="164"/>
      <c r="AQ64" s="164"/>
      <c r="AR64" s="164"/>
      <c r="AS64" s="164"/>
      <c r="AT64" s="164"/>
      <c r="AU64" s="164"/>
      <c r="AV64" s="164"/>
      <c r="AW64" s="164"/>
      <c r="AX64" s="164"/>
      <c r="AY64" s="164"/>
      <c r="AZ64" s="164"/>
    </row>
    <row r="65" spans="2:52" x14ac:dyDescent="0.25">
      <c r="B65" s="90"/>
      <c r="C65" s="90"/>
      <c r="D65" s="90"/>
      <c r="E65" s="90"/>
      <c r="G65" s="90"/>
      <c r="H65" s="90"/>
      <c r="I65" s="90"/>
      <c r="J65" s="90"/>
      <c r="K65" s="90"/>
      <c r="L65" s="90"/>
      <c r="M65" s="90"/>
      <c r="N65" s="90"/>
      <c r="O65" s="90"/>
      <c r="P65" s="90"/>
      <c r="T65" s="90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84" t="s">
        <v>40</v>
      </c>
      <c r="C66" s="122"/>
      <c r="D66" s="122"/>
      <c r="E66" s="125" t="s">
        <v>112</v>
      </c>
      <c r="F66" s="121" t="s">
        <v>115</v>
      </c>
      <c r="G66" s="126" t="s">
        <v>118</v>
      </c>
      <c r="H66" s="127" t="s">
        <v>116</v>
      </c>
      <c r="I66" s="127" t="s">
        <v>124</v>
      </c>
      <c r="J66" s="128" t="s">
        <v>125</v>
      </c>
      <c r="K66" s="128" t="s">
        <v>110</v>
      </c>
      <c r="L66" s="128" t="s">
        <v>119</v>
      </c>
      <c r="M66" s="128" t="s">
        <v>126</v>
      </c>
      <c r="N66" s="128" t="s">
        <v>127</v>
      </c>
      <c r="O66" s="128" t="s">
        <v>128</v>
      </c>
      <c r="P66" s="128" t="s">
        <v>129</v>
      </c>
      <c r="Q66" s="128" t="s">
        <v>130</v>
      </c>
      <c r="R66" s="128" t="s">
        <v>131</v>
      </c>
      <c r="S66" s="128"/>
      <c r="T66" s="128" t="s">
        <v>86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81"/>
      <c r="C67" s="120" t="s">
        <v>109</v>
      </c>
      <c r="D67" s="122">
        <f>+D55-D61</f>
        <v>0</v>
      </c>
      <c r="E67" s="122">
        <f>+E55-E61</f>
        <v>0</v>
      </c>
      <c r="F67" s="122">
        <f t="shared" ref="F67:R67" si="5">+F55-F61</f>
        <v>0</v>
      </c>
      <c r="G67" s="122">
        <f t="shared" si="5"/>
        <v>0</v>
      </c>
      <c r="H67" s="122">
        <f t="shared" si="5"/>
        <v>0</v>
      </c>
      <c r="I67" s="122">
        <f t="shared" si="5"/>
        <v>0</v>
      </c>
      <c r="J67" s="122">
        <f t="shared" si="5"/>
        <v>0</v>
      </c>
      <c r="K67" s="122">
        <f t="shared" si="5"/>
        <v>0</v>
      </c>
      <c r="L67" s="122">
        <f t="shared" si="5"/>
        <v>0</v>
      </c>
      <c r="M67" s="122">
        <f t="shared" si="5"/>
        <v>0</v>
      </c>
      <c r="N67" s="122">
        <f t="shared" si="5"/>
        <v>0</v>
      </c>
      <c r="O67" s="122">
        <f t="shared" si="5"/>
        <v>0</v>
      </c>
      <c r="P67" s="122">
        <f t="shared" si="5"/>
        <v>0</v>
      </c>
      <c r="Q67" s="122">
        <f t="shared" si="5"/>
        <v>0</v>
      </c>
      <c r="R67" s="122">
        <f t="shared" si="5"/>
        <v>0</v>
      </c>
      <c r="S67" s="122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81"/>
      <c r="C68" s="120" t="s">
        <v>121</v>
      </c>
      <c r="D68" s="122">
        <f>+D56-D62</f>
        <v>0</v>
      </c>
      <c r="E68" s="122">
        <f t="shared" ref="E68:R70" si="6">+E56-E62</f>
        <v>0</v>
      </c>
      <c r="F68" s="122">
        <f t="shared" si="6"/>
        <v>0</v>
      </c>
      <c r="G68" s="122">
        <f t="shared" si="6"/>
        <v>0</v>
      </c>
      <c r="H68" s="122">
        <f t="shared" si="6"/>
        <v>0</v>
      </c>
      <c r="I68" s="122">
        <f t="shared" si="6"/>
        <v>0</v>
      </c>
      <c r="J68" s="122">
        <f t="shared" si="6"/>
        <v>0</v>
      </c>
      <c r="K68" s="122">
        <f t="shared" si="6"/>
        <v>0</v>
      </c>
      <c r="L68" s="122">
        <f t="shared" si="6"/>
        <v>0</v>
      </c>
      <c r="M68" s="122">
        <f t="shared" si="6"/>
        <v>0</v>
      </c>
      <c r="N68" s="122">
        <f t="shared" si="6"/>
        <v>0</v>
      </c>
      <c r="O68" s="122">
        <f t="shared" si="6"/>
        <v>0</v>
      </c>
      <c r="P68" s="122">
        <f t="shared" si="6"/>
        <v>0</v>
      </c>
      <c r="Q68" s="122">
        <f t="shared" si="6"/>
        <v>0</v>
      </c>
      <c r="R68" s="122">
        <f t="shared" si="6"/>
        <v>0</v>
      </c>
      <c r="S68" s="122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82"/>
      <c r="C69" s="122" t="s">
        <v>122</v>
      </c>
      <c r="D69" s="122">
        <f>+D57-D63</f>
        <v>0</v>
      </c>
      <c r="E69" s="122">
        <f t="shared" si="6"/>
        <v>0</v>
      </c>
      <c r="F69" s="122">
        <f t="shared" si="6"/>
        <v>0</v>
      </c>
      <c r="G69" s="122">
        <f t="shared" si="6"/>
        <v>0</v>
      </c>
      <c r="H69" s="122">
        <f t="shared" si="6"/>
        <v>0</v>
      </c>
      <c r="I69" s="122">
        <f t="shared" si="6"/>
        <v>0</v>
      </c>
      <c r="J69" s="122">
        <f t="shared" si="6"/>
        <v>0</v>
      </c>
      <c r="K69" s="122">
        <f t="shared" si="6"/>
        <v>0</v>
      </c>
      <c r="L69" s="122">
        <f t="shared" si="6"/>
        <v>0</v>
      </c>
      <c r="M69" s="122">
        <f t="shared" si="6"/>
        <v>0</v>
      </c>
      <c r="N69" s="122">
        <f t="shared" si="6"/>
        <v>0</v>
      </c>
      <c r="O69" s="122">
        <f t="shared" si="6"/>
        <v>0</v>
      </c>
      <c r="P69" s="122">
        <f t="shared" si="6"/>
        <v>0</v>
      </c>
      <c r="Q69" s="122">
        <f t="shared" si="6"/>
        <v>0</v>
      </c>
      <c r="R69" s="122">
        <f t="shared" si="6"/>
        <v>0</v>
      </c>
      <c r="S69" s="122"/>
      <c r="T69" s="122">
        <f>+SUM(E69:P69)</f>
        <v>0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283" t="s">
        <v>123</v>
      </c>
      <c r="C70" s="283"/>
      <c r="D70" s="122">
        <f>+D58-D64</f>
        <v>0</v>
      </c>
      <c r="E70" s="122">
        <f t="shared" si="6"/>
        <v>0</v>
      </c>
      <c r="F70" s="122">
        <f t="shared" si="6"/>
        <v>0</v>
      </c>
      <c r="G70" s="122">
        <f t="shared" si="6"/>
        <v>0</v>
      </c>
      <c r="H70" s="122">
        <f t="shared" si="6"/>
        <v>0</v>
      </c>
      <c r="I70" s="122">
        <f t="shared" si="6"/>
        <v>0</v>
      </c>
      <c r="J70" s="122">
        <f t="shared" si="6"/>
        <v>0</v>
      </c>
      <c r="K70" s="122">
        <f t="shared" si="6"/>
        <v>0</v>
      </c>
      <c r="L70" s="122">
        <f t="shared" si="6"/>
        <v>0</v>
      </c>
      <c r="M70" s="122">
        <f t="shared" si="6"/>
        <v>0</v>
      </c>
      <c r="N70" s="122">
        <f t="shared" si="6"/>
        <v>0</v>
      </c>
      <c r="O70" s="122">
        <f t="shared" si="6"/>
        <v>0</v>
      </c>
      <c r="P70" s="122">
        <f t="shared" si="6"/>
        <v>0</v>
      </c>
      <c r="Q70" s="122">
        <f t="shared" si="6"/>
        <v>0</v>
      </c>
      <c r="R70" s="122">
        <f t="shared" si="6"/>
        <v>0</v>
      </c>
      <c r="S70" s="122"/>
      <c r="T70" s="122">
        <f>+SUM(T67:T69)</f>
        <v>0</v>
      </c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137" t="s">
        <v>132</v>
      </c>
      <c r="C72" s="137"/>
      <c r="D72" s="137"/>
      <c r="E72" s="137"/>
      <c r="F72" s="137"/>
      <c r="G72" s="137"/>
      <c r="H72" s="137"/>
      <c r="I72" s="137"/>
      <c r="J72" s="137"/>
      <c r="K72" s="137"/>
      <c r="L72" s="137"/>
      <c r="M72" s="137"/>
      <c r="N72" s="137"/>
      <c r="O72" s="137"/>
      <c r="P72" s="137"/>
      <c r="Q72" s="137"/>
      <c r="R72" s="138"/>
      <c r="S72" s="139"/>
      <c r="T72" s="137"/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85" t="s">
        <v>120</v>
      </c>
      <c r="C73" s="138"/>
      <c r="D73" s="138"/>
      <c r="E73" s="140" t="str">
        <f t="shared" ref="E73:R73" si="7">E54</f>
        <v>SARL</v>
      </c>
      <c r="F73" s="138" t="str">
        <f t="shared" si="7"/>
        <v>EURL</v>
      </c>
      <c r="G73" s="141" t="str">
        <f t="shared" si="7"/>
        <v>SAS</v>
      </c>
      <c r="H73" s="142" t="str">
        <f t="shared" si="7"/>
        <v>INDIVIDUEL</v>
      </c>
      <c r="I73" s="142" t="str">
        <f t="shared" si="7"/>
        <v>ASSOCIATION</v>
      </c>
      <c r="J73" s="143" t="str">
        <f t="shared" si="7"/>
        <v>PROFESSION LIBERALE</v>
      </c>
      <c r="K73" s="143" t="str">
        <f t="shared" si="7"/>
        <v>SNC</v>
      </c>
      <c r="L73" s="143" t="str">
        <f t="shared" si="7"/>
        <v>SCI</v>
      </c>
      <c r="M73" s="143" t="str">
        <f t="shared" si="7"/>
        <v>EARL</v>
      </c>
      <c r="N73" s="143" t="str">
        <f t="shared" si="7"/>
        <v>ETA</v>
      </c>
      <c r="O73" s="143" t="str">
        <f t="shared" si="7"/>
        <v>SCEA</v>
      </c>
      <c r="P73" s="143" t="str">
        <f t="shared" si="7"/>
        <v>GROUPEMENT</v>
      </c>
      <c r="Q73" s="143" t="str">
        <f t="shared" si="7"/>
        <v>EIRL</v>
      </c>
      <c r="R73" s="143" t="str">
        <f t="shared" si="7"/>
        <v>AUTRES</v>
      </c>
      <c r="S73" s="144"/>
      <c r="T73" s="145" t="s">
        <v>86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86"/>
      <c r="C74" s="146" t="s">
        <v>109</v>
      </c>
      <c r="D74" s="138">
        <f>COUNTIFS($I$3:$I$49,"&lt;&gt;",$D$3:$D$49,"ACS")</f>
        <v>1</v>
      </c>
      <c r="E74" s="147">
        <f>+COUNTIFS($I$3:$I$49,"&lt;&gt;",$F$3:$F$49,"SARL")</f>
        <v>1</v>
      </c>
      <c r="F74" s="138">
        <f>+COUNTIFS($I3:$I49,"&lt;&gt;",$F$3:$F$49,"EURL")</f>
        <v>0</v>
      </c>
      <c r="G74" s="148">
        <f>COUNTIFS($I$3:$I$49,"&lt;&gt;",$F$3:$F$49,"SAS",$D$3:$D$49,"ACS")</f>
        <v>0</v>
      </c>
      <c r="H74" s="138">
        <f>COUNTIFS($I$3:$I$49,"&lt;&gt;",$F$3:$F$49,"INDIVIDUEL",$D$3:$D$49,"ACS")</f>
        <v>0</v>
      </c>
      <c r="I74" s="138">
        <f>COUNTIFS($I$3:$I$49,"&lt;&gt;",$F$3:$F$49,"ASSOCIATION")</f>
        <v>0</v>
      </c>
      <c r="J74" s="138"/>
      <c r="K74" s="138">
        <f>COUNTIFS($I$3:$I$49,"&lt;&gt;",$F$3:$F$49,"SNC")</f>
        <v>0</v>
      </c>
      <c r="L74" s="138">
        <f>COUNTIFS($I$3:$I$49,"&lt;&gt;",$F$3:$F$49,"SCI")</f>
        <v>0</v>
      </c>
      <c r="M74" s="149"/>
      <c r="N74" s="150"/>
      <c r="O74" s="151"/>
      <c r="P74" s="138">
        <f>COUNTIFS($I$3:$I$49,"&lt;&gt;",$F$3:$F$49,"GROUPEMENT")</f>
        <v>0</v>
      </c>
      <c r="Q74" s="152">
        <f>COUNTIFS($I$3:$I$49,"&lt;&gt;",$F$3:$F$49,"EIRL")</f>
        <v>0</v>
      </c>
      <c r="R74" s="138">
        <f>COUNTIFS($I$3:$I$49,"&lt;&gt;",$F$3:$F$49,"AUTRES")</f>
        <v>0</v>
      </c>
      <c r="S74" s="148"/>
      <c r="T74" s="148">
        <f>+SUM(E74:P74)</f>
        <v>1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86"/>
      <c r="C75" s="146" t="s">
        <v>121</v>
      </c>
      <c r="D75" s="138">
        <f>COUNTIFS($I$3:$I$49,"&lt;&gt;",$D$3:$D$49,"BNC")</f>
        <v>0</v>
      </c>
      <c r="E75" s="153"/>
      <c r="F75" s="138"/>
      <c r="G75" s="154"/>
      <c r="H75" s="155"/>
      <c r="I75" s="151"/>
      <c r="J75" s="138">
        <f>COUNTIFS($I$3:$I$49,"&lt;&gt;",$D$3:$D$49,"BNC")</f>
        <v>0</v>
      </c>
      <c r="K75" s="138"/>
      <c r="L75" s="138"/>
      <c r="M75" s="138"/>
      <c r="N75" s="138"/>
      <c r="O75" s="138"/>
      <c r="P75" s="138"/>
      <c r="Q75" s="152"/>
      <c r="R75" s="138"/>
      <c r="S75" s="148"/>
      <c r="T75" s="148">
        <f>+SUM(E75:P75)</f>
        <v>0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286"/>
      <c r="C76" s="138" t="s">
        <v>122</v>
      </c>
      <c r="D76" s="138">
        <f>COUNTIFS($I$3:$I$49,"&lt;&gt;",$D$3:$D$49,"AGRI")</f>
        <v>0</v>
      </c>
      <c r="E76" s="152"/>
      <c r="F76" s="138"/>
      <c r="G76" s="148">
        <f>COUNTIFS($I$3:$I$49,"&lt;&gt;",$F$3:$F$49,"SAS",$D$3:$D$49,"AGRI")</f>
        <v>0</v>
      </c>
      <c r="H76" s="138">
        <f>COUNTIFS($F$3:$F$49,"INDIVIDUEL",$D$3:$D$49,"AGRI",$I3:$I$49,"&lt;&gt;")</f>
        <v>0</v>
      </c>
      <c r="I76" s="138"/>
      <c r="J76" s="138"/>
      <c r="K76" s="138"/>
      <c r="L76" s="138"/>
      <c r="M76" s="138" t="e">
        <f>COUNTIFS($I$3:$I$49,"&lt;&gt;",$F$3:$F$51,"EARL")</f>
        <v>#VALUE!</v>
      </c>
      <c r="N76" s="138" t="e">
        <f>COUNTIFS($I$3:$I$49,"&lt;&gt;",$F$3:$F$51,"ETA")</f>
        <v>#VALUE!</v>
      </c>
      <c r="O76" s="138" t="e">
        <f>COUNTIFS($I$3:$I$49,"&lt;&gt;",$F$3:$F$51,"SCEA")</f>
        <v>#VALUE!</v>
      </c>
      <c r="P76" s="138"/>
      <c r="Q76" s="152"/>
      <c r="R76" s="138"/>
      <c r="S76" s="148"/>
      <c r="T76" s="148" t="e">
        <f>+SUM(E76:P76)</f>
        <v>#VALUE!</v>
      </c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6" t="s">
        <v>123</v>
      </c>
      <c r="C77" s="286"/>
      <c r="D77" s="138">
        <f t="shared" ref="D77:R77" si="8">+SUM(D74:D76)</f>
        <v>1</v>
      </c>
      <c r="E77" s="152">
        <f t="shared" si="8"/>
        <v>1</v>
      </c>
      <c r="F77" s="152">
        <f t="shared" si="8"/>
        <v>0</v>
      </c>
      <c r="G77" s="152">
        <f t="shared" si="8"/>
        <v>0</v>
      </c>
      <c r="H77" s="152">
        <f t="shared" si="8"/>
        <v>0</v>
      </c>
      <c r="I77" s="152">
        <f t="shared" si="8"/>
        <v>0</v>
      </c>
      <c r="J77" s="152">
        <f t="shared" si="8"/>
        <v>0</v>
      </c>
      <c r="K77" s="152">
        <f t="shared" si="8"/>
        <v>0</v>
      </c>
      <c r="L77" s="152">
        <f t="shared" si="8"/>
        <v>0</v>
      </c>
      <c r="M77" s="152" t="e">
        <f t="shared" si="8"/>
        <v>#VALUE!</v>
      </c>
      <c r="N77" s="152" t="e">
        <f t="shared" si="8"/>
        <v>#VALUE!</v>
      </c>
      <c r="O77" s="152" t="e">
        <f t="shared" si="8"/>
        <v>#VALUE!</v>
      </c>
      <c r="P77" s="152">
        <f t="shared" si="8"/>
        <v>0</v>
      </c>
      <c r="Q77" s="152">
        <f t="shared" si="8"/>
        <v>0</v>
      </c>
      <c r="R77" s="152">
        <f t="shared" si="8"/>
        <v>0</v>
      </c>
      <c r="S77" s="156"/>
      <c r="T77" s="148" t="e">
        <f>+SUM(T74:T76)</f>
        <v>#VALUE!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137"/>
      <c r="C78" s="137"/>
      <c r="D78" s="137"/>
      <c r="E78" s="137"/>
      <c r="F78" s="137"/>
      <c r="G78" s="137"/>
      <c r="H78" s="137"/>
      <c r="I78" s="137"/>
      <c r="J78" s="137"/>
      <c r="K78" s="137"/>
      <c r="L78" s="137"/>
      <c r="M78" s="137"/>
      <c r="N78" s="137"/>
      <c r="O78" s="137"/>
      <c r="P78" s="137"/>
      <c r="Q78" s="137"/>
      <c r="R78" s="137"/>
      <c r="S78" s="137"/>
      <c r="T78" s="137"/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87">
        <v>44196</v>
      </c>
      <c r="C79" s="138"/>
      <c r="D79" s="138"/>
      <c r="E79" s="140" t="str">
        <f t="shared" ref="E79:R79" si="9">E54</f>
        <v>SARL</v>
      </c>
      <c r="F79" s="138" t="str">
        <f t="shared" si="9"/>
        <v>EURL</v>
      </c>
      <c r="G79" s="141" t="str">
        <f t="shared" si="9"/>
        <v>SAS</v>
      </c>
      <c r="H79" s="142" t="str">
        <f t="shared" si="9"/>
        <v>INDIVIDUEL</v>
      </c>
      <c r="I79" s="142" t="str">
        <f t="shared" si="9"/>
        <v>ASSOCIATION</v>
      </c>
      <c r="J79" s="143" t="str">
        <f t="shared" si="9"/>
        <v>PROFESSION LIBERALE</v>
      </c>
      <c r="K79" s="143" t="str">
        <f t="shared" si="9"/>
        <v>SNC</v>
      </c>
      <c r="L79" s="143" t="str">
        <f t="shared" si="9"/>
        <v>SCI</v>
      </c>
      <c r="M79" s="143" t="str">
        <f t="shared" si="9"/>
        <v>EARL</v>
      </c>
      <c r="N79" s="143" t="str">
        <f t="shared" si="9"/>
        <v>ETA</v>
      </c>
      <c r="O79" s="143" t="str">
        <f t="shared" si="9"/>
        <v>SCEA</v>
      </c>
      <c r="P79" s="143" t="str">
        <f t="shared" si="9"/>
        <v>GROUPEMENT</v>
      </c>
      <c r="Q79" s="138" t="str">
        <f t="shared" si="9"/>
        <v>EIRL</v>
      </c>
      <c r="R79" s="138" t="str">
        <f t="shared" si="9"/>
        <v>AUTRES</v>
      </c>
      <c r="S79" s="138"/>
      <c r="T79" s="143" t="s">
        <v>86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86"/>
      <c r="C80" s="146" t="s">
        <v>109</v>
      </c>
      <c r="D80" s="138">
        <f>COUNTIFS($I$3:$I$49,"&lt;&gt;",$E$3:$E$49,DATE(Paramètres!A4,Paramètres!D15,Paramètres!C15),$D$3:$D$49,"ACS")</f>
        <v>1</v>
      </c>
      <c r="E80" s="147">
        <f>COUNTIFS($I$3:$I$49,"&lt;&gt;",$E$3:$E$49,DATE(Paramètres!A4,Paramètres!D15,Paramètres!C15),$F$3:$F$49,"SARL")</f>
        <v>1</v>
      </c>
      <c r="F80" s="138">
        <f>+COUNTIFS($I$3:$I$49,"&lt;&gt;",$E$3:$E$49,DATE(Paramètres!A4,Paramètres!D15,Paramètres!C15),$F$3:$F$49,"EURL")</f>
        <v>0</v>
      </c>
      <c r="G80" s="148">
        <f>COUNTIFS($I$3:$I$49,"&lt;&gt;",$E$3:$E$49,DATE(Paramètres!A4,Paramètres!D15,Paramètres!C15),$F$3:$F$49,"SAS",$D$3:$D$49,"ACS")</f>
        <v>0</v>
      </c>
      <c r="H80" s="138">
        <f>COUNTIFS($I$3:$I$49,"&lt;&gt;",$E$3:$E$49,DATE(Paramètres!A4,Paramètres!D15,Paramètres!C15),$F$3:$F$49,"INDIVIDUEL",$D$3:$D$49,"ACS")</f>
        <v>0</v>
      </c>
      <c r="I80" s="138">
        <f>+COUNTIFS($I$3:$I$49,"&lt;&gt;",$E$3:$E$49,DATE(Paramètres!A4,Paramètres!D15,Paramètres!C15),$F$3:$F$49,"ASSOCIATION")</f>
        <v>0</v>
      </c>
      <c r="J80" s="138"/>
      <c r="K80" s="138">
        <f>COUNTIFS($I$3:$I$49,"&lt;&gt;",$E$3:$E$49,DATE(Paramètres!A4,Paramètres!D15,Paramètres!C15),$F$3:$F$49,"SNC")</f>
        <v>0</v>
      </c>
      <c r="L80" s="138">
        <f>COUNTIFS($I$3:$I$49,"&lt;&gt;",$E$3:$E$49,DATE(Paramètres!A4,Paramètres!D15,Paramètres!C15),$F$3:$F$49,"SCI")</f>
        <v>0</v>
      </c>
      <c r="M80" s="149"/>
      <c r="N80" s="150"/>
      <c r="O80" s="151"/>
      <c r="P80" s="138">
        <f>COUNTIFS($I$3:$I$49,"&lt;&gt;",$E$3:$E$49,DATE(Paramètres!A4,Paramètres!D15,Paramètres!C15),$F$3:$F$49,"GROUPEMENT")</f>
        <v>0</v>
      </c>
      <c r="Q80" s="138">
        <f>COUNTIFS($I$3:$I$49,"&lt;&gt;",$E$3:$E$49,DATE(Paramètres!A4,Paramètres!D15,Paramètres!C15),$F$3:$F$49,"EIRL")</f>
        <v>0</v>
      </c>
      <c r="R80" s="138">
        <f>COUNTIFS($I$3:$I$49,"&lt;&gt;",$E$3:$E$49,DATE(Paramètres!A4,Paramètres!D15,Paramètres!C15),$F$3:$F$49,"AUTRES")</f>
        <v>0</v>
      </c>
      <c r="S80" s="138"/>
      <c r="T80" s="138">
        <f>+SUM(E80:P80)</f>
        <v>1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86"/>
      <c r="C81" s="146" t="s">
        <v>121</v>
      </c>
      <c r="D81" s="138">
        <f>COUNTIFS($I$3:$I$49,"&lt;&gt;",$E$3:$E$49,DATE(Paramètres!A4,Paramètres!D15,Paramètres!C15),$D$3:$D$49,"BNC")</f>
        <v>0</v>
      </c>
      <c r="E81" s="153"/>
      <c r="F81" s="138"/>
      <c r="G81" s="154"/>
      <c r="H81" s="155"/>
      <c r="I81" s="151"/>
      <c r="J81" s="138">
        <f>COUNTIFS($I$3:$I$49,"&lt;&gt;",$E$3:$E$49,DATE(Paramètres!A4,Paramètres!D15,Paramètres!C15),$D$3:$D$49,"BNC")</f>
        <v>0</v>
      </c>
      <c r="K81" s="149"/>
      <c r="L81" s="150"/>
      <c r="M81" s="150"/>
      <c r="N81" s="150"/>
      <c r="O81" s="150"/>
      <c r="P81" s="151"/>
      <c r="Q81" s="138"/>
      <c r="R81" s="138"/>
      <c r="S81" s="138"/>
      <c r="T81" s="138">
        <f>+SUM(E81:P81)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B82" s="286"/>
      <c r="C82" s="138" t="s">
        <v>122</v>
      </c>
      <c r="D82" s="138">
        <f>COUNTIFS($I$3:$I$49,"&lt;&gt;",$E$3:$E$49,DATE(Paramètres!A4,Paramètres!D15,Paramètres!C15),$D$3:$D$49,"AGRI")</f>
        <v>0</v>
      </c>
      <c r="E82" s="153"/>
      <c r="F82" s="138"/>
      <c r="G82" s="154">
        <f>COUNTIFS($I$3:$I$49,"&lt;&gt;",$E$3:$E$49,DATE(Paramètres!A4,Paramètres!D15,Paramètres!C15),$F$3:$F$49,"SAS",$D$3:$D$49,"AGRI")</f>
        <v>0</v>
      </c>
      <c r="H82" s="138">
        <f>COUNTIFS($I$3:$I$49,"&lt;&gt;",$E$3:$E$49,DATE(Paramètres!A4,Paramètres!D15,Paramètres!C15),$F$3:$F$49,"INDIVIDUEL",$D$3:$D$49,"AGRI")</f>
        <v>0</v>
      </c>
      <c r="I82" s="152"/>
      <c r="J82" s="149"/>
      <c r="K82" s="150"/>
      <c r="L82" s="151"/>
      <c r="M82" s="138">
        <f>COUNTIFS($I$3:$I$49,"&lt;&gt;",$BB$3:$BB$49,"X",$E$3:$E$49,DATE(Paramètres!A4,Paramètres!D15,Paramètres!C15),$F$3:$F$49,"EARL")</f>
        <v>0</v>
      </c>
      <c r="N82" s="138">
        <f>COUNTIFS($I$3:$I$49,"&lt;&gt;",$E$3:$E$49,DATE(Paramètres!A4,Paramètres!D15,Paramètres!C15),$F$3:$F$49,"ETA")</f>
        <v>0</v>
      </c>
      <c r="O82" s="138">
        <f>COUNTIFS($I$3:$I$49,"&lt;&gt;",$E$3:$E$49,DATE(Paramètres!A4,Paramètres!D15,Paramètres!C15),$F$3:$F$49,"SCEA")</f>
        <v>0</v>
      </c>
      <c r="P82" s="138"/>
      <c r="Q82" s="138"/>
      <c r="R82" s="138"/>
      <c r="S82" s="138"/>
      <c r="T82" s="138">
        <f>+SUM(E82:P82)</f>
        <v>0</v>
      </c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286" t="s">
        <v>123</v>
      </c>
      <c r="C83" s="286"/>
      <c r="D83" s="138">
        <f t="shared" ref="D83:R83" si="10">+SUM(D80:D82)</f>
        <v>1</v>
      </c>
      <c r="E83" s="152">
        <f t="shared" si="10"/>
        <v>1</v>
      </c>
      <c r="F83" s="152">
        <f t="shared" si="10"/>
        <v>0</v>
      </c>
      <c r="G83" s="152">
        <f t="shared" si="10"/>
        <v>0</v>
      </c>
      <c r="H83" s="152">
        <f t="shared" si="10"/>
        <v>0</v>
      </c>
      <c r="I83" s="152">
        <f t="shared" si="10"/>
        <v>0</v>
      </c>
      <c r="J83" s="152">
        <f t="shared" si="10"/>
        <v>0</v>
      </c>
      <c r="K83" s="152">
        <f t="shared" si="10"/>
        <v>0</v>
      </c>
      <c r="L83" s="152">
        <f t="shared" si="10"/>
        <v>0</v>
      </c>
      <c r="M83" s="152">
        <f t="shared" si="10"/>
        <v>0</v>
      </c>
      <c r="N83" s="152">
        <f t="shared" si="10"/>
        <v>0</v>
      </c>
      <c r="O83" s="152">
        <f t="shared" si="10"/>
        <v>0</v>
      </c>
      <c r="P83" s="152">
        <f t="shared" si="10"/>
        <v>0</v>
      </c>
      <c r="Q83" s="152">
        <f t="shared" si="10"/>
        <v>0</v>
      </c>
      <c r="R83" s="152">
        <f t="shared" si="10"/>
        <v>0</v>
      </c>
      <c r="S83" s="152"/>
      <c r="T83" s="138">
        <f>+SUM(T80:T82)</f>
        <v>1</v>
      </c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137"/>
      <c r="C84" s="137"/>
      <c r="D84" s="137"/>
      <c r="E84" s="137"/>
      <c r="F84" s="137"/>
      <c r="G84" s="137"/>
      <c r="H84" s="137"/>
      <c r="I84" s="137"/>
      <c r="J84" s="137"/>
      <c r="K84" s="137"/>
      <c r="L84" s="137"/>
      <c r="M84" s="137"/>
      <c r="N84" s="137"/>
      <c r="O84" s="137"/>
      <c r="P84" s="137"/>
      <c r="Q84" s="137"/>
      <c r="R84" s="137"/>
      <c r="S84" s="137"/>
      <c r="T84" s="137"/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6" t="s">
        <v>40</v>
      </c>
      <c r="C85" s="138"/>
      <c r="D85" s="138"/>
      <c r="E85" s="140" t="str">
        <f t="shared" ref="E85:R85" si="11">E54</f>
        <v>SARL</v>
      </c>
      <c r="F85" s="138" t="str">
        <f t="shared" si="11"/>
        <v>EURL</v>
      </c>
      <c r="G85" s="141" t="str">
        <f t="shared" si="11"/>
        <v>SAS</v>
      </c>
      <c r="H85" s="142" t="str">
        <f t="shared" si="11"/>
        <v>INDIVIDUEL</v>
      </c>
      <c r="I85" s="142" t="str">
        <f t="shared" si="11"/>
        <v>ASSOCIATION</v>
      </c>
      <c r="J85" s="143" t="str">
        <f t="shared" si="11"/>
        <v>PROFESSION LIBERALE</v>
      </c>
      <c r="K85" s="143" t="str">
        <f t="shared" si="11"/>
        <v>SNC</v>
      </c>
      <c r="L85" s="143" t="str">
        <f t="shared" si="11"/>
        <v>SCI</v>
      </c>
      <c r="M85" s="143" t="str">
        <f t="shared" si="11"/>
        <v>EARL</v>
      </c>
      <c r="N85" s="143" t="str">
        <f t="shared" si="11"/>
        <v>ETA</v>
      </c>
      <c r="O85" s="143" t="str">
        <f t="shared" si="11"/>
        <v>SCEA</v>
      </c>
      <c r="P85" s="143" t="str">
        <f t="shared" si="11"/>
        <v>GROUPEMENT</v>
      </c>
      <c r="Q85" s="138" t="str">
        <f t="shared" si="11"/>
        <v>EIRL</v>
      </c>
      <c r="R85" s="138" t="str">
        <f t="shared" si="11"/>
        <v>AUTRES</v>
      </c>
      <c r="S85" s="138"/>
      <c r="T85" s="143" t="s">
        <v>86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6"/>
      <c r="C86" s="146" t="s">
        <v>109</v>
      </c>
      <c r="D86" s="138">
        <f>+D74-D80</f>
        <v>0</v>
      </c>
      <c r="E86" s="152">
        <f>+E74-E80</f>
        <v>0</v>
      </c>
      <c r="F86" s="152">
        <f t="shared" ref="F86:R86" si="12">+F74-F80</f>
        <v>0</v>
      </c>
      <c r="G86" s="152">
        <f t="shared" si="12"/>
        <v>0</v>
      </c>
      <c r="H86" s="152">
        <f t="shared" si="12"/>
        <v>0</v>
      </c>
      <c r="I86" s="152">
        <f t="shared" si="12"/>
        <v>0</v>
      </c>
      <c r="J86" s="152">
        <f t="shared" si="12"/>
        <v>0</v>
      </c>
      <c r="K86" s="152">
        <f t="shared" si="12"/>
        <v>0</v>
      </c>
      <c r="L86" s="152">
        <f t="shared" si="12"/>
        <v>0</v>
      </c>
      <c r="M86" s="152">
        <f t="shared" si="12"/>
        <v>0</v>
      </c>
      <c r="N86" s="152">
        <f t="shared" si="12"/>
        <v>0</v>
      </c>
      <c r="O86" s="152">
        <f t="shared" si="12"/>
        <v>0</v>
      </c>
      <c r="P86" s="152">
        <f t="shared" si="12"/>
        <v>0</v>
      </c>
      <c r="Q86" s="152">
        <f t="shared" si="12"/>
        <v>0</v>
      </c>
      <c r="R86" s="152">
        <f t="shared" si="12"/>
        <v>0</v>
      </c>
      <c r="S86" s="152"/>
      <c r="T86" s="13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6"/>
      <c r="C87" s="146" t="s">
        <v>121</v>
      </c>
      <c r="D87" s="138">
        <f>+D75-D81</f>
        <v>0</v>
      </c>
      <c r="E87" s="138">
        <f t="shared" ref="E87:R89" si="13">+E75-E81</f>
        <v>0</v>
      </c>
      <c r="F87" s="138">
        <f t="shared" si="13"/>
        <v>0</v>
      </c>
      <c r="G87" s="138">
        <f t="shared" si="13"/>
        <v>0</v>
      </c>
      <c r="H87" s="138">
        <f t="shared" si="13"/>
        <v>0</v>
      </c>
      <c r="I87" s="138">
        <f t="shared" si="13"/>
        <v>0</v>
      </c>
      <c r="J87" s="138">
        <f t="shared" si="13"/>
        <v>0</v>
      </c>
      <c r="K87" s="138">
        <f t="shared" si="13"/>
        <v>0</v>
      </c>
      <c r="L87" s="138">
        <f t="shared" si="13"/>
        <v>0</v>
      </c>
      <c r="M87" s="138">
        <f t="shared" si="13"/>
        <v>0</v>
      </c>
      <c r="N87" s="138">
        <f t="shared" si="13"/>
        <v>0</v>
      </c>
      <c r="O87" s="138">
        <f t="shared" si="13"/>
        <v>0</v>
      </c>
      <c r="P87" s="138">
        <f t="shared" si="13"/>
        <v>0</v>
      </c>
      <c r="Q87" s="138">
        <f t="shared" si="13"/>
        <v>0</v>
      </c>
      <c r="R87" s="138">
        <f t="shared" si="13"/>
        <v>0</v>
      </c>
      <c r="S87" s="138"/>
      <c r="T87" s="13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6"/>
      <c r="C88" s="138" t="s">
        <v>122</v>
      </c>
      <c r="D88" s="138">
        <f>+D76-D82</f>
        <v>0</v>
      </c>
      <c r="E88" s="138">
        <f t="shared" si="13"/>
        <v>0</v>
      </c>
      <c r="F88" s="138">
        <f t="shared" si="13"/>
        <v>0</v>
      </c>
      <c r="G88" s="138">
        <f t="shared" si="13"/>
        <v>0</v>
      </c>
      <c r="H88" s="138">
        <f t="shared" si="13"/>
        <v>0</v>
      </c>
      <c r="I88" s="138">
        <f t="shared" si="13"/>
        <v>0</v>
      </c>
      <c r="J88" s="138">
        <f t="shared" si="13"/>
        <v>0</v>
      </c>
      <c r="K88" s="138">
        <f t="shared" si="13"/>
        <v>0</v>
      </c>
      <c r="L88" s="138">
        <f t="shared" si="13"/>
        <v>0</v>
      </c>
      <c r="M88" s="138" t="e">
        <f t="shared" si="13"/>
        <v>#VALUE!</v>
      </c>
      <c r="N88" s="138" t="e">
        <f t="shared" si="13"/>
        <v>#VALUE!</v>
      </c>
      <c r="O88" s="138" t="e">
        <f t="shared" si="13"/>
        <v>#VALUE!</v>
      </c>
      <c r="P88" s="138">
        <f t="shared" si="13"/>
        <v>0</v>
      </c>
      <c r="Q88" s="138">
        <f t="shared" si="13"/>
        <v>0</v>
      </c>
      <c r="R88" s="138">
        <f t="shared" si="13"/>
        <v>0</v>
      </c>
      <c r="S88" s="138"/>
      <c r="T88" s="138" t="e">
        <f>+SUM(E88:P88)</f>
        <v>#VALUE!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286" t="s">
        <v>123</v>
      </c>
      <c r="C89" s="286"/>
      <c r="D89" s="138">
        <f>+D77-D83</f>
        <v>0</v>
      </c>
      <c r="E89" s="138">
        <f t="shared" si="13"/>
        <v>0</v>
      </c>
      <c r="F89" s="138">
        <f t="shared" si="13"/>
        <v>0</v>
      </c>
      <c r="G89" s="138">
        <f t="shared" si="13"/>
        <v>0</v>
      </c>
      <c r="H89" s="138">
        <f t="shared" si="13"/>
        <v>0</v>
      </c>
      <c r="I89" s="138">
        <f t="shared" si="13"/>
        <v>0</v>
      </c>
      <c r="J89" s="138">
        <f t="shared" si="13"/>
        <v>0</v>
      </c>
      <c r="K89" s="138">
        <f t="shared" si="13"/>
        <v>0</v>
      </c>
      <c r="L89" s="138">
        <f t="shared" si="13"/>
        <v>0</v>
      </c>
      <c r="M89" s="138" t="e">
        <f t="shared" si="13"/>
        <v>#VALUE!</v>
      </c>
      <c r="N89" s="138" t="e">
        <f t="shared" si="13"/>
        <v>#VALUE!</v>
      </c>
      <c r="O89" s="138" t="e">
        <f t="shared" si="13"/>
        <v>#VALUE!</v>
      </c>
      <c r="P89" s="138">
        <f t="shared" si="13"/>
        <v>0</v>
      </c>
      <c r="Q89" s="138">
        <f t="shared" si="13"/>
        <v>0</v>
      </c>
      <c r="R89" s="138">
        <f t="shared" si="13"/>
        <v>0</v>
      </c>
      <c r="S89" s="138"/>
      <c r="T89" s="138" t="e">
        <f>+SUM(T86:T88)</f>
        <v>#VALUE!</v>
      </c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89" t="s">
        <v>133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0" t="s">
        <v>120</v>
      </c>
      <c r="C93" s="122"/>
      <c r="D93" s="122"/>
      <c r="E93" s="157" t="str">
        <f t="shared" ref="E93:R93" si="14">E54</f>
        <v>SARL</v>
      </c>
      <c r="F93" s="121" t="str">
        <f t="shared" si="14"/>
        <v>EURL</v>
      </c>
      <c r="G93" s="158" t="str">
        <f t="shared" si="14"/>
        <v>SAS</v>
      </c>
      <c r="H93" s="158" t="str">
        <f t="shared" si="14"/>
        <v>INDIVIDUEL</v>
      </c>
      <c r="I93" s="158" t="str">
        <f t="shared" si="14"/>
        <v>ASSOCIATION</v>
      </c>
      <c r="J93" s="157" t="str">
        <f t="shared" si="14"/>
        <v>PROFESSION LIBERALE</v>
      </c>
      <c r="K93" s="157" t="str">
        <f t="shared" si="14"/>
        <v>SNC</v>
      </c>
      <c r="L93" s="157" t="str">
        <f t="shared" si="14"/>
        <v>SCI</v>
      </c>
      <c r="M93" s="157" t="str">
        <f t="shared" si="14"/>
        <v>EARL</v>
      </c>
      <c r="N93" s="157" t="str">
        <f t="shared" si="14"/>
        <v>ETA</v>
      </c>
      <c r="O93" s="157" t="str">
        <f t="shared" si="14"/>
        <v>SCEA</v>
      </c>
      <c r="P93" s="157" t="str">
        <f t="shared" si="14"/>
        <v>GROUPEMENT</v>
      </c>
      <c r="Q93" s="121" t="str">
        <f t="shared" si="14"/>
        <v>EIRL</v>
      </c>
      <c r="R93" s="121" t="str">
        <f t="shared" si="14"/>
        <v>AUTRES</v>
      </c>
      <c r="S93" s="121"/>
      <c r="T93" s="157" t="s">
        <v>86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1"/>
      <c r="C94" s="120" t="s">
        <v>109</v>
      </c>
      <c r="D94" s="122">
        <f>+D55-D74</f>
        <v>0</v>
      </c>
      <c r="E94" s="122">
        <f t="shared" ref="E94:R96" si="15">+E55-E74</f>
        <v>0</v>
      </c>
      <c r="F94" s="122">
        <f t="shared" si="15"/>
        <v>0</v>
      </c>
      <c r="G94" s="122">
        <f t="shared" si="15"/>
        <v>0</v>
      </c>
      <c r="H94" s="122">
        <f t="shared" si="15"/>
        <v>0</v>
      </c>
      <c r="I94" s="122">
        <f t="shared" si="15"/>
        <v>0</v>
      </c>
      <c r="J94" s="122">
        <f t="shared" si="15"/>
        <v>0</v>
      </c>
      <c r="K94" s="122">
        <f t="shared" si="15"/>
        <v>0</v>
      </c>
      <c r="L94" s="122">
        <f t="shared" si="15"/>
        <v>0</v>
      </c>
      <c r="M94" s="122">
        <f t="shared" si="15"/>
        <v>0</v>
      </c>
      <c r="N94" s="122">
        <f t="shared" si="15"/>
        <v>0</v>
      </c>
      <c r="O94" s="122">
        <f t="shared" si="15"/>
        <v>0</v>
      </c>
      <c r="P94" s="122">
        <f t="shared" si="15"/>
        <v>0</v>
      </c>
      <c r="Q94" s="122">
        <f t="shared" si="15"/>
        <v>0</v>
      </c>
      <c r="R94" s="122">
        <f t="shared" si="15"/>
        <v>0</v>
      </c>
      <c r="S94" s="122"/>
      <c r="T94" s="122">
        <f>+SUM(E94:P94)</f>
        <v>0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281"/>
      <c r="C95" s="120" t="s">
        <v>121</v>
      </c>
      <c r="D95" s="122">
        <f>+D56-D75</f>
        <v>0</v>
      </c>
      <c r="E95" s="122">
        <f t="shared" si="15"/>
        <v>0</v>
      </c>
      <c r="F95" s="122">
        <f t="shared" si="15"/>
        <v>0</v>
      </c>
      <c r="G95" s="122">
        <f t="shared" si="15"/>
        <v>0</v>
      </c>
      <c r="H95" s="122">
        <f t="shared" si="15"/>
        <v>0</v>
      </c>
      <c r="I95" s="122">
        <f t="shared" si="15"/>
        <v>0</v>
      </c>
      <c r="J95" s="122">
        <f t="shared" si="15"/>
        <v>0</v>
      </c>
      <c r="K95" s="122">
        <f t="shared" si="15"/>
        <v>0</v>
      </c>
      <c r="L95" s="122">
        <f t="shared" si="15"/>
        <v>0</v>
      </c>
      <c r="M95" s="122">
        <f t="shared" si="15"/>
        <v>0</v>
      </c>
      <c r="N95" s="122">
        <f t="shared" si="15"/>
        <v>0</v>
      </c>
      <c r="O95" s="122">
        <f t="shared" si="15"/>
        <v>0</v>
      </c>
      <c r="P95" s="122">
        <f t="shared" si="15"/>
        <v>0</v>
      </c>
      <c r="Q95" s="122">
        <f t="shared" si="15"/>
        <v>0</v>
      </c>
      <c r="R95" s="122">
        <f t="shared" si="15"/>
        <v>0</v>
      </c>
      <c r="S95" s="122"/>
      <c r="T95" s="122">
        <f>+SUM(E95:P95)</f>
        <v>0</v>
      </c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2"/>
      <c r="C96" s="122" t="s">
        <v>122</v>
      </c>
      <c r="D96" s="122">
        <f>+D57-D76</f>
        <v>0</v>
      </c>
      <c r="E96" s="122">
        <f t="shared" si="15"/>
        <v>0</v>
      </c>
      <c r="F96" s="122">
        <f t="shared" si="15"/>
        <v>0</v>
      </c>
      <c r="G96" s="122">
        <f t="shared" si="15"/>
        <v>0</v>
      </c>
      <c r="H96" s="122">
        <f t="shared" si="15"/>
        <v>0</v>
      </c>
      <c r="I96" s="122">
        <f t="shared" si="15"/>
        <v>0</v>
      </c>
      <c r="J96" s="122">
        <f t="shared" si="15"/>
        <v>0</v>
      </c>
      <c r="K96" s="122">
        <f t="shared" si="15"/>
        <v>0</v>
      </c>
      <c r="L96" s="122">
        <f t="shared" si="15"/>
        <v>0</v>
      </c>
      <c r="M96" s="122" t="e">
        <f t="shared" si="15"/>
        <v>#VALUE!</v>
      </c>
      <c r="N96" s="122" t="e">
        <f t="shared" si="15"/>
        <v>#VALUE!</v>
      </c>
      <c r="O96" s="122" t="e">
        <f t="shared" si="15"/>
        <v>#VALUE!</v>
      </c>
      <c r="P96" s="122">
        <f t="shared" si="15"/>
        <v>0</v>
      </c>
      <c r="Q96" s="122">
        <f t="shared" si="15"/>
        <v>0</v>
      </c>
      <c r="R96" s="122">
        <f t="shared" si="15"/>
        <v>0</v>
      </c>
      <c r="S96" s="122"/>
      <c r="T96" s="122" t="e">
        <f>+SUM(E96:P96)</f>
        <v>#VALUE!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3" t="s">
        <v>123</v>
      </c>
      <c r="C97" s="283"/>
      <c r="D97" s="122">
        <f t="shared" ref="D97:R97" si="16">+SUM(D94:D96)</f>
        <v>0</v>
      </c>
      <c r="E97" s="122">
        <f t="shared" si="16"/>
        <v>0</v>
      </c>
      <c r="F97" s="122">
        <f t="shared" si="16"/>
        <v>0</v>
      </c>
      <c r="G97" s="122">
        <f t="shared" si="16"/>
        <v>0</v>
      </c>
      <c r="H97" s="122">
        <f t="shared" si="16"/>
        <v>0</v>
      </c>
      <c r="I97" s="122">
        <f t="shared" si="16"/>
        <v>0</v>
      </c>
      <c r="J97" s="122">
        <f t="shared" si="16"/>
        <v>0</v>
      </c>
      <c r="K97" s="122">
        <f t="shared" si="16"/>
        <v>0</v>
      </c>
      <c r="L97" s="122">
        <f t="shared" si="16"/>
        <v>0</v>
      </c>
      <c r="M97" s="122" t="e">
        <f t="shared" si="16"/>
        <v>#VALUE!</v>
      </c>
      <c r="N97" s="122" t="e">
        <f t="shared" si="16"/>
        <v>#VALUE!</v>
      </c>
      <c r="O97" s="122" t="e">
        <f t="shared" si="16"/>
        <v>#VALUE!</v>
      </c>
      <c r="P97" s="122">
        <f t="shared" si="16"/>
        <v>0</v>
      </c>
      <c r="Q97" s="122">
        <f t="shared" si="16"/>
        <v>0</v>
      </c>
      <c r="R97" s="122">
        <f t="shared" si="16"/>
        <v>0</v>
      </c>
      <c r="S97" s="122"/>
      <c r="T97" s="122" t="e">
        <f>+SUM(T94:T96)</f>
        <v>#VALUE!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90"/>
      <c r="C98" s="90"/>
      <c r="D98" s="90"/>
      <c r="E98" s="90"/>
      <c r="G98" s="90"/>
      <c r="H98" s="90"/>
      <c r="I98" s="90"/>
      <c r="J98" s="90"/>
      <c r="K98" s="90"/>
      <c r="L98" s="90"/>
      <c r="M98" s="90"/>
      <c r="N98" s="90"/>
      <c r="O98" s="90"/>
      <c r="P98" s="90"/>
      <c r="T98" s="90"/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4">
        <v>44196</v>
      </c>
      <c r="C99" s="122"/>
      <c r="D99" s="122"/>
      <c r="E99" s="128" t="str">
        <f t="shared" ref="E99:R99" si="17">E54</f>
        <v>SARL</v>
      </c>
      <c r="F99" s="121" t="str">
        <f t="shared" si="17"/>
        <v>EURL</v>
      </c>
      <c r="G99" s="127" t="str">
        <f t="shared" si="17"/>
        <v>SAS</v>
      </c>
      <c r="H99" s="127" t="str">
        <f t="shared" si="17"/>
        <v>INDIVIDUEL</v>
      </c>
      <c r="I99" s="127" t="str">
        <f t="shared" si="17"/>
        <v>ASSOCIATION</v>
      </c>
      <c r="J99" s="128" t="str">
        <f t="shared" si="17"/>
        <v>PROFESSION LIBERALE</v>
      </c>
      <c r="K99" s="128" t="str">
        <f t="shared" si="17"/>
        <v>SNC</v>
      </c>
      <c r="L99" s="128" t="str">
        <f t="shared" si="17"/>
        <v>SCI</v>
      </c>
      <c r="M99" s="128" t="str">
        <f t="shared" si="17"/>
        <v>EARL</v>
      </c>
      <c r="N99" s="128" t="str">
        <f t="shared" si="17"/>
        <v>ETA</v>
      </c>
      <c r="O99" s="128" t="str">
        <f t="shared" si="17"/>
        <v>SCEA</v>
      </c>
      <c r="P99" s="128" t="str">
        <f t="shared" si="17"/>
        <v>GROUPEMENT</v>
      </c>
      <c r="Q99" s="128" t="str">
        <f t="shared" si="17"/>
        <v>EIRL</v>
      </c>
      <c r="R99" s="121" t="str">
        <f t="shared" si="17"/>
        <v>AUTRES</v>
      </c>
      <c r="S99" s="121"/>
      <c r="T99" s="128" t="s">
        <v>86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1"/>
      <c r="C100" s="120" t="s">
        <v>109</v>
      </c>
      <c r="D100" s="122">
        <f>+D61-D80</f>
        <v>0</v>
      </c>
      <c r="E100" s="122">
        <f t="shared" ref="E100:R102" si="18">+E61-E80</f>
        <v>0</v>
      </c>
      <c r="F100" s="122">
        <f t="shared" si="18"/>
        <v>0</v>
      </c>
      <c r="G100" s="122">
        <f t="shared" si="18"/>
        <v>0</v>
      </c>
      <c r="H100" s="122">
        <f t="shared" si="18"/>
        <v>0</v>
      </c>
      <c r="I100" s="122">
        <f t="shared" si="18"/>
        <v>0</v>
      </c>
      <c r="J100" s="122">
        <f t="shared" si="18"/>
        <v>0</v>
      </c>
      <c r="K100" s="122">
        <f t="shared" si="18"/>
        <v>0</v>
      </c>
      <c r="L100" s="122">
        <f t="shared" si="18"/>
        <v>0</v>
      </c>
      <c r="M100" s="122">
        <f t="shared" si="18"/>
        <v>0</v>
      </c>
      <c r="N100" s="122">
        <f t="shared" si="18"/>
        <v>0</v>
      </c>
      <c r="O100" s="122">
        <f t="shared" si="18"/>
        <v>0</v>
      </c>
      <c r="P100" s="122">
        <f t="shared" si="18"/>
        <v>0</v>
      </c>
      <c r="Q100" s="122">
        <f t="shared" si="18"/>
        <v>0</v>
      </c>
      <c r="R100" s="122">
        <f t="shared" si="18"/>
        <v>0</v>
      </c>
      <c r="S100" s="122"/>
      <c r="T100" s="122">
        <f>+SUM(E100:P100)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B101" s="281"/>
      <c r="C101" s="120" t="s">
        <v>121</v>
      </c>
      <c r="D101" s="122">
        <f>+D62-D81</f>
        <v>0</v>
      </c>
      <c r="E101" s="122">
        <f t="shared" si="18"/>
        <v>0</v>
      </c>
      <c r="F101" s="122">
        <f t="shared" si="18"/>
        <v>0</v>
      </c>
      <c r="G101" s="122">
        <f t="shared" si="18"/>
        <v>0</v>
      </c>
      <c r="H101" s="122">
        <f t="shared" si="18"/>
        <v>0</v>
      </c>
      <c r="I101" s="122">
        <f t="shared" si="18"/>
        <v>0</v>
      </c>
      <c r="J101" s="122">
        <f t="shared" si="18"/>
        <v>0</v>
      </c>
      <c r="K101" s="122">
        <f t="shared" si="18"/>
        <v>0</v>
      </c>
      <c r="L101" s="122">
        <f t="shared" si="18"/>
        <v>0</v>
      </c>
      <c r="M101" s="122">
        <f t="shared" si="18"/>
        <v>0</v>
      </c>
      <c r="N101" s="122">
        <f t="shared" si="18"/>
        <v>0</v>
      </c>
      <c r="O101" s="122">
        <f t="shared" si="18"/>
        <v>0</v>
      </c>
      <c r="P101" s="122">
        <f t="shared" si="18"/>
        <v>0</v>
      </c>
      <c r="Q101" s="122">
        <f t="shared" si="18"/>
        <v>0</v>
      </c>
      <c r="R101" s="122">
        <f t="shared" si="18"/>
        <v>0</v>
      </c>
      <c r="S101" s="122"/>
      <c r="T101" s="122">
        <f>+SUM(E101:P101)</f>
        <v>0</v>
      </c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282"/>
      <c r="C102" s="122" t="s">
        <v>122</v>
      </c>
      <c r="D102" s="122">
        <f>+D63-D82</f>
        <v>0</v>
      </c>
      <c r="E102" s="122">
        <f t="shared" si="18"/>
        <v>0</v>
      </c>
      <c r="F102" s="122">
        <f t="shared" si="18"/>
        <v>0</v>
      </c>
      <c r="G102" s="122">
        <f t="shared" si="18"/>
        <v>0</v>
      </c>
      <c r="H102" s="122">
        <f t="shared" si="18"/>
        <v>0</v>
      </c>
      <c r="I102" s="122">
        <f t="shared" si="18"/>
        <v>0</v>
      </c>
      <c r="J102" s="122">
        <f t="shared" si="18"/>
        <v>0</v>
      </c>
      <c r="K102" s="122">
        <f t="shared" si="18"/>
        <v>0</v>
      </c>
      <c r="L102" s="122">
        <f t="shared" si="18"/>
        <v>0</v>
      </c>
      <c r="M102" s="122">
        <f t="shared" si="18"/>
        <v>0</v>
      </c>
      <c r="N102" s="122">
        <f t="shared" si="18"/>
        <v>0</v>
      </c>
      <c r="O102" s="122">
        <f t="shared" si="18"/>
        <v>0</v>
      </c>
      <c r="P102" s="122">
        <f t="shared" si="18"/>
        <v>0</v>
      </c>
      <c r="Q102" s="122">
        <f t="shared" si="18"/>
        <v>0</v>
      </c>
      <c r="R102" s="122">
        <f t="shared" si="18"/>
        <v>0</v>
      </c>
      <c r="S102" s="122"/>
      <c r="T102" s="122">
        <f>+SUM(E102:P102)</f>
        <v>0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B103" s="283" t="s">
        <v>123</v>
      </c>
      <c r="C103" s="283"/>
      <c r="D103" s="122">
        <f t="shared" ref="D103:R103" si="19">+SUM(D100:D102)</f>
        <v>0</v>
      </c>
      <c r="E103" s="122">
        <f t="shared" si="19"/>
        <v>0</v>
      </c>
      <c r="F103" s="122">
        <f t="shared" si="19"/>
        <v>0</v>
      </c>
      <c r="G103" s="122">
        <f t="shared" si="19"/>
        <v>0</v>
      </c>
      <c r="H103" s="122">
        <f t="shared" si="19"/>
        <v>0</v>
      </c>
      <c r="I103" s="122">
        <f t="shared" si="19"/>
        <v>0</v>
      </c>
      <c r="J103" s="122">
        <f t="shared" si="19"/>
        <v>0</v>
      </c>
      <c r="K103" s="122">
        <f t="shared" si="19"/>
        <v>0</v>
      </c>
      <c r="L103" s="122">
        <f t="shared" si="19"/>
        <v>0</v>
      </c>
      <c r="M103" s="122">
        <f t="shared" si="19"/>
        <v>0</v>
      </c>
      <c r="N103" s="122">
        <f t="shared" si="19"/>
        <v>0</v>
      </c>
      <c r="O103" s="122">
        <f t="shared" si="19"/>
        <v>0</v>
      </c>
      <c r="P103" s="122">
        <f t="shared" si="19"/>
        <v>0</v>
      </c>
      <c r="Q103" s="122">
        <f t="shared" si="19"/>
        <v>0</v>
      </c>
      <c r="R103" s="122">
        <f t="shared" si="19"/>
        <v>0</v>
      </c>
      <c r="S103" s="122"/>
      <c r="T103" s="122">
        <f>+SUM(T100:T102)</f>
        <v>0</v>
      </c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90"/>
      <c r="C104" s="90"/>
      <c r="D104" s="90"/>
      <c r="E104" s="90"/>
      <c r="G104" s="90"/>
      <c r="H104" s="90"/>
      <c r="I104" s="90"/>
      <c r="J104" s="90"/>
      <c r="K104" s="90"/>
      <c r="L104" s="90"/>
      <c r="M104" s="90"/>
      <c r="N104" s="90"/>
      <c r="O104" s="90"/>
      <c r="P104" s="90"/>
      <c r="T104" s="90"/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84" t="s">
        <v>40</v>
      </c>
      <c r="C105" s="122"/>
      <c r="D105" s="122"/>
      <c r="E105" s="125" t="str">
        <f t="shared" ref="E105:R105" si="20">E54</f>
        <v>SARL</v>
      </c>
      <c r="F105" s="121" t="str">
        <f t="shared" si="20"/>
        <v>EURL</v>
      </c>
      <c r="G105" s="126" t="str">
        <f t="shared" si="20"/>
        <v>SAS</v>
      </c>
      <c r="H105" s="127" t="str">
        <f t="shared" si="20"/>
        <v>INDIVIDUEL</v>
      </c>
      <c r="I105" s="127" t="str">
        <f t="shared" si="20"/>
        <v>ASSOCIATION</v>
      </c>
      <c r="J105" s="128" t="str">
        <f t="shared" si="20"/>
        <v>PROFESSION LIBERALE</v>
      </c>
      <c r="K105" s="128" t="str">
        <f t="shared" si="20"/>
        <v>SNC</v>
      </c>
      <c r="L105" s="128" t="str">
        <f t="shared" si="20"/>
        <v>SCI</v>
      </c>
      <c r="M105" s="128" t="str">
        <f t="shared" si="20"/>
        <v>EARL</v>
      </c>
      <c r="N105" s="128" t="str">
        <f t="shared" si="20"/>
        <v>ETA</v>
      </c>
      <c r="O105" s="128" t="str">
        <f t="shared" si="20"/>
        <v>SCEA</v>
      </c>
      <c r="P105" s="128" t="str">
        <f t="shared" si="20"/>
        <v>GROUPEMENT</v>
      </c>
      <c r="Q105" s="128" t="str">
        <f t="shared" si="20"/>
        <v>EIRL</v>
      </c>
      <c r="R105" s="121" t="str">
        <f t="shared" si="20"/>
        <v>AUTRES</v>
      </c>
      <c r="S105" s="121"/>
      <c r="T105" s="128" t="s">
        <v>86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81"/>
      <c r="C106" s="120" t="s">
        <v>109</v>
      </c>
      <c r="D106" s="122">
        <f>+D94-D100</f>
        <v>0</v>
      </c>
      <c r="E106" s="122">
        <f t="shared" ref="E106:R109" si="21">+E94-E100</f>
        <v>0</v>
      </c>
      <c r="F106" s="122">
        <f t="shared" si="21"/>
        <v>0</v>
      </c>
      <c r="G106" s="122">
        <f t="shared" si="21"/>
        <v>0</v>
      </c>
      <c r="H106" s="122">
        <f t="shared" si="21"/>
        <v>0</v>
      </c>
      <c r="I106" s="122">
        <f t="shared" si="21"/>
        <v>0</v>
      </c>
      <c r="J106" s="122">
        <f t="shared" si="21"/>
        <v>0</v>
      </c>
      <c r="K106" s="122">
        <f t="shared" si="21"/>
        <v>0</v>
      </c>
      <c r="L106" s="122">
        <f t="shared" si="21"/>
        <v>0</v>
      </c>
      <c r="M106" s="122">
        <f t="shared" si="21"/>
        <v>0</v>
      </c>
      <c r="N106" s="122">
        <f t="shared" si="21"/>
        <v>0</v>
      </c>
      <c r="O106" s="122">
        <f t="shared" si="21"/>
        <v>0</v>
      </c>
      <c r="P106" s="122">
        <f t="shared" si="21"/>
        <v>0</v>
      </c>
      <c r="Q106" s="122">
        <f t="shared" si="21"/>
        <v>0</v>
      </c>
      <c r="R106" s="122">
        <f t="shared" si="21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81"/>
      <c r="C107" s="120" t="s">
        <v>121</v>
      </c>
      <c r="D107" s="122">
        <f>+D95-D101</f>
        <v>0</v>
      </c>
      <c r="E107" s="122">
        <f t="shared" si="21"/>
        <v>0</v>
      </c>
      <c r="F107" s="122">
        <f t="shared" si="21"/>
        <v>0</v>
      </c>
      <c r="G107" s="122">
        <f t="shared" si="21"/>
        <v>0</v>
      </c>
      <c r="H107" s="122">
        <f t="shared" si="21"/>
        <v>0</v>
      </c>
      <c r="I107" s="122">
        <f t="shared" si="21"/>
        <v>0</v>
      </c>
      <c r="J107" s="122">
        <f t="shared" si="21"/>
        <v>0</v>
      </c>
      <c r="K107" s="122">
        <f t="shared" si="21"/>
        <v>0</v>
      </c>
      <c r="L107" s="122">
        <f t="shared" si="21"/>
        <v>0</v>
      </c>
      <c r="M107" s="122">
        <f t="shared" si="21"/>
        <v>0</v>
      </c>
      <c r="N107" s="122">
        <f t="shared" si="21"/>
        <v>0</v>
      </c>
      <c r="O107" s="122">
        <f t="shared" si="21"/>
        <v>0</v>
      </c>
      <c r="P107" s="122">
        <f t="shared" si="21"/>
        <v>0</v>
      </c>
      <c r="Q107" s="122">
        <f t="shared" si="21"/>
        <v>0</v>
      </c>
      <c r="R107" s="122">
        <f t="shared" si="21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82"/>
      <c r="C108" s="122" t="s">
        <v>122</v>
      </c>
      <c r="D108" s="122">
        <f>+D96-D102</f>
        <v>0</v>
      </c>
      <c r="E108" s="122">
        <f t="shared" si="21"/>
        <v>0</v>
      </c>
      <c r="F108" s="122">
        <f t="shared" si="21"/>
        <v>0</v>
      </c>
      <c r="G108" s="122">
        <f t="shared" si="21"/>
        <v>0</v>
      </c>
      <c r="H108" s="122">
        <f t="shared" si="21"/>
        <v>0</v>
      </c>
      <c r="I108" s="122">
        <f t="shared" si="21"/>
        <v>0</v>
      </c>
      <c r="J108" s="122">
        <f t="shared" si="21"/>
        <v>0</v>
      </c>
      <c r="K108" s="122">
        <f t="shared" si="21"/>
        <v>0</v>
      </c>
      <c r="L108" s="122">
        <f t="shared" si="21"/>
        <v>0</v>
      </c>
      <c r="M108" s="122" t="e">
        <f t="shared" si="21"/>
        <v>#VALUE!</v>
      </c>
      <c r="N108" s="122" t="e">
        <f t="shared" si="21"/>
        <v>#VALUE!</v>
      </c>
      <c r="O108" s="122" t="e">
        <f t="shared" si="21"/>
        <v>#VALUE!</v>
      </c>
      <c r="P108" s="122">
        <f t="shared" si="21"/>
        <v>0</v>
      </c>
      <c r="Q108" s="122">
        <f t="shared" si="21"/>
        <v>0</v>
      </c>
      <c r="R108" s="122">
        <f t="shared" si="21"/>
        <v>0</v>
      </c>
      <c r="S108" s="122"/>
      <c r="T108" s="122" t="e">
        <f>+SUM(E108:P108)</f>
        <v>#VALUE!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283" t="s">
        <v>123</v>
      </c>
      <c r="C109" s="283"/>
      <c r="D109" s="122">
        <f>+D97-D103</f>
        <v>0</v>
      </c>
      <c r="E109" s="122">
        <f t="shared" si="21"/>
        <v>0</v>
      </c>
      <c r="F109" s="122">
        <f t="shared" si="21"/>
        <v>0</v>
      </c>
      <c r="G109" s="122">
        <f t="shared" si="21"/>
        <v>0</v>
      </c>
      <c r="H109" s="122">
        <f t="shared" si="21"/>
        <v>0</v>
      </c>
      <c r="I109" s="122">
        <f t="shared" si="21"/>
        <v>0</v>
      </c>
      <c r="J109" s="122">
        <f t="shared" si="21"/>
        <v>0</v>
      </c>
      <c r="K109" s="122">
        <f t="shared" si="21"/>
        <v>0</v>
      </c>
      <c r="L109" s="122">
        <f t="shared" si="21"/>
        <v>0</v>
      </c>
      <c r="M109" s="122" t="e">
        <f t="shared" si="21"/>
        <v>#VALUE!</v>
      </c>
      <c r="N109" s="122" t="e">
        <f t="shared" si="21"/>
        <v>#VALUE!</v>
      </c>
      <c r="O109" s="122" t="e">
        <f t="shared" si="21"/>
        <v>#VALUE!</v>
      </c>
      <c r="P109" s="122">
        <f t="shared" si="21"/>
        <v>0</v>
      </c>
      <c r="Q109" s="122">
        <f t="shared" si="21"/>
        <v>0</v>
      </c>
      <c r="R109" s="122">
        <f t="shared" si="21"/>
        <v>0</v>
      </c>
      <c r="S109" s="122"/>
      <c r="T109" s="122" t="e">
        <f>+SUM(T106:T108)</f>
        <v>#VALUE!</v>
      </c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1:52" x14ac:dyDescent="0.25"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1:52" x14ac:dyDescent="0.25"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1:52" x14ac:dyDescent="0.25"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1:52" x14ac:dyDescent="0.25"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1:52" x14ac:dyDescent="0.25"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1:52" x14ac:dyDescent="0.25"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1:52" x14ac:dyDescent="0.25"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1:52" x14ac:dyDescent="0.25"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1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1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1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1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1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1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1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1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</sheetData>
  <sheetProtection selectLockedCells="1" selectUnlockedCells="1"/>
  <mergeCells count="18">
    <mergeCell ref="B70:C70"/>
    <mergeCell ref="B109:C109"/>
    <mergeCell ref="B73:B76"/>
    <mergeCell ref="B77:C77"/>
    <mergeCell ref="B79:B82"/>
    <mergeCell ref="B83:C83"/>
    <mergeCell ref="B85:B88"/>
    <mergeCell ref="B89:C89"/>
    <mergeCell ref="B93:B96"/>
    <mergeCell ref="B97:C97"/>
    <mergeCell ref="B99:B102"/>
    <mergeCell ref="B103:C103"/>
    <mergeCell ref="B105:B108"/>
    <mergeCell ref="B54:B57"/>
    <mergeCell ref="B58:C58"/>
    <mergeCell ref="B60:B63"/>
    <mergeCell ref="B64:C64"/>
    <mergeCell ref="B66:B69"/>
  </mergeCells>
  <conditionalFormatting sqref="P3:P49">
    <cfRule type="expression" dxfId="5" priority="4">
      <formula>AND(P3&lt;&gt;"",P3&lt;&gt;"OUI")</formula>
    </cfRule>
  </conditionalFormatting>
  <conditionalFormatting sqref="S3:AH49">
    <cfRule type="expression" dxfId="4" priority="1" stopIfTrue="1">
      <formula>$AH3&lt;&gt;0</formula>
    </cfRule>
  </conditionalFormatting>
  <conditionalFormatting sqref="A3:E49">
    <cfRule type="expression" dxfId="3" priority="29" stopIfTrue="1">
      <formula>AND($I3&lt;&gt;"",AND($J3="",AND($BA3="",$BB3="")))</formula>
    </cfRule>
    <cfRule type="expression" dxfId="2" priority="30" stopIfTrue="1">
      <formula>AND($J3&lt;&gt;"",AND($BA3="",$BB3=""))</formula>
    </cfRule>
    <cfRule type="expression" dxfId="1" priority="31" stopIfTrue="1">
      <formula>AND($BA3&lt;&gt;"",$BB3="")</formula>
    </cfRule>
    <cfRule type="expression" dxfId="0" priority="32" stopIfTrue="1">
      <formula>$BB3="X"</formula>
    </cfRule>
  </conditionalFormatting>
  <dataValidations count="13">
    <dataValidation type="list" allowBlank="1" showInputMessage="1" showErrorMessage="1" sqref="D65528:D65585 JU65528:JU65585 TQ65528:TQ65585 ADM65528:ADM65585 ANI65528:ANI65585 AXE65528:AXE65585 BHA65528:BHA65585 BQW65528:BQW65585 CAS65528:CAS65585 CKO65528:CKO65585 CUK65528:CUK65585 DEG65528:DEG65585 DOC65528:DOC65585 DXY65528:DXY65585 EHU65528:EHU65585 ERQ65528:ERQ65585 FBM65528:FBM65585 FLI65528:FLI65585 FVE65528:FVE65585 GFA65528:GFA65585 GOW65528:GOW65585 GYS65528:GYS65585 HIO65528:HIO65585 HSK65528:HSK65585 ICG65528:ICG65585 IMC65528:IMC65585 IVY65528:IVY65585 JFU65528:JFU65585 JPQ65528:JPQ65585 JZM65528:JZM65585 KJI65528:KJI65585 KTE65528:KTE65585 LDA65528:LDA65585 LMW65528:LMW65585 LWS65528:LWS65585 MGO65528:MGO65585 MQK65528:MQK65585 NAG65528:NAG65585 NKC65528:NKC65585 NTY65528:NTY65585 ODU65528:ODU65585 ONQ65528:ONQ65585 OXM65528:OXM65585 PHI65528:PHI65585 PRE65528:PRE65585 QBA65528:QBA65585 QKW65528:QKW65585 QUS65528:QUS65585 REO65528:REO65585 ROK65528:ROK65585 RYG65528:RYG65585 SIC65528:SIC65585 SRY65528:SRY65585 TBU65528:TBU65585 TLQ65528:TLQ65585 TVM65528:TVM65585 UFI65528:UFI65585 UPE65528:UPE65585 UZA65528:UZA65585 VIW65528:VIW65585 VSS65528:VSS65585 WCO65528:WCO65585 WMK65528:WMK65585 WWG65528:WWG65585 D131064:D131121 JU131064:JU131121 TQ131064:TQ131121 ADM131064:ADM131121 ANI131064:ANI131121 AXE131064:AXE131121 BHA131064:BHA131121 BQW131064:BQW131121 CAS131064:CAS131121 CKO131064:CKO131121 CUK131064:CUK131121 DEG131064:DEG131121 DOC131064:DOC131121 DXY131064:DXY131121 EHU131064:EHU131121 ERQ131064:ERQ131121 FBM131064:FBM131121 FLI131064:FLI131121 FVE131064:FVE131121 GFA131064:GFA131121 GOW131064:GOW131121 GYS131064:GYS131121 HIO131064:HIO131121 HSK131064:HSK131121 ICG131064:ICG131121 IMC131064:IMC131121 IVY131064:IVY131121 JFU131064:JFU131121 JPQ131064:JPQ131121 JZM131064:JZM131121 KJI131064:KJI131121 KTE131064:KTE131121 LDA131064:LDA131121 LMW131064:LMW131121 LWS131064:LWS131121 MGO131064:MGO131121 MQK131064:MQK131121 NAG131064:NAG131121 NKC131064:NKC131121 NTY131064:NTY131121 ODU131064:ODU131121 ONQ131064:ONQ131121 OXM131064:OXM131121 PHI131064:PHI131121 PRE131064:PRE131121 QBA131064:QBA131121 QKW131064:QKW131121 QUS131064:QUS131121 REO131064:REO131121 ROK131064:ROK131121 RYG131064:RYG131121 SIC131064:SIC131121 SRY131064:SRY131121 TBU131064:TBU131121 TLQ131064:TLQ131121 TVM131064:TVM131121 UFI131064:UFI131121 UPE131064:UPE131121 UZA131064:UZA131121 VIW131064:VIW131121 VSS131064:VSS131121 WCO131064:WCO131121 WMK131064:WMK131121 WWG131064:WWG131121 D196600:D196657 JU196600:JU196657 TQ196600:TQ196657 ADM196600:ADM196657 ANI196600:ANI196657 AXE196600:AXE196657 BHA196600:BHA196657 BQW196600:BQW196657 CAS196600:CAS196657 CKO196600:CKO196657 CUK196600:CUK196657 DEG196600:DEG196657 DOC196600:DOC196657 DXY196600:DXY196657 EHU196600:EHU196657 ERQ196600:ERQ196657 FBM196600:FBM196657 FLI196600:FLI196657 FVE196600:FVE196657 GFA196600:GFA196657 GOW196600:GOW196657 GYS196600:GYS196657 HIO196600:HIO196657 HSK196600:HSK196657 ICG196600:ICG196657 IMC196600:IMC196657 IVY196600:IVY196657 JFU196600:JFU196657 JPQ196600:JPQ196657 JZM196600:JZM196657 KJI196600:KJI196657 KTE196600:KTE196657 LDA196600:LDA196657 LMW196600:LMW196657 LWS196600:LWS196657 MGO196600:MGO196657 MQK196600:MQK196657 NAG196600:NAG196657 NKC196600:NKC196657 NTY196600:NTY196657 ODU196600:ODU196657 ONQ196600:ONQ196657 OXM196600:OXM196657 PHI196600:PHI196657 PRE196600:PRE196657 QBA196600:QBA196657 QKW196600:QKW196657 QUS196600:QUS196657 REO196600:REO196657 ROK196600:ROK196657 RYG196600:RYG196657 SIC196600:SIC196657 SRY196600:SRY196657 TBU196600:TBU196657 TLQ196600:TLQ196657 TVM196600:TVM196657 UFI196600:UFI196657 UPE196600:UPE196657 UZA196600:UZA196657 VIW196600:VIW196657 VSS196600:VSS196657 WCO196600:WCO196657 WMK196600:WMK196657 WWG196600:WWG196657 D262136:D262193 JU262136:JU262193 TQ262136:TQ262193 ADM262136:ADM262193 ANI262136:ANI262193 AXE262136:AXE262193 BHA262136:BHA262193 BQW262136:BQW262193 CAS262136:CAS262193 CKO262136:CKO262193 CUK262136:CUK262193 DEG262136:DEG262193 DOC262136:DOC262193 DXY262136:DXY262193 EHU262136:EHU262193 ERQ262136:ERQ262193 FBM262136:FBM262193 FLI262136:FLI262193 FVE262136:FVE262193 GFA262136:GFA262193 GOW262136:GOW262193 GYS262136:GYS262193 HIO262136:HIO262193 HSK262136:HSK262193 ICG262136:ICG262193 IMC262136:IMC262193 IVY262136:IVY262193 JFU262136:JFU262193 JPQ262136:JPQ262193 JZM262136:JZM262193 KJI262136:KJI262193 KTE262136:KTE262193 LDA262136:LDA262193 LMW262136:LMW262193 LWS262136:LWS262193 MGO262136:MGO262193 MQK262136:MQK262193 NAG262136:NAG262193 NKC262136:NKC262193 NTY262136:NTY262193 ODU262136:ODU262193 ONQ262136:ONQ262193 OXM262136:OXM262193 PHI262136:PHI262193 PRE262136:PRE262193 QBA262136:QBA262193 QKW262136:QKW262193 QUS262136:QUS262193 REO262136:REO262193 ROK262136:ROK262193 RYG262136:RYG262193 SIC262136:SIC262193 SRY262136:SRY262193 TBU262136:TBU262193 TLQ262136:TLQ262193 TVM262136:TVM262193 UFI262136:UFI262193 UPE262136:UPE262193 UZA262136:UZA262193 VIW262136:VIW262193 VSS262136:VSS262193 WCO262136:WCO262193 WMK262136:WMK262193 WWG262136:WWG262193 D327672:D327729 JU327672:JU327729 TQ327672:TQ327729 ADM327672:ADM327729 ANI327672:ANI327729 AXE327672:AXE327729 BHA327672:BHA327729 BQW327672:BQW327729 CAS327672:CAS327729 CKO327672:CKO327729 CUK327672:CUK327729 DEG327672:DEG327729 DOC327672:DOC327729 DXY327672:DXY327729 EHU327672:EHU327729 ERQ327672:ERQ327729 FBM327672:FBM327729 FLI327672:FLI327729 FVE327672:FVE327729 GFA327672:GFA327729 GOW327672:GOW327729 GYS327672:GYS327729 HIO327672:HIO327729 HSK327672:HSK327729 ICG327672:ICG327729 IMC327672:IMC327729 IVY327672:IVY327729 JFU327672:JFU327729 JPQ327672:JPQ327729 JZM327672:JZM327729 KJI327672:KJI327729 KTE327672:KTE327729 LDA327672:LDA327729 LMW327672:LMW327729 LWS327672:LWS327729 MGO327672:MGO327729 MQK327672:MQK327729 NAG327672:NAG327729 NKC327672:NKC327729 NTY327672:NTY327729 ODU327672:ODU327729 ONQ327672:ONQ327729 OXM327672:OXM327729 PHI327672:PHI327729 PRE327672:PRE327729 QBA327672:QBA327729 QKW327672:QKW327729 QUS327672:QUS327729 REO327672:REO327729 ROK327672:ROK327729 RYG327672:RYG327729 SIC327672:SIC327729 SRY327672:SRY327729 TBU327672:TBU327729 TLQ327672:TLQ327729 TVM327672:TVM327729 UFI327672:UFI327729 UPE327672:UPE327729 UZA327672:UZA327729 VIW327672:VIW327729 VSS327672:VSS327729 WCO327672:WCO327729 WMK327672:WMK327729 WWG327672:WWG327729 D393208:D393265 JU393208:JU393265 TQ393208:TQ393265 ADM393208:ADM393265 ANI393208:ANI393265 AXE393208:AXE393265 BHA393208:BHA393265 BQW393208:BQW393265 CAS393208:CAS393265 CKO393208:CKO393265 CUK393208:CUK393265 DEG393208:DEG393265 DOC393208:DOC393265 DXY393208:DXY393265 EHU393208:EHU393265 ERQ393208:ERQ393265 FBM393208:FBM393265 FLI393208:FLI393265 FVE393208:FVE393265 GFA393208:GFA393265 GOW393208:GOW393265 GYS393208:GYS393265 HIO393208:HIO393265 HSK393208:HSK393265 ICG393208:ICG393265 IMC393208:IMC393265 IVY393208:IVY393265 JFU393208:JFU393265 JPQ393208:JPQ393265 JZM393208:JZM393265 KJI393208:KJI393265 KTE393208:KTE393265 LDA393208:LDA393265 LMW393208:LMW393265 LWS393208:LWS393265 MGO393208:MGO393265 MQK393208:MQK393265 NAG393208:NAG393265 NKC393208:NKC393265 NTY393208:NTY393265 ODU393208:ODU393265 ONQ393208:ONQ393265 OXM393208:OXM393265 PHI393208:PHI393265 PRE393208:PRE393265 QBA393208:QBA393265 QKW393208:QKW393265 QUS393208:QUS393265 REO393208:REO393265 ROK393208:ROK393265 RYG393208:RYG393265 SIC393208:SIC393265 SRY393208:SRY393265 TBU393208:TBU393265 TLQ393208:TLQ393265 TVM393208:TVM393265 UFI393208:UFI393265 UPE393208:UPE393265 UZA393208:UZA393265 VIW393208:VIW393265 VSS393208:VSS393265 WCO393208:WCO393265 WMK393208:WMK393265 WWG393208:WWG393265 D458744:D458801 JU458744:JU458801 TQ458744:TQ458801 ADM458744:ADM458801 ANI458744:ANI458801 AXE458744:AXE458801 BHA458744:BHA458801 BQW458744:BQW458801 CAS458744:CAS458801 CKO458744:CKO458801 CUK458744:CUK458801 DEG458744:DEG458801 DOC458744:DOC458801 DXY458744:DXY458801 EHU458744:EHU458801 ERQ458744:ERQ458801 FBM458744:FBM458801 FLI458744:FLI458801 FVE458744:FVE458801 GFA458744:GFA458801 GOW458744:GOW458801 GYS458744:GYS458801 HIO458744:HIO458801 HSK458744:HSK458801 ICG458744:ICG458801 IMC458744:IMC458801 IVY458744:IVY458801 JFU458744:JFU458801 JPQ458744:JPQ458801 JZM458744:JZM458801 KJI458744:KJI458801 KTE458744:KTE458801 LDA458744:LDA458801 LMW458744:LMW458801 LWS458744:LWS458801 MGO458744:MGO458801 MQK458744:MQK458801 NAG458744:NAG458801 NKC458744:NKC458801 NTY458744:NTY458801 ODU458744:ODU458801 ONQ458744:ONQ458801 OXM458744:OXM458801 PHI458744:PHI458801 PRE458744:PRE458801 QBA458744:QBA458801 QKW458744:QKW458801 QUS458744:QUS458801 REO458744:REO458801 ROK458744:ROK458801 RYG458744:RYG458801 SIC458744:SIC458801 SRY458744:SRY458801 TBU458744:TBU458801 TLQ458744:TLQ458801 TVM458744:TVM458801 UFI458744:UFI458801 UPE458744:UPE458801 UZA458744:UZA458801 VIW458744:VIW458801 VSS458744:VSS458801 WCO458744:WCO458801 WMK458744:WMK458801 WWG458744:WWG458801 D524280:D524337 JU524280:JU524337 TQ524280:TQ524337 ADM524280:ADM524337 ANI524280:ANI524337 AXE524280:AXE524337 BHA524280:BHA524337 BQW524280:BQW524337 CAS524280:CAS524337 CKO524280:CKO524337 CUK524280:CUK524337 DEG524280:DEG524337 DOC524280:DOC524337 DXY524280:DXY524337 EHU524280:EHU524337 ERQ524280:ERQ524337 FBM524280:FBM524337 FLI524280:FLI524337 FVE524280:FVE524337 GFA524280:GFA524337 GOW524280:GOW524337 GYS524280:GYS524337 HIO524280:HIO524337 HSK524280:HSK524337 ICG524280:ICG524337 IMC524280:IMC524337 IVY524280:IVY524337 JFU524280:JFU524337 JPQ524280:JPQ524337 JZM524280:JZM524337 KJI524280:KJI524337 KTE524280:KTE524337 LDA524280:LDA524337 LMW524280:LMW524337 LWS524280:LWS524337 MGO524280:MGO524337 MQK524280:MQK524337 NAG524280:NAG524337 NKC524280:NKC524337 NTY524280:NTY524337 ODU524280:ODU524337 ONQ524280:ONQ524337 OXM524280:OXM524337 PHI524280:PHI524337 PRE524280:PRE524337 QBA524280:QBA524337 QKW524280:QKW524337 QUS524280:QUS524337 REO524280:REO524337 ROK524280:ROK524337 RYG524280:RYG524337 SIC524280:SIC524337 SRY524280:SRY524337 TBU524280:TBU524337 TLQ524280:TLQ524337 TVM524280:TVM524337 UFI524280:UFI524337 UPE524280:UPE524337 UZA524280:UZA524337 VIW524280:VIW524337 VSS524280:VSS524337 WCO524280:WCO524337 WMK524280:WMK524337 WWG524280:WWG524337 D589816:D589873 JU589816:JU589873 TQ589816:TQ589873 ADM589816:ADM589873 ANI589816:ANI589873 AXE589816:AXE589873 BHA589816:BHA589873 BQW589816:BQW589873 CAS589816:CAS589873 CKO589816:CKO589873 CUK589816:CUK589873 DEG589816:DEG589873 DOC589816:DOC589873 DXY589816:DXY589873 EHU589816:EHU589873 ERQ589816:ERQ589873 FBM589816:FBM589873 FLI589816:FLI589873 FVE589816:FVE589873 GFA589816:GFA589873 GOW589816:GOW589873 GYS589816:GYS589873 HIO589816:HIO589873 HSK589816:HSK589873 ICG589816:ICG589873 IMC589816:IMC589873 IVY589816:IVY589873 JFU589816:JFU589873 JPQ589816:JPQ589873 JZM589816:JZM589873 KJI589816:KJI589873 KTE589816:KTE589873 LDA589816:LDA589873 LMW589816:LMW589873 LWS589816:LWS589873 MGO589816:MGO589873 MQK589816:MQK589873 NAG589816:NAG589873 NKC589816:NKC589873 NTY589816:NTY589873 ODU589816:ODU589873 ONQ589816:ONQ589873 OXM589816:OXM589873 PHI589816:PHI589873 PRE589816:PRE589873 QBA589816:QBA589873 QKW589816:QKW589873 QUS589816:QUS589873 REO589816:REO589873 ROK589816:ROK589873 RYG589816:RYG589873 SIC589816:SIC589873 SRY589816:SRY589873 TBU589816:TBU589873 TLQ589816:TLQ589873 TVM589816:TVM589873 UFI589816:UFI589873 UPE589816:UPE589873 UZA589816:UZA589873 VIW589816:VIW589873 VSS589816:VSS589873 WCO589816:WCO589873 WMK589816:WMK589873 WWG589816:WWG589873 D655352:D655409 JU655352:JU655409 TQ655352:TQ655409 ADM655352:ADM655409 ANI655352:ANI655409 AXE655352:AXE655409 BHA655352:BHA655409 BQW655352:BQW655409 CAS655352:CAS655409 CKO655352:CKO655409 CUK655352:CUK655409 DEG655352:DEG655409 DOC655352:DOC655409 DXY655352:DXY655409 EHU655352:EHU655409 ERQ655352:ERQ655409 FBM655352:FBM655409 FLI655352:FLI655409 FVE655352:FVE655409 GFA655352:GFA655409 GOW655352:GOW655409 GYS655352:GYS655409 HIO655352:HIO655409 HSK655352:HSK655409 ICG655352:ICG655409 IMC655352:IMC655409 IVY655352:IVY655409 JFU655352:JFU655409 JPQ655352:JPQ655409 JZM655352:JZM655409 KJI655352:KJI655409 KTE655352:KTE655409 LDA655352:LDA655409 LMW655352:LMW655409 LWS655352:LWS655409 MGO655352:MGO655409 MQK655352:MQK655409 NAG655352:NAG655409 NKC655352:NKC655409 NTY655352:NTY655409 ODU655352:ODU655409 ONQ655352:ONQ655409 OXM655352:OXM655409 PHI655352:PHI655409 PRE655352:PRE655409 QBA655352:QBA655409 QKW655352:QKW655409 QUS655352:QUS655409 REO655352:REO655409 ROK655352:ROK655409 RYG655352:RYG655409 SIC655352:SIC655409 SRY655352:SRY655409 TBU655352:TBU655409 TLQ655352:TLQ655409 TVM655352:TVM655409 UFI655352:UFI655409 UPE655352:UPE655409 UZA655352:UZA655409 VIW655352:VIW655409 VSS655352:VSS655409 WCO655352:WCO655409 WMK655352:WMK655409 WWG655352:WWG655409 D720888:D720945 JU720888:JU720945 TQ720888:TQ720945 ADM720888:ADM720945 ANI720888:ANI720945 AXE720888:AXE720945 BHA720888:BHA720945 BQW720888:BQW720945 CAS720888:CAS720945 CKO720888:CKO720945 CUK720888:CUK720945 DEG720888:DEG720945 DOC720888:DOC720945 DXY720888:DXY720945 EHU720888:EHU720945 ERQ720888:ERQ720945 FBM720888:FBM720945 FLI720888:FLI720945 FVE720888:FVE720945 GFA720888:GFA720945 GOW720888:GOW720945 GYS720888:GYS720945 HIO720888:HIO720945 HSK720888:HSK720945 ICG720888:ICG720945 IMC720888:IMC720945 IVY720888:IVY720945 JFU720888:JFU720945 JPQ720888:JPQ720945 JZM720888:JZM720945 KJI720888:KJI720945 KTE720888:KTE720945 LDA720888:LDA720945 LMW720888:LMW720945 LWS720888:LWS720945 MGO720888:MGO720945 MQK720888:MQK720945 NAG720888:NAG720945 NKC720888:NKC720945 NTY720888:NTY720945 ODU720888:ODU720945 ONQ720888:ONQ720945 OXM720888:OXM720945 PHI720888:PHI720945 PRE720888:PRE720945 QBA720888:QBA720945 QKW720888:QKW720945 QUS720888:QUS720945 REO720888:REO720945 ROK720888:ROK720945 RYG720888:RYG720945 SIC720888:SIC720945 SRY720888:SRY720945 TBU720888:TBU720945 TLQ720888:TLQ720945 TVM720888:TVM720945 UFI720888:UFI720945 UPE720888:UPE720945 UZA720888:UZA720945 VIW720888:VIW720945 VSS720888:VSS720945 WCO720888:WCO720945 WMK720888:WMK720945 WWG720888:WWG720945 D786424:D786481 JU786424:JU786481 TQ786424:TQ786481 ADM786424:ADM786481 ANI786424:ANI786481 AXE786424:AXE786481 BHA786424:BHA786481 BQW786424:BQW786481 CAS786424:CAS786481 CKO786424:CKO786481 CUK786424:CUK786481 DEG786424:DEG786481 DOC786424:DOC786481 DXY786424:DXY786481 EHU786424:EHU786481 ERQ786424:ERQ786481 FBM786424:FBM786481 FLI786424:FLI786481 FVE786424:FVE786481 GFA786424:GFA786481 GOW786424:GOW786481 GYS786424:GYS786481 HIO786424:HIO786481 HSK786424:HSK786481 ICG786424:ICG786481 IMC786424:IMC786481 IVY786424:IVY786481 JFU786424:JFU786481 JPQ786424:JPQ786481 JZM786424:JZM786481 KJI786424:KJI786481 KTE786424:KTE786481 LDA786424:LDA786481 LMW786424:LMW786481 LWS786424:LWS786481 MGO786424:MGO786481 MQK786424:MQK786481 NAG786424:NAG786481 NKC786424:NKC786481 NTY786424:NTY786481 ODU786424:ODU786481 ONQ786424:ONQ786481 OXM786424:OXM786481 PHI786424:PHI786481 PRE786424:PRE786481 QBA786424:QBA786481 QKW786424:QKW786481 QUS786424:QUS786481 REO786424:REO786481 ROK786424:ROK786481 RYG786424:RYG786481 SIC786424:SIC786481 SRY786424:SRY786481 TBU786424:TBU786481 TLQ786424:TLQ786481 TVM786424:TVM786481 UFI786424:UFI786481 UPE786424:UPE786481 UZA786424:UZA786481 VIW786424:VIW786481 VSS786424:VSS786481 WCO786424:WCO786481 WMK786424:WMK786481 WWG786424:WWG786481 D851960:D852017 JU851960:JU852017 TQ851960:TQ852017 ADM851960:ADM852017 ANI851960:ANI852017 AXE851960:AXE852017 BHA851960:BHA852017 BQW851960:BQW852017 CAS851960:CAS852017 CKO851960:CKO852017 CUK851960:CUK852017 DEG851960:DEG852017 DOC851960:DOC852017 DXY851960:DXY852017 EHU851960:EHU852017 ERQ851960:ERQ852017 FBM851960:FBM852017 FLI851960:FLI852017 FVE851960:FVE852017 GFA851960:GFA852017 GOW851960:GOW852017 GYS851960:GYS852017 HIO851960:HIO852017 HSK851960:HSK852017 ICG851960:ICG852017 IMC851960:IMC852017 IVY851960:IVY852017 JFU851960:JFU852017 JPQ851960:JPQ852017 JZM851960:JZM852017 KJI851960:KJI852017 KTE851960:KTE852017 LDA851960:LDA852017 LMW851960:LMW852017 LWS851960:LWS852017 MGO851960:MGO852017 MQK851960:MQK852017 NAG851960:NAG852017 NKC851960:NKC852017 NTY851960:NTY852017 ODU851960:ODU852017 ONQ851960:ONQ852017 OXM851960:OXM852017 PHI851960:PHI852017 PRE851960:PRE852017 QBA851960:QBA852017 QKW851960:QKW852017 QUS851960:QUS852017 REO851960:REO852017 ROK851960:ROK852017 RYG851960:RYG852017 SIC851960:SIC852017 SRY851960:SRY852017 TBU851960:TBU852017 TLQ851960:TLQ852017 TVM851960:TVM852017 UFI851960:UFI852017 UPE851960:UPE852017 UZA851960:UZA852017 VIW851960:VIW852017 VSS851960:VSS852017 WCO851960:WCO852017 WMK851960:WMK852017 WWG851960:WWG852017 D917496:D917553 JU917496:JU917553 TQ917496:TQ917553 ADM917496:ADM917553 ANI917496:ANI917553 AXE917496:AXE917553 BHA917496:BHA917553 BQW917496:BQW917553 CAS917496:CAS917553 CKO917496:CKO917553 CUK917496:CUK917553 DEG917496:DEG917553 DOC917496:DOC917553 DXY917496:DXY917553 EHU917496:EHU917553 ERQ917496:ERQ917553 FBM917496:FBM917553 FLI917496:FLI917553 FVE917496:FVE917553 GFA917496:GFA917553 GOW917496:GOW917553 GYS917496:GYS917553 HIO917496:HIO917553 HSK917496:HSK917553 ICG917496:ICG917553 IMC917496:IMC917553 IVY917496:IVY917553 JFU917496:JFU917553 JPQ917496:JPQ917553 JZM917496:JZM917553 KJI917496:KJI917553 KTE917496:KTE917553 LDA917496:LDA917553 LMW917496:LMW917553 LWS917496:LWS917553 MGO917496:MGO917553 MQK917496:MQK917553 NAG917496:NAG917553 NKC917496:NKC917553 NTY917496:NTY917553 ODU917496:ODU917553 ONQ917496:ONQ917553 OXM917496:OXM917553 PHI917496:PHI917553 PRE917496:PRE917553 QBA917496:QBA917553 QKW917496:QKW917553 QUS917496:QUS917553 REO917496:REO917553 ROK917496:ROK917553 RYG917496:RYG917553 SIC917496:SIC917553 SRY917496:SRY917553 TBU917496:TBU917553 TLQ917496:TLQ917553 TVM917496:TVM917553 UFI917496:UFI917553 UPE917496:UPE917553 UZA917496:UZA917553 VIW917496:VIW917553 VSS917496:VSS917553 WCO917496:WCO917553 WMK917496:WMK917553 WWG917496:WWG917553 D983032:D983089 JU983032:JU983089 TQ983032:TQ983089 ADM983032:ADM983089 ANI983032:ANI983089 AXE983032:AXE983089 BHA983032:BHA983089 BQW983032:BQW983089 CAS983032:CAS983089 CKO983032:CKO983089 CUK983032:CUK983089 DEG983032:DEG983089 DOC983032:DOC983089 DXY983032:DXY983089 EHU983032:EHU983089 ERQ983032:ERQ983089 FBM983032:FBM983089 FLI983032:FLI983089 FVE983032:FVE983089 GFA983032:GFA983089 GOW983032:GOW983089 GYS983032:GYS983089 HIO983032:HIO983089 HSK983032:HSK983089 ICG983032:ICG983089 IMC983032:IMC983089 IVY983032:IVY983089 JFU983032:JFU983089 JPQ983032:JPQ983089 JZM983032:JZM983089 KJI983032:KJI983089 KTE983032:KTE983089 LDA983032:LDA983089 LMW983032:LMW983089 LWS983032:LWS983089 MGO983032:MGO983089 MQK983032:MQK983089 NAG983032:NAG983089 NKC983032:NKC983089 NTY983032:NTY983089 ODU983032:ODU983089 ONQ983032:ONQ983089 OXM983032:OXM983089 PHI983032:PHI983089 PRE983032:PRE983089 QBA983032:QBA983089 QKW983032:QKW983089 QUS983032:QUS983089 REO983032:REO983089 ROK983032:ROK983089 RYG983032:RYG983089 SIC983032:SIC983089 SRY983032:SRY983089 TBU983032:TBU983089 TLQ983032:TLQ983089 TVM983032:TVM983089 UFI983032:UFI983089 UPE983032:UPE983089 UZA983032:UZA983089 VIW983032:VIW983089 VSS983032:VSS983089 WCO983032:WCO983089 WMK983032:WMK983089 WWG983032:WWG983089 WWH3:WWH49 WML3:WML49 WCP3:WCP49 VST3:VST49 VIX3:VIX49 UZB3:UZB49 UPF3:UPF49 UFJ3:UFJ49 TVN3:TVN49 TLR3:TLR49 TBV3:TBV49 SRZ3:SRZ49 SID3:SID49 RYH3:RYH49 ROL3:ROL49 REP3:REP49 QUT3:QUT49 QKX3:QKX49 QBB3:QBB49 PRF3:PRF49 PHJ3:PHJ49 OXN3:OXN49 ONR3:ONR49 ODV3:ODV49 NTZ3:NTZ49 NKD3:NKD49 NAH3:NAH49 MQL3:MQL49 MGP3:MGP49 LWT3:LWT49 LMX3:LMX49 LDB3:LDB49 KTF3:KTF49 KJJ3:KJJ49 JZN3:JZN49 JPR3:JPR49 JFV3:JFV49 IVZ3:IVZ49 IMD3:IMD49 ICH3:ICH49 HSL3:HSL49 HIP3:HIP49 GYT3:GYT49 GOX3:GOX49 GFB3:GFB49 FVF3:FVF49 FLJ3:FLJ49 FBN3:FBN49 ERR3:ERR49 EHV3:EHV49 DXZ3:DXZ49 DOD3:DOD49 DEH3:DEH49 CUL3:CUL49 CKP3:CKP49 CAT3:CAT49 BQX3:BQX49 BHB3:BHB49 AXF3:AXF49 ANJ3:ANJ49 ADN3:ADN49 TR3:TR49 JV3:JV49 D3:D49">
      <formula1>"ACS,AGRI,BNC,"</formula1>
    </dataValidation>
    <dataValidation type="list" allowBlank="1" showInputMessage="1" showErrorMessage="1" sqref="G65528:G65585 JX65528:JX65585 TT65528:TT65585 ADP65528:ADP65585 ANL65528:ANL65585 AXH65528:AXH65585 BHD65528:BHD65585 BQZ65528:BQZ65585 CAV65528:CAV65585 CKR65528:CKR65585 CUN65528:CUN65585 DEJ65528:DEJ65585 DOF65528:DOF65585 DYB65528:DYB65585 EHX65528:EHX65585 ERT65528:ERT65585 FBP65528:FBP65585 FLL65528:FLL65585 FVH65528:FVH65585 GFD65528:GFD65585 GOZ65528:GOZ65585 GYV65528:GYV65585 HIR65528:HIR65585 HSN65528:HSN65585 ICJ65528:ICJ65585 IMF65528:IMF65585 IWB65528:IWB65585 JFX65528:JFX65585 JPT65528:JPT65585 JZP65528:JZP65585 KJL65528:KJL65585 KTH65528:KTH65585 LDD65528:LDD65585 LMZ65528:LMZ65585 LWV65528:LWV65585 MGR65528:MGR65585 MQN65528:MQN65585 NAJ65528:NAJ65585 NKF65528:NKF65585 NUB65528:NUB65585 ODX65528:ODX65585 ONT65528:ONT65585 OXP65528:OXP65585 PHL65528:PHL65585 PRH65528:PRH65585 QBD65528:QBD65585 QKZ65528:QKZ65585 QUV65528:QUV65585 RER65528:RER65585 RON65528:RON65585 RYJ65528:RYJ65585 SIF65528:SIF65585 SSB65528:SSB65585 TBX65528:TBX65585 TLT65528:TLT65585 TVP65528:TVP65585 UFL65528:UFL65585 UPH65528:UPH65585 UZD65528:UZD65585 VIZ65528:VIZ65585 VSV65528:VSV65585 WCR65528:WCR65585 WMN65528:WMN65585 WWJ65528:WWJ65585 G131064:G131121 JX131064:JX131121 TT131064:TT131121 ADP131064:ADP131121 ANL131064:ANL131121 AXH131064:AXH131121 BHD131064:BHD131121 BQZ131064:BQZ131121 CAV131064:CAV131121 CKR131064:CKR131121 CUN131064:CUN131121 DEJ131064:DEJ131121 DOF131064:DOF131121 DYB131064:DYB131121 EHX131064:EHX131121 ERT131064:ERT131121 FBP131064:FBP131121 FLL131064:FLL131121 FVH131064:FVH131121 GFD131064:GFD131121 GOZ131064:GOZ131121 GYV131064:GYV131121 HIR131064:HIR131121 HSN131064:HSN131121 ICJ131064:ICJ131121 IMF131064:IMF131121 IWB131064:IWB131121 JFX131064:JFX131121 JPT131064:JPT131121 JZP131064:JZP131121 KJL131064:KJL131121 KTH131064:KTH131121 LDD131064:LDD131121 LMZ131064:LMZ131121 LWV131064:LWV131121 MGR131064:MGR131121 MQN131064:MQN131121 NAJ131064:NAJ131121 NKF131064:NKF131121 NUB131064:NUB131121 ODX131064:ODX131121 ONT131064:ONT131121 OXP131064:OXP131121 PHL131064:PHL131121 PRH131064:PRH131121 QBD131064:QBD131121 QKZ131064:QKZ131121 QUV131064:QUV131121 RER131064:RER131121 RON131064:RON131121 RYJ131064:RYJ131121 SIF131064:SIF131121 SSB131064:SSB131121 TBX131064:TBX131121 TLT131064:TLT131121 TVP131064:TVP131121 UFL131064:UFL131121 UPH131064:UPH131121 UZD131064:UZD131121 VIZ131064:VIZ131121 VSV131064:VSV131121 WCR131064:WCR131121 WMN131064:WMN131121 WWJ131064:WWJ131121 G196600:G196657 JX196600:JX196657 TT196600:TT196657 ADP196600:ADP196657 ANL196600:ANL196657 AXH196600:AXH196657 BHD196600:BHD196657 BQZ196600:BQZ196657 CAV196600:CAV196657 CKR196600:CKR196657 CUN196600:CUN196657 DEJ196600:DEJ196657 DOF196600:DOF196657 DYB196600:DYB196657 EHX196600:EHX196657 ERT196600:ERT196657 FBP196600:FBP196657 FLL196600:FLL196657 FVH196600:FVH196657 GFD196600:GFD196657 GOZ196600:GOZ196657 GYV196600:GYV196657 HIR196600:HIR196657 HSN196600:HSN196657 ICJ196600:ICJ196657 IMF196600:IMF196657 IWB196600:IWB196657 JFX196600:JFX196657 JPT196600:JPT196657 JZP196600:JZP196657 KJL196600:KJL196657 KTH196600:KTH196657 LDD196600:LDD196657 LMZ196600:LMZ196657 LWV196600:LWV196657 MGR196600:MGR196657 MQN196600:MQN196657 NAJ196600:NAJ196657 NKF196600:NKF196657 NUB196600:NUB196657 ODX196600:ODX196657 ONT196600:ONT196657 OXP196600:OXP196657 PHL196600:PHL196657 PRH196600:PRH196657 QBD196600:QBD196657 QKZ196600:QKZ196657 QUV196600:QUV196657 RER196600:RER196657 RON196600:RON196657 RYJ196600:RYJ196657 SIF196600:SIF196657 SSB196600:SSB196657 TBX196600:TBX196657 TLT196600:TLT196657 TVP196600:TVP196657 UFL196600:UFL196657 UPH196600:UPH196657 UZD196600:UZD196657 VIZ196600:VIZ196657 VSV196600:VSV196657 WCR196600:WCR196657 WMN196600:WMN196657 WWJ196600:WWJ196657 G262136:G262193 JX262136:JX262193 TT262136:TT262193 ADP262136:ADP262193 ANL262136:ANL262193 AXH262136:AXH262193 BHD262136:BHD262193 BQZ262136:BQZ262193 CAV262136:CAV262193 CKR262136:CKR262193 CUN262136:CUN262193 DEJ262136:DEJ262193 DOF262136:DOF262193 DYB262136:DYB262193 EHX262136:EHX262193 ERT262136:ERT262193 FBP262136:FBP262193 FLL262136:FLL262193 FVH262136:FVH262193 GFD262136:GFD262193 GOZ262136:GOZ262193 GYV262136:GYV262193 HIR262136:HIR262193 HSN262136:HSN262193 ICJ262136:ICJ262193 IMF262136:IMF262193 IWB262136:IWB262193 JFX262136:JFX262193 JPT262136:JPT262193 JZP262136:JZP262193 KJL262136:KJL262193 KTH262136:KTH262193 LDD262136:LDD262193 LMZ262136:LMZ262193 LWV262136:LWV262193 MGR262136:MGR262193 MQN262136:MQN262193 NAJ262136:NAJ262193 NKF262136:NKF262193 NUB262136:NUB262193 ODX262136:ODX262193 ONT262136:ONT262193 OXP262136:OXP262193 PHL262136:PHL262193 PRH262136:PRH262193 QBD262136:QBD262193 QKZ262136:QKZ262193 QUV262136:QUV262193 RER262136:RER262193 RON262136:RON262193 RYJ262136:RYJ262193 SIF262136:SIF262193 SSB262136:SSB262193 TBX262136:TBX262193 TLT262136:TLT262193 TVP262136:TVP262193 UFL262136:UFL262193 UPH262136:UPH262193 UZD262136:UZD262193 VIZ262136:VIZ262193 VSV262136:VSV262193 WCR262136:WCR262193 WMN262136:WMN262193 WWJ262136:WWJ262193 G327672:G327729 JX327672:JX327729 TT327672:TT327729 ADP327672:ADP327729 ANL327672:ANL327729 AXH327672:AXH327729 BHD327672:BHD327729 BQZ327672:BQZ327729 CAV327672:CAV327729 CKR327672:CKR327729 CUN327672:CUN327729 DEJ327672:DEJ327729 DOF327672:DOF327729 DYB327672:DYB327729 EHX327672:EHX327729 ERT327672:ERT327729 FBP327672:FBP327729 FLL327672:FLL327729 FVH327672:FVH327729 GFD327672:GFD327729 GOZ327672:GOZ327729 GYV327672:GYV327729 HIR327672:HIR327729 HSN327672:HSN327729 ICJ327672:ICJ327729 IMF327672:IMF327729 IWB327672:IWB327729 JFX327672:JFX327729 JPT327672:JPT327729 JZP327672:JZP327729 KJL327672:KJL327729 KTH327672:KTH327729 LDD327672:LDD327729 LMZ327672:LMZ327729 LWV327672:LWV327729 MGR327672:MGR327729 MQN327672:MQN327729 NAJ327672:NAJ327729 NKF327672:NKF327729 NUB327672:NUB327729 ODX327672:ODX327729 ONT327672:ONT327729 OXP327672:OXP327729 PHL327672:PHL327729 PRH327672:PRH327729 QBD327672:QBD327729 QKZ327672:QKZ327729 QUV327672:QUV327729 RER327672:RER327729 RON327672:RON327729 RYJ327672:RYJ327729 SIF327672:SIF327729 SSB327672:SSB327729 TBX327672:TBX327729 TLT327672:TLT327729 TVP327672:TVP327729 UFL327672:UFL327729 UPH327672:UPH327729 UZD327672:UZD327729 VIZ327672:VIZ327729 VSV327672:VSV327729 WCR327672:WCR327729 WMN327672:WMN327729 WWJ327672:WWJ327729 G393208:G393265 JX393208:JX393265 TT393208:TT393265 ADP393208:ADP393265 ANL393208:ANL393265 AXH393208:AXH393265 BHD393208:BHD393265 BQZ393208:BQZ393265 CAV393208:CAV393265 CKR393208:CKR393265 CUN393208:CUN393265 DEJ393208:DEJ393265 DOF393208:DOF393265 DYB393208:DYB393265 EHX393208:EHX393265 ERT393208:ERT393265 FBP393208:FBP393265 FLL393208:FLL393265 FVH393208:FVH393265 GFD393208:GFD393265 GOZ393208:GOZ393265 GYV393208:GYV393265 HIR393208:HIR393265 HSN393208:HSN393265 ICJ393208:ICJ393265 IMF393208:IMF393265 IWB393208:IWB393265 JFX393208:JFX393265 JPT393208:JPT393265 JZP393208:JZP393265 KJL393208:KJL393265 KTH393208:KTH393265 LDD393208:LDD393265 LMZ393208:LMZ393265 LWV393208:LWV393265 MGR393208:MGR393265 MQN393208:MQN393265 NAJ393208:NAJ393265 NKF393208:NKF393265 NUB393208:NUB393265 ODX393208:ODX393265 ONT393208:ONT393265 OXP393208:OXP393265 PHL393208:PHL393265 PRH393208:PRH393265 QBD393208:QBD393265 QKZ393208:QKZ393265 QUV393208:QUV393265 RER393208:RER393265 RON393208:RON393265 RYJ393208:RYJ393265 SIF393208:SIF393265 SSB393208:SSB393265 TBX393208:TBX393265 TLT393208:TLT393265 TVP393208:TVP393265 UFL393208:UFL393265 UPH393208:UPH393265 UZD393208:UZD393265 VIZ393208:VIZ393265 VSV393208:VSV393265 WCR393208:WCR393265 WMN393208:WMN393265 WWJ393208:WWJ393265 G458744:G458801 JX458744:JX458801 TT458744:TT458801 ADP458744:ADP458801 ANL458744:ANL458801 AXH458744:AXH458801 BHD458744:BHD458801 BQZ458744:BQZ458801 CAV458744:CAV458801 CKR458744:CKR458801 CUN458744:CUN458801 DEJ458744:DEJ458801 DOF458744:DOF458801 DYB458744:DYB458801 EHX458744:EHX458801 ERT458744:ERT458801 FBP458744:FBP458801 FLL458744:FLL458801 FVH458744:FVH458801 GFD458744:GFD458801 GOZ458744:GOZ458801 GYV458744:GYV458801 HIR458744:HIR458801 HSN458744:HSN458801 ICJ458744:ICJ458801 IMF458744:IMF458801 IWB458744:IWB458801 JFX458744:JFX458801 JPT458744:JPT458801 JZP458744:JZP458801 KJL458744:KJL458801 KTH458744:KTH458801 LDD458744:LDD458801 LMZ458744:LMZ458801 LWV458744:LWV458801 MGR458744:MGR458801 MQN458744:MQN458801 NAJ458744:NAJ458801 NKF458744:NKF458801 NUB458744:NUB458801 ODX458744:ODX458801 ONT458744:ONT458801 OXP458744:OXP458801 PHL458744:PHL458801 PRH458744:PRH458801 QBD458744:QBD458801 QKZ458744:QKZ458801 QUV458744:QUV458801 RER458744:RER458801 RON458744:RON458801 RYJ458744:RYJ458801 SIF458744:SIF458801 SSB458744:SSB458801 TBX458744:TBX458801 TLT458744:TLT458801 TVP458744:TVP458801 UFL458744:UFL458801 UPH458744:UPH458801 UZD458744:UZD458801 VIZ458744:VIZ458801 VSV458744:VSV458801 WCR458744:WCR458801 WMN458744:WMN458801 WWJ458744:WWJ458801 G524280:G524337 JX524280:JX524337 TT524280:TT524337 ADP524280:ADP524337 ANL524280:ANL524337 AXH524280:AXH524337 BHD524280:BHD524337 BQZ524280:BQZ524337 CAV524280:CAV524337 CKR524280:CKR524337 CUN524280:CUN524337 DEJ524280:DEJ524337 DOF524280:DOF524337 DYB524280:DYB524337 EHX524280:EHX524337 ERT524280:ERT524337 FBP524280:FBP524337 FLL524280:FLL524337 FVH524280:FVH524337 GFD524280:GFD524337 GOZ524280:GOZ524337 GYV524280:GYV524337 HIR524280:HIR524337 HSN524280:HSN524337 ICJ524280:ICJ524337 IMF524280:IMF524337 IWB524280:IWB524337 JFX524280:JFX524337 JPT524280:JPT524337 JZP524280:JZP524337 KJL524280:KJL524337 KTH524280:KTH524337 LDD524280:LDD524337 LMZ524280:LMZ524337 LWV524280:LWV524337 MGR524280:MGR524337 MQN524280:MQN524337 NAJ524280:NAJ524337 NKF524280:NKF524337 NUB524280:NUB524337 ODX524280:ODX524337 ONT524280:ONT524337 OXP524280:OXP524337 PHL524280:PHL524337 PRH524280:PRH524337 QBD524280:QBD524337 QKZ524280:QKZ524337 QUV524280:QUV524337 RER524280:RER524337 RON524280:RON524337 RYJ524280:RYJ524337 SIF524280:SIF524337 SSB524280:SSB524337 TBX524280:TBX524337 TLT524280:TLT524337 TVP524280:TVP524337 UFL524280:UFL524337 UPH524280:UPH524337 UZD524280:UZD524337 VIZ524280:VIZ524337 VSV524280:VSV524337 WCR524280:WCR524337 WMN524280:WMN524337 WWJ524280:WWJ524337 G589816:G589873 JX589816:JX589873 TT589816:TT589873 ADP589816:ADP589873 ANL589816:ANL589873 AXH589816:AXH589873 BHD589816:BHD589873 BQZ589816:BQZ589873 CAV589816:CAV589873 CKR589816:CKR589873 CUN589816:CUN589873 DEJ589816:DEJ589873 DOF589816:DOF589873 DYB589816:DYB589873 EHX589816:EHX589873 ERT589816:ERT589873 FBP589816:FBP589873 FLL589816:FLL589873 FVH589816:FVH589873 GFD589816:GFD589873 GOZ589816:GOZ589873 GYV589816:GYV589873 HIR589816:HIR589873 HSN589816:HSN589873 ICJ589816:ICJ589873 IMF589816:IMF589873 IWB589816:IWB589873 JFX589816:JFX589873 JPT589816:JPT589873 JZP589816:JZP589873 KJL589816:KJL589873 KTH589816:KTH589873 LDD589816:LDD589873 LMZ589816:LMZ589873 LWV589816:LWV589873 MGR589816:MGR589873 MQN589816:MQN589873 NAJ589816:NAJ589873 NKF589816:NKF589873 NUB589816:NUB589873 ODX589816:ODX589873 ONT589816:ONT589873 OXP589816:OXP589873 PHL589816:PHL589873 PRH589816:PRH589873 QBD589816:QBD589873 QKZ589816:QKZ589873 QUV589816:QUV589873 RER589816:RER589873 RON589816:RON589873 RYJ589816:RYJ589873 SIF589816:SIF589873 SSB589816:SSB589873 TBX589816:TBX589873 TLT589816:TLT589873 TVP589816:TVP589873 UFL589816:UFL589873 UPH589816:UPH589873 UZD589816:UZD589873 VIZ589816:VIZ589873 VSV589816:VSV589873 WCR589816:WCR589873 WMN589816:WMN589873 WWJ589816:WWJ589873 G655352:G655409 JX655352:JX655409 TT655352:TT655409 ADP655352:ADP655409 ANL655352:ANL655409 AXH655352:AXH655409 BHD655352:BHD655409 BQZ655352:BQZ655409 CAV655352:CAV655409 CKR655352:CKR655409 CUN655352:CUN655409 DEJ655352:DEJ655409 DOF655352:DOF655409 DYB655352:DYB655409 EHX655352:EHX655409 ERT655352:ERT655409 FBP655352:FBP655409 FLL655352:FLL655409 FVH655352:FVH655409 GFD655352:GFD655409 GOZ655352:GOZ655409 GYV655352:GYV655409 HIR655352:HIR655409 HSN655352:HSN655409 ICJ655352:ICJ655409 IMF655352:IMF655409 IWB655352:IWB655409 JFX655352:JFX655409 JPT655352:JPT655409 JZP655352:JZP655409 KJL655352:KJL655409 KTH655352:KTH655409 LDD655352:LDD655409 LMZ655352:LMZ655409 LWV655352:LWV655409 MGR655352:MGR655409 MQN655352:MQN655409 NAJ655352:NAJ655409 NKF655352:NKF655409 NUB655352:NUB655409 ODX655352:ODX655409 ONT655352:ONT655409 OXP655352:OXP655409 PHL655352:PHL655409 PRH655352:PRH655409 QBD655352:QBD655409 QKZ655352:QKZ655409 QUV655352:QUV655409 RER655352:RER655409 RON655352:RON655409 RYJ655352:RYJ655409 SIF655352:SIF655409 SSB655352:SSB655409 TBX655352:TBX655409 TLT655352:TLT655409 TVP655352:TVP655409 UFL655352:UFL655409 UPH655352:UPH655409 UZD655352:UZD655409 VIZ655352:VIZ655409 VSV655352:VSV655409 WCR655352:WCR655409 WMN655352:WMN655409 WWJ655352:WWJ655409 G720888:G720945 JX720888:JX720945 TT720888:TT720945 ADP720888:ADP720945 ANL720888:ANL720945 AXH720888:AXH720945 BHD720888:BHD720945 BQZ720888:BQZ720945 CAV720888:CAV720945 CKR720888:CKR720945 CUN720888:CUN720945 DEJ720888:DEJ720945 DOF720888:DOF720945 DYB720888:DYB720945 EHX720888:EHX720945 ERT720888:ERT720945 FBP720888:FBP720945 FLL720888:FLL720945 FVH720888:FVH720945 GFD720888:GFD720945 GOZ720888:GOZ720945 GYV720888:GYV720945 HIR720888:HIR720945 HSN720888:HSN720945 ICJ720888:ICJ720945 IMF720888:IMF720945 IWB720888:IWB720945 JFX720888:JFX720945 JPT720888:JPT720945 JZP720888:JZP720945 KJL720888:KJL720945 KTH720888:KTH720945 LDD720888:LDD720945 LMZ720888:LMZ720945 LWV720888:LWV720945 MGR720888:MGR720945 MQN720888:MQN720945 NAJ720888:NAJ720945 NKF720888:NKF720945 NUB720888:NUB720945 ODX720888:ODX720945 ONT720888:ONT720945 OXP720888:OXP720945 PHL720888:PHL720945 PRH720888:PRH720945 QBD720888:QBD720945 QKZ720888:QKZ720945 QUV720888:QUV720945 RER720888:RER720945 RON720888:RON720945 RYJ720888:RYJ720945 SIF720888:SIF720945 SSB720888:SSB720945 TBX720888:TBX720945 TLT720888:TLT720945 TVP720888:TVP720945 UFL720888:UFL720945 UPH720888:UPH720945 UZD720888:UZD720945 VIZ720888:VIZ720945 VSV720888:VSV720945 WCR720888:WCR720945 WMN720888:WMN720945 WWJ720888:WWJ720945 G786424:G786481 JX786424:JX786481 TT786424:TT786481 ADP786424:ADP786481 ANL786424:ANL786481 AXH786424:AXH786481 BHD786424:BHD786481 BQZ786424:BQZ786481 CAV786424:CAV786481 CKR786424:CKR786481 CUN786424:CUN786481 DEJ786424:DEJ786481 DOF786424:DOF786481 DYB786424:DYB786481 EHX786424:EHX786481 ERT786424:ERT786481 FBP786424:FBP786481 FLL786424:FLL786481 FVH786424:FVH786481 GFD786424:GFD786481 GOZ786424:GOZ786481 GYV786424:GYV786481 HIR786424:HIR786481 HSN786424:HSN786481 ICJ786424:ICJ786481 IMF786424:IMF786481 IWB786424:IWB786481 JFX786424:JFX786481 JPT786424:JPT786481 JZP786424:JZP786481 KJL786424:KJL786481 KTH786424:KTH786481 LDD786424:LDD786481 LMZ786424:LMZ786481 LWV786424:LWV786481 MGR786424:MGR786481 MQN786424:MQN786481 NAJ786424:NAJ786481 NKF786424:NKF786481 NUB786424:NUB786481 ODX786424:ODX786481 ONT786424:ONT786481 OXP786424:OXP786481 PHL786424:PHL786481 PRH786424:PRH786481 QBD786424:QBD786481 QKZ786424:QKZ786481 QUV786424:QUV786481 RER786424:RER786481 RON786424:RON786481 RYJ786424:RYJ786481 SIF786424:SIF786481 SSB786424:SSB786481 TBX786424:TBX786481 TLT786424:TLT786481 TVP786424:TVP786481 UFL786424:UFL786481 UPH786424:UPH786481 UZD786424:UZD786481 VIZ786424:VIZ786481 VSV786424:VSV786481 WCR786424:WCR786481 WMN786424:WMN786481 WWJ786424:WWJ786481 G851960:G852017 JX851960:JX852017 TT851960:TT852017 ADP851960:ADP852017 ANL851960:ANL852017 AXH851960:AXH852017 BHD851960:BHD852017 BQZ851960:BQZ852017 CAV851960:CAV852017 CKR851960:CKR852017 CUN851960:CUN852017 DEJ851960:DEJ852017 DOF851960:DOF852017 DYB851960:DYB852017 EHX851960:EHX852017 ERT851960:ERT852017 FBP851960:FBP852017 FLL851960:FLL852017 FVH851960:FVH852017 GFD851960:GFD852017 GOZ851960:GOZ852017 GYV851960:GYV852017 HIR851960:HIR852017 HSN851960:HSN852017 ICJ851960:ICJ852017 IMF851960:IMF852017 IWB851960:IWB852017 JFX851960:JFX852017 JPT851960:JPT852017 JZP851960:JZP852017 KJL851960:KJL852017 KTH851960:KTH852017 LDD851960:LDD852017 LMZ851960:LMZ852017 LWV851960:LWV852017 MGR851960:MGR852017 MQN851960:MQN852017 NAJ851960:NAJ852017 NKF851960:NKF852017 NUB851960:NUB852017 ODX851960:ODX852017 ONT851960:ONT852017 OXP851960:OXP852017 PHL851960:PHL852017 PRH851960:PRH852017 QBD851960:QBD852017 QKZ851960:QKZ852017 QUV851960:QUV852017 RER851960:RER852017 RON851960:RON852017 RYJ851960:RYJ852017 SIF851960:SIF852017 SSB851960:SSB852017 TBX851960:TBX852017 TLT851960:TLT852017 TVP851960:TVP852017 UFL851960:UFL852017 UPH851960:UPH852017 UZD851960:UZD852017 VIZ851960:VIZ852017 VSV851960:VSV852017 WCR851960:WCR852017 WMN851960:WMN852017 WWJ851960:WWJ852017 G917496:G917553 JX917496:JX917553 TT917496:TT917553 ADP917496:ADP917553 ANL917496:ANL917553 AXH917496:AXH917553 BHD917496:BHD917553 BQZ917496:BQZ917553 CAV917496:CAV917553 CKR917496:CKR917553 CUN917496:CUN917553 DEJ917496:DEJ917553 DOF917496:DOF917553 DYB917496:DYB917553 EHX917496:EHX917553 ERT917496:ERT917553 FBP917496:FBP917553 FLL917496:FLL917553 FVH917496:FVH917553 GFD917496:GFD917553 GOZ917496:GOZ917553 GYV917496:GYV917553 HIR917496:HIR917553 HSN917496:HSN917553 ICJ917496:ICJ917553 IMF917496:IMF917553 IWB917496:IWB917553 JFX917496:JFX917553 JPT917496:JPT917553 JZP917496:JZP917553 KJL917496:KJL917553 KTH917496:KTH917553 LDD917496:LDD917553 LMZ917496:LMZ917553 LWV917496:LWV917553 MGR917496:MGR917553 MQN917496:MQN917553 NAJ917496:NAJ917553 NKF917496:NKF917553 NUB917496:NUB917553 ODX917496:ODX917553 ONT917496:ONT917553 OXP917496:OXP917553 PHL917496:PHL917553 PRH917496:PRH917553 QBD917496:QBD917553 QKZ917496:QKZ917553 QUV917496:QUV917553 RER917496:RER917553 RON917496:RON917553 RYJ917496:RYJ917553 SIF917496:SIF917553 SSB917496:SSB917553 TBX917496:TBX917553 TLT917496:TLT917553 TVP917496:TVP917553 UFL917496:UFL917553 UPH917496:UPH917553 UZD917496:UZD917553 VIZ917496:VIZ917553 VSV917496:VSV917553 WCR917496:WCR917553 WMN917496:WMN917553 WWJ917496:WWJ917553 G983032:G983089 JX983032:JX983089 TT983032:TT983089 ADP983032:ADP983089 ANL983032:ANL983089 AXH983032:AXH983089 BHD983032:BHD983089 BQZ983032:BQZ983089 CAV983032:CAV983089 CKR983032:CKR983089 CUN983032:CUN983089 DEJ983032:DEJ983089 DOF983032:DOF983089 DYB983032:DYB983089 EHX983032:EHX983089 ERT983032:ERT983089 FBP983032:FBP983089 FLL983032:FLL983089 FVH983032:FVH983089 GFD983032:GFD983089 GOZ983032:GOZ983089 GYV983032:GYV983089 HIR983032:HIR983089 HSN983032:HSN983089 ICJ983032:ICJ983089 IMF983032:IMF983089 IWB983032:IWB983089 JFX983032:JFX983089 JPT983032:JPT983089 JZP983032:JZP983089 KJL983032:KJL983089 KTH983032:KTH983089 LDD983032:LDD983089 LMZ983032:LMZ983089 LWV983032:LWV983089 MGR983032:MGR983089 MQN983032:MQN983089 NAJ983032:NAJ983089 NKF983032:NKF983089 NUB983032:NUB983089 ODX983032:ODX983089 ONT983032:ONT983089 OXP983032:OXP983089 PHL983032:PHL983089 PRH983032:PRH983089 QBD983032:QBD983089 QKZ983032:QKZ983089 QUV983032:QUV983089 RER983032:RER983089 RON983032:RON983089 RYJ983032:RYJ983089 SIF983032:SIF983089 SSB983032:SSB983089 TBX983032:TBX983089 TLT983032:TLT983089 TVP983032:TVP983089 UFL983032:UFL983089 UPH983032:UPH983089 UZD983032:UZD983089 VIZ983032:VIZ983089 VSV983032:VSV983089 WCR983032:WCR983089 WMN983032:WMN983089 WWJ983032:WWJ983089 JY3:JY49 WWK3:WWK49 WMO3:WMO49 WCS3:WCS49 VSW3:VSW49 VJA3:VJA49 UZE3:UZE49 UPI3:UPI49 UFM3:UFM49 TVQ3:TVQ49 TLU3:TLU49 TBY3:TBY49 SSC3:SSC49 SIG3:SIG49 RYK3:RYK49 ROO3:ROO49 RES3:RES49 QUW3:QUW49 QLA3:QLA49 QBE3:QBE49 PRI3:PRI49 PHM3:PHM49 OXQ3:OXQ49 ONU3:ONU49 ODY3:ODY49 NUC3:NUC49 NKG3:NKG49 NAK3:NAK49 MQO3:MQO49 MGS3:MGS49 LWW3:LWW49 LNA3:LNA49 LDE3:LDE49 KTI3:KTI49 KJM3:KJM49 JZQ3:JZQ49 JPU3:JPU49 JFY3:JFY49 IWC3:IWC49 IMG3:IMG49 ICK3:ICK49 HSO3:HSO49 HIS3:HIS49 GYW3:GYW49 GPA3:GPA49 GFE3:GFE49 FVI3:FVI49 FLM3:FLM49 FBQ3:FBQ49 ERU3:ERU49 EHY3:EHY49 DYC3:DYC49 DOG3:DOG49 DEK3:DEK49 CUO3:CUO49 CKS3:CKS49 CAW3:CAW49 BRA3:BRA49 BHE3:BHE49 AXI3:AXI49 ANM3:ANM49 ADQ3:ADQ49 TU3:TU49">
      <formula1>"IS,IR,"</formula1>
    </dataValidation>
    <dataValidation type="list" allowBlank="1" showInputMessage="1" showErrorMessage="1" sqref="M3:N49">
      <formula1>"OUI,NON,A FAIRE"</formula1>
    </dataValidation>
    <dataValidation type="list" allowBlank="1" showInputMessage="1" showErrorMessage="1" sqref="O3:O49">
      <formula1>"COMPTABLE,CONSEILLER"</formula1>
    </dataValidation>
    <dataValidation type="list" allowBlank="1" showInputMessage="1" showErrorMessage="1" sqref="AO3:AO49 Q3:Q49">
      <formula1>"OUI,NON"</formula1>
    </dataValidation>
    <dataValidation type="list" allowBlank="1" showInputMessage="1" showErrorMessage="1" sqref="R3:R49">
      <formula1>"OUI,NON,A FAIRE,N/A"</formula1>
    </dataValidation>
    <dataValidation type="list" allowBlank="1" showInputMessage="1" showErrorMessage="1" sqref="BA3:BC49">
      <formula1>"X"</formula1>
    </dataValidation>
    <dataValidation type="list" allowBlank="1" showInputMessage="1" showErrorMessage="1" sqref="P3:P49">
      <formula1>"OUI,NON,A TERMINER,A FAIRE"</formula1>
    </dataValidation>
    <dataValidation type="list" allowBlank="1" showInputMessage="1" showErrorMessage="1" sqref="AN3:AN49">
      <formula1>"ABONNE COURT,ABONNE LONG"</formula1>
    </dataValidation>
    <dataValidation type="list" allowBlank="1" showInputMessage="1" showErrorMessage="1" sqref="BI3:BK49">
      <formula1>"OUI,NON,N/C"</formula1>
    </dataValidation>
    <dataValidation type="list" allowBlank="1" showInputMessage="1" showErrorMessage="1" sqref="H3:H49">
      <formula1>"MENSUELLE,TRIMESTRIELLE,EXERCICE,ANNUELLE"</formula1>
    </dataValidation>
    <dataValidation type="list" allowBlank="1" showInputMessage="1" showErrorMessage="1" sqref="AL3:AL49">
      <formula1>réponsesouinon</formula1>
    </dataValidation>
    <dataValidation type="list" allowBlank="1" showInputMessage="1" showErrorMessage="1" sqref="G3:G49">
      <formula1>"IS,IR,N/A"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Paramètres!$K$4:$K$8</xm:f>
          </x14:formula1>
          <xm:sqref>AJ3:AJ49</xm:sqref>
        </x14:dataValidation>
        <x14:dataValidation type="list" allowBlank="1" showInputMessage="1" showErrorMessage="1">
          <x14:formula1>
            <xm:f>Paramètres!$F$4:$F$17</xm:f>
          </x14:formula1>
          <xm:sqref>F3:F41</xm:sqref>
        </x14:dataValidation>
        <x14:dataValidation type="list" allowBlank="1" showInputMessage="1" showErrorMessage="1">
          <x14:formula1>
            <xm:f>Paramètres!$J$4:$J$7</xm:f>
          </x14:formula1>
          <xm:sqref>AI3:AI49</xm:sqref>
        </x14:dataValidation>
        <x14:dataValidation type="list" allowBlank="1" showInputMessage="1" showErrorMessage="1">
          <x14:formula1>
            <xm:f>Paramètres!$N$4:$N$13</xm:f>
          </x14:formula1>
          <xm:sqref>BG3:BG49</xm:sqref>
        </x14:dataValidation>
        <x14:dataValidation type="list" allowBlank="1" showInputMessage="1" showErrorMessage="1">
          <x14:formula1>
            <xm:f>Paramètres!$O$4:$O$16</xm:f>
          </x14:formula1>
          <xm:sqref>BH3:BH49</xm:sqref>
        </x14:dataValidation>
        <x14:dataValidation type="list" allowBlank="1" showInputMessage="1" showErrorMessage="1">
          <x14:formula1>
            <xm:f>Paramètres!$O$6:$O$16</xm:f>
          </x14:formula1>
          <xm:sqref>AK3:AK49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N183"/>
  <sheetViews>
    <sheetView zoomScale="85" zoomScaleNormal="85" workbookViewId="0">
      <pane xSplit="5" ySplit="2" topLeftCell="F3" activePane="bottomRight" state="frozen"/>
      <selection activeCell="F27" sqref="F27"/>
      <selection pane="topRight" activeCell="F27" sqref="F27"/>
      <selection pane="bottomLeft" activeCell="F27" sqref="F27"/>
      <selection pane="bottomRight" activeCell="BM9" sqref="BM9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hidden="1" customWidth="1"/>
    <col min="7" max="7" width="19.7109375" style="89" hidden="1" customWidth="1"/>
    <col min="8" max="8" width="14.85546875" style="89" hidden="1" customWidth="1"/>
    <col min="9" max="9" width="16.85546875" style="89" hidden="1" customWidth="1"/>
    <col min="10" max="12" width="11.42578125" style="89" hidden="1" customWidth="1"/>
    <col min="13" max="13" width="18.140625" style="89" hidden="1" customWidth="1"/>
    <col min="14" max="14" width="11.42578125" style="89" hidden="1" customWidth="1"/>
    <col min="15" max="15" width="12.5703125" style="89" hidden="1" customWidth="1"/>
    <col min="16" max="16" width="25" style="89" hidden="1" customWidth="1"/>
    <col min="17" max="17" width="16.5703125" style="89" hidden="1" customWidth="1"/>
    <col min="18" max="18" width="24" style="89" hidden="1" customWidth="1"/>
    <col min="19" max="19" width="16.5703125" style="89" hidden="1" customWidth="1"/>
    <col min="20" max="21" width="20" style="89" hidden="1" customWidth="1"/>
    <col min="22" max="22" width="20.85546875" style="89" hidden="1" customWidth="1"/>
    <col min="23" max="23" width="11.42578125" style="89" hidden="1" customWidth="1"/>
    <col min="24" max="24" width="23.7109375" style="89" hidden="1" customWidth="1"/>
    <col min="25" max="25" width="14" style="89" hidden="1" customWidth="1"/>
    <col min="26" max="26" width="13.28515625" style="89" hidden="1" customWidth="1"/>
    <col min="27" max="28" width="18.5703125" style="89" hidden="1" customWidth="1"/>
    <col min="29" max="29" width="18" style="89" hidden="1" customWidth="1"/>
    <col min="30" max="30" width="11.42578125" style="241" hidden="1" customWidth="1"/>
    <col min="31" max="32" width="18" style="89" hidden="1" customWidth="1"/>
    <col min="33" max="33" width="11.42578125" style="89" hidden="1" customWidth="1"/>
    <col min="34" max="35" width="18.7109375" style="241" hidden="1" customWidth="1"/>
    <col min="36" max="36" width="20" style="241" hidden="1" customWidth="1"/>
    <col min="37" max="39" width="18" style="89" hidden="1" customWidth="1"/>
    <col min="40" max="45" width="19" style="89" hidden="1" customWidth="1"/>
    <col min="46" max="46" width="11.42578125" style="241" hidden="1" customWidth="1"/>
    <col min="47" max="51" width="11.42578125" style="89" hidden="1" customWidth="1"/>
    <col min="52" max="52" width="15.140625" style="89" hidden="1" customWidth="1"/>
    <col min="53" max="53" width="14" style="89" hidden="1" customWidth="1"/>
    <col min="54" max="54" width="15.140625" style="89" hidden="1" customWidth="1"/>
    <col min="55" max="55" width="11.42578125" style="89" hidden="1" customWidth="1"/>
    <col min="56" max="56" width="22.28515625" style="89" hidden="1" customWidth="1"/>
    <col min="57" max="58" width="29.5703125" style="89" hidden="1" customWidth="1"/>
    <col min="59" max="59" width="30.85546875" style="89" hidden="1" customWidth="1"/>
    <col min="60" max="62" width="11.42578125" style="89" hidden="1" customWidth="1"/>
    <col min="63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228</v>
      </c>
      <c r="AM2" s="237" t="s">
        <v>229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139</v>
      </c>
      <c r="B3" s="170">
        <v>860072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SUM(PORTEFEUILLE_FREDERIQUE[[#This Row],[PCR COMPTABLE €]:[MONTANT
RESPONSABLE RELATION CLIENT €]])-PORTEFEUILLE_FREDERIQUE[[#This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400</v>
      </c>
      <c r="AT3" s="188" t="str">
        <f>IF(PORTEFEUILLE_FREDERIQUE[[#This Row],[BONI AAC]]&lt;&gt;0,1,"")</f>
        <v/>
      </c>
      <c r="AU3" s="188">
        <f>IF(PORTEFEUILLE_FREDERIQUE[[#This Row],[MALI AAC]]&lt;&gt;0,1,"")</f>
        <v>1</v>
      </c>
      <c r="AV3" s="225">
        <f>IF(AP3&lt;&gt;"",IF((AP3*Paramètres!$H$4)-PORTEFEUILLE_FREDERIQUE[[#This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3" s="225">
        <f>IF(AP3&lt;&gt;"",IF(((AP3*Paramètres!$H$4)-PORTEFEUILLE_FREDERIQUE[[#This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" s="190" t="str">
        <f>IF(PORTEFEUILLE_FREDERIQUE[[#This Row],[BONI COMPTABLE]]&lt;&gt;0,1,"")</f>
        <v/>
      </c>
      <c r="AY3" s="190" t="str">
        <f>IF(PORTEFEUILLE_FREDERIQUE[[#This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139</v>
      </c>
      <c r="B4" s="170">
        <v>860073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SUM(PORTEFEUILLE_FREDERIQUE[[#This Row],[PCR COMPTABLE €]:[MONTANT
RESPONSABLE RELATION CLIENT €]])-PORTEFEUILLE_FREDERIQUE[[#This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1000</v>
      </c>
      <c r="AT4" s="188" t="str">
        <f>IF(PORTEFEUILLE_FREDERIQUE[[#This Row],[BONI AAC]]&lt;&gt;0,1,"")</f>
        <v/>
      </c>
      <c r="AU4" s="188">
        <f>IF(PORTEFEUILLE_FREDERIQUE[[#This Row],[MALI AAC]]&lt;&gt;0,1,"")</f>
        <v>1</v>
      </c>
      <c r="AV4" s="225">
        <f>IF(AP4&lt;&gt;"",IF((AP4*Paramètres!$H$4)-PORTEFEUILLE_FREDERIQUE[[#This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4" s="225">
        <f>IF(AP4&lt;&gt;"",IF(((AP4*Paramètres!$H$4)-PORTEFEUILLE_FREDERIQUE[[#This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3000</v>
      </c>
      <c r="AX4" s="190" t="str">
        <f>IF(PORTEFEUILLE_FREDERIQUE[[#This Row],[BONI COMPTABLE]]&lt;&gt;0,1,"")</f>
        <v/>
      </c>
      <c r="AY4" s="190">
        <f>IF(PORTEFEUILLE_FREDERIQUE[[#This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139</v>
      </c>
      <c r="B5" s="170">
        <v>860074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SUM(PORTEFEUILLE_FREDERIQUE[[#This Row],[PCR COMPTABLE €]:[MONTANT
RESPONSABLE RELATION CLIENT €]])-PORTEFEUILLE_FREDERIQUE[[#This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2200</v>
      </c>
      <c r="AT5" s="188" t="str">
        <f>IF(PORTEFEUILLE_FREDERIQUE[[#This Row],[BONI AAC]]&lt;&gt;0,1,"")</f>
        <v/>
      </c>
      <c r="AU5" s="188">
        <f>IF(PORTEFEUILLE_FREDERIQUE[[#This Row],[MALI AAC]]&lt;&gt;0,1,"")</f>
        <v>1</v>
      </c>
      <c r="AV5" s="225">
        <f>IF(AP5&lt;&gt;"",IF((AP5*Paramètres!$H$4)-PORTEFEUILLE_FREDERIQUE[[#This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5" s="225">
        <f>IF(AP5&lt;&gt;"",IF(((AP5*Paramètres!$H$4)-PORTEFEUILLE_FREDERIQUE[[#This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4150</v>
      </c>
      <c r="AX5" s="190" t="str">
        <f>IF(PORTEFEUILLE_FREDERIQUE[[#This Row],[BONI COMPTABLE]]&lt;&gt;0,1,"")</f>
        <v/>
      </c>
      <c r="AY5" s="190">
        <f>IF(PORTEFEUILLE_FREDERIQUE[[#This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SUM(PORTEFEUILLE_FREDERIQUE[[#This Row],[PCR COMPTABLE €]:[MONTANT
RESPONSABLE RELATION CLIENT €]])-PORTEFEUILLE_FREDERIQUE[[#This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6" s="188" t="str">
        <f>IF(PORTEFEUILLE_FREDERIQUE[[#This Row],[BONI AAC]]&lt;&gt;0,1,"")</f>
        <v/>
      </c>
      <c r="AU6" s="188" t="str">
        <f>IF(PORTEFEUILLE_FREDERIQUE[[#This Row],[MALI AAC]]&lt;&gt;0,1,"")</f>
        <v/>
      </c>
      <c r="AV6" s="225">
        <f>IF(AP6&lt;&gt;"",IF((AP6*Paramètres!$H$4)-PORTEFEUILLE_FREDERIQUE[[#This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6" s="225">
        <f>IF(AP6&lt;&gt;"",IF(((AP6*Paramètres!$H$4)-PORTEFEUILLE_FREDERIQUE[[#This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6" s="190" t="str">
        <f>IF(PORTEFEUILLE_FREDERIQUE[[#This Row],[BONI COMPTABLE]]&lt;&gt;0,1,"")</f>
        <v/>
      </c>
      <c r="AY6" s="190" t="str">
        <f>IF(PORTEFEUILLE_FREDERIQUE[[#This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SUM(PORTEFEUILLE_FREDERIQUE[[#This Row],[PCR COMPTABLE €]:[MONTANT
RESPONSABLE RELATION CLIENT €]])-PORTEFEUILLE_FREDERIQUE[[#This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7" s="188" t="str">
        <f>IF(PORTEFEUILLE_FREDERIQUE[[#This Row],[BONI AAC]]&lt;&gt;0,1,"")</f>
        <v/>
      </c>
      <c r="AU7" s="188" t="str">
        <f>IF(PORTEFEUILLE_FREDERIQUE[[#This Row],[MALI AAC]]&lt;&gt;0,1,"")</f>
        <v/>
      </c>
      <c r="AV7" s="225">
        <f>IF(AP7&lt;&gt;"",IF((AP7*Paramètres!$H$4)-PORTEFEUILLE_FREDERIQUE[[#This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7" s="225">
        <f>IF(AP7&lt;&gt;"",IF(((AP7*Paramètres!$H$4)-PORTEFEUILLE_FREDERIQUE[[#This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7" s="190" t="str">
        <f>IF(PORTEFEUILLE_FREDERIQUE[[#This Row],[BONI COMPTABLE]]&lt;&gt;0,1,"")</f>
        <v/>
      </c>
      <c r="AY7" s="190" t="str">
        <f>IF(PORTEFEUILLE_FREDERIQUE[[#This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SUM(PORTEFEUILLE_FREDERIQUE[[#This Row],[PCR COMPTABLE €]:[MONTANT
RESPONSABLE RELATION CLIENT €]])-PORTEFEUILLE_FREDERIQUE[[#This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8" s="188" t="str">
        <f>IF(PORTEFEUILLE_FREDERIQUE[[#This Row],[BONI AAC]]&lt;&gt;0,1,"")</f>
        <v/>
      </c>
      <c r="AU8" s="188" t="str">
        <f>IF(PORTEFEUILLE_FREDERIQUE[[#This Row],[MALI AAC]]&lt;&gt;0,1,"")</f>
        <v/>
      </c>
      <c r="AV8" s="225">
        <f>IF(AP8&lt;&gt;"",IF((AP8*Paramètres!$H$4)-PORTEFEUILLE_FREDERIQUE[[#This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8" s="225">
        <f>IF(AP8&lt;&gt;"",IF(((AP8*Paramètres!$H$4)-PORTEFEUILLE_FREDERIQUE[[#This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8" s="190" t="str">
        <f>IF(PORTEFEUILLE_FREDERIQUE[[#This Row],[BONI COMPTABLE]]&lt;&gt;0,1,"")</f>
        <v/>
      </c>
      <c r="AY8" s="190" t="str">
        <f>IF(PORTEFEUILLE_FREDERIQUE[[#This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SUM(PORTEFEUILLE_FREDERIQUE[[#This Row],[PCR COMPTABLE €]:[MONTANT
RESPONSABLE RELATION CLIENT €]])-PORTEFEUILLE_FREDERIQUE[[#This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9" s="188" t="str">
        <f>IF(PORTEFEUILLE_FREDERIQUE[[#This Row],[BONI AAC]]&lt;&gt;0,1,"")</f>
        <v/>
      </c>
      <c r="AU9" s="188" t="str">
        <f>IF(PORTEFEUILLE_FREDERIQUE[[#This Row],[MALI AAC]]&lt;&gt;0,1,"")</f>
        <v/>
      </c>
      <c r="AV9" s="225">
        <f>IF(AP9&lt;&gt;"",IF((AP9*Paramètres!$H$4)-PORTEFEUILLE_FREDERIQUE[[#This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9" s="225">
        <f>IF(AP9&lt;&gt;"",IF(((AP9*Paramètres!$H$4)-PORTEFEUILLE_FREDERIQUE[[#This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9" s="190" t="str">
        <f>IF(PORTEFEUILLE_FREDERIQUE[[#This Row],[BONI COMPTABLE]]&lt;&gt;0,1,"")</f>
        <v/>
      </c>
      <c r="AY9" s="190" t="str">
        <f>IF(PORTEFEUILLE_FREDERIQUE[[#This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SUM(PORTEFEUILLE_FREDERIQUE[[#This Row],[PCR COMPTABLE €]:[MONTANT
RESPONSABLE RELATION CLIENT €]])-PORTEFEUILLE_FREDERIQUE[[#This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0" s="188" t="str">
        <f>IF(PORTEFEUILLE_FREDERIQUE[[#This Row],[BONI AAC]]&lt;&gt;0,1,"")</f>
        <v/>
      </c>
      <c r="AU10" s="188" t="str">
        <f>IF(PORTEFEUILLE_FREDERIQUE[[#This Row],[MALI AAC]]&lt;&gt;0,1,"")</f>
        <v/>
      </c>
      <c r="AV10" s="225">
        <f>IF(AP10&lt;&gt;"",IF((AP10*Paramètres!$H$4)-PORTEFEUILLE_FREDERIQUE[[#This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10" s="225">
        <f>IF(AP10&lt;&gt;"",IF(((AP10*Paramètres!$H$4)-PORTEFEUILLE_FREDERIQUE[[#This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0" s="190" t="str">
        <f>IF(PORTEFEUILLE_FREDERIQUE[[#This Row],[BONI COMPTABLE]]&lt;&gt;0,1,"")</f>
        <v/>
      </c>
      <c r="AY10" s="190" t="str">
        <f>IF(PORTEFEUILLE_FREDERIQUE[[#This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SUM(PORTEFEUILLE_FREDERIQUE[[#This Row],[PCR COMPTABLE €]:[MONTANT
RESPONSABLE RELATION CLIENT €]])-PORTEFEUILLE_FREDERIQUE[[#This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1" s="188" t="str">
        <f>IF(PORTEFEUILLE_FREDERIQUE[[#This Row],[BONI AAC]]&lt;&gt;0,1,"")</f>
        <v/>
      </c>
      <c r="AU11" s="188" t="str">
        <f>IF(PORTEFEUILLE_FREDERIQUE[[#This Row],[MALI AAC]]&lt;&gt;0,1,"")</f>
        <v/>
      </c>
      <c r="AV11" s="225">
        <f>IF(AP11&lt;&gt;"",IF((AP11*Paramètres!$H$4)-PORTEFEUILLE_FREDERIQUE[[#This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11" s="225">
        <f>IF(AP11&lt;&gt;"",IF(((AP11*Paramètres!$H$4)-PORTEFEUILLE_FREDERIQUE[[#This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1" s="190" t="str">
        <f>IF(PORTEFEUILLE_FREDERIQUE[[#This Row],[BONI COMPTABLE]]&lt;&gt;0,1,"")</f>
        <v/>
      </c>
      <c r="AY11" s="190" t="str">
        <f>IF(PORTEFEUILLE_FREDERIQUE[[#This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SUM(PORTEFEUILLE_FREDERIQUE[[#This Row],[PCR COMPTABLE €]:[MONTANT
RESPONSABLE RELATION CLIENT €]])-PORTEFEUILLE_FREDERIQUE[[#This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2" s="188" t="str">
        <f>IF(PORTEFEUILLE_FREDERIQUE[[#This Row],[BONI AAC]]&lt;&gt;0,1,"")</f>
        <v/>
      </c>
      <c r="AU12" s="188" t="str">
        <f>IF(PORTEFEUILLE_FREDERIQUE[[#This Row],[MALI AAC]]&lt;&gt;0,1,"")</f>
        <v/>
      </c>
      <c r="AV12" s="225">
        <f>IF(AP12&lt;&gt;"",IF((AP12*Paramètres!$H$4)-PORTEFEUILLE_FREDERIQUE[[#This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12" s="225">
        <f>IF(AP12&lt;&gt;"",IF(((AP12*Paramètres!$H$4)-PORTEFEUILLE_FREDERIQUE[[#This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2" s="190" t="str">
        <f>IF(PORTEFEUILLE_FREDERIQUE[[#This Row],[BONI COMPTABLE]]&lt;&gt;0,1,"")</f>
        <v/>
      </c>
      <c r="AY12" s="190" t="str">
        <f>IF(PORTEFEUILLE_FREDERIQUE[[#This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SUM(PORTEFEUILLE_FREDERIQUE[[#This Row],[PCR COMPTABLE €]:[MONTANT
RESPONSABLE RELATION CLIENT €]])-PORTEFEUILLE_FREDERIQUE[[#This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3" s="188" t="str">
        <f>IF(PORTEFEUILLE_FREDERIQUE[[#This Row],[BONI AAC]]&lt;&gt;0,1,"")</f>
        <v/>
      </c>
      <c r="AU13" s="188" t="str">
        <f>IF(PORTEFEUILLE_FREDERIQUE[[#This Row],[MALI AAC]]&lt;&gt;0,1,"")</f>
        <v/>
      </c>
      <c r="AV13" s="225">
        <f>IF(AP13&lt;&gt;"",IF((AP13*Paramètres!$H$4)-PORTEFEUILLE_FREDERIQUE[[#This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€]]-(DELPHINE!AP3*Paramètres!$H$4),0),0)</f>
        <v>0</v>
      </c>
      <c r="AW13" s="225">
        <f>IF(AP13&lt;&gt;"",IF(((AP13*Paramètres!$H$4)-PORTEFEUILLE_FREDERIQUE[[#This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3" s="190" t="str">
        <f>IF(PORTEFEUILLE_FREDERIQUE[[#This Row],[BONI COMPTABLE]]&lt;&gt;0,1,"")</f>
        <v/>
      </c>
      <c r="AY13" s="190" t="str">
        <f>IF(PORTEFEUILLE_FREDERIQUE[[#This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SUM(PORTEFEUILLE_FREDERIQUE[[#This Row],[PCR COMPTABLE €]:[MONTANT
RESPONSABLE RELATION CLIENT €]])-PORTEFEUILLE_FREDERIQUE[[#This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4" s="188" t="str">
        <f>IF(PORTEFEUILLE_FREDERIQUE[[#This Row],[BONI AAC]]&lt;&gt;0,1,"")</f>
        <v/>
      </c>
      <c r="AU14" s="188" t="str">
        <f>IF(PORTEFEUILLE_FREDERIQUE[[#This Row],[MALI AAC]]&lt;&gt;0,1,"")</f>
        <v/>
      </c>
      <c r="AV14" s="225">
        <f>IF(AP14&lt;&gt;"",IF((AP14*Paramètres!$H$4)-PORTEFEUILLE_FREDERIQUE[[#This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14" s="225">
        <f>IF(AP14&lt;&gt;"",IF(((AP14*Paramètres!$H$4)-PORTEFEUILLE_FREDERIQUE[[#This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4" s="190" t="str">
        <f>IF(PORTEFEUILLE_FREDERIQUE[[#This Row],[BONI COMPTABLE]]&lt;&gt;0,1,"")</f>
        <v/>
      </c>
      <c r="AY14" s="190" t="str">
        <f>IF(PORTEFEUILLE_FREDERIQUE[[#This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SUM(PORTEFEUILLE_FREDERIQUE[[#This Row],[PCR COMPTABLE €]:[MONTANT
RESPONSABLE RELATION CLIENT €]])-PORTEFEUILLE_FREDERIQUE[[#This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5" s="188" t="str">
        <f>IF(PORTEFEUILLE_FREDERIQUE[[#This Row],[BONI AAC]]&lt;&gt;0,1,"")</f>
        <v/>
      </c>
      <c r="AU15" s="188" t="str">
        <f>IF(PORTEFEUILLE_FREDERIQUE[[#This Row],[MALI AAC]]&lt;&gt;0,1,"")</f>
        <v/>
      </c>
      <c r="AV15" s="225">
        <f>IF(AP15&lt;&gt;"",IF((AP15*Paramètres!$H$4)-PORTEFEUILLE_FREDERIQUE[[#This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€]]-(DELPHINE!AP4*Paramètres!$H$4),0),0)</f>
        <v>0</v>
      </c>
      <c r="AW15" s="225">
        <f>IF(AP15&lt;&gt;"",IF(((AP15*Paramètres!$H$4)-PORTEFEUILLE_FREDERIQUE[[#This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5" s="190" t="str">
        <f>IF(PORTEFEUILLE_FREDERIQUE[[#This Row],[BONI COMPTABLE]]&lt;&gt;0,1,"")</f>
        <v/>
      </c>
      <c r="AY15" s="190" t="str">
        <f>IF(PORTEFEUILLE_FREDERIQUE[[#This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SUM(PORTEFEUILLE_FREDERIQUE[[#This Row],[PCR COMPTABLE €]:[MONTANT
RESPONSABLE RELATION CLIENT €]])-PORTEFEUILLE_FREDERIQUE[[#This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6" s="188" t="str">
        <f>IF(PORTEFEUILLE_FREDERIQUE[[#This Row],[BONI AAC]]&lt;&gt;0,1,"")</f>
        <v/>
      </c>
      <c r="AU16" s="188" t="str">
        <f>IF(PORTEFEUILLE_FREDERIQUE[[#This Row],[MALI AAC]]&lt;&gt;0,1,"")</f>
        <v/>
      </c>
      <c r="AV16" s="225">
        <f>IF(AP16&lt;&gt;"",IF((AP16*Paramètres!$H$4)-PORTEFEUILLE_FREDERIQUE[[#This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€]]-(DELPHINE!AP5*Paramètres!$H$4),0),0)</f>
        <v>0</v>
      </c>
      <c r="AW16" s="225">
        <f>IF(AP16&lt;&gt;"",IF(((AP16*Paramètres!$H$4)-PORTEFEUILLE_FREDERIQUE[[#This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6" s="190" t="str">
        <f>IF(PORTEFEUILLE_FREDERIQUE[[#This Row],[BONI COMPTABLE]]&lt;&gt;0,1,"")</f>
        <v/>
      </c>
      <c r="AY16" s="190" t="str">
        <f>IF(PORTEFEUILLE_FREDERIQUE[[#This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SUM(PORTEFEUILLE_FREDERIQUE[[#This Row],[PCR COMPTABLE €]:[MONTANT
RESPONSABLE RELATION CLIENT €]])-PORTEFEUILLE_FREDERIQUE[[#This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7" s="188" t="str">
        <f>IF(PORTEFEUILLE_FREDERIQUE[[#This Row],[BONI AAC]]&lt;&gt;0,1,"")</f>
        <v/>
      </c>
      <c r="AU17" s="188" t="str">
        <f>IF(PORTEFEUILLE_FREDERIQUE[[#This Row],[MALI AAC]]&lt;&gt;0,1,"")</f>
        <v/>
      </c>
      <c r="AV17" s="225">
        <f>IF(AP17&lt;&gt;"",IF((AP17*Paramètres!$H$4)-PORTEFEUILLE_FREDERIQUE[[#This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€]]-(DELPHINE!AP6*Paramètres!$H$4),0),0)</f>
        <v>0</v>
      </c>
      <c r="AW17" s="225">
        <f>IF(AP17&lt;&gt;"",IF(((AP17*Paramètres!$H$4)-PORTEFEUILLE_FREDERIQUE[[#This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7" s="190" t="str">
        <f>IF(PORTEFEUILLE_FREDERIQUE[[#This Row],[BONI COMPTABLE]]&lt;&gt;0,1,"")</f>
        <v/>
      </c>
      <c r="AY17" s="190" t="str">
        <f>IF(PORTEFEUILLE_FREDERIQUE[[#This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SUM(PORTEFEUILLE_FREDERIQUE[[#This Row],[PCR COMPTABLE €]:[MONTANT
RESPONSABLE RELATION CLIENT €]])-PORTEFEUILLE_FREDERIQUE[[#This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8" s="188" t="str">
        <f>IF(PORTEFEUILLE_FREDERIQUE[[#This Row],[BONI AAC]]&lt;&gt;0,1,"")</f>
        <v/>
      </c>
      <c r="AU18" s="188" t="str">
        <f>IF(PORTEFEUILLE_FREDERIQUE[[#This Row],[MALI AAC]]&lt;&gt;0,1,"")</f>
        <v/>
      </c>
      <c r="AV18" s="225">
        <f>IF(AP18&lt;&gt;"",IF((AP18*Paramètres!$H$4)-PORTEFEUILLE_FREDERIQUE[[#This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€]]-(DELPHINE!AP7*Paramètres!$H$4),0),0)</f>
        <v>0</v>
      </c>
      <c r="AW18" s="225">
        <f>IF(AP18&lt;&gt;"",IF(((AP18*Paramètres!$H$4)-PORTEFEUILLE_FREDERIQUE[[#This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8" s="190" t="str">
        <f>IF(PORTEFEUILLE_FREDERIQUE[[#This Row],[BONI COMPTABLE]]&lt;&gt;0,1,"")</f>
        <v/>
      </c>
      <c r="AY18" s="190" t="str">
        <f>IF(PORTEFEUILLE_FREDERIQUE[[#This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SUM(PORTEFEUILLE_FREDERIQUE[[#This Row],[PCR COMPTABLE €]:[MONTANT
RESPONSABLE RELATION CLIENT €]])-PORTEFEUILLE_FREDERIQUE[[#This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9" s="188" t="str">
        <f>IF(PORTEFEUILLE_FREDERIQUE[[#This Row],[BONI AAC]]&lt;&gt;0,1,"")</f>
        <v/>
      </c>
      <c r="AU19" s="188" t="str">
        <f>IF(PORTEFEUILLE_FREDERIQUE[[#This Row],[MALI AAC]]&lt;&gt;0,1,"")</f>
        <v/>
      </c>
      <c r="AV19" s="225">
        <f>IF(AP19&lt;&gt;"",IF((AP19*Paramètres!$H$4)-PORTEFEUILLE_FREDERIQUE[[#This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€]]-(DELPHINE!AP8*Paramètres!$H$4),0),0)</f>
        <v>0</v>
      </c>
      <c r="AW19" s="225">
        <f>IF(AP19&lt;&gt;"",IF(((AP19*Paramètres!$H$4)-PORTEFEUILLE_FREDERIQUE[[#This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9" s="190" t="str">
        <f>IF(PORTEFEUILLE_FREDERIQUE[[#This Row],[BONI COMPTABLE]]&lt;&gt;0,1,"")</f>
        <v/>
      </c>
      <c r="AY19" s="190" t="str">
        <f>IF(PORTEFEUILLE_FREDERIQUE[[#This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SUM(PORTEFEUILLE_FREDERIQUE[[#This Row],[PCR COMPTABLE €]:[MONTANT
RESPONSABLE RELATION CLIENT €]])-PORTEFEUILLE_FREDERIQUE[[#This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0" s="188" t="str">
        <f>IF(PORTEFEUILLE_FREDERIQUE[[#This Row],[BONI AAC]]&lt;&gt;0,1,"")</f>
        <v/>
      </c>
      <c r="AU20" s="188" t="str">
        <f>IF(PORTEFEUILLE_FREDERIQUE[[#This Row],[MALI AAC]]&lt;&gt;0,1,"")</f>
        <v/>
      </c>
      <c r="AV20" s="225">
        <f>IF(AP20&lt;&gt;"",IF((AP20*Paramètres!$H$4)-PORTEFEUILLE_FREDERIQUE[[#This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€]]-(DELPHINE!AP9*Paramètres!$H$4),0),0)</f>
        <v>0</v>
      </c>
      <c r="AW20" s="225">
        <f>IF(AP20&lt;&gt;"",IF(((AP20*Paramètres!$H$4)-PORTEFEUILLE_FREDERIQUE[[#This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0" s="190" t="str">
        <f>IF(PORTEFEUILLE_FREDERIQUE[[#This Row],[BONI COMPTABLE]]&lt;&gt;0,1,"")</f>
        <v/>
      </c>
      <c r="AY20" s="190" t="str">
        <f>IF(PORTEFEUILLE_FREDERIQUE[[#This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SUM(PORTEFEUILLE_FREDERIQUE[[#This Row],[PCR COMPTABLE €]:[MONTANT
RESPONSABLE RELATION CLIENT €]])-PORTEFEUILLE_FREDERIQUE[[#This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1" s="188" t="str">
        <f>IF(PORTEFEUILLE_FREDERIQUE[[#This Row],[BONI AAC]]&lt;&gt;0,1,"")</f>
        <v/>
      </c>
      <c r="AU21" s="188" t="str">
        <f>IF(PORTEFEUILLE_FREDERIQUE[[#This Row],[MALI AAC]]&lt;&gt;0,1,"")</f>
        <v/>
      </c>
      <c r="AV21" s="225">
        <f>IF(AP21&lt;&gt;"",IF((AP21*Paramètres!$H$4)-PORTEFEUILLE_FREDERIQUE[[#This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€]]-(DELPHINE!AP10*Paramètres!$H$4),0),0)</f>
        <v>0</v>
      </c>
      <c r="AW21" s="225">
        <f>IF(AP21&lt;&gt;"",IF(((AP21*Paramètres!$H$4)-PORTEFEUILLE_FREDERIQUE[[#This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1" s="190" t="str">
        <f>IF(PORTEFEUILLE_FREDERIQUE[[#This Row],[BONI COMPTABLE]]&lt;&gt;0,1,"")</f>
        <v/>
      </c>
      <c r="AY21" s="190" t="str">
        <f>IF(PORTEFEUILLE_FREDERIQUE[[#This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SUM(PORTEFEUILLE_FREDERIQUE[[#This Row],[PCR COMPTABLE €]:[MONTANT
RESPONSABLE RELATION CLIENT €]])-PORTEFEUILLE_FREDERIQUE[[#This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2" s="188" t="str">
        <f>IF(PORTEFEUILLE_FREDERIQUE[[#This Row],[BONI AAC]]&lt;&gt;0,1,"")</f>
        <v/>
      </c>
      <c r="AU22" s="188" t="str">
        <f>IF(PORTEFEUILLE_FREDERIQUE[[#This Row],[MALI AAC]]&lt;&gt;0,1,"")</f>
        <v/>
      </c>
      <c r="AV22" s="225">
        <f>IF(AP22&lt;&gt;"",IF((AP22*Paramètres!$H$4)-PORTEFEUILLE_FREDERIQUE[[#This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€]]-(DELPHINE!AP11*Paramètres!$H$4),0),0)</f>
        <v>0</v>
      </c>
      <c r="AW22" s="225">
        <f>IF(AP22&lt;&gt;"",IF(((AP22*Paramètres!$H$4)-PORTEFEUILLE_FREDERIQUE[[#This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2" s="190" t="str">
        <f>IF(PORTEFEUILLE_FREDERIQUE[[#This Row],[BONI COMPTABLE]]&lt;&gt;0,1,"")</f>
        <v/>
      </c>
      <c r="AY22" s="190" t="str">
        <f>IF(PORTEFEUILLE_FREDERIQUE[[#This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SUM(PORTEFEUILLE_FREDERIQUE[[#This Row],[PCR COMPTABLE €]:[MONTANT
RESPONSABLE RELATION CLIENT €]])-PORTEFEUILLE_FREDERIQUE[[#This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3" s="188" t="str">
        <f>IF(PORTEFEUILLE_FREDERIQUE[[#This Row],[BONI AAC]]&lt;&gt;0,1,"")</f>
        <v/>
      </c>
      <c r="AU23" s="188" t="str">
        <f>IF(PORTEFEUILLE_FREDERIQUE[[#This Row],[MALI AAC]]&lt;&gt;0,1,"")</f>
        <v/>
      </c>
      <c r="AV23" s="225">
        <f>IF(AP23&lt;&gt;"",IF((AP23*Paramètres!$H$4)-PORTEFEUILLE_FREDERIQUE[[#This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€]]-(DELPHINE!AP12*Paramètres!$H$4),0),0)</f>
        <v>0</v>
      </c>
      <c r="AW23" s="225">
        <f>IF(AP23&lt;&gt;"",IF(((AP23*Paramètres!$H$4)-PORTEFEUILLE_FREDERIQUE[[#This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3" s="190" t="str">
        <f>IF(PORTEFEUILLE_FREDERIQUE[[#This Row],[BONI COMPTABLE]]&lt;&gt;0,1,"")</f>
        <v/>
      </c>
      <c r="AY23" s="190" t="str">
        <f>IF(PORTEFEUILLE_FREDERIQUE[[#This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SUM(PORTEFEUILLE_FREDERIQUE[[#This Row],[PCR COMPTABLE €]:[MONTANT
RESPONSABLE RELATION CLIENT €]])-PORTEFEUILLE_FREDERIQUE[[#This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4" s="188" t="str">
        <f>IF(PORTEFEUILLE_FREDERIQUE[[#This Row],[BONI AAC]]&lt;&gt;0,1,"")</f>
        <v/>
      </c>
      <c r="AU24" s="188" t="str">
        <f>IF(PORTEFEUILLE_FREDERIQUE[[#This Row],[MALI AAC]]&lt;&gt;0,1,"")</f>
        <v/>
      </c>
      <c r="AV24" s="225">
        <f>IF(AP24&lt;&gt;"",IF((AP24*Paramètres!$H$4)-PORTEFEUILLE_FREDERIQUE[[#This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€]]-(DELPHINE!AP13*Paramètres!$H$4),0),0)</f>
        <v>0</v>
      </c>
      <c r="AW24" s="225">
        <f>IF(AP24&lt;&gt;"",IF(((AP24*Paramètres!$H$4)-PORTEFEUILLE_FREDERIQUE[[#This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4" s="190" t="str">
        <f>IF(PORTEFEUILLE_FREDERIQUE[[#This Row],[BONI COMPTABLE]]&lt;&gt;0,1,"")</f>
        <v/>
      </c>
      <c r="AY24" s="190" t="str">
        <f>IF(PORTEFEUILLE_FREDERIQUE[[#This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SUM(PORTEFEUILLE_FREDERIQUE[[#This Row],[PCR COMPTABLE €]:[MONTANT
RESPONSABLE RELATION CLIENT €]])-PORTEFEUILLE_FREDERIQUE[[#This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5" s="188" t="str">
        <f>IF(PORTEFEUILLE_FREDERIQUE[[#This Row],[BONI AAC]]&lt;&gt;0,1,"")</f>
        <v/>
      </c>
      <c r="AU25" s="188" t="str">
        <f>IF(PORTEFEUILLE_FREDERIQUE[[#This Row],[MALI AAC]]&lt;&gt;0,1,"")</f>
        <v/>
      </c>
      <c r="AV25" s="225">
        <f>IF(AP25&lt;&gt;"",IF((AP25*Paramètres!$H$4)-PORTEFEUILLE_FREDERIQUE[[#This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€]]-(DELPHINE!AP14*Paramètres!$H$4),0),0)</f>
        <v>0</v>
      </c>
      <c r="AW25" s="225">
        <f>IF(AP25&lt;&gt;"",IF(((AP25*Paramètres!$H$4)-PORTEFEUILLE_FREDERIQUE[[#This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5" s="190" t="str">
        <f>IF(PORTEFEUILLE_FREDERIQUE[[#This Row],[BONI COMPTABLE]]&lt;&gt;0,1,"")</f>
        <v/>
      </c>
      <c r="AY25" s="190" t="str">
        <f>IF(PORTEFEUILLE_FREDERIQUE[[#This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SUM(PORTEFEUILLE_FREDERIQUE[[#This Row],[PCR COMPTABLE €]:[MONTANT
RESPONSABLE RELATION CLIENT €]])-PORTEFEUILLE_FREDERIQUE[[#This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6" s="188" t="str">
        <f>IF(PORTEFEUILLE_FREDERIQUE[[#This Row],[BONI AAC]]&lt;&gt;0,1,"")</f>
        <v/>
      </c>
      <c r="AU26" s="188" t="str">
        <f>IF(PORTEFEUILLE_FREDERIQUE[[#This Row],[MALI AAC]]&lt;&gt;0,1,"")</f>
        <v/>
      </c>
      <c r="AV26" s="225">
        <f>IF(AP26&lt;&gt;"",IF((AP26*Paramètres!$H$4)-PORTEFEUILLE_FREDERIQUE[[#This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€]]-(DELPHINE!AP15*Paramètres!$H$4),0),0)</f>
        <v>0</v>
      </c>
      <c r="AW26" s="225">
        <f>IF(AP26&lt;&gt;"",IF(((AP26*Paramètres!$H$4)-PORTEFEUILLE_FREDERIQUE[[#This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6" s="190" t="str">
        <f>IF(PORTEFEUILLE_FREDERIQUE[[#This Row],[BONI COMPTABLE]]&lt;&gt;0,1,"")</f>
        <v/>
      </c>
      <c r="AY26" s="190" t="str">
        <f>IF(PORTEFEUILLE_FREDERIQUE[[#This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SUM(PORTEFEUILLE_FREDERIQUE[[#This Row],[PCR COMPTABLE €]:[MONTANT
RESPONSABLE RELATION CLIENT €]])-PORTEFEUILLE_FREDERIQUE[[#This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7" s="188" t="str">
        <f>IF(PORTEFEUILLE_FREDERIQUE[[#This Row],[BONI AAC]]&lt;&gt;0,1,"")</f>
        <v/>
      </c>
      <c r="AU27" s="188" t="str">
        <f>IF(PORTEFEUILLE_FREDERIQUE[[#This Row],[MALI AAC]]&lt;&gt;0,1,"")</f>
        <v/>
      </c>
      <c r="AV27" s="225">
        <f>IF(AP27&lt;&gt;"",IF((AP27*Paramètres!$H$4)-PORTEFEUILLE_FREDERIQUE[[#This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€]]-(DELPHINE!AP16*Paramètres!$H$4),0),0)</f>
        <v>0</v>
      </c>
      <c r="AW27" s="225">
        <f>IF(AP27&lt;&gt;"",IF(((AP27*Paramètres!$H$4)-PORTEFEUILLE_FREDERIQUE[[#This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7" s="190" t="str">
        <f>IF(PORTEFEUILLE_FREDERIQUE[[#This Row],[BONI COMPTABLE]]&lt;&gt;0,1,"")</f>
        <v/>
      </c>
      <c r="AY27" s="190" t="str">
        <f>IF(PORTEFEUILLE_FREDERIQUE[[#This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SUM(PORTEFEUILLE_FREDERIQUE[[#This Row],[PCR COMPTABLE €]:[MONTANT
RESPONSABLE RELATION CLIENT €]])-PORTEFEUILLE_FREDERIQUE[[#This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8" s="188" t="str">
        <f>IF(PORTEFEUILLE_FREDERIQUE[[#This Row],[BONI AAC]]&lt;&gt;0,1,"")</f>
        <v/>
      </c>
      <c r="AU28" s="188" t="str">
        <f>IF(PORTEFEUILLE_FREDERIQUE[[#This Row],[MALI AAC]]&lt;&gt;0,1,"")</f>
        <v/>
      </c>
      <c r="AV28" s="225">
        <f>IF(AP28&lt;&gt;"",IF((AP28*Paramètres!$H$4)-PORTEFEUILLE_FREDERIQUE[[#This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€]]-(DELPHINE!AP17*Paramètres!$H$4),0),0)</f>
        <v>0</v>
      </c>
      <c r="AW28" s="225">
        <f>IF(AP28&lt;&gt;"",IF(((AP28*Paramètres!$H$4)-PORTEFEUILLE_FREDERIQUE[[#This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8" s="190" t="str">
        <f>IF(PORTEFEUILLE_FREDERIQUE[[#This Row],[BONI COMPTABLE]]&lt;&gt;0,1,"")</f>
        <v/>
      </c>
      <c r="AY28" s="190" t="str">
        <f>IF(PORTEFEUILLE_FREDERIQUE[[#This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SUM(PORTEFEUILLE_FREDERIQUE[[#This Row],[PCR COMPTABLE €]:[MONTANT
RESPONSABLE RELATION CLIENT €]])-PORTEFEUILLE_FREDERIQUE[[#This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9" s="188" t="str">
        <f>IF(PORTEFEUILLE_FREDERIQUE[[#This Row],[BONI AAC]]&lt;&gt;0,1,"")</f>
        <v/>
      </c>
      <c r="AU29" s="188" t="str">
        <f>IF(PORTEFEUILLE_FREDERIQUE[[#This Row],[MALI AAC]]&lt;&gt;0,1,"")</f>
        <v/>
      </c>
      <c r="AV29" s="225">
        <f>IF(AP29&lt;&gt;"",IF((AP29*Paramètres!$H$4)-PORTEFEUILLE_FREDERIQUE[[#This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€]]-(DELPHINE!AP18*Paramètres!$H$4),0),0)</f>
        <v>0</v>
      </c>
      <c r="AW29" s="225">
        <f>IF(AP29&lt;&gt;"",IF(((AP29*Paramètres!$H$4)-PORTEFEUILLE_FREDERIQUE[[#This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9" s="190" t="str">
        <f>IF(PORTEFEUILLE_FREDERIQUE[[#This Row],[BONI COMPTABLE]]&lt;&gt;0,1,"")</f>
        <v/>
      </c>
      <c r="AY29" s="190" t="str">
        <f>IF(PORTEFEUILLE_FREDERIQUE[[#This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SUM(PORTEFEUILLE_FREDERIQUE[[#This Row],[PCR COMPTABLE €]:[MONTANT
RESPONSABLE RELATION CLIENT €]])-PORTEFEUILLE_FREDERIQUE[[#This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0" s="188" t="str">
        <f>IF(PORTEFEUILLE_FREDERIQUE[[#This Row],[BONI AAC]]&lt;&gt;0,1,"")</f>
        <v/>
      </c>
      <c r="AU30" s="188" t="str">
        <f>IF(PORTEFEUILLE_FREDERIQUE[[#This Row],[MALI AAC]]&lt;&gt;0,1,"")</f>
        <v/>
      </c>
      <c r="AV30" s="225">
        <f>IF(AP30&lt;&gt;"",IF((AP30*Paramètres!$H$4)-PORTEFEUILLE_FREDERIQUE[[#This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€]]-(DELPHINE!AP19*Paramètres!$H$4),0),0)</f>
        <v>0</v>
      </c>
      <c r="AW30" s="225">
        <f>IF(AP30&lt;&gt;"",IF(((AP30*Paramètres!$H$4)-PORTEFEUILLE_FREDERIQUE[[#This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0" s="190" t="str">
        <f>IF(PORTEFEUILLE_FREDERIQUE[[#This Row],[BONI COMPTABLE]]&lt;&gt;0,1,"")</f>
        <v/>
      </c>
      <c r="AY30" s="190" t="str">
        <f>IF(PORTEFEUILLE_FREDERIQUE[[#This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SUM(PORTEFEUILLE_FREDERIQUE[[#This Row],[PCR COMPTABLE €]:[MONTANT
RESPONSABLE RELATION CLIENT €]])-PORTEFEUILLE_FREDERIQUE[[#This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1" s="188" t="str">
        <f>IF(PORTEFEUILLE_FREDERIQUE[[#This Row],[BONI AAC]]&lt;&gt;0,1,"")</f>
        <v/>
      </c>
      <c r="AU31" s="188" t="str">
        <f>IF(PORTEFEUILLE_FREDERIQUE[[#This Row],[MALI AAC]]&lt;&gt;0,1,"")</f>
        <v/>
      </c>
      <c r="AV31" s="225">
        <f>IF(AP31&lt;&gt;"",IF((AP31*Paramètres!$H$4)-PORTEFEUILLE_FREDERIQUE[[#This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€]]-(DELPHINE!AP20*Paramètres!$H$4),0),0)</f>
        <v>0</v>
      </c>
      <c r="AW31" s="225">
        <f>IF(AP31&lt;&gt;"",IF(((AP31*Paramètres!$H$4)-PORTEFEUILLE_FREDERIQUE[[#This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1" s="190" t="str">
        <f>IF(PORTEFEUILLE_FREDERIQUE[[#This Row],[BONI COMPTABLE]]&lt;&gt;0,1,"")</f>
        <v/>
      </c>
      <c r="AY31" s="190" t="str">
        <f>IF(PORTEFEUILLE_FREDERIQUE[[#This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SUM(PORTEFEUILLE_FREDERIQUE[[#This Row],[PCR COMPTABLE €]:[MONTANT
RESPONSABLE RELATION CLIENT €]])-PORTEFEUILLE_FREDERIQUE[[#This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2" s="188" t="str">
        <f>IF(PORTEFEUILLE_FREDERIQUE[[#This Row],[BONI AAC]]&lt;&gt;0,1,"")</f>
        <v/>
      </c>
      <c r="AU32" s="188" t="str">
        <f>IF(PORTEFEUILLE_FREDERIQUE[[#This Row],[MALI AAC]]&lt;&gt;0,1,"")</f>
        <v/>
      </c>
      <c r="AV32" s="225">
        <f>IF(AP32&lt;&gt;"",IF((AP32*Paramètres!$H$4)-PORTEFEUILLE_FREDERIQUE[[#This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€]]-(DELPHINE!AP21*Paramètres!$H$4),0),0)</f>
        <v>0</v>
      </c>
      <c r="AW32" s="225">
        <f>IF(AP32&lt;&gt;"",IF(((AP32*Paramètres!$H$4)-PORTEFEUILLE_FREDERIQUE[[#This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2" s="190" t="str">
        <f>IF(PORTEFEUILLE_FREDERIQUE[[#This Row],[BONI COMPTABLE]]&lt;&gt;0,1,"")</f>
        <v/>
      </c>
      <c r="AY32" s="190" t="str">
        <f>IF(PORTEFEUILLE_FREDERIQUE[[#This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SUM(PORTEFEUILLE_FREDERIQUE[[#This Row],[PCR COMPTABLE €]:[MONTANT
RESPONSABLE RELATION CLIENT €]])-PORTEFEUILLE_FREDERIQUE[[#This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3" s="188" t="str">
        <f>IF(PORTEFEUILLE_FREDERIQUE[[#This Row],[BONI AAC]]&lt;&gt;0,1,"")</f>
        <v/>
      </c>
      <c r="AU33" s="188" t="str">
        <f>IF(PORTEFEUILLE_FREDERIQUE[[#This Row],[MALI AAC]]&lt;&gt;0,1,"")</f>
        <v/>
      </c>
      <c r="AV33" s="225">
        <f>IF(AP33&lt;&gt;"",IF((AP33*Paramètres!$H$4)-PORTEFEUILLE_FREDERIQUE[[#This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€]]-(DELPHINE!AP22*Paramètres!$H$4),0),0)</f>
        <v>0</v>
      </c>
      <c r="AW33" s="225">
        <f>IF(AP33&lt;&gt;"",IF(((AP33*Paramètres!$H$4)-PORTEFEUILLE_FREDERIQUE[[#This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3" s="190" t="str">
        <f>IF(PORTEFEUILLE_FREDERIQUE[[#This Row],[BONI COMPTABLE]]&lt;&gt;0,1,"")</f>
        <v/>
      </c>
      <c r="AY33" s="190" t="str">
        <f>IF(PORTEFEUILLE_FREDERIQUE[[#This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SUM(PORTEFEUILLE_FREDERIQUE[[#This Row],[PCR COMPTABLE €]:[MONTANT
RESPONSABLE RELATION CLIENT €]])-PORTEFEUILLE_FREDERIQUE[[#This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4" s="188" t="str">
        <f>IF(PORTEFEUILLE_FREDERIQUE[[#This Row],[BONI AAC]]&lt;&gt;0,1,"")</f>
        <v/>
      </c>
      <c r="AU34" s="188" t="str">
        <f>IF(PORTEFEUILLE_FREDERIQUE[[#This Row],[MALI AAC]]&lt;&gt;0,1,"")</f>
        <v/>
      </c>
      <c r="AV34" s="225">
        <f>IF(AP34&lt;&gt;"",IF((AP34*Paramètres!$H$4)-PORTEFEUILLE_FREDERIQUE[[#This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€]]-(DELPHINE!AP23*Paramètres!$H$4),0),0)</f>
        <v>0</v>
      </c>
      <c r="AW34" s="225">
        <f>IF(AP34&lt;&gt;"",IF(((AP34*Paramètres!$H$4)-PORTEFEUILLE_FREDERIQUE[[#This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4" s="190" t="str">
        <f>IF(PORTEFEUILLE_FREDERIQUE[[#This Row],[BONI COMPTABLE]]&lt;&gt;0,1,"")</f>
        <v/>
      </c>
      <c r="AY34" s="190" t="str">
        <f>IF(PORTEFEUILLE_FREDERIQUE[[#This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SUM(PORTEFEUILLE_FREDERIQUE[[#This Row],[PCR COMPTABLE €]:[MONTANT
RESPONSABLE RELATION CLIENT €]])-PORTEFEUILLE_FREDERIQUE[[#This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5" s="188" t="str">
        <f>IF(PORTEFEUILLE_FREDERIQUE[[#This Row],[BONI AAC]]&lt;&gt;0,1,"")</f>
        <v/>
      </c>
      <c r="AU35" s="188" t="str">
        <f>IF(PORTEFEUILLE_FREDERIQUE[[#This Row],[MALI AAC]]&lt;&gt;0,1,"")</f>
        <v/>
      </c>
      <c r="AV35" s="225">
        <f>IF(AP35&lt;&gt;"",IF((AP35*Paramètres!$H$4)-PORTEFEUILLE_FREDERIQUE[[#This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€]]-(DELPHINE!AP24*Paramètres!$H$4),0),0)</f>
        <v>0</v>
      </c>
      <c r="AW35" s="225">
        <f>IF(AP35&lt;&gt;"",IF(((AP35*Paramètres!$H$4)-PORTEFEUILLE_FREDERIQUE[[#This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5" s="190" t="str">
        <f>IF(PORTEFEUILLE_FREDERIQUE[[#This Row],[BONI COMPTABLE]]&lt;&gt;0,1,"")</f>
        <v/>
      </c>
      <c r="AY35" s="190" t="str">
        <f>IF(PORTEFEUILLE_FREDERIQUE[[#This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SUM(PORTEFEUILLE_FREDERIQUE[[#This Row],[PCR COMPTABLE €]:[MONTANT
RESPONSABLE RELATION CLIENT €]])-PORTEFEUILLE_FREDERIQUE[[#This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6" s="188" t="str">
        <f>IF(PORTEFEUILLE_FREDERIQUE[[#This Row],[BONI AAC]]&lt;&gt;0,1,"")</f>
        <v/>
      </c>
      <c r="AU36" s="188" t="str">
        <f>IF(PORTEFEUILLE_FREDERIQUE[[#This Row],[MALI AAC]]&lt;&gt;0,1,"")</f>
        <v/>
      </c>
      <c r="AV36" s="225">
        <f>IF(AP36&lt;&gt;"",IF((AP36*Paramètres!$H$4)-PORTEFEUILLE_FREDERIQUE[[#This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€]]-(DELPHINE!AP25*Paramètres!$H$4),0),0)</f>
        <v>0</v>
      </c>
      <c r="AW36" s="225">
        <f>IF(AP36&lt;&gt;"",IF(((AP36*Paramètres!$H$4)-PORTEFEUILLE_FREDERIQUE[[#This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6" s="190" t="str">
        <f>IF(PORTEFEUILLE_FREDERIQUE[[#This Row],[BONI COMPTABLE]]&lt;&gt;0,1,"")</f>
        <v/>
      </c>
      <c r="AY36" s="190" t="str">
        <f>IF(PORTEFEUILLE_FREDERIQUE[[#This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SUM(PORTEFEUILLE_FREDERIQUE[[#This Row],[PCR COMPTABLE €]:[MONTANT
RESPONSABLE RELATION CLIENT €]])-PORTEFEUILLE_FREDERIQUE[[#This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7" s="188" t="str">
        <f>IF(PORTEFEUILLE_FREDERIQUE[[#This Row],[BONI AAC]]&lt;&gt;0,1,"")</f>
        <v/>
      </c>
      <c r="AU37" s="188" t="str">
        <f>IF(PORTEFEUILLE_FREDERIQUE[[#This Row],[MALI AAC]]&lt;&gt;0,1,"")</f>
        <v/>
      </c>
      <c r="AV37" s="225">
        <f>IF(AP37&lt;&gt;"",IF((AP37*Paramètres!$H$4)-PORTEFEUILLE_FREDERIQUE[[#This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€]]-(DELPHINE!AP26*Paramètres!$H$4),0),0)</f>
        <v>0</v>
      </c>
      <c r="AW37" s="225">
        <f>IF(AP37&lt;&gt;"",IF(((AP37*Paramètres!$H$4)-PORTEFEUILLE_FREDERIQUE[[#This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7" s="190" t="str">
        <f>IF(PORTEFEUILLE_FREDERIQUE[[#This Row],[BONI COMPTABLE]]&lt;&gt;0,1,"")</f>
        <v/>
      </c>
      <c r="AY37" s="190" t="str">
        <f>IF(PORTEFEUILLE_FREDERIQUE[[#This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SUM(PORTEFEUILLE_FREDERIQUE[[#This Row],[PCR COMPTABLE €]:[MONTANT
RESPONSABLE RELATION CLIENT €]])-PORTEFEUILLE_FREDERIQUE[[#This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8" s="188" t="str">
        <f>IF(PORTEFEUILLE_FREDERIQUE[[#This Row],[BONI AAC]]&lt;&gt;0,1,"")</f>
        <v/>
      </c>
      <c r="AU38" s="188" t="str">
        <f>IF(PORTEFEUILLE_FREDERIQUE[[#This Row],[MALI AAC]]&lt;&gt;0,1,"")</f>
        <v/>
      </c>
      <c r="AV38" s="225">
        <f>IF(AP38&lt;&gt;"",IF((AP38*Paramètres!$H$4)-PORTEFEUILLE_FREDERIQUE[[#This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€]]-(DELPHINE!AP27*Paramètres!$H$4),0),0)</f>
        <v>0</v>
      </c>
      <c r="AW38" s="225">
        <f>IF(AP38&lt;&gt;"",IF(((AP38*Paramètres!$H$4)-PORTEFEUILLE_FREDERIQUE[[#This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8" s="190" t="str">
        <f>IF(PORTEFEUILLE_FREDERIQUE[[#This Row],[BONI COMPTABLE]]&lt;&gt;0,1,"")</f>
        <v/>
      </c>
      <c r="AY38" s="190" t="str">
        <f>IF(PORTEFEUILLE_FREDERIQUE[[#This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SUM(PORTEFEUILLE_FREDERIQUE[[#This Row],[PCR COMPTABLE €]:[MONTANT
RESPONSABLE RELATION CLIENT €]])-PORTEFEUILLE_FREDERIQUE[[#This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9" s="188" t="str">
        <f>IF(PORTEFEUILLE_FREDERIQUE[[#This Row],[BONI AAC]]&lt;&gt;0,1,"")</f>
        <v/>
      </c>
      <c r="AU39" s="188" t="str">
        <f>IF(PORTEFEUILLE_FREDERIQUE[[#This Row],[MALI AAC]]&lt;&gt;0,1,"")</f>
        <v/>
      </c>
      <c r="AV39" s="225">
        <f>IF(AP39&lt;&gt;"",IF((AP39*Paramètres!$H$4)-PORTEFEUILLE_FREDERIQUE[[#This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€]]-(DELPHINE!AP28*Paramètres!$H$4),0),0)</f>
        <v>0</v>
      </c>
      <c r="AW39" s="225">
        <f>IF(AP39&lt;&gt;"",IF(((AP39*Paramètres!$H$4)-PORTEFEUILLE_FREDERIQUE[[#This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9" s="190" t="str">
        <f>IF(PORTEFEUILLE_FREDERIQUE[[#This Row],[BONI COMPTABLE]]&lt;&gt;0,1,"")</f>
        <v/>
      </c>
      <c r="AY39" s="190" t="str">
        <f>IF(PORTEFEUILLE_FREDERIQUE[[#This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SUM(PORTEFEUILLE_FREDERIQUE[[#This Row],[PCR COMPTABLE €]:[MONTANT
RESPONSABLE RELATION CLIENT €]])-PORTEFEUILLE_FREDERIQUE[[#This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0" s="188" t="str">
        <f>IF(PORTEFEUILLE_FREDERIQUE[[#This Row],[BONI AAC]]&lt;&gt;0,1,"")</f>
        <v/>
      </c>
      <c r="AU40" s="188" t="str">
        <f>IF(PORTEFEUILLE_FREDERIQUE[[#This Row],[MALI AAC]]&lt;&gt;0,1,"")</f>
        <v/>
      </c>
      <c r="AV40" s="225">
        <f>IF(AP40&lt;&gt;"",IF((AP40*Paramètres!$H$4)-PORTEFEUILLE_FREDERIQUE[[#This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€]]-(DELPHINE!AP29*Paramètres!$H$4),0),0)</f>
        <v>0</v>
      </c>
      <c r="AW40" s="225">
        <f>IF(AP40&lt;&gt;"",IF(((AP40*Paramètres!$H$4)-PORTEFEUILLE_FREDERIQUE[[#This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0" s="190" t="str">
        <f>IF(PORTEFEUILLE_FREDERIQUE[[#This Row],[BONI COMPTABLE]]&lt;&gt;0,1,"")</f>
        <v/>
      </c>
      <c r="AY40" s="190" t="str">
        <f>IF(PORTEFEUILLE_FREDERIQUE[[#This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SUM(PORTEFEUILLE_FREDERIQUE[[#This Row],[PCR COMPTABLE €]:[MONTANT
RESPONSABLE RELATION CLIENT €]])-PORTEFEUILLE_FREDERIQUE[[#This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1" s="188" t="str">
        <f>IF(PORTEFEUILLE_FREDERIQUE[[#This Row],[BONI AAC]]&lt;&gt;0,1,"")</f>
        <v/>
      </c>
      <c r="AU41" s="188" t="str">
        <f>IF(PORTEFEUILLE_FREDERIQUE[[#This Row],[MALI AAC]]&lt;&gt;0,1,"")</f>
        <v/>
      </c>
      <c r="AV41" s="225">
        <f>IF(AP41&lt;&gt;"",IF((AP41*Paramètres!$H$4)-PORTEFEUILLE_FREDERIQUE[[#This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€]]-(DELPHINE!AP30*Paramètres!$H$4),0),0)</f>
        <v>0</v>
      </c>
      <c r="AW41" s="225">
        <f>IF(AP41&lt;&gt;"",IF(((AP41*Paramètres!$H$4)-PORTEFEUILLE_FREDERIQUE[[#This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1" s="190" t="str">
        <f>IF(PORTEFEUILLE_FREDERIQUE[[#This Row],[BONI COMPTABLE]]&lt;&gt;0,1,"")</f>
        <v/>
      </c>
      <c r="AY41" s="190" t="str">
        <f>IF(PORTEFEUILLE_FREDERIQUE[[#This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SUM(PORTEFEUILLE_FREDERIQUE[[#This Row],[PCR COMPTABLE €]:[MONTANT
RESPONSABLE RELATION CLIENT €]])-PORTEFEUILLE_FREDERIQUE[[#This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2" s="188" t="str">
        <f>IF(PORTEFEUILLE_FREDERIQUE[[#This Row],[BONI AAC]]&lt;&gt;0,1,"")</f>
        <v/>
      </c>
      <c r="AU42" s="188" t="str">
        <f>IF(PORTEFEUILLE_FREDERIQUE[[#This Row],[MALI AAC]]&lt;&gt;0,1,"")</f>
        <v/>
      </c>
      <c r="AV42" s="225">
        <f>IF(AP42&lt;&gt;"",IF((AP42*Paramètres!$H$4)-PORTEFEUILLE_FREDERIQUE[[#This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€]]-(DELPHINE!AP31*Paramètres!$H$4),0),0)</f>
        <v>0</v>
      </c>
      <c r="AW42" s="225">
        <f>IF(AP42&lt;&gt;"",IF(((AP42*Paramètres!$H$4)-PORTEFEUILLE_FREDERIQUE[[#This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2" s="190" t="str">
        <f>IF(PORTEFEUILLE_FREDERIQUE[[#This Row],[BONI COMPTABLE]]&lt;&gt;0,1,"")</f>
        <v/>
      </c>
      <c r="AY42" s="190" t="str">
        <f>IF(PORTEFEUILLE_FREDERIQUE[[#This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SUM(PORTEFEUILLE_FREDERIQUE[[#This Row],[PCR COMPTABLE €]:[MONTANT
RESPONSABLE RELATION CLIENT €]])-PORTEFEUILLE_FREDERIQUE[[#This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3" s="188" t="str">
        <f>IF(PORTEFEUILLE_FREDERIQUE[[#This Row],[BONI AAC]]&lt;&gt;0,1,"")</f>
        <v/>
      </c>
      <c r="AU43" s="188" t="str">
        <f>IF(PORTEFEUILLE_FREDERIQUE[[#This Row],[MALI AAC]]&lt;&gt;0,1,"")</f>
        <v/>
      </c>
      <c r="AV43" s="225">
        <f>IF(AP43&lt;&gt;"",IF((AP43*Paramètres!$H$4)-PORTEFEUILLE_FREDERIQUE[[#This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€]]-(DELPHINE!AP32*Paramètres!$H$4),0),0)</f>
        <v>0</v>
      </c>
      <c r="AW43" s="225">
        <f>IF(AP43&lt;&gt;"",IF(((AP43*Paramètres!$H$4)-PORTEFEUILLE_FREDERIQUE[[#This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3" s="190" t="str">
        <f>IF(PORTEFEUILLE_FREDERIQUE[[#This Row],[BONI COMPTABLE]]&lt;&gt;0,1,"")</f>
        <v/>
      </c>
      <c r="AY43" s="190" t="str">
        <f>IF(PORTEFEUILLE_FREDERIQUE[[#This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SUM(PORTEFEUILLE_FREDERIQUE[[#This Row],[PCR COMPTABLE €]:[MONTANT
RESPONSABLE RELATION CLIENT €]])-PORTEFEUILLE_FREDERIQUE[[#This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4" s="188" t="str">
        <f>IF(PORTEFEUILLE_FREDERIQUE[[#This Row],[BONI AAC]]&lt;&gt;0,1,"")</f>
        <v/>
      </c>
      <c r="AU44" s="188" t="str">
        <f>IF(PORTEFEUILLE_FREDERIQUE[[#This Row],[MALI AAC]]&lt;&gt;0,1,"")</f>
        <v/>
      </c>
      <c r="AV44" s="225">
        <f>IF(AP44&lt;&gt;"",IF((AP44*Paramètres!$H$4)-PORTEFEUILLE_FREDERIQUE[[#This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€]]-(DELPHINE!AP33*Paramètres!$H$4),0),0)</f>
        <v>0</v>
      </c>
      <c r="AW44" s="225">
        <f>IF(AP44&lt;&gt;"",IF(((AP44*Paramètres!$H$4)-PORTEFEUILLE_FREDERIQUE[[#This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4" s="190" t="str">
        <f>IF(PORTEFEUILLE_FREDERIQUE[[#This Row],[BONI COMPTABLE]]&lt;&gt;0,1,"")</f>
        <v/>
      </c>
      <c r="AY44" s="190" t="str">
        <f>IF(PORTEFEUILLE_FREDERIQUE[[#This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SUM(PORTEFEUILLE_FREDERIQUE[[#This Row],[PCR COMPTABLE €]:[MONTANT
RESPONSABLE RELATION CLIENT €]])-PORTEFEUILLE_FREDERIQUE[[#This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5" s="188" t="str">
        <f>IF(PORTEFEUILLE_FREDERIQUE[[#This Row],[BONI AAC]]&lt;&gt;0,1,"")</f>
        <v/>
      </c>
      <c r="AU45" s="188" t="str">
        <f>IF(PORTEFEUILLE_FREDERIQUE[[#This Row],[MALI AAC]]&lt;&gt;0,1,"")</f>
        <v/>
      </c>
      <c r="AV45" s="225">
        <f>IF(AP45&lt;&gt;"",IF((AP45*Paramètres!$H$4)-PORTEFEUILLE_FREDERIQUE[[#This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€]]-(DELPHINE!AP34*Paramètres!$H$4),0),0)</f>
        <v>0</v>
      </c>
      <c r="AW45" s="225">
        <f>IF(AP45&lt;&gt;"",IF(((AP45*Paramètres!$H$4)-PORTEFEUILLE_FREDERIQUE[[#This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5" s="190" t="str">
        <f>IF(PORTEFEUILLE_FREDERIQUE[[#This Row],[BONI COMPTABLE]]&lt;&gt;0,1,"")</f>
        <v/>
      </c>
      <c r="AY45" s="190" t="str">
        <f>IF(PORTEFEUILLE_FREDERIQUE[[#This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SUM(PORTEFEUILLE_FREDERIQUE[[#This Row],[PCR COMPTABLE €]:[MONTANT
RESPONSABLE RELATION CLIENT €]])-PORTEFEUILLE_FREDERIQUE[[#This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6" s="188" t="str">
        <f>IF(PORTEFEUILLE_FREDERIQUE[[#This Row],[BONI AAC]]&lt;&gt;0,1,"")</f>
        <v/>
      </c>
      <c r="AU46" s="188" t="str">
        <f>IF(PORTEFEUILLE_FREDERIQUE[[#This Row],[MALI AAC]]&lt;&gt;0,1,"")</f>
        <v/>
      </c>
      <c r="AV46" s="225">
        <f>IF(AP46&lt;&gt;"",IF((AP46*Paramètres!$H$4)-PORTEFEUILLE_FREDERIQUE[[#This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€]]-(DELPHINE!AP35*Paramètres!$H$4),0),0)</f>
        <v>0</v>
      </c>
      <c r="AW46" s="225">
        <f>IF(AP46&lt;&gt;"",IF(((AP46*Paramètres!$H$4)-PORTEFEUILLE_FREDERIQUE[[#This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6" s="190" t="str">
        <f>IF(PORTEFEUILLE_FREDERIQUE[[#This Row],[BONI COMPTABLE]]&lt;&gt;0,1,"")</f>
        <v/>
      </c>
      <c r="AY46" s="190" t="str">
        <f>IF(PORTEFEUILLE_FREDERIQUE[[#This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SUM(PORTEFEUILLE_FREDERIQUE[[#This Row],[PCR COMPTABLE €]:[MONTANT
RESPONSABLE RELATION CLIENT €]])-PORTEFEUILLE_FREDERIQUE[[#This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7" s="188" t="str">
        <f>IF(PORTEFEUILLE_FREDERIQUE[[#This Row],[BONI AAC]]&lt;&gt;0,1,"")</f>
        <v/>
      </c>
      <c r="AU47" s="188" t="str">
        <f>IF(PORTEFEUILLE_FREDERIQUE[[#This Row],[MALI AAC]]&lt;&gt;0,1,"")</f>
        <v/>
      </c>
      <c r="AV47" s="225">
        <f>IF(AP47&lt;&gt;"",IF((AP47*Paramètres!$H$4)-PORTEFEUILLE_FREDERIQUE[[#This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€]]-(DELPHINE!AP36*Paramètres!$H$4),0),0)</f>
        <v>0</v>
      </c>
      <c r="AW47" s="225">
        <f>IF(AP47&lt;&gt;"",IF(((AP47*Paramètres!$H$4)-PORTEFEUILLE_FREDERIQUE[[#This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7" s="190" t="str">
        <f>IF(PORTEFEUILLE_FREDERIQUE[[#This Row],[BONI COMPTABLE]]&lt;&gt;0,1,"")</f>
        <v/>
      </c>
      <c r="AY47" s="190" t="str">
        <f>IF(PORTEFEUILLE_FREDERIQUE[[#This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SUM(PORTEFEUILLE_FREDERIQUE[[#This Row],[PCR COMPTABLE €]:[MONTANT
RESPONSABLE RELATION CLIENT €]])-PORTEFEUILLE_FREDERIQUE[[#This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8" s="188" t="str">
        <f>IF(PORTEFEUILLE_FREDERIQUE[[#This Row],[BONI AAC]]&lt;&gt;0,1,"")</f>
        <v/>
      </c>
      <c r="AU48" s="188" t="str">
        <f>IF(PORTEFEUILLE_FREDERIQUE[[#This Row],[MALI AAC]]&lt;&gt;0,1,"")</f>
        <v/>
      </c>
      <c r="AV48" s="225">
        <f>IF(AP48&lt;&gt;"",IF((AP48*Paramètres!$H$4)-PORTEFEUILLE_FREDERIQUE[[#This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€]]-(DELPHINE!AP37*Paramètres!$H$4),0),0)</f>
        <v>0</v>
      </c>
      <c r="AW48" s="225">
        <f>IF(AP48&lt;&gt;"",IF(((AP48*Paramètres!$H$4)-PORTEFEUILLE_FREDERIQUE[[#This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8" s="190" t="str">
        <f>IF(PORTEFEUILLE_FREDERIQUE[[#This Row],[BONI COMPTABLE]]&lt;&gt;0,1,"")</f>
        <v/>
      </c>
      <c r="AY48" s="190" t="str">
        <f>IF(PORTEFEUILLE_FREDERIQUE[[#This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SUM(PORTEFEUILLE_FREDERIQUE[[#This Row],[PCR COMPTABLE €]:[MONTANT
RESPONSABLE RELATION CLIENT €]])-PORTEFEUILLE_FREDERIQUE[[#This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9" s="188" t="str">
        <f>IF(PORTEFEUILLE_FREDERIQUE[[#This Row],[BONI AAC]]&lt;&gt;0,1,"")</f>
        <v/>
      </c>
      <c r="AU49" s="188" t="str">
        <f>IF(PORTEFEUILLE_FREDERIQUE[[#This Row],[MALI AAC]]&lt;&gt;0,1,"")</f>
        <v/>
      </c>
      <c r="AV49" s="225">
        <f>IF(AP49&lt;&gt;"",IF((AP49*Paramètres!$H$4)-PORTEFEUILLE_FREDERIQUE[[#This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€]]-(DELPHINE!AP38*Paramètres!$H$4),0),0)</f>
        <v>0</v>
      </c>
      <c r="AW49" s="225">
        <f>IF(AP49&lt;&gt;"",IF(((AP49*Paramètres!$H$4)-PORTEFEUILLE_FREDERIQUE[[#This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9" s="190" t="str">
        <f>IF(PORTEFEUILLE_FREDERIQUE[[#This Row],[BONI COMPTABLE]]&lt;&gt;0,1,"")</f>
        <v/>
      </c>
      <c r="AY49" s="190" t="str">
        <f>IF(PORTEFEUILLE_FREDERIQUE[[#This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SUM(PORTEFEUILLE_FREDERIQUE[[#This Row],[PCR COMPTABLE €]:[MONTANT
RESPONSABLE RELATION CLIENT €]])-PORTEFEUILLE_FREDERIQUE[[#This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0" s="188" t="str">
        <f>IF(PORTEFEUILLE_FREDERIQUE[[#This Row],[BONI AAC]]&lt;&gt;0,1,"")</f>
        <v/>
      </c>
      <c r="AU50" s="188" t="str">
        <f>IF(PORTEFEUILLE_FREDERIQUE[[#This Row],[MALI AAC]]&lt;&gt;0,1,"")</f>
        <v/>
      </c>
      <c r="AV50" s="225">
        <f>IF(AP50&lt;&gt;"",IF((AP50*Paramètres!$H$4)-PORTEFEUILLE_FREDERIQUE[[#This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€]]-(DELPHINE!AP39*Paramètres!$H$4),0),0)</f>
        <v>0</v>
      </c>
      <c r="AW50" s="225">
        <f>IF(AP50&lt;&gt;"",IF(((AP50*Paramètres!$H$4)-PORTEFEUILLE_FREDERIQUE[[#This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0" s="190" t="str">
        <f>IF(PORTEFEUILLE_FREDERIQUE[[#This Row],[BONI COMPTABLE]]&lt;&gt;0,1,"")</f>
        <v/>
      </c>
      <c r="AY50" s="190" t="str">
        <f>IF(PORTEFEUILLE_FREDERIQUE[[#This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SUM(PORTEFEUILLE_FREDERIQUE[[#This Row],[PCR COMPTABLE €]:[MONTANT
RESPONSABLE RELATION CLIENT €]])-PORTEFEUILLE_FREDERIQUE[[#This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1" s="188" t="str">
        <f>IF(PORTEFEUILLE_FREDERIQUE[[#This Row],[BONI AAC]]&lt;&gt;0,1,"")</f>
        <v/>
      </c>
      <c r="AU51" s="188" t="str">
        <f>IF(PORTEFEUILLE_FREDERIQUE[[#This Row],[MALI AAC]]&lt;&gt;0,1,"")</f>
        <v/>
      </c>
      <c r="AV51" s="225">
        <f>IF(AP51&lt;&gt;"",IF((AP51*Paramètres!$H$4)-PORTEFEUILLE_FREDERIQUE[[#This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€]]-(DELPHINE!AP40*Paramètres!$H$4),0),0)</f>
        <v>0</v>
      </c>
      <c r="AW51" s="225">
        <f>IF(AP51&lt;&gt;"",IF(((AP51*Paramètres!$H$4)-PORTEFEUILLE_FREDERIQUE[[#This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1" s="190" t="str">
        <f>IF(PORTEFEUILLE_FREDERIQUE[[#This Row],[BONI COMPTABLE]]&lt;&gt;0,1,"")</f>
        <v/>
      </c>
      <c r="AY51" s="190" t="str">
        <f>IF(PORTEFEUILLE_FREDERIQUE[[#This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SUM(PORTEFEUILLE_FREDERIQUE[[#This Row],[PCR COMPTABLE €]:[MONTANT
RESPONSABLE RELATION CLIENT €]])-PORTEFEUILLE_FREDERIQUE[[#This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2" s="188" t="str">
        <f>IF(PORTEFEUILLE_FREDERIQUE[[#This Row],[BONI AAC]]&lt;&gt;0,1,"")</f>
        <v/>
      </c>
      <c r="AU52" s="188" t="str">
        <f>IF(PORTEFEUILLE_FREDERIQUE[[#This Row],[MALI AAC]]&lt;&gt;0,1,"")</f>
        <v/>
      </c>
      <c r="AV52" s="225">
        <f>IF(AP52&lt;&gt;"",IF((AP52*Paramètres!$H$4)-PORTEFEUILLE_FREDERIQUE[[#This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€]]-(DELPHINE!AP41*Paramètres!$H$4),0),0)</f>
        <v>0</v>
      </c>
      <c r="AW52" s="225">
        <f>IF(AP52&lt;&gt;"",IF(((AP52*Paramètres!$H$4)-PORTEFEUILLE_FREDERIQUE[[#This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2" s="190" t="str">
        <f>IF(PORTEFEUILLE_FREDERIQUE[[#This Row],[BONI COMPTABLE]]&lt;&gt;0,1,"")</f>
        <v/>
      </c>
      <c r="AY52" s="190" t="str">
        <f>IF(PORTEFEUILLE_FREDERIQUE[[#This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SUM(PORTEFEUILLE_FREDERIQUE[[#This Row],[PCR COMPTABLE €]:[MONTANT
RESPONSABLE RELATION CLIENT €]])-PORTEFEUILLE_FREDERIQUE[[#This Row],[MONTANT TOTAL LETTRE DE MISION €]]</f>
        <v>0</v>
      </c>
      <c r="AI53" s="191"/>
      <c r="AJ53" s="188"/>
      <c r="AK53" s="201"/>
      <c r="AL53" s="201"/>
      <c r="AM53" s="246"/>
      <c r="AN53" s="202"/>
      <c r="AO53" s="202"/>
      <c r="AP53" s="202"/>
      <c r="AQ53" s="202"/>
      <c r="AR5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3" s="188" t="str">
        <f>IF(PORTEFEUILLE_FREDERIQUE[[#This Row],[BONI AAC]]&lt;&gt;0,1,"")</f>
        <v/>
      </c>
      <c r="AU53" s="188" t="str">
        <f>IF(PORTEFEUILLE_FREDERIQUE[[#This Row],[MALI AAC]]&lt;&gt;0,1,"")</f>
        <v/>
      </c>
      <c r="AV53" s="225">
        <f>IF(AP53&lt;&gt;"",IF((AP53*Paramètres!$H$4)-PORTEFEUILLE_FREDERIQUE[[#This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€]]-(DELPHINE!AP42*Paramètres!$H$4),0),0)</f>
        <v>0</v>
      </c>
      <c r="AW53" s="225">
        <f>IF(AP53&lt;&gt;"",IF(((AP53*Paramètres!$H$4)-PORTEFEUILLE_FREDERIQUE[[#This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3" s="190" t="str">
        <f>IF(PORTEFEUILLE_FREDERIQUE[[#This Row],[BONI COMPTABLE]]&lt;&gt;0,1,"")</f>
        <v/>
      </c>
      <c r="AY53" s="190" t="str">
        <f>IF(PORTEFEUILLE_FREDERIQUE[[#This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SUM(PORTEFEUILLE_FREDERIQUE[[#This Row],[PCR COMPTABLE €]:[MONTANT
RESPONSABLE RELATION CLIENT €]])-PORTEFEUILLE_FREDERIQUE[[#This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4" s="188" t="str">
        <f>IF(PORTEFEUILLE_FREDERIQUE[[#This Row],[BONI AAC]]&lt;&gt;0,1,"")</f>
        <v/>
      </c>
      <c r="AU54" s="188" t="str">
        <f>IF(PORTEFEUILLE_FREDERIQUE[[#This Row],[MALI AAC]]&lt;&gt;0,1,"")</f>
        <v/>
      </c>
      <c r="AV54" s="225">
        <f>IF(AP54&lt;&gt;"",IF((AP54*Paramètres!$H$4)-PORTEFEUILLE_FREDERIQUE[[#This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€]]-(DELPHINE!AP43*Paramètres!$H$4),0),0)</f>
        <v>0</v>
      </c>
      <c r="AW54" s="225">
        <f>IF(AP54&lt;&gt;"",IF(((AP54*Paramètres!$H$4)-PORTEFEUILLE_FREDERIQUE[[#This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4" s="190" t="str">
        <f>IF(PORTEFEUILLE_FREDERIQUE[[#This Row],[BONI COMPTABLE]]&lt;&gt;0,1,"")</f>
        <v/>
      </c>
      <c r="AY54" s="190" t="str">
        <f>IF(PORTEFEUILLE_FREDERIQUE[[#This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SUM(PORTEFEUILLE_FREDERIQUE[[#This Row],[PCR COMPTABLE €]:[MONTANT
RESPONSABLE RELATION CLIENT €]])-PORTEFEUILLE_FREDERIQUE[[#This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5" s="188" t="str">
        <f>IF(PORTEFEUILLE_FREDERIQUE[[#This Row],[BONI AAC]]&lt;&gt;0,1,"")</f>
        <v/>
      </c>
      <c r="AU55" s="188" t="str">
        <f>IF(PORTEFEUILLE_FREDERIQUE[[#This Row],[MALI AAC]]&lt;&gt;0,1,"")</f>
        <v/>
      </c>
      <c r="AV55" s="225">
        <f>IF(AP55&lt;&gt;"",IF((AP55*Paramètres!$H$4)-PORTEFEUILLE_FREDERIQUE[[#This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€]]-(DELPHINE!AP44*Paramètres!$H$4),0),0)</f>
        <v>0</v>
      </c>
      <c r="AW55" s="225">
        <f>IF(AP55&lt;&gt;"",IF(((AP55*Paramètres!$H$4)-PORTEFEUILLE_FREDERIQUE[[#This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5" s="190" t="str">
        <f>IF(PORTEFEUILLE_FREDERIQUE[[#This Row],[BONI COMPTABLE]]&lt;&gt;0,1,"")</f>
        <v/>
      </c>
      <c r="AY55" s="190" t="str">
        <f>IF(PORTEFEUILLE_FREDERIQUE[[#This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SUM(PORTEFEUILLE_FREDERIQUE[[#This Row],[PCR COMPTABLE €]:[MONTANT
RESPONSABLE RELATION CLIENT €]])-PORTEFEUILLE_FREDERIQUE[[#This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6" s="188" t="str">
        <f>IF(PORTEFEUILLE_FREDERIQUE[[#This Row],[BONI AAC]]&lt;&gt;0,1,"")</f>
        <v/>
      </c>
      <c r="AU56" s="188" t="str">
        <f>IF(PORTEFEUILLE_FREDERIQUE[[#This Row],[MALI AAC]]&lt;&gt;0,1,"")</f>
        <v/>
      </c>
      <c r="AV56" s="225">
        <f>IF(AP56&lt;&gt;"",IF((AP56*Paramètres!$H$4)-PORTEFEUILLE_FREDERIQUE[[#This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€]]-(DELPHINE!AP45*Paramètres!$H$4),0),0)</f>
        <v>0</v>
      </c>
      <c r="AW56" s="225">
        <f>IF(AP56&lt;&gt;"",IF(((AP56*Paramètres!$H$4)-PORTEFEUILLE_FREDERIQUE[[#This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6" s="190" t="str">
        <f>IF(PORTEFEUILLE_FREDERIQUE[[#This Row],[BONI COMPTABLE]]&lt;&gt;0,1,"")</f>
        <v/>
      </c>
      <c r="AY56" s="190" t="str">
        <f>IF(PORTEFEUILLE_FREDERIQUE[[#This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SUM(PORTEFEUILLE_FREDERIQUE[[#This Row],[PCR COMPTABLE €]:[MONTANT
RESPONSABLE RELATION CLIENT €]])-PORTEFEUILLE_FREDERIQUE[[#This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7" s="188" t="str">
        <f>IF(PORTEFEUILLE_FREDERIQUE[[#This Row],[BONI AAC]]&lt;&gt;0,1,"")</f>
        <v/>
      </c>
      <c r="AU57" s="188" t="str">
        <f>IF(PORTEFEUILLE_FREDERIQUE[[#This Row],[MALI AAC]]&lt;&gt;0,1,"")</f>
        <v/>
      </c>
      <c r="AV57" s="225">
        <f>IF(AP57&lt;&gt;"",IF((AP57*Paramètres!$H$4)-PORTEFEUILLE_FREDERIQUE[[#This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€]]-(DELPHINE!AP46*Paramètres!$H$4),0),0)</f>
        <v>0</v>
      </c>
      <c r="AW57" s="225">
        <f>IF(AP57&lt;&gt;"",IF(((AP57*Paramètres!$H$4)-PORTEFEUILLE_FREDERIQUE[[#This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7" s="190" t="str">
        <f>IF(PORTEFEUILLE_FREDERIQUE[[#This Row],[BONI COMPTABLE]]&lt;&gt;0,1,"")</f>
        <v/>
      </c>
      <c r="AY57" s="190" t="str">
        <f>IF(PORTEFEUILLE_FREDERIQUE[[#This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SUM(PORTEFEUILLE_FREDERIQUE[[#This Row],[PCR COMPTABLE €]:[MONTANT
RESPONSABLE RELATION CLIENT €]])-PORTEFEUILLE_FREDERIQUE[[#This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8" s="188" t="str">
        <f>IF(PORTEFEUILLE_FREDERIQUE[[#This Row],[BONI AAC]]&lt;&gt;0,1,"")</f>
        <v/>
      </c>
      <c r="AU58" s="188" t="str">
        <f>IF(PORTEFEUILLE_FREDERIQUE[[#This Row],[MALI AAC]]&lt;&gt;0,1,"")</f>
        <v/>
      </c>
      <c r="AV58" s="225">
        <f>IF(AP58&lt;&gt;"",IF((AP58*Paramètres!$H$4)-PORTEFEUILLE_FREDERIQUE[[#This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€]]-(DELPHINE!AP47*Paramètres!$H$4),0),0)</f>
        <v>0</v>
      </c>
      <c r="AW58" s="225">
        <f>IF(AP58&lt;&gt;"",IF(((AP58*Paramètres!$H$4)-PORTEFEUILLE_FREDERIQUE[[#This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8" s="190" t="str">
        <f>IF(PORTEFEUILLE_FREDERIQUE[[#This Row],[BONI COMPTABLE]]&lt;&gt;0,1,"")</f>
        <v/>
      </c>
      <c r="AY58" s="190" t="str">
        <f>IF(PORTEFEUILLE_FREDERIQUE[[#This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SUM(PORTEFEUILLE_FREDERIQUE[[#This Row],[PCR COMPTABLE €]:[MONTANT
RESPONSABLE RELATION CLIENT €]])-PORTEFEUILLE_FREDERIQUE[[#This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9" s="188" t="str">
        <f>IF(PORTEFEUILLE_FREDERIQUE[[#This Row],[BONI AAC]]&lt;&gt;0,1,"")</f>
        <v/>
      </c>
      <c r="AU59" s="188" t="str">
        <f>IF(PORTEFEUILLE_FREDERIQUE[[#This Row],[MALI AAC]]&lt;&gt;0,1,"")</f>
        <v/>
      </c>
      <c r="AV59" s="225">
        <f>IF(AP59&lt;&gt;"",IF((AP59*Paramètres!$H$4)-PORTEFEUILLE_FREDERIQUE[[#This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€]]-(DELPHINE!AP48*Paramètres!$H$4),0),0)</f>
        <v>0</v>
      </c>
      <c r="AW59" s="225">
        <f>IF(AP59&lt;&gt;"",IF(((AP59*Paramètres!$H$4)-PORTEFEUILLE_FREDERIQUE[[#This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9" s="190" t="str">
        <f>IF(PORTEFEUILLE_FREDERIQUE[[#This Row],[BONI COMPTABLE]]&lt;&gt;0,1,"")</f>
        <v/>
      </c>
      <c r="AY59" s="190" t="str">
        <f>IF(PORTEFEUILLE_FREDERIQUE[[#This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SUM(PORTEFEUILLE_FREDERIQUE[[#This Row],[PCR COMPTABLE €]:[MONTANT
RESPONSABLE RELATION CLIENT €]])-PORTEFEUILLE_FREDERIQUE[[#This Row],[MONTANT TOTAL LETTRE DE MISION €]]</f>
        <v>0</v>
      </c>
      <c r="AI60" s="191"/>
      <c r="AJ60" s="188"/>
      <c r="AK60" s="201"/>
      <c r="AL60" s="201"/>
      <c r="AM60" s="246"/>
      <c r="AN60" s="205"/>
      <c r="AO60" s="205"/>
      <c r="AP60" s="205"/>
      <c r="AQ60" s="205"/>
      <c r="AR6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6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60" s="188" t="str">
        <f>IF(PORTEFEUILLE_FREDERIQUE[[#This Row],[BONI AAC]]&lt;&gt;0,1,"")</f>
        <v/>
      </c>
      <c r="AU60" s="188" t="str">
        <f>IF(PORTEFEUILLE_FREDERIQUE[[#This Row],[MALI AAC]]&lt;&gt;0,1,"")</f>
        <v/>
      </c>
      <c r="AV60" s="225">
        <f>IF(AP60&lt;&gt;"",IF((AP60*Paramètres!$H$4)-PORTEFEUILLE_FREDERIQUE[[#This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€]]-(DELPHINE!AP49*Paramètres!$H$4),0),0)</f>
        <v>0</v>
      </c>
      <c r="AW60" s="225">
        <f>IF(AP60&lt;&gt;"",IF(((AP60*Paramètres!$H$4)-PORTEFEUILLE_FREDERIQUE[[#This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€]])&gt;0,(AP60*Paramètres!$H$4)-PORTEFEUILLE_FREDERIQUE[[#This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60" s="190" t="str">
        <f>IF(PORTEFEUILLE_FREDERIQUE[[#This Row],[BONI COMPTABLE]]&lt;&gt;0,1,"")</f>
        <v/>
      </c>
      <c r="AY60" s="190" t="str">
        <f>IF(PORTEFEUILLE_FREDERIQUE[[#This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80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81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81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82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83" t="s">
        <v>123</v>
      </c>
      <c r="C69" s="283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4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81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81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82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83" t="s">
        <v>123</v>
      </c>
      <c r="C75" s="283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4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81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81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82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83" t="s">
        <v>123</v>
      </c>
      <c r="C81" s="283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5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6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6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6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6" t="s">
        <v>123</v>
      </c>
      <c r="C88" s="286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7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6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6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6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6" t="s">
        <v>123</v>
      </c>
      <c r="C94" s="286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6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6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6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6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6" t="s">
        <v>123</v>
      </c>
      <c r="C100" s="286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80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81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81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82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83" t="s">
        <v>123</v>
      </c>
      <c r="C108" s="283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4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81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81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82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83" t="s">
        <v>123</v>
      </c>
      <c r="C114" s="283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4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81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81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82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83" t="s">
        <v>123</v>
      </c>
      <c r="C120" s="283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65" priority="6">
      <formula>AND(P3&lt;&gt;"",P3&lt;&gt;"OUI")</formula>
    </cfRule>
  </conditionalFormatting>
  <conditionalFormatting sqref="AN3:AO60 S3:AH60">
    <cfRule type="expression" dxfId="64" priority="5" stopIfTrue="1">
      <formula>$AH3&lt;&gt;0</formula>
    </cfRule>
  </conditionalFormatting>
  <conditionalFormatting sqref="A6:E60 C3:E5 A3:A5">
    <cfRule type="expression" dxfId="63" priority="7" stopIfTrue="1">
      <formula>AND($I3&lt;&gt;"",AND($J3="",AND($BA3="",$BB3="")))</formula>
    </cfRule>
    <cfRule type="expression" dxfId="62" priority="8" stopIfTrue="1">
      <formula>AND($J3&lt;&gt;"",AND($BA3="",$BB3=""))</formula>
    </cfRule>
    <cfRule type="expression" dxfId="61" priority="9" stopIfTrue="1">
      <formula>AND($BA3&lt;&gt;"",$BB3="")</formula>
    </cfRule>
    <cfRule type="expression" dxfId="60" priority="10" stopIfTrue="1">
      <formula>$BB3="X"</formula>
    </cfRule>
  </conditionalFormatting>
  <conditionalFormatting sqref="B3:B5">
    <cfRule type="expression" dxfId="59" priority="1" stopIfTrue="1">
      <formula>AND($I3&lt;&gt;"",AND($J3="",AND($BA3="",$BB3="")))</formula>
    </cfRule>
    <cfRule type="expression" dxfId="58" priority="2" stopIfTrue="1">
      <formula>AND($J3&lt;&gt;"",AND($BA3="",$BB3=""))</formula>
    </cfRule>
    <cfRule type="expression" dxfId="57" priority="3" stopIfTrue="1">
      <formula>AND($BA3&lt;&gt;"",$BB3="")</formula>
    </cfRule>
    <cfRule type="expression" dxfId="56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N183"/>
  <sheetViews>
    <sheetView zoomScale="85" zoomScaleNormal="85" workbookViewId="0">
      <pane xSplit="5" ySplit="2" topLeftCell="F3" activePane="bottomRight" state="frozen"/>
      <selection activeCell="F22" sqref="F22"/>
      <selection pane="topRight" activeCell="F22" sqref="F22"/>
      <selection pane="bottomLeft" activeCell="F22" sqref="F22"/>
      <selection pane="bottomRight" activeCell="A3" sqref="A3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228</v>
      </c>
      <c r="AM2" s="237" t="s">
        <v>229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225</v>
      </c>
      <c r="B3" s="170">
        <v>860075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SUM(PORTEFEUILLE_AURELIE_T[[#This Row],[PCR COMPTABLE €]:[MONTANT
RESPONSABLE RELATION CLIENT €]])-PORTEFEUILLE_AURELIE_T[[#This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400</v>
      </c>
      <c r="AT3" s="188" t="str">
        <f>IF(PORTEFEUILLE_AURELIE_T[[#This Row],[BONI AAC]]&lt;&gt;0,1,"")</f>
        <v/>
      </c>
      <c r="AU3" s="188">
        <f>IF(PORTEFEUILLE_AURELIE_T[[#This Row],[MALI AAC]]&lt;&gt;0,1,"")</f>
        <v>1</v>
      </c>
      <c r="AV3" s="225">
        <f>IF(AP3&lt;&gt;"",IF((AP3*Paramètres!$H$4)-PORTEFEUILLE_AURELIE_T[[#This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3" s="225">
        <f>IF(AP3&lt;&gt;"",IF(((AP3*Paramètres!$H$4)-PORTEFEUILLE_AURELIE_T[[#This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" s="190" t="str">
        <f>IF(PORTEFEUILLE_AURELIE_T[[#This Row],[BONI COMPTABLE]]&lt;&gt;0,1,"")</f>
        <v/>
      </c>
      <c r="AY3" s="190" t="str">
        <f>IF(PORTEFEUILLE_AURELIE_T[[#This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225</v>
      </c>
      <c r="B4" s="170">
        <v>860076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SUM(PORTEFEUILLE_AURELIE_T[[#This Row],[PCR COMPTABLE €]:[MONTANT
RESPONSABLE RELATION CLIENT €]])-PORTEFEUILLE_AURELIE_T[[#This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1000</v>
      </c>
      <c r="AT4" s="188" t="str">
        <f>IF(PORTEFEUILLE_AURELIE_T[[#This Row],[BONI AAC]]&lt;&gt;0,1,"")</f>
        <v/>
      </c>
      <c r="AU4" s="188">
        <f>IF(PORTEFEUILLE_AURELIE_T[[#This Row],[MALI AAC]]&lt;&gt;0,1,"")</f>
        <v>1</v>
      </c>
      <c r="AV4" s="225">
        <f>IF(AP4&lt;&gt;"",IF((AP4*Paramètres!$H$4)-PORTEFEUILLE_AURELIE_T[[#This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4" s="225">
        <f>IF(AP4&lt;&gt;"",IF(((AP4*Paramètres!$H$4)-PORTEFEUILLE_AURELIE_T[[#This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3000</v>
      </c>
      <c r="AX4" s="190" t="str">
        <f>IF(PORTEFEUILLE_AURELIE_T[[#This Row],[BONI COMPTABLE]]&lt;&gt;0,1,"")</f>
        <v/>
      </c>
      <c r="AY4" s="190">
        <f>IF(PORTEFEUILLE_AURELIE_T[[#This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225</v>
      </c>
      <c r="B5" s="170">
        <v>860077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SUM(PORTEFEUILLE_AURELIE_T[[#This Row],[PCR COMPTABLE €]:[MONTANT
RESPONSABLE RELATION CLIENT €]])-PORTEFEUILLE_AURELIE_T[[#This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2200</v>
      </c>
      <c r="AT5" s="188" t="str">
        <f>IF(PORTEFEUILLE_AURELIE_T[[#This Row],[BONI AAC]]&lt;&gt;0,1,"")</f>
        <v/>
      </c>
      <c r="AU5" s="188">
        <f>IF(PORTEFEUILLE_AURELIE_T[[#This Row],[MALI AAC]]&lt;&gt;0,1,"")</f>
        <v>1</v>
      </c>
      <c r="AV5" s="225">
        <f>IF(AP5&lt;&gt;"",IF((AP5*Paramètres!$H$4)-PORTEFEUILLE_AURELIE_T[[#This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5" s="225">
        <f>IF(AP5&lt;&gt;"",IF(((AP5*Paramètres!$H$4)-PORTEFEUILLE_AURELIE_T[[#This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4150</v>
      </c>
      <c r="AX5" s="190" t="str">
        <f>IF(PORTEFEUILLE_AURELIE_T[[#This Row],[BONI COMPTABLE]]&lt;&gt;0,1,"")</f>
        <v/>
      </c>
      <c r="AY5" s="190">
        <f>IF(PORTEFEUILLE_AURELIE_T[[#This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SUM(PORTEFEUILLE_AURELIE_T[[#This Row],[PCR COMPTABLE €]:[MONTANT
RESPONSABLE RELATION CLIENT €]])-PORTEFEUILLE_AURELIE_T[[#This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6" s="188" t="str">
        <f>IF(PORTEFEUILLE_AURELIE_T[[#This Row],[BONI AAC]]&lt;&gt;0,1,"")</f>
        <v/>
      </c>
      <c r="AU6" s="188" t="str">
        <f>IF(PORTEFEUILLE_AURELIE_T[[#This Row],[MALI AAC]]&lt;&gt;0,1,"")</f>
        <v/>
      </c>
      <c r="AV6" s="225">
        <f>IF(AP6&lt;&gt;"",IF((AP6*Paramètres!$H$4)-PORTEFEUILLE_AURELIE_T[[#This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6" s="225">
        <f>IF(AP6&lt;&gt;"",IF(((AP6*Paramètres!$H$4)-PORTEFEUILLE_AURELIE_T[[#This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6" s="190" t="str">
        <f>IF(PORTEFEUILLE_AURELIE_T[[#This Row],[BONI COMPTABLE]]&lt;&gt;0,1,"")</f>
        <v/>
      </c>
      <c r="AY6" s="190" t="str">
        <f>IF(PORTEFEUILLE_AURELIE_T[[#This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SUM(PORTEFEUILLE_AURELIE_T[[#This Row],[PCR COMPTABLE €]:[MONTANT
RESPONSABLE RELATION CLIENT €]])-PORTEFEUILLE_AURELIE_T[[#This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7" s="188" t="str">
        <f>IF(PORTEFEUILLE_AURELIE_T[[#This Row],[BONI AAC]]&lt;&gt;0,1,"")</f>
        <v/>
      </c>
      <c r="AU7" s="188" t="str">
        <f>IF(PORTEFEUILLE_AURELIE_T[[#This Row],[MALI AAC]]&lt;&gt;0,1,"")</f>
        <v/>
      </c>
      <c r="AV7" s="225">
        <f>IF(AP7&lt;&gt;"",IF((AP7*Paramètres!$H$4)-PORTEFEUILLE_AURELIE_T[[#This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7" s="225">
        <f>IF(AP7&lt;&gt;"",IF(((AP7*Paramètres!$H$4)-PORTEFEUILLE_AURELIE_T[[#This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7" s="190" t="str">
        <f>IF(PORTEFEUILLE_AURELIE_T[[#This Row],[BONI COMPTABLE]]&lt;&gt;0,1,"")</f>
        <v/>
      </c>
      <c r="AY7" s="190" t="str">
        <f>IF(PORTEFEUILLE_AURELIE_T[[#This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SUM(PORTEFEUILLE_AURELIE_T[[#This Row],[PCR COMPTABLE €]:[MONTANT
RESPONSABLE RELATION CLIENT €]])-PORTEFEUILLE_AURELIE_T[[#This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8" s="188" t="str">
        <f>IF(PORTEFEUILLE_AURELIE_T[[#This Row],[BONI AAC]]&lt;&gt;0,1,"")</f>
        <v/>
      </c>
      <c r="AU8" s="188" t="str">
        <f>IF(PORTEFEUILLE_AURELIE_T[[#This Row],[MALI AAC]]&lt;&gt;0,1,"")</f>
        <v/>
      </c>
      <c r="AV8" s="225">
        <f>IF(AP8&lt;&gt;"",IF((AP8*Paramètres!$H$4)-PORTEFEUILLE_AURELIE_T[[#This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8" s="225">
        <f>IF(AP8&lt;&gt;"",IF(((AP8*Paramètres!$H$4)-PORTEFEUILLE_AURELIE_T[[#This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8" s="190" t="str">
        <f>IF(PORTEFEUILLE_AURELIE_T[[#This Row],[BONI COMPTABLE]]&lt;&gt;0,1,"")</f>
        <v/>
      </c>
      <c r="AY8" s="190" t="str">
        <f>IF(PORTEFEUILLE_AURELIE_T[[#This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SUM(PORTEFEUILLE_AURELIE_T[[#This Row],[PCR COMPTABLE €]:[MONTANT
RESPONSABLE RELATION CLIENT €]])-PORTEFEUILLE_AURELIE_T[[#This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9" s="188" t="str">
        <f>IF(PORTEFEUILLE_AURELIE_T[[#This Row],[BONI AAC]]&lt;&gt;0,1,"")</f>
        <v/>
      </c>
      <c r="AU9" s="188" t="str">
        <f>IF(PORTEFEUILLE_AURELIE_T[[#This Row],[MALI AAC]]&lt;&gt;0,1,"")</f>
        <v/>
      </c>
      <c r="AV9" s="225">
        <f>IF(AP9&lt;&gt;"",IF((AP9*Paramètres!$H$4)-PORTEFEUILLE_AURELIE_T[[#This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9" s="225">
        <f>IF(AP9&lt;&gt;"",IF(((AP9*Paramètres!$H$4)-PORTEFEUILLE_AURELIE_T[[#This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9" s="190" t="str">
        <f>IF(PORTEFEUILLE_AURELIE_T[[#This Row],[BONI COMPTABLE]]&lt;&gt;0,1,"")</f>
        <v/>
      </c>
      <c r="AY9" s="190" t="str">
        <f>IF(PORTEFEUILLE_AURELIE_T[[#This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SUM(PORTEFEUILLE_AURELIE_T[[#This Row],[PCR COMPTABLE €]:[MONTANT
RESPONSABLE RELATION CLIENT €]])-PORTEFEUILLE_AURELIE_T[[#This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0" s="188" t="str">
        <f>IF(PORTEFEUILLE_AURELIE_T[[#This Row],[BONI AAC]]&lt;&gt;0,1,"")</f>
        <v/>
      </c>
      <c r="AU10" s="188" t="str">
        <f>IF(PORTEFEUILLE_AURELIE_T[[#This Row],[MALI AAC]]&lt;&gt;0,1,"")</f>
        <v/>
      </c>
      <c r="AV10" s="225">
        <f>IF(AP10&lt;&gt;"",IF((AP10*Paramètres!$H$4)-PORTEFEUILLE_AURELIE_T[[#This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10" s="225">
        <f>IF(AP10&lt;&gt;"",IF(((AP10*Paramètres!$H$4)-PORTEFEUILLE_AURELIE_T[[#This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0" s="190" t="str">
        <f>IF(PORTEFEUILLE_AURELIE_T[[#This Row],[BONI COMPTABLE]]&lt;&gt;0,1,"")</f>
        <v/>
      </c>
      <c r="AY10" s="190" t="str">
        <f>IF(PORTEFEUILLE_AURELIE_T[[#This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SUM(PORTEFEUILLE_AURELIE_T[[#This Row],[PCR COMPTABLE €]:[MONTANT
RESPONSABLE RELATION CLIENT €]])-PORTEFEUILLE_AURELIE_T[[#This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1" s="188" t="str">
        <f>IF(PORTEFEUILLE_AURELIE_T[[#This Row],[BONI AAC]]&lt;&gt;0,1,"")</f>
        <v/>
      </c>
      <c r="AU11" s="188" t="str">
        <f>IF(PORTEFEUILLE_AURELIE_T[[#This Row],[MALI AAC]]&lt;&gt;0,1,"")</f>
        <v/>
      </c>
      <c r="AV11" s="225">
        <f>IF(AP11&lt;&gt;"",IF((AP11*Paramètres!$H$4)-PORTEFEUILLE_AURELIE_T[[#This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11" s="225">
        <f>IF(AP11&lt;&gt;"",IF(((AP11*Paramètres!$H$4)-PORTEFEUILLE_AURELIE_T[[#This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1" s="190" t="str">
        <f>IF(PORTEFEUILLE_AURELIE_T[[#This Row],[BONI COMPTABLE]]&lt;&gt;0,1,"")</f>
        <v/>
      </c>
      <c r="AY11" s="190" t="str">
        <f>IF(PORTEFEUILLE_AURELIE_T[[#This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SUM(PORTEFEUILLE_AURELIE_T[[#This Row],[PCR COMPTABLE €]:[MONTANT
RESPONSABLE RELATION CLIENT €]])-PORTEFEUILLE_AURELIE_T[[#This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2" s="188" t="str">
        <f>IF(PORTEFEUILLE_AURELIE_T[[#This Row],[BONI AAC]]&lt;&gt;0,1,"")</f>
        <v/>
      </c>
      <c r="AU12" s="188" t="str">
        <f>IF(PORTEFEUILLE_AURELIE_T[[#This Row],[MALI AAC]]&lt;&gt;0,1,"")</f>
        <v/>
      </c>
      <c r="AV12" s="225">
        <f>IF(AP12&lt;&gt;"",IF((AP12*Paramètres!$H$4)-PORTEFEUILLE_AURELIE_T[[#This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12" s="225">
        <f>IF(AP12&lt;&gt;"",IF(((AP12*Paramètres!$H$4)-PORTEFEUILLE_AURELIE_T[[#This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2" s="190" t="str">
        <f>IF(PORTEFEUILLE_AURELIE_T[[#This Row],[BONI COMPTABLE]]&lt;&gt;0,1,"")</f>
        <v/>
      </c>
      <c r="AY12" s="190" t="str">
        <f>IF(PORTEFEUILLE_AURELIE_T[[#This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SUM(PORTEFEUILLE_AURELIE_T[[#This Row],[PCR COMPTABLE €]:[MONTANT
RESPONSABLE RELATION CLIENT €]])-PORTEFEUILLE_AURELIE_T[[#This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3" s="188" t="str">
        <f>IF(PORTEFEUILLE_AURELIE_T[[#This Row],[BONI AAC]]&lt;&gt;0,1,"")</f>
        <v/>
      </c>
      <c r="AU13" s="188" t="str">
        <f>IF(PORTEFEUILLE_AURELIE_T[[#This Row],[MALI AAC]]&lt;&gt;0,1,"")</f>
        <v/>
      </c>
      <c r="AV13" s="225">
        <f>IF(AP13&lt;&gt;"",IF((AP13*Paramètres!$H$4)-PORTEFEUILLE_AURELIE_T[[#This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€]]-(DELPHINE!AP3*Paramètres!$H$4),0),0)</f>
        <v>0</v>
      </c>
      <c r="AW13" s="225">
        <f>IF(AP13&lt;&gt;"",IF(((AP13*Paramètres!$H$4)-PORTEFEUILLE_AURELIE_T[[#This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3" s="190" t="str">
        <f>IF(PORTEFEUILLE_AURELIE_T[[#This Row],[BONI COMPTABLE]]&lt;&gt;0,1,"")</f>
        <v/>
      </c>
      <c r="AY13" s="190" t="str">
        <f>IF(PORTEFEUILLE_AURELIE_T[[#This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SUM(PORTEFEUILLE_AURELIE_T[[#This Row],[PCR COMPTABLE €]:[MONTANT
RESPONSABLE RELATION CLIENT €]])-PORTEFEUILLE_AURELIE_T[[#This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4" s="188" t="str">
        <f>IF(PORTEFEUILLE_AURELIE_T[[#This Row],[BONI AAC]]&lt;&gt;0,1,"")</f>
        <v/>
      </c>
      <c r="AU14" s="188" t="str">
        <f>IF(PORTEFEUILLE_AURELIE_T[[#This Row],[MALI AAC]]&lt;&gt;0,1,"")</f>
        <v/>
      </c>
      <c r="AV14" s="225">
        <f>IF(AP14&lt;&gt;"",IF((AP14*Paramètres!$H$4)-PORTEFEUILLE_AURELIE_T[[#This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14" s="225">
        <f>IF(AP14&lt;&gt;"",IF(((AP14*Paramètres!$H$4)-PORTEFEUILLE_AURELIE_T[[#This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4" s="190" t="str">
        <f>IF(PORTEFEUILLE_AURELIE_T[[#This Row],[BONI COMPTABLE]]&lt;&gt;0,1,"")</f>
        <v/>
      </c>
      <c r="AY14" s="190" t="str">
        <f>IF(PORTEFEUILLE_AURELIE_T[[#This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SUM(PORTEFEUILLE_AURELIE_T[[#This Row],[PCR COMPTABLE €]:[MONTANT
RESPONSABLE RELATION CLIENT €]])-PORTEFEUILLE_AURELIE_T[[#This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5" s="188" t="str">
        <f>IF(PORTEFEUILLE_AURELIE_T[[#This Row],[BONI AAC]]&lt;&gt;0,1,"")</f>
        <v/>
      </c>
      <c r="AU15" s="188" t="str">
        <f>IF(PORTEFEUILLE_AURELIE_T[[#This Row],[MALI AAC]]&lt;&gt;0,1,"")</f>
        <v/>
      </c>
      <c r="AV15" s="225">
        <f>IF(AP15&lt;&gt;"",IF((AP15*Paramètres!$H$4)-PORTEFEUILLE_AURELIE_T[[#This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€]]-(DELPHINE!AP4*Paramètres!$H$4),0),0)</f>
        <v>0</v>
      </c>
      <c r="AW15" s="225">
        <f>IF(AP15&lt;&gt;"",IF(((AP15*Paramètres!$H$4)-PORTEFEUILLE_AURELIE_T[[#This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5" s="190" t="str">
        <f>IF(PORTEFEUILLE_AURELIE_T[[#This Row],[BONI COMPTABLE]]&lt;&gt;0,1,"")</f>
        <v/>
      </c>
      <c r="AY15" s="190" t="str">
        <f>IF(PORTEFEUILLE_AURELIE_T[[#This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SUM(PORTEFEUILLE_AURELIE_T[[#This Row],[PCR COMPTABLE €]:[MONTANT
RESPONSABLE RELATION CLIENT €]])-PORTEFEUILLE_AURELIE_T[[#This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6" s="188" t="str">
        <f>IF(PORTEFEUILLE_AURELIE_T[[#This Row],[BONI AAC]]&lt;&gt;0,1,"")</f>
        <v/>
      </c>
      <c r="AU16" s="188" t="str">
        <f>IF(PORTEFEUILLE_AURELIE_T[[#This Row],[MALI AAC]]&lt;&gt;0,1,"")</f>
        <v/>
      </c>
      <c r="AV16" s="225">
        <f>IF(AP16&lt;&gt;"",IF((AP16*Paramètres!$H$4)-PORTEFEUILLE_AURELIE_T[[#This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€]]-(DELPHINE!AP5*Paramètres!$H$4),0),0)</f>
        <v>0</v>
      </c>
      <c r="AW16" s="225">
        <f>IF(AP16&lt;&gt;"",IF(((AP16*Paramètres!$H$4)-PORTEFEUILLE_AURELIE_T[[#This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6" s="190" t="str">
        <f>IF(PORTEFEUILLE_AURELIE_T[[#This Row],[BONI COMPTABLE]]&lt;&gt;0,1,"")</f>
        <v/>
      </c>
      <c r="AY16" s="190" t="str">
        <f>IF(PORTEFEUILLE_AURELIE_T[[#This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SUM(PORTEFEUILLE_AURELIE_T[[#This Row],[PCR COMPTABLE €]:[MONTANT
RESPONSABLE RELATION CLIENT €]])-PORTEFEUILLE_AURELIE_T[[#This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7" s="188" t="str">
        <f>IF(PORTEFEUILLE_AURELIE_T[[#This Row],[BONI AAC]]&lt;&gt;0,1,"")</f>
        <v/>
      </c>
      <c r="AU17" s="188" t="str">
        <f>IF(PORTEFEUILLE_AURELIE_T[[#This Row],[MALI AAC]]&lt;&gt;0,1,"")</f>
        <v/>
      </c>
      <c r="AV17" s="225">
        <f>IF(AP17&lt;&gt;"",IF((AP17*Paramètres!$H$4)-PORTEFEUILLE_AURELIE_T[[#This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€]]-(DELPHINE!AP6*Paramètres!$H$4),0),0)</f>
        <v>0</v>
      </c>
      <c r="AW17" s="225">
        <f>IF(AP17&lt;&gt;"",IF(((AP17*Paramètres!$H$4)-PORTEFEUILLE_AURELIE_T[[#This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7" s="190" t="str">
        <f>IF(PORTEFEUILLE_AURELIE_T[[#This Row],[BONI COMPTABLE]]&lt;&gt;0,1,"")</f>
        <v/>
      </c>
      <c r="AY17" s="190" t="str">
        <f>IF(PORTEFEUILLE_AURELIE_T[[#This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SUM(PORTEFEUILLE_AURELIE_T[[#This Row],[PCR COMPTABLE €]:[MONTANT
RESPONSABLE RELATION CLIENT €]])-PORTEFEUILLE_AURELIE_T[[#This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8" s="188" t="str">
        <f>IF(PORTEFEUILLE_AURELIE_T[[#This Row],[BONI AAC]]&lt;&gt;0,1,"")</f>
        <v/>
      </c>
      <c r="AU18" s="188" t="str">
        <f>IF(PORTEFEUILLE_AURELIE_T[[#This Row],[MALI AAC]]&lt;&gt;0,1,"")</f>
        <v/>
      </c>
      <c r="AV18" s="225">
        <f>IF(AP18&lt;&gt;"",IF((AP18*Paramètres!$H$4)-PORTEFEUILLE_AURELIE_T[[#This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€]]-(DELPHINE!AP7*Paramètres!$H$4),0),0)</f>
        <v>0</v>
      </c>
      <c r="AW18" s="225">
        <f>IF(AP18&lt;&gt;"",IF(((AP18*Paramètres!$H$4)-PORTEFEUILLE_AURELIE_T[[#This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8" s="190" t="str">
        <f>IF(PORTEFEUILLE_AURELIE_T[[#This Row],[BONI COMPTABLE]]&lt;&gt;0,1,"")</f>
        <v/>
      </c>
      <c r="AY18" s="190" t="str">
        <f>IF(PORTEFEUILLE_AURELIE_T[[#This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SUM(PORTEFEUILLE_AURELIE_T[[#This Row],[PCR COMPTABLE €]:[MONTANT
RESPONSABLE RELATION CLIENT €]])-PORTEFEUILLE_AURELIE_T[[#This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9" s="188" t="str">
        <f>IF(PORTEFEUILLE_AURELIE_T[[#This Row],[BONI AAC]]&lt;&gt;0,1,"")</f>
        <v/>
      </c>
      <c r="AU19" s="188" t="str">
        <f>IF(PORTEFEUILLE_AURELIE_T[[#This Row],[MALI AAC]]&lt;&gt;0,1,"")</f>
        <v/>
      </c>
      <c r="AV19" s="225">
        <f>IF(AP19&lt;&gt;"",IF((AP19*Paramètres!$H$4)-PORTEFEUILLE_AURELIE_T[[#This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€]]-(DELPHINE!AP8*Paramètres!$H$4),0),0)</f>
        <v>0</v>
      </c>
      <c r="AW19" s="225">
        <f>IF(AP19&lt;&gt;"",IF(((AP19*Paramètres!$H$4)-PORTEFEUILLE_AURELIE_T[[#This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9" s="190" t="str">
        <f>IF(PORTEFEUILLE_AURELIE_T[[#This Row],[BONI COMPTABLE]]&lt;&gt;0,1,"")</f>
        <v/>
      </c>
      <c r="AY19" s="190" t="str">
        <f>IF(PORTEFEUILLE_AURELIE_T[[#This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SUM(PORTEFEUILLE_AURELIE_T[[#This Row],[PCR COMPTABLE €]:[MONTANT
RESPONSABLE RELATION CLIENT €]])-PORTEFEUILLE_AURELIE_T[[#This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0" s="188" t="str">
        <f>IF(PORTEFEUILLE_AURELIE_T[[#This Row],[BONI AAC]]&lt;&gt;0,1,"")</f>
        <v/>
      </c>
      <c r="AU20" s="188" t="str">
        <f>IF(PORTEFEUILLE_AURELIE_T[[#This Row],[MALI AAC]]&lt;&gt;0,1,"")</f>
        <v/>
      </c>
      <c r="AV20" s="225">
        <f>IF(AP20&lt;&gt;"",IF((AP20*Paramètres!$H$4)-PORTEFEUILLE_AURELIE_T[[#This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€]]-(DELPHINE!AP9*Paramètres!$H$4),0),0)</f>
        <v>0</v>
      </c>
      <c r="AW20" s="225">
        <f>IF(AP20&lt;&gt;"",IF(((AP20*Paramètres!$H$4)-PORTEFEUILLE_AURELIE_T[[#This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0" s="190" t="str">
        <f>IF(PORTEFEUILLE_AURELIE_T[[#This Row],[BONI COMPTABLE]]&lt;&gt;0,1,"")</f>
        <v/>
      </c>
      <c r="AY20" s="190" t="str">
        <f>IF(PORTEFEUILLE_AURELIE_T[[#This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SUM(PORTEFEUILLE_AURELIE_T[[#This Row],[PCR COMPTABLE €]:[MONTANT
RESPONSABLE RELATION CLIENT €]])-PORTEFEUILLE_AURELIE_T[[#This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1" s="188" t="str">
        <f>IF(PORTEFEUILLE_AURELIE_T[[#This Row],[BONI AAC]]&lt;&gt;0,1,"")</f>
        <v/>
      </c>
      <c r="AU21" s="188" t="str">
        <f>IF(PORTEFEUILLE_AURELIE_T[[#This Row],[MALI AAC]]&lt;&gt;0,1,"")</f>
        <v/>
      </c>
      <c r="AV21" s="225">
        <f>IF(AP21&lt;&gt;"",IF((AP21*Paramètres!$H$4)-PORTEFEUILLE_AURELIE_T[[#This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€]]-(DELPHINE!AP10*Paramètres!$H$4),0),0)</f>
        <v>0</v>
      </c>
      <c r="AW21" s="225">
        <f>IF(AP21&lt;&gt;"",IF(((AP21*Paramètres!$H$4)-PORTEFEUILLE_AURELIE_T[[#This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1" s="190" t="str">
        <f>IF(PORTEFEUILLE_AURELIE_T[[#This Row],[BONI COMPTABLE]]&lt;&gt;0,1,"")</f>
        <v/>
      </c>
      <c r="AY21" s="190" t="str">
        <f>IF(PORTEFEUILLE_AURELIE_T[[#This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SUM(PORTEFEUILLE_AURELIE_T[[#This Row],[PCR COMPTABLE €]:[MONTANT
RESPONSABLE RELATION CLIENT €]])-PORTEFEUILLE_AURELIE_T[[#This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2" s="188" t="str">
        <f>IF(PORTEFEUILLE_AURELIE_T[[#This Row],[BONI AAC]]&lt;&gt;0,1,"")</f>
        <v/>
      </c>
      <c r="AU22" s="188" t="str">
        <f>IF(PORTEFEUILLE_AURELIE_T[[#This Row],[MALI AAC]]&lt;&gt;0,1,"")</f>
        <v/>
      </c>
      <c r="AV22" s="225">
        <f>IF(AP22&lt;&gt;"",IF((AP22*Paramètres!$H$4)-PORTEFEUILLE_AURELIE_T[[#This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€]]-(DELPHINE!AP11*Paramètres!$H$4),0),0)</f>
        <v>0</v>
      </c>
      <c r="AW22" s="225">
        <f>IF(AP22&lt;&gt;"",IF(((AP22*Paramètres!$H$4)-PORTEFEUILLE_AURELIE_T[[#This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2" s="190" t="str">
        <f>IF(PORTEFEUILLE_AURELIE_T[[#This Row],[BONI COMPTABLE]]&lt;&gt;0,1,"")</f>
        <v/>
      </c>
      <c r="AY22" s="190" t="str">
        <f>IF(PORTEFEUILLE_AURELIE_T[[#This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SUM(PORTEFEUILLE_AURELIE_T[[#This Row],[PCR COMPTABLE €]:[MONTANT
RESPONSABLE RELATION CLIENT €]])-PORTEFEUILLE_AURELIE_T[[#This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3" s="188" t="str">
        <f>IF(PORTEFEUILLE_AURELIE_T[[#This Row],[BONI AAC]]&lt;&gt;0,1,"")</f>
        <v/>
      </c>
      <c r="AU23" s="188" t="str">
        <f>IF(PORTEFEUILLE_AURELIE_T[[#This Row],[MALI AAC]]&lt;&gt;0,1,"")</f>
        <v/>
      </c>
      <c r="AV23" s="225">
        <f>IF(AP23&lt;&gt;"",IF((AP23*Paramètres!$H$4)-PORTEFEUILLE_AURELIE_T[[#This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€]]-(DELPHINE!AP12*Paramètres!$H$4),0),0)</f>
        <v>0</v>
      </c>
      <c r="AW23" s="225">
        <f>IF(AP23&lt;&gt;"",IF(((AP23*Paramètres!$H$4)-PORTEFEUILLE_AURELIE_T[[#This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3" s="190" t="str">
        <f>IF(PORTEFEUILLE_AURELIE_T[[#This Row],[BONI COMPTABLE]]&lt;&gt;0,1,"")</f>
        <v/>
      </c>
      <c r="AY23" s="190" t="str">
        <f>IF(PORTEFEUILLE_AURELIE_T[[#This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SUM(PORTEFEUILLE_AURELIE_T[[#This Row],[PCR COMPTABLE €]:[MONTANT
RESPONSABLE RELATION CLIENT €]])-PORTEFEUILLE_AURELIE_T[[#This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4" s="188" t="str">
        <f>IF(PORTEFEUILLE_AURELIE_T[[#This Row],[BONI AAC]]&lt;&gt;0,1,"")</f>
        <v/>
      </c>
      <c r="AU24" s="188" t="str">
        <f>IF(PORTEFEUILLE_AURELIE_T[[#This Row],[MALI AAC]]&lt;&gt;0,1,"")</f>
        <v/>
      </c>
      <c r="AV24" s="225">
        <f>IF(AP24&lt;&gt;"",IF((AP24*Paramètres!$H$4)-PORTEFEUILLE_AURELIE_T[[#This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€]]-(DELPHINE!AP13*Paramètres!$H$4),0),0)</f>
        <v>0</v>
      </c>
      <c r="AW24" s="225">
        <f>IF(AP24&lt;&gt;"",IF(((AP24*Paramètres!$H$4)-PORTEFEUILLE_AURELIE_T[[#This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4" s="190" t="str">
        <f>IF(PORTEFEUILLE_AURELIE_T[[#This Row],[BONI COMPTABLE]]&lt;&gt;0,1,"")</f>
        <v/>
      </c>
      <c r="AY24" s="190" t="str">
        <f>IF(PORTEFEUILLE_AURELIE_T[[#This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SUM(PORTEFEUILLE_AURELIE_T[[#This Row],[PCR COMPTABLE €]:[MONTANT
RESPONSABLE RELATION CLIENT €]])-PORTEFEUILLE_AURELIE_T[[#This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5" s="188" t="str">
        <f>IF(PORTEFEUILLE_AURELIE_T[[#This Row],[BONI AAC]]&lt;&gt;0,1,"")</f>
        <v/>
      </c>
      <c r="AU25" s="188" t="str">
        <f>IF(PORTEFEUILLE_AURELIE_T[[#This Row],[MALI AAC]]&lt;&gt;0,1,"")</f>
        <v/>
      </c>
      <c r="AV25" s="225">
        <f>IF(AP25&lt;&gt;"",IF((AP25*Paramètres!$H$4)-PORTEFEUILLE_AURELIE_T[[#This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€]]-(DELPHINE!AP14*Paramètres!$H$4),0),0)</f>
        <v>0</v>
      </c>
      <c r="AW25" s="225">
        <f>IF(AP25&lt;&gt;"",IF(((AP25*Paramètres!$H$4)-PORTEFEUILLE_AURELIE_T[[#This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5" s="190" t="str">
        <f>IF(PORTEFEUILLE_AURELIE_T[[#This Row],[BONI COMPTABLE]]&lt;&gt;0,1,"")</f>
        <v/>
      </c>
      <c r="AY25" s="190" t="str">
        <f>IF(PORTEFEUILLE_AURELIE_T[[#This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SUM(PORTEFEUILLE_AURELIE_T[[#This Row],[PCR COMPTABLE €]:[MONTANT
RESPONSABLE RELATION CLIENT €]])-PORTEFEUILLE_AURELIE_T[[#This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6" s="188" t="str">
        <f>IF(PORTEFEUILLE_AURELIE_T[[#This Row],[BONI AAC]]&lt;&gt;0,1,"")</f>
        <v/>
      </c>
      <c r="AU26" s="188" t="str">
        <f>IF(PORTEFEUILLE_AURELIE_T[[#This Row],[MALI AAC]]&lt;&gt;0,1,"")</f>
        <v/>
      </c>
      <c r="AV26" s="225">
        <f>IF(AP26&lt;&gt;"",IF((AP26*Paramètres!$H$4)-PORTEFEUILLE_AURELIE_T[[#This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€]]-(DELPHINE!AP15*Paramètres!$H$4),0),0)</f>
        <v>0</v>
      </c>
      <c r="AW26" s="225">
        <f>IF(AP26&lt;&gt;"",IF(((AP26*Paramètres!$H$4)-PORTEFEUILLE_AURELIE_T[[#This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6" s="190" t="str">
        <f>IF(PORTEFEUILLE_AURELIE_T[[#This Row],[BONI COMPTABLE]]&lt;&gt;0,1,"")</f>
        <v/>
      </c>
      <c r="AY26" s="190" t="str">
        <f>IF(PORTEFEUILLE_AURELIE_T[[#This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SUM(PORTEFEUILLE_AURELIE_T[[#This Row],[PCR COMPTABLE €]:[MONTANT
RESPONSABLE RELATION CLIENT €]])-PORTEFEUILLE_AURELIE_T[[#This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7" s="188" t="str">
        <f>IF(PORTEFEUILLE_AURELIE_T[[#This Row],[BONI AAC]]&lt;&gt;0,1,"")</f>
        <v/>
      </c>
      <c r="AU27" s="188" t="str">
        <f>IF(PORTEFEUILLE_AURELIE_T[[#This Row],[MALI AAC]]&lt;&gt;0,1,"")</f>
        <v/>
      </c>
      <c r="AV27" s="225">
        <f>IF(AP27&lt;&gt;"",IF((AP27*Paramètres!$H$4)-PORTEFEUILLE_AURELIE_T[[#This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€]]-(DELPHINE!AP16*Paramètres!$H$4),0),0)</f>
        <v>0</v>
      </c>
      <c r="AW27" s="225">
        <f>IF(AP27&lt;&gt;"",IF(((AP27*Paramètres!$H$4)-PORTEFEUILLE_AURELIE_T[[#This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7" s="190" t="str">
        <f>IF(PORTEFEUILLE_AURELIE_T[[#This Row],[BONI COMPTABLE]]&lt;&gt;0,1,"")</f>
        <v/>
      </c>
      <c r="AY27" s="190" t="str">
        <f>IF(PORTEFEUILLE_AURELIE_T[[#This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SUM(PORTEFEUILLE_AURELIE_T[[#This Row],[PCR COMPTABLE €]:[MONTANT
RESPONSABLE RELATION CLIENT €]])-PORTEFEUILLE_AURELIE_T[[#This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8" s="188" t="str">
        <f>IF(PORTEFEUILLE_AURELIE_T[[#This Row],[BONI AAC]]&lt;&gt;0,1,"")</f>
        <v/>
      </c>
      <c r="AU28" s="188" t="str">
        <f>IF(PORTEFEUILLE_AURELIE_T[[#This Row],[MALI AAC]]&lt;&gt;0,1,"")</f>
        <v/>
      </c>
      <c r="AV28" s="225">
        <f>IF(AP28&lt;&gt;"",IF((AP28*Paramètres!$H$4)-PORTEFEUILLE_AURELIE_T[[#This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€]]-(DELPHINE!AP17*Paramètres!$H$4),0),0)</f>
        <v>0</v>
      </c>
      <c r="AW28" s="225">
        <f>IF(AP28&lt;&gt;"",IF(((AP28*Paramètres!$H$4)-PORTEFEUILLE_AURELIE_T[[#This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8" s="190" t="str">
        <f>IF(PORTEFEUILLE_AURELIE_T[[#This Row],[BONI COMPTABLE]]&lt;&gt;0,1,"")</f>
        <v/>
      </c>
      <c r="AY28" s="190" t="str">
        <f>IF(PORTEFEUILLE_AURELIE_T[[#This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SUM(PORTEFEUILLE_AURELIE_T[[#This Row],[PCR COMPTABLE €]:[MONTANT
RESPONSABLE RELATION CLIENT €]])-PORTEFEUILLE_AURELIE_T[[#This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9" s="188" t="str">
        <f>IF(PORTEFEUILLE_AURELIE_T[[#This Row],[BONI AAC]]&lt;&gt;0,1,"")</f>
        <v/>
      </c>
      <c r="AU29" s="188" t="str">
        <f>IF(PORTEFEUILLE_AURELIE_T[[#This Row],[MALI AAC]]&lt;&gt;0,1,"")</f>
        <v/>
      </c>
      <c r="AV29" s="225">
        <f>IF(AP29&lt;&gt;"",IF((AP29*Paramètres!$H$4)-PORTEFEUILLE_AURELIE_T[[#This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€]]-(DELPHINE!AP18*Paramètres!$H$4),0),0)</f>
        <v>0</v>
      </c>
      <c r="AW29" s="225">
        <f>IF(AP29&lt;&gt;"",IF(((AP29*Paramètres!$H$4)-PORTEFEUILLE_AURELIE_T[[#This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9" s="190" t="str">
        <f>IF(PORTEFEUILLE_AURELIE_T[[#This Row],[BONI COMPTABLE]]&lt;&gt;0,1,"")</f>
        <v/>
      </c>
      <c r="AY29" s="190" t="str">
        <f>IF(PORTEFEUILLE_AURELIE_T[[#This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SUM(PORTEFEUILLE_AURELIE_T[[#This Row],[PCR COMPTABLE €]:[MONTANT
RESPONSABLE RELATION CLIENT €]])-PORTEFEUILLE_AURELIE_T[[#This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0" s="188" t="str">
        <f>IF(PORTEFEUILLE_AURELIE_T[[#This Row],[BONI AAC]]&lt;&gt;0,1,"")</f>
        <v/>
      </c>
      <c r="AU30" s="188" t="str">
        <f>IF(PORTEFEUILLE_AURELIE_T[[#This Row],[MALI AAC]]&lt;&gt;0,1,"")</f>
        <v/>
      </c>
      <c r="AV30" s="225">
        <f>IF(AP30&lt;&gt;"",IF((AP30*Paramètres!$H$4)-PORTEFEUILLE_AURELIE_T[[#This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€]]-(DELPHINE!AP19*Paramètres!$H$4),0),0)</f>
        <v>0</v>
      </c>
      <c r="AW30" s="225">
        <f>IF(AP30&lt;&gt;"",IF(((AP30*Paramètres!$H$4)-PORTEFEUILLE_AURELIE_T[[#This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0" s="190" t="str">
        <f>IF(PORTEFEUILLE_AURELIE_T[[#This Row],[BONI COMPTABLE]]&lt;&gt;0,1,"")</f>
        <v/>
      </c>
      <c r="AY30" s="190" t="str">
        <f>IF(PORTEFEUILLE_AURELIE_T[[#This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SUM(PORTEFEUILLE_AURELIE_T[[#This Row],[PCR COMPTABLE €]:[MONTANT
RESPONSABLE RELATION CLIENT €]])-PORTEFEUILLE_AURELIE_T[[#This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1" s="188" t="str">
        <f>IF(PORTEFEUILLE_AURELIE_T[[#This Row],[BONI AAC]]&lt;&gt;0,1,"")</f>
        <v/>
      </c>
      <c r="AU31" s="188" t="str">
        <f>IF(PORTEFEUILLE_AURELIE_T[[#This Row],[MALI AAC]]&lt;&gt;0,1,"")</f>
        <v/>
      </c>
      <c r="AV31" s="225">
        <f>IF(AP31&lt;&gt;"",IF((AP31*Paramètres!$H$4)-PORTEFEUILLE_AURELIE_T[[#This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€]]-(DELPHINE!AP20*Paramètres!$H$4),0),0)</f>
        <v>0</v>
      </c>
      <c r="AW31" s="225">
        <f>IF(AP31&lt;&gt;"",IF(((AP31*Paramètres!$H$4)-PORTEFEUILLE_AURELIE_T[[#This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1" s="190" t="str">
        <f>IF(PORTEFEUILLE_AURELIE_T[[#This Row],[BONI COMPTABLE]]&lt;&gt;0,1,"")</f>
        <v/>
      </c>
      <c r="AY31" s="190" t="str">
        <f>IF(PORTEFEUILLE_AURELIE_T[[#This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SUM(PORTEFEUILLE_AURELIE_T[[#This Row],[PCR COMPTABLE €]:[MONTANT
RESPONSABLE RELATION CLIENT €]])-PORTEFEUILLE_AURELIE_T[[#This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2" s="188" t="str">
        <f>IF(PORTEFEUILLE_AURELIE_T[[#This Row],[BONI AAC]]&lt;&gt;0,1,"")</f>
        <v/>
      </c>
      <c r="AU32" s="188" t="str">
        <f>IF(PORTEFEUILLE_AURELIE_T[[#This Row],[MALI AAC]]&lt;&gt;0,1,"")</f>
        <v/>
      </c>
      <c r="AV32" s="225">
        <f>IF(AP32&lt;&gt;"",IF((AP32*Paramètres!$H$4)-PORTEFEUILLE_AURELIE_T[[#This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€]]-(DELPHINE!AP21*Paramètres!$H$4),0),0)</f>
        <v>0</v>
      </c>
      <c r="AW32" s="225">
        <f>IF(AP32&lt;&gt;"",IF(((AP32*Paramètres!$H$4)-PORTEFEUILLE_AURELIE_T[[#This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2" s="190" t="str">
        <f>IF(PORTEFEUILLE_AURELIE_T[[#This Row],[BONI COMPTABLE]]&lt;&gt;0,1,"")</f>
        <v/>
      </c>
      <c r="AY32" s="190" t="str">
        <f>IF(PORTEFEUILLE_AURELIE_T[[#This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SUM(PORTEFEUILLE_AURELIE_T[[#This Row],[PCR COMPTABLE €]:[MONTANT
RESPONSABLE RELATION CLIENT €]])-PORTEFEUILLE_AURELIE_T[[#This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3" s="188" t="str">
        <f>IF(PORTEFEUILLE_AURELIE_T[[#This Row],[BONI AAC]]&lt;&gt;0,1,"")</f>
        <v/>
      </c>
      <c r="AU33" s="188" t="str">
        <f>IF(PORTEFEUILLE_AURELIE_T[[#This Row],[MALI AAC]]&lt;&gt;0,1,"")</f>
        <v/>
      </c>
      <c r="AV33" s="225">
        <f>IF(AP33&lt;&gt;"",IF((AP33*Paramètres!$H$4)-PORTEFEUILLE_AURELIE_T[[#This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€]]-(DELPHINE!AP22*Paramètres!$H$4),0),0)</f>
        <v>0</v>
      </c>
      <c r="AW33" s="225">
        <f>IF(AP33&lt;&gt;"",IF(((AP33*Paramètres!$H$4)-PORTEFEUILLE_AURELIE_T[[#This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3" s="190" t="str">
        <f>IF(PORTEFEUILLE_AURELIE_T[[#This Row],[BONI COMPTABLE]]&lt;&gt;0,1,"")</f>
        <v/>
      </c>
      <c r="AY33" s="190" t="str">
        <f>IF(PORTEFEUILLE_AURELIE_T[[#This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SUM(PORTEFEUILLE_AURELIE_T[[#This Row],[PCR COMPTABLE €]:[MONTANT
RESPONSABLE RELATION CLIENT €]])-PORTEFEUILLE_AURELIE_T[[#This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4" s="188" t="str">
        <f>IF(PORTEFEUILLE_AURELIE_T[[#This Row],[BONI AAC]]&lt;&gt;0,1,"")</f>
        <v/>
      </c>
      <c r="AU34" s="188" t="str">
        <f>IF(PORTEFEUILLE_AURELIE_T[[#This Row],[MALI AAC]]&lt;&gt;0,1,"")</f>
        <v/>
      </c>
      <c r="AV34" s="225">
        <f>IF(AP34&lt;&gt;"",IF((AP34*Paramètres!$H$4)-PORTEFEUILLE_AURELIE_T[[#This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€]]-(DELPHINE!AP23*Paramètres!$H$4),0),0)</f>
        <v>0</v>
      </c>
      <c r="AW34" s="225">
        <f>IF(AP34&lt;&gt;"",IF(((AP34*Paramètres!$H$4)-PORTEFEUILLE_AURELIE_T[[#This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4" s="190" t="str">
        <f>IF(PORTEFEUILLE_AURELIE_T[[#This Row],[BONI COMPTABLE]]&lt;&gt;0,1,"")</f>
        <v/>
      </c>
      <c r="AY34" s="190" t="str">
        <f>IF(PORTEFEUILLE_AURELIE_T[[#This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SUM(PORTEFEUILLE_AURELIE_T[[#This Row],[PCR COMPTABLE €]:[MONTANT
RESPONSABLE RELATION CLIENT €]])-PORTEFEUILLE_AURELIE_T[[#This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5" s="188" t="str">
        <f>IF(PORTEFEUILLE_AURELIE_T[[#This Row],[BONI AAC]]&lt;&gt;0,1,"")</f>
        <v/>
      </c>
      <c r="AU35" s="188" t="str">
        <f>IF(PORTEFEUILLE_AURELIE_T[[#This Row],[MALI AAC]]&lt;&gt;0,1,"")</f>
        <v/>
      </c>
      <c r="AV35" s="225">
        <f>IF(AP35&lt;&gt;"",IF((AP35*Paramètres!$H$4)-PORTEFEUILLE_AURELIE_T[[#This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€]]-(DELPHINE!AP24*Paramètres!$H$4),0),0)</f>
        <v>0</v>
      </c>
      <c r="AW35" s="225">
        <f>IF(AP35&lt;&gt;"",IF(((AP35*Paramètres!$H$4)-PORTEFEUILLE_AURELIE_T[[#This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5" s="190" t="str">
        <f>IF(PORTEFEUILLE_AURELIE_T[[#This Row],[BONI COMPTABLE]]&lt;&gt;0,1,"")</f>
        <v/>
      </c>
      <c r="AY35" s="190" t="str">
        <f>IF(PORTEFEUILLE_AURELIE_T[[#This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SUM(PORTEFEUILLE_AURELIE_T[[#This Row],[PCR COMPTABLE €]:[MONTANT
RESPONSABLE RELATION CLIENT €]])-PORTEFEUILLE_AURELIE_T[[#This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6" s="188" t="str">
        <f>IF(PORTEFEUILLE_AURELIE_T[[#This Row],[BONI AAC]]&lt;&gt;0,1,"")</f>
        <v/>
      </c>
      <c r="AU36" s="188" t="str">
        <f>IF(PORTEFEUILLE_AURELIE_T[[#This Row],[MALI AAC]]&lt;&gt;0,1,"")</f>
        <v/>
      </c>
      <c r="AV36" s="225">
        <f>IF(AP36&lt;&gt;"",IF((AP36*Paramètres!$H$4)-PORTEFEUILLE_AURELIE_T[[#This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€]]-(DELPHINE!AP25*Paramètres!$H$4),0),0)</f>
        <v>0</v>
      </c>
      <c r="AW36" s="225">
        <f>IF(AP36&lt;&gt;"",IF(((AP36*Paramètres!$H$4)-PORTEFEUILLE_AURELIE_T[[#This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6" s="190" t="str">
        <f>IF(PORTEFEUILLE_AURELIE_T[[#This Row],[BONI COMPTABLE]]&lt;&gt;0,1,"")</f>
        <v/>
      </c>
      <c r="AY36" s="190" t="str">
        <f>IF(PORTEFEUILLE_AURELIE_T[[#This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SUM(PORTEFEUILLE_AURELIE_T[[#This Row],[PCR COMPTABLE €]:[MONTANT
RESPONSABLE RELATION CLIENT €]])-PORTEFEUILLE_AURELIE_T[[#This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7" s="188" t="str">
        <f>IF(PORTEFEUILLE_AURELIE_T[[#This Row],[BONI AAC]]&lt;&gt;0,1,"")</f>
        <v/>
      </c>
      <c r="AU37" s="188" t="str">
        <f>IF(PORTEFEUILLE_AURELIE_T[[#This Row],[MALI AAC]]&lt;&gt;0,1,"")</f>
        <v/>
      </c>
      <c r="AV37" s="225">
        <f>IF(AP37&lt;&gt;"",IF((AP37*Paramètres!$H$4)-PORTEFEUILLE_AURELIE_T[[#This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€]]-(DELPHINE!AP26*Paramètres!$H$4),0),0)</f>
        <v>0</v>
      </c>
      <c r="AW37" s="225">
        <f>IF(AP37&lt;&gt;"",IF(((AP37*Paramètres!$H$4)-PORTEFEUILLE_AURELIE_T[[#This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7" s="190" t="str">
        <f>IF(PORTEFEUILLE_AURELIE_T[[#This Row],[BONI COMPTABLE]]&lt;&gt;0,1,"")</f>
        <v/>
      </c>
      <c r="AY37" s="190" t="str">
        <f>IF(PORTEFEUILLE_AURELIE_T[[#This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SUM(PORTEFEUILLE_AURELIE_T[[#This Row],[PCR COMPTABLE €]:[MONTANT
RESPONSABLE RELATION CLIENT €]])-PORTEFEUILLE_AURELIE_T[[#This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8" s="188" t="str">
        <f>IF(PORTEFEUILLE_AURELIE_T[[#This Row],[BONI AAC]]&lt;&gt;0,1,"")</f>
        <v/>
      </c>
      <c r="AU38" s="188" t="str">
        <f>IF(PORTEFEUILLE_AURELIE_T[[#This Row],[MALI AAC]]&lt;&gt;0,1,"")</f>
        <v/>
      </c>
      <c r="AV38" s="225">
        <f>IF(AP38&lt;&gt;"",IF((AP38*Paramètres!$H$4)-PORTEFEUILLE_AURELIE_T[[#This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€]]-(DELPHINE!AP27*Paramètres!$H$4),0),0)</f>
        <v>0</v>
      </c>
      <c r="AW38" s="225">
        <f>IF(AP38&lt;&gt;"",IF(((AP38*Paramètres!$H$4)-PORTEFEUILLE_AURELIE_T[[#This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8" s="190" t="str">
        <f>IF(PORTEFEUILLE_AURELIE_T[[#This Row],[BONI COMPTABLE]]&lt;&gt;0,1,"")</f>
        <v/>
      </c>
      <c r="AY38" s="190" t="str">
        <f>IF(PORTEFEUILLE_AURELIE_T[[#This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SUM(PORTEFEUILLE_AURELIE_T[[#This Row],[PCR COMPTABLE €]:[MONTANT
RESPONSABLE RELATION CLIENT €]])-PORTEFEUILLE_AURELIE_T[[#This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9" s="188" t="str">
        <f>IF(PORTEFEUILLE_AURELIE_T[[#This Row],[BONI AAC]]&lt;&gt;0,1,"")</f>
        <v/>
      </c>
      <c r="AU39" s="188" t="str">
        <f>IF(PORTEFEUILLE_AURELIE_T[[#This Row],[MALI AAC]]&lt;&gt;0,1,"")</f>
        <v/>
      </c>
      <c r="AV39" s="225">
        <f>IF(AP39&lt;&gt;"",IF((AP39*Paramètres!$H$4)-PORTEFEUILLE_AURELIE_T[[#This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€]]-(DELPHINE!AP28*Paramètres!$H$4),0),0)</f>
        <v>0</v>
      </c>
      <c r="AW39" s="225">
        <f>IF(AP39&lt;&gt;"",IF(((AP39*Paramètres!$H$4)-PORTEFEUILLE_AURELIE_T[[#This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9" s="190" t="str">
        <f>IF(PORTEFEUILLE_AURELIE_T[[#This Row],[BONI COMPTABLE]]&lt;&gt;0,1,"")</f>
        <v/>
      </c>
      <c r="AY39" s="190" t="str">
        <f>IF(PORTEFEUILLE_AURELIE_T[[#This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SUM(PORTEFEUILLE_AURELIE_T[[#This Row],[PCR COMPTABLE €]:[MONTANT
RESPONSABLE RELATION CLIENT €]])-PORTEFEUILLE_AURELIE_T[[#This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0" s="188" t="str">
        <f>IF(PORTEFEUILLE_AURELIE_T[[#This Row],[BONI AAC]]&lt;&gt;0,1,"")</f>
        <v/>
      </c>
      <c r="AU40" s="188" t="str">
        <f>IF(PORTEFEUILLE_AURELIE_T[[#This Row],[MALI AAC]]&lt;&gt;0,1,"")</f>
        <v/>
      </c>
      <c r="AV40" s="225">
        <f>IF(AP40&lt;&gt;"",IF((AP40*Paramètres!$H$4)-PORTEFEUILLE_AURELIE_T[[#This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€]]-(DELPHINE!AP29*Paramètres!$H$4),0),0)</f>
        <v>0</v>
      </c>
      <c r="AW40" s="225">
        <f>IF(AP40&lt;&gt;"",IF(((AP40*Paramètres!$H$4)-PORTEFEUILLE_AURELIE_T[[#This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0" s="190" t="str">
        <f>IF(PORTEFEUILLE_AURELIE_T[[#This Row],[BONI COMPTABLE]]&lt;&gt;0,1,"")</f>
        <v/>
      </c>
      <c r="AY40" s="190" t="str">
        <f>IF(PORTEFEUILLE_AURELIE_T[[#This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SUM(PORTEFEUILLE_AURELIE_T[[#This Row],[PCR COMPTABLE €]:[MONTANT
RESPONSABLE RELATION CLIENT €]])-PORTEFEUILLE_AURELIE_T[[#This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1" s="188" t="str">
        <f>IF(PORTEFEUILLE_AURELIE_T[[#This Row],[BONI AAC]]&lt;&gt;0,1,"")</f>
        <v/>
      </c>
      <c r="AU41" s="188" t="str">
        <f>IF(PORTEFEUILLE_AURELIE_T[[#This Row],[MALI AAC]]&lt;&gt;0,1,"")</f>
        <v/>
      </c>
      <c r="AV41" s="225">
        <f>IF(AP41&lt;&gt;"",IF((AP41*Paramètres!$H$4)-PORTEFEUILLE_AURELIE_T[[#This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€]]-(DELPHINE!AP30*Paramètres!$H$4),0),0)</f>
        <v>0</v>
      </c>
      <c r="AW41" s="225">
        <f>IF(AP41&lt;&gt;"",IF(((AP41*Paramètres!$H$4)-PORTEFEUILLE_AURELIE_T[[#This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1" s="190" t="str">
        <f>IF(PORTEFEUILLE_AURELIE_T[[#This Row],[BONI COMPTABLE]]&lt;&gt;0,1,"")</f>
        <v/>
      </c>
      <c r="AY41" s="190" t="str">
        <f>IF(PORTEFEUILLE_AURELIE_T[[#This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SUM(PORTEFEUILLE_AURELIE_T[[#This Row],[PCR COMPTABLE €]:[MONTANT
RESPONSABLE RELATION CLIENT €]])-PORTEFEUILLE_AURELIE_T[[#This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2" s="188" t="str">
        <f>IF(PORTEFEUILLE_AURELIE_T[[#This Row],[BONI AAC]]&lt;&gt;0,1,"")</f>
        <v/>
      </c>
      <c r="AU42" s="188" t="str">
        <f>IF(PORTEFEUILLE_AURELIE_T[[#This Row],[MALI AAC]]&lt;&gt;0,1,"")</f>
        <v/>
      </c>
      <c r="AV42" s="225">
        <f>IF(AP42&lt;&gt;"",IF((AP42*Paramètres!$H$4)-PORTEFEUILLE_AURELIE_T[[#This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€]]-(DELPHINE!AP31*Paramètres!$H$4),0),0)</f>
        <v>0</v>
      </c>
      <c r="AW42" s="225">
        <f>IF(AP42&lt;&gt;"",IF(((AP42*Paramètres!$H$4)-PORTEFEUILLE_AURELIE_T[[#This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2" s="190" t="str">
        <f>IF(PORTEFEUILLE_AURELIE_T[[#This Row],[BONI COMPTABLE]]&lt;&gt;0,1,"")</f>
        <v/>
      </c>
      <c r="AY42" s="190" t="str">
        <f>IF(PORTEFEUILLE_AURELIE_T[[#This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SUM(PORTEFEUILLE_AURELIE_T[[#This Row],[PCR COMPTABLE €]:[MONTANT
RESPONSABLE RELATION CLIENT €]])-PORTEFEUILLE_AURELIE_T[[#This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3" s="188" t="str">
        <f>IF(PORTEFEUILLE_AURELIE_T[[#This Row],[BONI AAC]]&lt;&gt;0,1,"")</f>
        <v/>
      </c>
      <c r="AU43" s="188" t="str">
        <f>IF(PORTEFEUILLE_AURELIE_T[[#This Row],[MALI AAC]]&lt;&gt;0,1,"")</f>
        <v/>
      </c>
      <c r="AV43" s="225">
        <f>IF(AP43&lt;&gt;"",IF((AP43*Paramètres!$H$4)-PORTEFEUILLE_AURELIE_T[[#This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€]]-(DELPHINE!AP32*Paramètres!$H$4),0),0)</f>
        <v>0</v>
      </c>
      <c r="AW43" s="225">
        <f>IF(AP43&lt;&gt;"",IF(((AP43*Paramètres!$H$4)-PORTEFEUILLE_AURELIE_T[[#This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3" s="190" t="str">
        <f>IF(PORTEFEUILLE_AURELIE_T[[#This Row],[BONI COMPTABLE]]&lt;&gt;0,1,"")</f>
        <v/>
      </c>
      <c r="AY43" s="190" t="str">
        <f>IF(PORTEFEUILLE_AURELIE_T[[#This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SUM(PORTEFEUILLE_AURELIE_T[[#This Row],[PCR COMPTABLE €]:[MONTANT
RESPONSABLE RELATION CLIENT €]])-PORTEFEUILLE_AURELIE_T[[#This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4" s="188" t="str">
        <f>IF(PORTEFEUILLE_AURELIE_T[[#This Row],[BONI AAC]]&lt;&gt;0,1,"")</f>
        <v/>
      </c>
      <c r="AU44" s="188" t="str">
        <f>IF(PORTEFEUILLE_AURELIE_T[[#This Row],[MALI AAC]]&lt;&gt;0,1,"")</f>
        <v/>
      </c>
      <c r="AV44" s="225">
        <f>IF(AP44&lt;&gt;"",IF((AP44*Paramètres!$H$4)-PORTEFEUILLE_AURELIE_T[[#This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€]]-(DELPHINE!AP33*Paramètres!$H$4),0),0)</f>
        <v>0</v>
      </c>
      <c r="AW44" s="225">
        <f>IF(AP44&lt;&gt;"",IF(((AP44*Paramètres!$H$4)-PORTEFEUILLE_AURELIE_T[[#This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4" s="190" t="str">
        <f>IF(PORTEFEUILLE_AURELIE_T[[#This Row],[BONI COMPTABLE]]&lt;&gt;0,1,"")</f>
        <v/>
      </c>
      <c r="AY44" s="190" t="str">
        <f>IF(PORTEFEUILLE_AURELIE_T[[#This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SUM(PORTEFEUILLE_AURELIE_T[[#This Row],[PCR COMPTABLE €]:[MONTANT
RESPONSABLE RELATION CLIENT €]])-PORTEFEUILLE_AURELIE_T[[#This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5" s="188" t="str">
        <f>IF(PORTEFEUILLE_AURELIE_T[[#This Row],[BONI AAC]]&lt;&gt;0,1,"")</f>
        <v/>
      </c>
      <c r="AU45" s="188" t="str">
        <f>IF(PORTEFEUILLE_AURELIE_T[[#This Row],[MALI AAC]]&lt;&gt;0,1,"")</f>
        <v/>
      </c>
      <c r="AV45" s="225">
        <f>IF(AP45&lt;&gt;"",IF((AP45*Paramètres!$H$4)-PORTEFEUILLE_AURELIE_T[[#This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€]]-(DELPHINE!AP34*Paramètres!$H$4),0),0)</f>
        <v>0</v>
      </c>
      <c r="AW45" s="225">
        <f>IF(AP45&lt;&gt;"",IF(((AP45*Paramètres!$H$4)-PORTEFEUILLE_AURELIE_T[[#This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5" s="190" t="str">
        <f>IF(PORTEFEUILLE_AURELIE_T[[#This Row],[BONI COMPTABLE]]&lt;&gt;0,1,"")</f>
        <v/>
      </c>
      <c r="AY45" s="190" t="str">
        <f>IF(PORTEFEUILLE_AURELIE_T[[#This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SUM(PORTEFEUILLE_AURELIE_T[[#This Row],[PCR COMPTABLE €]:[MONTANT
RESPONSABLE RELATION CLIENT €]])-PORTEFEUILLE_AURELIE_T[[#This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6" s="188" t="str">
        <f>IF(PORTEFEUILLE_AURELIE_T[[#This Row],[BONI AAC]]&lt;&gt;0,1,"")</f>
        <v/>
      </c>
      <c r="AU46" s="188" t="str">
        <f>IF(PORTEFEUILLE_AURELIE_T[[#This Row],[MALI AAC]]&lt;&gt;0,1,"")</f>
        <v/>
      </c>
      <c r="AV46" s="225">
        <f>IF(AP46&lt;&gt;"",IF((AP46*Paramètres!$H$4)-PORTEFEUILLE_AURELIE_T[[#This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€]]-(DELPHINE!AP35*Paramètres!$H$4),0),0)</f>
        <v>0</v>
      </c>
      <c r="AW46" s="225">
        <f>IF(AP46&lt;&gt;"",IF(((AP46*Paramètres!$H$4)-PORTEFEUILLE_AURELIE_T[[#This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6" s="190" t="str">
        <f>IF(PORTEFEUILLE_AURELIE_T[[#This Row],[BONI COMPTABLE]]&lt;&gt;0,1,"")</f>
        <v/>
      </c>
      <c r="AY46" s="190" t="str">
        <f>IF(PORTEFEUILLE_AURELIE_T[[#This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SUM(PORTEFEUILLE_AURELIE_T[[#This Row],[PCR COMPTABLE €]:[MONTANT
RESPONSABLE RELATION CLIENT €]])-PORTEFEUILLE_AURELIE_T[[#This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7" s="188" t="str">
        <f>IF(PORTEFEUILLE_AURELIE_T[[#This Row],[BONI AAC]]&lt;&gt;0,1,"")</f>
        <v/>
      </c>
      <c r="AU47" s="188" t="str">
        <f>IF(PORTEFEUILLE_AURELIE_T[[#This Row],[MALI AAC]]&lt;&gt;0,1,"")</f>
        <v/>
      </c>
      <c r="AV47" s="225">
        <f>IF(AP47&lt;&gt;"",IF((AP47*Paramètres!$H$4)-PORTEFEUILLE_AURELIE_T[[#This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€]]-(DELPHINE!AP36*Paramètres!$H$4),0),0)</f>
        <v>0</v>
      </c>
      <c r="AW47" s="225">
        <f>IF(AP47&lt;&gt;"",IF(((AP47*Paramètres!$H$4)-PORTEFEUILLE_AURELIE_T[[#This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7" s="190" t="str">
        <f>IF(PORTEFEUILLE_AURELIE_T[[#This Row],[BONI COMPTABLE]]&lt;&gt;0,1,"")</f>
        <v/>
      </c>
      <c r="AY47" s="190" t="str">
        <f>IF(PORTEFEUILLE_AURELIE_T[[#This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SUM(PORTEFEUILLE_AURELIE_T[[#This Row],[PCR COMPTABLE €]:[MONTANT
RESPONSABLE RELATION CLIENT €]])-PORTEFEUILLE_AURELIE_T[[#This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8" s="188" t="str">
        <f>IF(PORTEFEUILLE_AURELIE_T[[#This Row],[BONI AAC]]&lt;&gt;0,1,"")</f>
        <v/>
      </c>
      <c r="AU48" s="188" t="str">
        <f>IF(PORTEFEUILLE_AURELIE_T[[#This Row],[MALI AAC]]&lt;&gt;0,1,"")</f>
        <v/>
      </c>
      <c r="AV48" s="225">
        <f>IF(AP48&lt;&gt;"",IF((AP48*Paramètres!$H$4)-PORTEFEUILLE_AURELIE_T[[#This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€]]-(DELPHINE!AP37*Paramètres!$H$4),0),0)</f>
        <v>0</v>
      </c>
      <c r="AW48" s="225">
        <f>IF(AP48&lt;&gt;"",IF(((AP48*Paramètres!$H$4)-PORTEFEUILLE_AURELIE_T[[#This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8" s="190" t="str">
        <f>IF(PORTEFEUILLE_AURELIE_T[[#This Row],[BONI COMPTABLE]]&lt;&gt;0,1,"")</f>
        <v/>
      </c>
      <c r="AY48" s="190" t="str">
        <f>IF(PORTEFEUILLE_AURELIE_T[[#This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SUM(PORTEFEUILLE_AURELIE_T[[#This Row],[PCR COMPTABLE €]:[MONTANT
RESPONSABLE RELATION CLIENT €]])-PORTEFEUILLE_AURELIE_T[[#This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9" s="188" t="str">
        <f>IF(PORTEFEUILLE_AURELIE_T[[#This Row],[BONI AAC]]&lt;&gt;0,1,"")</f>
        <v/>
      </c>
      <c r="AU49" s="188" t="str">
        <f>IF(PORTEFEUILLE_AURELIE_T[[#This Row],[MALI AAC]]&lt;&gt;0,1,"")</f>
        <v/>
      </c>
      <c r="AV49" s="225">
        <f>IF(AP49&lt;&gt;"",IF((AP49*Paramètres!$H$4)-PORTEFEUILLE_AURELIE_T[[#This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€]]-(DELPHINE!AP38*Paramètres!$H$4),0),0)</f>
        <v>0</v>
      </c>
      <c r="AW49" s="225">
        <f>IF(AP49&lt;&gt;"",IF(((AP49*Paramètres!$H$4)-PORTEFEUILLE_AURELIE_T[[#This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9" s="190" t="str">
        <f>IF(PORTEFEUILLE_AURELIE_T[[#This Row],[BONI COMPTABLE]]&lt;&gt;0,1,"")</f>
        <v/>
      </c>
      <c r="AY49" s="190" t="str">
        <f>IF(PORTEFEUILLE_AURELIE_T[[#This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SUM(PORTEFEUILLE_AURELIE_T[[#This Row],[PCR COMPTABLE €]:[MONTANT
RESPONSABLE RELATION CLIENT €]])-PORTEFEUILLE_AURELIE_T[[#This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0" s="188" t="str">
        <f>IF(PORTEFEUILLE_AURELIE_T[[#This Row],[BONI AAC]]&lt;&gt;0,1,"")</f>
        <v/>
      </c>
      <c r="AU50" s="188" t="str">
        <f>IF(PORTEFEUILLE_AURELIE_T[[#This Row],[MALI AAC]]&lt;&gt;0,1,"")</f>
        <v/>
      </c>
      <c r="AV50" s="225">
        <f>IF(AP50&lt;&gt;"",IF((AP50*Paramètres!$H$4)-PORTEFEUILLE_AURELIE_T[[#This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€]]-(DELPHINE!AP39*Paramètres!$H$4),0),0)</f>
        <v>0</v>
      </c>
      <c r="AW50" s="225">
        <f>IF(AP50&lt;&gt;"",IF(((AP50*Paramètres!$H$4)-PORTEFEUILLE_AURELIE_T[[#This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0" s="190" t="str">
        <f>IF(PORTEFEUILLE_AURELIE_T[[#This Row],[BONI COMPTABLE]]&lt;&gt;0,1,"")</f>
        <v/>
      </c>
      <c r="AY50" s="190" t="str">
        <f>IF(PORTEFEUILLE_AURELIE_T[[#This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SUM(PORTEFEUILLE_AURELIE_T[[#This Row],[PCR COMPTABLE €]:[MONTANT
RESPONSABLE RELATION CLIENT €]])-PORTEFEUILLE_AURELIE_T[[#This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1" s="188" t="str">
        <f>IF(PORTEFEUILLE_AURELIE_T[[#This Row],[BONI AAC]]&lt;&gt;0,1,"")</f>
        <v/>
      </c>
      <c r="AU51" s="188" t="str">
        <f>IF(PORTEFEUILLE_AURELIE_T[[#This Row],[MALI AAC]]&lt;&gt;0,1,"")</f>
        <v/>
      </c>
      <c r="AV51" s="225">
        <f>IF(AP51&lt;&gt;"",IF((AP51*Paramètres!$H$4)-PORTEFEUILLE_AURELIE_T[[#This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€]]-(DELPHINE!AP40*Paramètres!$H$4),0),0)</f>
        <v>0</v>
      </c>
      <c r="AW51" s="225">
        <f>IF(AP51&lt;&gt;"",IF(((AP51*Paramètres!$H$4)-PORTEFEUILLE_AURELIE_T[[#This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1" s="190" t="str">
        <f>IF(PORTEFEUILLE_AURELIE_T[[#This Row],[BONI COMPTABLE]]&lt;&gt;0,1,"")</f>
        <v/>
      </c>
      <c r="AY51" s="190" t="str">
        <f>IF(PORTEFEUILLE_AURELIE_T[[#This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SUM(PORTEFEUILLE_AURELIE_T[[#This Row],[PCR COMPTABLE €]:[MONTANT
RESPONSABLE RELATION CLIENT €]])-PORTEFEUILLE_AURELIE_T[[#This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2" s="188" t="str">
        <f>IF(PORTEFEUILLE_AURELIE_T[[#This Row],[BONI AAC]]&lt;&gt;0,1,"")</f>
        <v/>
      </c>
      <c r="AU52" s="188" t="str">
        <f>IF(PORTEFEUILLE_AURELIE_T[[#This Row],[MALI AAC]]&lt;&gt;0,1,"")</f>
        <v/>
      </c>
      <c r="AV52" s="225">
        <f>IF(AP52&lt;&gt;"",IF((AP52*Paramètres!$H$4)-PORTEFEUILLE_AURELIE_T[[#This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€]]-(DELPHINE!AP41*Paramètres!$H$4),0),0)</f>
        <v>0</v>
      </c>
      <c r="AW52" s="225">
        <f>IF(AP52&lt;&gt;"",IF(((AP52*Paramètres!$H$4)-PORTEFEUILLE_AURELIE_T[[#This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2" s="190" t="str">
        <f>IF(PORTEFEUILLE_AURELIE_T[[#This Row],[BONI COMPTABLE]]&lt;&gt;0,1,"")</f>
        <v/>
      </c>
      <c r="AY52" s="190" t="str">
        <f>IF(PORTEFEUILLE_AURELIE_T[[#This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SUM(PORTEFEUILLE_AURELIE_T[[#This Row],[PCR COMPTABLE €]:[MONTANT
RESPONSABLE RELATION CLIENT €]])-PORTEFEUILLE_AURELIE_T[[#This Row],[MONTANT TOTAL LETTRE DE MISION €]]</f>
        <v>0</v>
      </c>
      <c r="AI53" s="191"/>
      <c r="AJ53" s="188"/>
      <c r="AK53" s="201"/>
      <c r="AL53" s="201"/>
      <c r="AM53" s="246"/>
      <c r="AN53" s="202"/>
      <c r="AO53" s="202"/>
      <c r="AP53" s="202"/>
      <c r="AQ53" s="202"/>
      <c r="AR5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3" s="188" t="str">
        <f>IF(PORTEFEUILLE_AURELIE_T[[#This Row],[BONI AAC]]&lt;&gt;0,1,"")</f>
        <v/>
      </c>
      <c r="AU53" s="188" t="str">
        <f>IF(PORTEFEUILLE_AURELIE_T[[#This Row],[MALI AAC]]&lt;&gt;0,1,"")</f>
        <v/>
      </c>
      <c r="AV53" s="225">
        <f>IF(AP53&lt;&gt;"",IF((AP53*Paramètres!$H$4)-PORTEFEUILLE_AURELIE_T[[#This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€]]-(DELPHINE!AP42*Paramètres!$H$4),0),0)</f>
        <v>0</v>
      </c>
      <c r="AW53" s="225">
        <f>IF(AP53&lt;&gt;"",IF(((AP53*Paramètres!$H$4)-PORTEFEUILLE_AURELIE_T[[#This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3" s="190" t="str">
        <f>IF(PORTEFEUILLE_AURELIE_T[[#This Row],[BONI COMPTABLE]]&lt;&gt;0,1,"")</f>
        <v/>
      </c>
      <c r="AY53" s="190" t="str">
        <f>IF(PORTEFEUILLE_AURELIE_T[[#This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SUM(PORTEFEUILLE_AURELIE_T[[#This Row],[PCR COMPTABLE €]:[MONTANT
RESPONSABLE RELATION CLIENT €]])-PORTEFEUILLE_AURELIE_T[[#This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4" s="188" t="str">
        <f>IF(PORTEFEUILLE_AURELIE_T[[#This Row],[BONI AAC]]&lt;&gt;0,1,"")</f>
        <v/>
      </c>
      <c r="AU54" s="188" t="str">
        <f>IF(PORTEFEUILLE_AURELIE_T[[#This Row],[MALI AAC]]&lt;&gt;0,1,"")</f>
        <v/>
      </c>
      <c r="AV54" s="225">
        <f>IF(AP54&lt;&gt;"",IF((AP54*Paramètres!$H$4)-PORTEFEUILLE_AURELIE_T[[#This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€]]-(DELPHINE!AP43*Paramètres!$H$4),0),0)</f>
        <v>0</v>
      </c>
      <c r="AW54" s="225">
        <f>IF(AP54&lt;&gt;"",IF(((AP54*Paramètres!$H$4)-PORTEFEUILLE_AURELIE_T[[#This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4" s="190" t="str">
        <f>IF(PORTEFEUILLE_AURELIE_T[[#This Row],[BONI COMPTABLE]]&lt;&gt;0,1,"")</f>
        <v/>
      </c>
      <c r="AY54" s="190" t="str">
        <f>IF(PORTEFEUILLE_AURELIE_T[[#This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SUM(PORTEFEUILLE_AURELIE_T[[#This Row],[PCR COMPTABLE €]:[MONTANT
RESPONSABLE RELATION CLIENT €]])-PORTEFEUILLE_AURELIE_T[[#This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5" s="188" t="str">
        <f>IF(PORTEFEUILLE_AURELIE_T[[#This Row],[BONI AAC]]&lt;&gt;0,1,"")</f>
        <v/>
      </c>
      <c r="AU55" s="188" t="str">
        <f>IF(PORTEFEUILLE_AURELIE_T[[#This Row],[MALI AAC]]&lt;&gt;0,1,"")</f>
        <v/>
      </c>
      <c r="AV55" s="225">
        <f>IF(AP55&lt;&gt;"",IF((AP55*Paramètres!$H$4)-PORTEFEUILLE_AURELIE_T[[#This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€]]-(DELPHINE!AP44*Paramètres!$H$4),0),0)</f>
        <v>0</v>
      </c>
      <c r="AW55" s="225">
        <f>IF(AP55&lt;&gt;"",IF(((AP55*Paramètres!$H$4)-PORTEFEUILLE_AURELIE_T[[#This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5" s="190" t="str">
        <f>IF(PORTEFEUILLE_AURELIE_T[[#This Row],[BONI COMPTABLE]]&lt;&gt;0,1,"")</f>
        <v/>
      </c>
      <c r="AY55" s="190" t="str">
        <f>IF(PORTEFEUILLE_AURELIE_T[[#This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SUM(PORTEFEUILLE_AURELIE_T[[#This Row],[PCR COMPTABLE €]:[MONTANT
RESPONSABLE RELATION CLIENT €]])-PORTEFEUILLE_AURELIE_T[[#This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6" s="188" t="str">
        <f>IF(PORTEFEUILLE_AURELIE_T[[#This Row],[BONI AAC]]&lt;&gt;0,1,"")</f>
        <v/>
      </c>
      <c r="AU56" s="188" t="str">
        <f>IF(PORTEFEUILLE_AURELIE_T[[#This Row],[MALI AAC]]&lt;&gt;0,1,"")</f>
        <v/>
      </c>
      <c r="AV56" s="225">
        <f>IF(AP56&lt;&gt;"",IF((AP56*Paramètres!$H$4)-PORTEFEUILLE_AURELIE_T[[#This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€]]-(DELPHINE!AP45*Paramètres!$H$4),0),0)</f>
        <v>0</v>
      </c>
      <c r="AW56" s="225">
        <f>IF(AP56&lt;&gt;"",IF(((AP56*Paramètres!$H$4)-PORTEFEUILLE_AURELIE_T[[#This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6" s="190" t="str">
        <f>IF(PORTEFEUILLE_AURELIE_T[[#This Row],[BONI COMPTABLE]]&lt;&gt;0,1,"")</f>
        <v/>
      </c>
      <c r="AY56" s="190" t="str">
        <f>IF(PORTEFEUILLE_AURELIE_T[[#This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SUM(PORTEFEUILLE_AURELIE_T[[#This Row],[PCR COMPTABLE €]:[MONTANT
RESPONSABLE RELATION CLIENT €]])-PORTEFEUILLE_AURELIE_T[[#This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7" s="188" t="str">
        <f>IF(PORTEFEUILLE_AURELIE_T[[#This Row],[BONI AAC]]&lt;&gt;0,1,"")</f>
        <v/>
      </c>
      <c r="AU57" s="188" t="str">
        <f>IF(PORTEFEUILLE_AURELIE_T[[#This Row],[MALI AAC]]&lt;&gt;0,1,"")</f>
        <v/>
      </c>
      <c r="AV57" s="225">
        <f>IF(AP57&lt;&gt;"",IF((AP57*Paramètres!$H$4)-PORTEFEUILLE_AURELIE_T[[#This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€]]-(DELPHINE!AP46*Paramètres!$H$4),0),0)</f>
        <v>0</v>
      </c>
      <c r="AW57" s="225">
        <f>IF(AP57&lt;&gt;"",IF(((AP57*Paramètres!$H$4)-PORTEFEUILLE_AURELIE_T[[#This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7" s="190" t="str">
        <f>IF(PORTEFEUILLE_AURELIE_T[[#This Row],[BONI COMPTABLE]]&lt;&gt;0,1,"")</f>
        <v/>
      </c>
      <c r="AY57" s="190" t="str">
        <f>IF(PORTEFEUILLE_AURELIE_T[[#This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SUM(PORTEFEUILLE_AURELIE_T[[#This Row],[PCR COMPTABLE €]:[MONTANT
RESPONSABLE RELATION CLIENT €]])-PORTEFEUILLE_AURELIE_T[[#This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8" s="188" t="str">
        <f>IF(PORTEFEUILLE_AURELIE_T[[#This Row],[BONI AAC]]&lt;&gt;0,1,"")</f>
        <v/>
      </c>
      <c r="AU58" s="188" t="str">
        <f>IF(PORTEFEUILLE_AURELIE_T[[#This Row],[MALI AAC]]&lt;&gt;0,1,"")</f>
        <v/>
      </c>
      <c r="AV58" s="225">
        <f>IF(AP58&lt;&gt;"",IF((AP58*Paramètres!$H$4)-PORTEFEUILLE_AURELIE_T[[#This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€]]-(DELPHINE!AP47*Paramètres!$H$4),0),0)</f>
        <v>0</v>
      </c>
      <c r="AW58" s="225">
        <f>IF(AP58&lt;&gt;"",IF(((AP58*Paramètres!$H$4)-PORTEFEUILLE_AURELIE_T[[#This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8" s="190" t="str">
        <f>IF(PORTEFEUILLE_AURELIE_T[[#This Row],[BONI COMPTABLE]]&lt;&gt;0,1,"")</f>
        <v/>
      </c>
      <c r="AY58" s="190" t="str">
        <f>IF(PORTEFEUILLE_AURELIE_T[[#This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SUM(PORTEFEUILLE_AURELIE_T[[#This Row],[PCR COMPTABLE €]:[MONTANT
RESPONSABLE RELATION CLIENT €]])-PORTEFEUILLE_AURELIE_T[[#This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9" s="188" t="str">
        <f>IF(PORTEFEUILLE_AURELIE_T[[#This Row],[BONI AAC]]&lt;&gt;0,1,"")</f>
        <v/>
      </c>
      <c r="AU59" s="188" t="str">
        <f>IF(PORTEFEUILLE_AURELIE_T[[#This Row],[MALI AAC]]&lt;&gt;0,1,"")</f>
        <v/>
      </c>
      <c r="AV59" s="225">
        <f>IF(AP59&lt;&gt;"",IF((AP59*Paramètres!$H$4)-PORTEFEUILLE_AURELIE_T[[#This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€]]-(DELPHINE!AP48*Paramètres!$H$4),0),0)</f>
        <v>0</v>
      </c>
      <c r="AW59" s="225">
        <f>IF(AP59&lt;&gt;"",IF(((AP59*Paramètres!$H$4)-PORTEFEUILLE_AURELIE_T[[#This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9" s="190" t="str">
        <f>IF(PORTEFEUILLE_AURELIE_T[[#This Row],[BONI COMPTABLE]]&lt;&gt;0,1,"")</f>
        <v/>
      </c>
      <c r="AY59" s="190" t="str">
        <f>IF(PORTEFEUILLE_AURELIE_T[[#This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SUM(PORTEFEUILLE_AURELIE_T[[#This Row],[PCR COMPTABLE €]:[MONTANT
RESPONSABLE RELATION CLIENT €]])-PORTEFEUILLE_AURELIE_T[[#This Row],[MONTANT TOTAL LETTRE DE MISION €]]</f>
        <v>0</v>
      </c>
      <c r="AI60" s="191"/>
      <c r="AJ60" s="188"/>
      <c r="AK60" s="201"/>
      <c r="AL60" s="201"/>
      <c r="AM60" s="246"/>
      <c r="AN60" s="205"/>
      <c r="AO60" s="205"/>
      <c r="AP60" s="205"/>
      <c r="AQ60" s="205"/>
      <c r="AR6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6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60" s="188" t="str">
        <f>IF(PORTEFEUILLE_AURELIE_T[[#This Row],[BONI AAC]]&lt;&gt;0,1,"")</f>
        <v/>
      </c>
      <c r="AU60" s="188" t="str">
        <f>IF(PORTEFEUILLE_AURELIE_T[[#This Row],[MALI AAC]]&lt;&gt;0,1,"")</f>
        <v/>
      </c>
      <c r="AV60" s="225">
        <f>IF(AP60&lt;&gt;"",IF((AP60*Paramètres!$H$4)-PORTEFEUILLE_AURELIE_T[[#This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€]]-(DELPHINE!AP49*Paramètres!$H$4),0),0)</f>
        <v>0</v>
      </c>
      <c r="AW60" s="225">
        <f>IF(AP60&lt;&gt;"",IF(((AP60*Paramètres!$H$4)-PORTEFEUILLE_AURELIE_T[[#This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€]])&gt;0,(AP60*Paramètres!$H$4)-PORTEFEUILLE_AURELIE_T[[#This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60" s="190" t="str">
        <f>IF(PORTEFEUILLE_AURELIE_T[[#This Row],[BONI COMPTABLE]]&lt;&gt;0,1,"")</f>
        <v/>
      </c>
      <c r="AY60" s="190" t="str">
        <f>IF(PORTEFEUILLE_AURELIE_T[[#This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80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81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81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82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83" t="s">
        <v>123</v>
      </c>
      <c r="C69" s="283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4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81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81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82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83" t="s">
        <v>123</v>
      </c>
      <c r="C75" s="283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4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81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81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82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83" t="s">
        <v>123</v>
      </c>
      <c r="C81" s="283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5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6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6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6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6" t="s">
        <v>123</v>
      </c>
      <c r="C88" s="286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7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6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6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6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6" t="s">
        <v>123</v>
      </c>
      <c r="C94" s="286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6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6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6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6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6" t="s">
        <v>123</v>
      </c>
      <c r="C100" s="286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80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81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81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82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83" t="s">
        <v>123</v>
      </c>
      <c r="C108" s="283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4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81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81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82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83" t="s">
        <v>123</v>
      </c>
      <c r="C114" s="283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4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81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81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82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83" t="s">
        <v>123</v>
      </c>
      <c r="C120" s="283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55" priority="6">
      <formula>AND(P3&lt;&gt;"",P3&lt;&gt;"OUI")</formula>
    </cfRule>
  </conditionalFormatting>
  <conditionalFormatting sqref="AN3:AO60 S3:AH60">
    <cfRule type="expression" dxfId="54" priority="5" stopIfTrue="1">
      <formula>$AH3&lt;&gt;0</formula>
    </cfRule>
  </conditionalFormatting>
  <conditionalFormatting sqref="A6:E60 C3:E5 A3:A5">
    <cfRule type="expression" dxfId="53" priority="7" stopIfTrue="1">
      <formula>AND($I3&lt;&gt;"",AND($J3="",AND($BA3="",$BB3="")))</formula>
    </cfRule>
    <cfRule type="expression" dxfId="52" priority="8" stopIfTrue="1">
      <formula>AND($J3&lt;&gt;"",AND($BA3="",$BB3=""))</formula>
    </cfRule>
    <cfRule type="expression" dxfId="51" priority="9" stopIfTrue="1">
      <formula>AND($BA3&lt;&gt;"",$BB3="")</formula>
    </cfRule>
    <cfRule type="expression" dxfId="50" priority="10" stopIfTrue="1">
      <formula>$BB3="X"</formula>
    </cfRule>
  </conditionalFormatting>
  <conditionalFormatting sqref="B3:B5">
    <cfRule type="expression" dxfId="49" priority="1" stopIfTrue="1">
      <formula>AND($I3&lt;&gt;"",AND($J3="",AND($BA3="",$BB3="")))</formula>
    </cfRule>
    <cfRule type="expression" dxfId="48" priority="2" stopIfTrue="1">
      <formula>AND($J3&lt;&gt;"",AND($BA3="",$BB3=""))</formula>
    </cfRule>
    <cfRule type="expression" dxfId="47" priority="3" stopIfTrue="1">
      <formula>AND($BA3&lt;&gt;"",$BB3="")</formula>
    </cfRule>
    <cfRule type="expression" dxfId="46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N183"/>
  <sheetViews>
    <sheetView zoomScale="85" zoomScaleNormal="85" workbookViewId="0">
      <pane xSplit="5" ySplit="2" topLeftCell="F3" activePane="bottomRight" state="frozen"/>
      <selection activeCell="F22" sqref="F22"/>
      <selection pane="topRight" activeCell="F22" sqref="F22"/>
      <selection pane="bottomLeft" activeCell="F22" sqref="F22"/>
      <selection pane="bottomRight" activeCell="A3" sqref="A3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228</v>
      </c>
      <c r="AM2" s="237" t="s">
        <v>229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141</v>
      </c>
      <c r="B3" s="170">
        <v>862009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SUM(PORTEFEUILLE_ERIC[[#This Row],[PCR COMPTABLE €]:[MONTANT
RESPONSABLE RELATION CLIENT €]])-PORTEFEUILLE_ERIC[[#This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88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400</v>
      </c>
      <c r="AT3" s="188" t="str">
        <f>IF(PORTEFEUILLE_ERIC[[#This Row],[BONI AAC]]&lt;&gt;0,1,"")</f>
        <v/>
      </c>
      <c r="AU3" s="188">
        <f>IF(PORTEFEUILLE_ERIC[[#This Row],[MALI AAC]]&lt;&gt;0,1,"")</f>
        <v>1</v>
      </c>
      <c r="AV3" s="225">
        <f>IF(AP3&lt;&gt;"",IF((AP3*Paramètres!$H$4)-PORTEFEUILLE_ERIC[[#This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3" s="225">
        <f>IF(AP3&lt;&gt;"",IF(((AP3*Paramètres!$H$4)-PORTEFEUILLE_ERIC[[#This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" s="190" t="str">
        <f>IF(PORTEFEUILLE_ERIC[[#This Row],[BONI COMPTABLE]]&lt;&gt;0,1,"")</f>
        <v/>
      </c>
      <c r="AY3" s="190" t="str">
        <f>IF(PORTEFEUILLE_ERIC[[#This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141</v>
      </c>
      <c r="B4" s="170" t="s">
        <v>241</v>
      </c>
      <c r="C4" s="165" t="s">
        <v>198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 t="s">
        <v>234</v>
      </c>
      <c r="J4" s="189" t="s">
        <v>235</v>
      </c>
      <c r="K4" s="190">
        <f t="shared" ref="K4:K60" si="0">IF(I4="","",MONTH(I4))</f>
        <v>3</v>
      </c>
      <c r="L4" s="190">
        <f t="shared" ref="L4:L60" si="1">IF(I4="","",DAYS360(E4,I4))</f>
        <v>69</v>
      </c>
      <c r="M4" s="188" t="s">
        <v>230</v>
      </c>
      <c r="N4" s="188" t="s">
        <v>230</v>
      </c>
      <c r="O4" s="188" t="s">
        <v>230</v>
      </c>
      <c r="P4" s="188" t="s">
        <v>230</v>
      </c>
      <c r="Q4" s="188" t="s">
        <v>230</v>
      </c>
      <c r="R4" s="188" t="s">
        <v>200</v>
      </c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SUM(PORTEFEUILLE_ERIC[[#This Row],[PCR COMPTABLE €]:[MONTANT
RESPONSABLE RELATION CLIENT €]])-PORTEFEUILLE_ERIC[[#This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88"/>
      <c r="AN4" s="188" t="s">
        <v>199</v>
      </c>
      <c r="AO4" s="188" t="s">
        <v>200</v>
      </c>
      <c r="AP4" s="188" t="s">
        <v>236</v>
      </c>
      <c r="AQ4" s="188" t="s">
        <v>237</v>
      </c>
      <c r="AR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800</v>
      </c>
      <c r="AT4" s="188" t="str">
        <f>IF(PORTEFEUILLE_ERIC[[#This Row],[BONI AAC]]&lt;&gt;0,1,"")</f>
        <v/>
      </c>
      <c r="AU4" s="188">
        <f>IF(PORTEFEUILLE_ERIC[[#This Row],[MALI AAC]]&lt;&gt;0,1,"")</f>
        <v>1</v>
      </c>
      <c r="AV4" s="225">
        <f>IF(AP4&lt;&gt;"",IF((AP4*Paramètres!$H$4)-PORTEFEUILLE_ERIC[[#This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4" s="225">
        <f>IF(AP4&lt;&gt;"",IF(((AP4*Paramètres!$H$4)-PORTEFEUILLE_ERIC[[#This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3600</v>
      </c>
      <c r="AX4" s="190" t="str">
        <f>IF(PORTEFEUILLE_ERIC[[#This Row],[BONI COMPTABLE]]&lt;&gt;0,1,"")</f>
        <v/>
      </c>
      <c r="AY4" s="190">
        <f>IF(PORTEFEUILLE_ERIC[[#This Row],[MALI COMPTABLE]]&lt;&gt;0,1,"")</f>
        <v>1</v>
      </c>
      <c r="AZ4" s="188" t="s">
        <v>238</v>
      </c>
      <c r="BA4" s="188" t="s">
        <v>209</v>
      </c>
      <c r="BB4" s="188" t="s">
        <v>209</v>
      </c>
      <c r="BC4" s="188" t="s">
        <v>230</v>
      </c>
      <c r="BD4" s="188" t="s">
        <v>230</v>
      </c>
      <c r="BE4" s="188" t="s">
        <v>230</v>
      </c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141</v>
      </c>
      <c r="B5" s="170" t="s">
        <v>240</v>
      </c>
      <c r="C5" s="165" t="s">
        <v>198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 t="s">
        <v>234</v>
      </c>
      <c r="J5" s="189" t="s">
        <v>235</v>
      </c>
      <c r="K5" s="190">
        <f t="shared" si="0"/>
        <v>3</v>
      </c>
      <c r="L5" s="190">
        <f t="shared" si="1"/>
        <v>69</v>
      </c>
      <c r="M5" s="188" t="s">
        <v>230</v>
      </c>
      <c r="N5" s="188" t="s">
        <v>230</v>
      </c>
      <c r="O5" s="188" t="s">
        <v>230</v>
      </c>
      <c r="P5" s="188" t="s">
        <v>230</v>
      </c>
      <c r="Q5" s="188" t="s">
        <v>230</v>
      </c>
      <c r="R5" s="188" t="s">
        <v>230</v>
      </c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SUM(PORTEFEUILLE_ERIC[[#This Row],[PCR COMPTABLE €]:[MONTANT
RESPONSABLE RELATION CLIENT €]])-PORTEFEUILLE_ERIC[[#This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88"/>
      <c r="AN5" s="188"/>
      <c r="AO5" s="188" t="s">
        <v>200</v>
      </c>
      <c r="AP5" s="188" t="s">
        <v>236</v>
      </c>
      <c r="AQ5" s="188" t="s">
        <v>237</v>
      </c>
      <c r="AR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" s="188" t="str">
        <f>IF(PORTEFEUILLE_ERIC[[#This Row],[BONI AAC]]&lt;&gt;0,1,"")</f>
        <v/>
      </c>
      <c r="AU5" s="188" t="str">
        <f>IF(PORTEFEUILLE_ERIC[[#This Row],[MALI AAC]]&lt;&gt;0,1,"")</f>
        <v/>
      </c>
      <c r="AV5" s="225">
        <f>IF(AP5&lt;&gt;"",IF((AP5*Paramètres!$H$4)-PORTEFEUILLE_ERIC[[#This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5" s="225">
        <f>IF(AP5&lt;&gt;"",IF(((AP5*Paramètres!$H$4)-PORTEFEUILLE_ERIC[[#This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1750</v>
      </c>
      <c r="AX5" s="190" t="str">
        <f>IF(PORTEFEUILLE_ERIC[[#This Row],[BONI COMPTABLE]]&lt;&gt;0,1,"")</f>
        <v/>
      </c>
      <c r="AY5" s="190">
        <f>IF(PORTEFEUILLE_ERIC[[#This Row],[MALI COMPTABLE]]&lt;&gt;0,1,"")</f>
        <v>1</v>
      </c>
      <c r="AZ5" s="188" t="s">
        <v>238</v>
      </c>
      <c r="BA5" s="188" t="s">
        <v>209</v>
      </c>
      <c r="BB5" s="188" t="s">
        <v>209</v>
      </c>
      <c r="BC5" s="188" t="s">
        <v>230</v>
      </c>
      <c r="BD5" s="188" t="s">
        <v>230</v>
      </c>
      <c r="BE5" s="188" t="s">
        <v>230</v>
      </c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SUM(PORTEFEUILLE_ERIC[[#This Row],[PCR COMPTABLE €]:[MONTANT
RESPONSABLE RELATION CLIENT €]])-PORTEFEUILLE_ERIC[[#This Row],[MONTANT TOTAL LETTRE DE MISION €]]</f>
        <v>0</v>
      </c>
      <c r="AI6" s="191"/>
      <c r="AJ6" s="188"/>
      <c r="AK6" s="188"/>
      <c r="AL6" s="188"/>
      <c r="AM6" s="188"/>
      <c r="AN6" s="188"/>
      <c r="AO6" s="188"/>
      <c r="AP6" s="188"/>
      <c r="AQ6" s="188"/>
      <c r="AR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6" s="188" t="str">
        <f>IF(PORTEFEUILLE_ERIC[[#This Row],[BONI AAC]]&lt;&gt;0,1,"")</f>
        <v/>
      </c>
      <c r="AU6" s="188" t="str">
        <f>IF(PORTEFEUILLE_ERIC[[#This Row],[MALI AAC]]&lt;&gt;0,1,"")</f>
        <v/>
      </c>
      <c r="AV6" s="225">
        <f>IF(AP6&lt;&gt;"",IF((AP6*Paramètres!$H$4)-PORTEFEUILLE_ERIC[[#This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6" s="225">
        <f>IF(AP6&lt;&gt;"",IF(((AP6*Paramètres!$H$4)-PORTEFEUILLE_ERIC[[#This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6" s="190" t="str">
        <f>IF(PORTEFEUILLE_ERIC[[#This Row],[BONI COMPTABLE]]&lt;&gt;0,1,"")</f>
        <v/>
      </c>
      <c r="AY6" s="190" t="str">
        <f>IF(PORTEFEUILLE_ERIC[[#This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SUM(PORTEFEUILLE_ERIC[[#This Row],[PCR COMPTABLE €]:[MONTANT
RESPONSABLE RELATION CLIENT €]])-PORTEFEUILLE_ERIC[[#This Row],[MONTANT TOTAL LETTRE DE MISION €]]</f>
        <v>0</v>
      </c>
      <c r="AI7" s="191"/>
      <c r="AJ7" s="188"/>
      <c r="AK7" s="188"/>
      <c r="AL7" s="188"/>
      <c r="AM7" s="188"/>
      <c r="AN7" s="188"/>
      <c r="AO7" s="188"/>
      <c r="AP7" s="188"/>
      <c r="AQ7" s="188"/>
      <c r="AR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7" s="188" t="str">
        <f>IF(PORTEFEUILLE_ERIC[[#This Row],[BONI AAC]]&lt;&gt;0,1,"")</f>
        <v/>
      </c>
      <c r="AU7" s="188" t="str">
        <f>IF(PORTEFEUILLE_ERIC[[#This Row],[MALI AAC]]&lt;&gt;0,1,"")</f>
        <v/>
      </c>
      <c r="AV7" s="225">
        <f>IF(AP7&lt;&gt;"",IF((AP7*Paramètres!$H$4)-PORTEFEUILLE_ERIC[[#This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7" s="225">
        <f>IF(AP7&lt;&gt;"",IF(((AP7*Paramètres!$H$4)-PORTEFEUILLE_ERIC[[#This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7" s="190" t="str">
        <f>IF(PORTEFEUILLE_ERIC[[#This Row],[BONI COMPTABLE]]&lt;&gt;0,1,"")</f>
        <v/>
      </c>
      <c r="AY7" s="190" t="str">
        <f>IF(PORTEFEUILLE_ERIC[[#This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SUM(PORTEFEUILLE_ERIC[[#This Row],[PCR COMPTABLE €]:[MONTANT
RESPONSABLE RELATION CLIENT €]])-PORTEFEUILLE_ERIC[[#This Row],[MONTANT TOTAL LETTRE DE MISION €]]</f>
        <v>0</v>
      </c>
      <c r="AI8" s="191"/>
      <c r="AJ8" s="188"/>
      <c r="AK8" s="188"/>
      <c r="AL8" s="188"/>
      <c r="AM8" s="188"/>
      <c r="AN8" s="188"/>
      <c r="AO8" s="188"/>
      <c r="AP8" s="188"/>
      <c r="AQ8" s="188"/>
      <c r="AR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8" s="188" t="str">
        <f>IF(PORTEFEUILLE_ERIC[[#This Row],[BONI AAC]]&lt;&gt;0,1,"")</f>
        <v/>
      </c>
      <c r="AU8" s="188" t="str">
        <f>IF(PORTEFEUILLE_ERIC[[#This Row],[MALI AAC]]&lt;&gt;0,1,"")</f>
        <v/>
      </c>
      <c r="AV8" s="225">
        <f>IF(AP8&lt;&gt;"",IF((AP8*Paramètres!$H$4)-PORTEFEUILLE_ERIC[[#This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8" s="225">
        <f>IF(AP8&lt;&gt;"",IF(((AP8*Paramètres!$H$4)-PORTEFEUILLE_ERIC[[#This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8" s="190" t="str">
        <f>IF(PORTEFEUILLE_ERIC[[#This Row],[BONI COMPTABLE]]&lt;&gt;0,1,"")</f>
        <v/>
      </c>
      <c r="AY8" s="190" t="str">
        <f>IF(PORTEFEUILLE_ERIC[[#This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SUM(PORTEFEUILLE_ERIC[[#This Row],[PCR COMPTABLE €]:[MONTANT
RESPONSABLE RELATION CLIENT €]])-PORTEFEUILLE_ERIC[[#This Row],[MONTANT TOTAL LETTRE DE MISION €]]</f>
        <v>0</v>
      </c>
      <c r="AI9" s="191"/>
      <c r="AJ9" s="188"/>
      <c r="AK9" s="188"/>
      <c r="AL9" s="188"/>
      <c r="AM9" s="188"/>
      <c r="AN9" s="196"/>
      <c r="AO9" s="196"/>
      <c r="AP9" s="196"/>
      <c r="AQ9" s="196"/>
      <c r="AR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9" s="188" t="str">
        <f>IF(PORTEFEUILLE_ERIC[[#This Row],[BONI AAC]]&lt;&gt;0,1,"")</f>
        <v/>
      </c>
      <c r="AU9" s="188" t="str">
        <f>IF(PORTEFEUILLE_ERIC[[#This Row],[MALI AAC]]&lt;&gt;0,1,"")</f>
        <v/>
      </c>
      <c r="AV9" s="225">
        <f>IF(AP9&lt;&gt;"",IF((AP9*Paramètres!$H$4)-PORTEFEUILLE_ERIC[[#This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9" s="225">
        <f>IF(AP9&lt;&gt;"",IF(((AP9*Paramètres!$H$4)-PORTEFEUILLE_ERIC[[#This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9" s="190" t="str">
        <f>IF(PORTEFEUILLE_ERIC[[#This Row],[BONI COMPTABLE]]&lt;&gt;0,1,"")</f>
        <v/>
      </c>
      <c r="AY9" s="190" t="str">
        <f>IF(PORTEFEUILLE_ERIC[[#This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SUM(PORTEFEUILLE_ERIC[[#This Row],[PCR COMPTABLE €]:[MONTANT
RESPONSABLE RELATION CLIENT €]])-PORTEFEUILLE_ERIC[[#This Row],[MONTANT TOTAL LETTRE DE MISION €]]</f>
        <v>0</v>
      </c>
      <c r="AI10" s="191"/>
      <c r="AJ10" s="188"/>
      <c r="AK10" s="188"/>
      <c r="AL10" s="188"/>
      <c r="AM10" s="188"/>
      <c r="AN10" s="188"/>
      <c r="AO10" s="188"/>
      <c r="AP10" s="188"/>
      <c r="AQ10" s="188"/>
      <c r="AR1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0" s="188" t="str">
        <f>IF(PORTEFEUILLE_ERIC[[#This Row],[BONI AAC]]&lt;&gt;0,1,"")</f>
        <v/>
      </c>
      <c r="AU10" s="188" t="str">
        <f>IF(PORTEFEUILLE_ERIC[[#This Row],[MALI AAC]]&lt;&gt;0,1,"")</f>
        <v/>
      </c>
      <c r="AV10" s="225">
        <f>IF(AP10&lt;&gt;"",IF((AP10*Paramètres!$H$4)-PORTEFEUILLE_ERIC[[#This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10" s="225">
        <f>IF(AP10&lt;&gt;"",IF(((AP10*Paramètres!$H$4)-PORTEFEUILLE_ERIC[[#This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0" s="190" t="str">
        <f>IF(PORTEFEUILLE_ERIC[[#This Row],[BONI COMPTABLE]]&lt;&gt;0,1,"")</f>
        <v/>
      </c>
      <c r="AY10" s="190" t="str">
        <f>IF(PORTEFEUILLE_ERIC[[#This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SUM(PORTEFEUILLE_ERIC[[#This Row],[PCR COMPTABLE €]:[MONTANT
RESPONSABLE RELATION CLIENT €]])-PORTEFEUILLE_ERIC[[#This Row],[MONTANT TOTAL LETTRE DE MISION €]]</f>
        <v>0</v>
      </c>
      <c r="AI11" s="191"/>
      <c r="AJ11" s="188"/>
      <c r="AK11" s="188"/>
      <c r="AL11" s="188"/>
      <c r="AM11" s="188"/>
      <c r="AN11" s="188"/>
      <c r="AO11" s="188"/>
      <c r="AP11" s="188"/>
      <c r="AQ11" s="188"/>
      <c r="AR1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1" s="188" t="str">
        <f>IF(PORTEFEUILLE_ERIC[[#This Row],[BONI AAC]]&lt;&gt;0,1,"")</f>
        <v/>
      </c>
      <c r="AU11" s="188" t="str">
        <f>IF(PORTEFEUILLE_ERIC[[#This Row],[MALI AAC]]&lt;&gt;0,1,"")</f>
        <v/>
      </c>
      <c r="AV11" s="225">
        <f>IF(AP11&lt;&gt;"",IF((AP11*Paramètres!$H$4)-PORTEFEUILLE_ERIC[[#This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11" s="225">
        <f>IF(AP11&lt;&gt;"",IF(((AP11*Paramètres!$H$4)-PORTEFEUILLE_ERIC[[#This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1" s="190" t="str">
        <f>IF(PORTEFEUILLE_ERIC[[#This Row],[BONI COMPTABLE]]&lt;&gt;0,1,"")</f>
        <v/>
      </c>
      <c r="AY11" s="190" t="str">
        <f>IF(PORTEFEUILLE_ERIC[[#This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SUM(PORTEFEUILLE_ERIC[[#This Row],[PCR COMPTABLE €]:[MONTANT
RESPONSABLE RELATION CLIENT €]])-PORTEFEUILLE_ERIC[[#This Row],[MONTANT TOTAL LETTRE DE MISION €]]</f>
        <v>0</v>
      </c>
      <c r="AI12" s="191"/>
      <c r="AJ12" s="188"/>
      <c r="AK12" s="188"/>
      <c r="AL12" s="188"/>
      <c r="AM12" s="188"/>
      <c r="AN12" s="188"/>
      <c r="AO12" s="188"/>
      <c r="AP12" s="188"/>
      <c r="AQ12" s="188"/>
      <c r="AR1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2" s="188" t="str">
        <f>IF(PORTEFEUILLE_ERIC[[#This Row],[BONI AAC]]&lt;&gt;0,1,"")</f>
        <v/>
      </c>
      <c r="AU12" s="188" t="str">
        <f>IF(PORTEFEUILLE_ERIC[[#This Row],[MALI AAC]]&lt;&gt;0,1,"")</f>
        <v/>
      </c>
      <c r="AV12" s="225">
        <f>IF(AP12&lt;&gt;"",IF((AP12*Paramètres!$H$4)-PORTEFEUILLE_ERIC[[#This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12" s="225">
        <f>IF(AP12&lt;&gt;"",IF(((AP12*Paramètres!$H$4)-PORTEFEUILLE_ERIC[[#This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2" s="190" t="str">
        <f>IF(PORTEFEUILLE_ERIC[[#This Row],[BONI COMPTABLE]]&lt;&gt;0,1,"")</f>
        <v/>
      </c>
      <c r="AY12" s="190" t="str">
        <f>IF(PORTEFEUILLE_ERIC[[#This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SUM(PORTEFEUILLE_ERIC[[#This Row],[PCR COMPTABLE €]:[MONTANT
RESPONSABLE RELATION CLIENT €]])-PORTEFEUILLE_ERIC[[#This Row],[MONTANT TOTAL LETTRE DE MISION €]]</f>
        <v>0</v>
      </c>
      <c r="AI13" s="191"/>
      <c r="AJ13" s="188"/>
      <c r="AK13" s="188"/>
      <c r="AL13" s="188"/>
      <c r="AM13" s="188"/>
      <c r="AN13" s="188"/>
      <c r="AO13" s="188"/>
      <c r="AP13" s="188"/>
      <c r="AQ13" s="188"/>
      <c r="AR1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3" s="188" t="str">
        <f>IF(PORTEFEUILLE_ERIC[[#This Row],[BONI AAC]]&lt;&gt;0,1,"")</f>
        <v/>
      </c>
      <c r="AU13" s="188" t="str">
        <f>IF(PORTEFEUILLE_ERIC[[#This Row],[MALI AAC]]&lt;&gt;0,1,"")</f>
        <v/>
      </c>
      <c r="AV13" s="225">
        <f>IF(AP13&lt;&gt;"",IF((AP13*Paramètres!$H$4)-PORTEFEUILLE_ERIC[[#This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€]]-(DELPHINE!AP3*Paramètres!$H$4),0),0)</f>
        <v>0</v>
      </c>
      <c r="AW13" s="225">
        <f>IF(AP13&lt;&gt;"",IF(((AP13*Paramètres!$H$4)-PORTEFEUILLE_ERIC[[#This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3" s="190" t="str">
        <f>IF(PORTEFEUILLE_ERIC[[#This Row],[BONI COMPTABLE]]&lt;&gt;0,1,"")</f>
        <v/>
      </c>
      <c r="AY13" s="190" t="str">
        <f>IF(PORTEFEUILLE_ERIC[[#This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SUM(PORTEFEUILLE_ERIC[[#This Row],[PCR COMPTABLE €]:[MONTANT
RESPONSABLE RELATION CLIENT €]])-PORTEFEUILLE_ERIC[[#This Row],[MONTANT TOTAL LETTRE DE MISION €]]</f>
        <v>0</v>
      </c>
      <c r="AI14" s="191"/>
      <c r="AJ14" s="188"/>
      <c r="AK14" s="188"/>
      <c r="AL14" s="188"/>
      <c r="AM14" s="188"/>
      <c r="AN14" s="188"/>
      <c r="AO14" s="188"/>
      <c r="AP14" s="188"/>
      <c r="AQ14" s="188"/>
      <c r="AR1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4" s="188" t="str">
        <f>IF(PORTEFEUILLE_ERIC[[#This Row],[BONI AAC]]&lt;&gt;0,1,"")</f>
        <v/>
      </c>
      <c r="AU14" s="188" t="str">
        <f>IF(PORTEFEUILLE_ERIC[[#This Row],[MALI AAC]]&lt;&gt;0,1,"")</f>
        <v/>
      </c>
      <c r="AV14" s="225">
        <f>IF(AP14&lt;&gt;"",IF((AP14*Paramètres!$H$4)-PORTEFEUILLE_ERIC[[#This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14" s="225">
        <f>IF(AP14&lt;&gt;"",IF(((AP14*Paramètres!$H$4)-PORTEFEUILLE_ERIC[[#This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4" s="190" t="str">
        <f>IF(PORTEFEUILLE_ERIC[[#This Row],[BONI COMPTABLE]]&lt;&gt;0,1,"")</f>
        <v/>
      </c>
      <c r="AY14" s="190" t="str">
        <f>IF(PORTEFEUILLE_ERIC[[#This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SUM(PORTEFEUILLE_ERIC[[#This Row],[PCR COMPTABLE €]:[MONTANT
RESPONSABLE RELATION CLIENT €]])-PORTEFEUILLE_ERIC[[#This Row],[MONTANT TOTAL LETTRE DE MISION €]]</f>
        <v>0</v>
      </c>
      <c r="AI15" s="191"/>
      <c r="AJ15" s="188"/>
      <c r="AK15" s="188"/>
      <c r="AL15" s="188"/>
      <c r="AM15" s="188"/>
      <c r="AN15" s="188"/>
      <c r="AO15" s="188"/>
      <c r="AP15" s="188"/>
      <c r="AQ15" s="188"/>
      <c r="AR1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5" s="188" t="str">
        <f>IF(PORTEFEUILLE_ERIC[[#This Row],[BONI AAC]]&lt;&gt;0,1,"")</f>
        <v/>
      </c>
      <c r="AU15" s="188" t="str">
        <f>IF(PORTEFEUILLE_ERIC[[#This Row],[MALI AAC]]&lt;&gt;0,1,"")</f>
        <v/>
      </c>
      <c r="AV15" s="225">
        <f>IF(AP15&lt;&gt;"",IF((AP15*Paramètres!$H$4)-PORTEFEUILLE_ERIC[[#This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€]]-(DELPHINE!AP4*Paramètres!$H$4),0),0)</f>
        <v>0</v>
      </c>
      <c r="AW15" s="225">
        <f>IF(AP15&lt;&gt;"",IF(((AP15*Paramètres!$H$4)-PORTEFEUILLE_ERIC[[#This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5" s="190" t="str">
        <f>IF(PORTEFEUILLE_ERIC[[#This Row],[BONI COMPTABLE]]&lt;&gt;0,1,"")</f>
        <v/>
      </c>
      <c r="AY15" s="190" t="str">
        <f>IF(PORTEFEUILLE_ERIC[[#This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SUM(PORTEFEUILLE_ERIC[[#This Row],[PCR COMPTABLE €]:[MONTANT
RESPONSABLE RELATION CLIENT €]])-PORTEFEUILLE_ERIC[[#This Row],[MONTANT TOTAL LETTRE DE MISION €]]</f>
        <v>0</v>
      </c>
      <c r="AI16" s="191"/>
      <c r="AJ16" s="188"/>
      <c r="AK16" s="188"/>
      <c r="AL16" s="188"/>
      <c r="AM16" s="188"/>
      <c r="AN16" s="188"/>
      <c r="AO16" s="188"/>
      <c r="AP16" s="188"/>
      <c r="AQ16" s="188"/>
      <c r="AR1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6" s="188" t="str">
        <f>IF(PORTEFEUILLE_ERIC[[#This Row],[BONI AAC]]&lt;&gt;0,1,"")</f>
        <v/>
      </c>
      <c r="AU16" s="188" t="str">
        <f>IF(PORTEFEUILLE_ERIC[[#This Row],[MALI AAC]]&lt;&gt;0,1,"")</f>
        <v/>
      </c>
      <c r="AV16" s="225">
        <f>IF(AP16&lt;&gt;"",IF((AP16*Paramètres!$H$4)-PORTEFEUILLE_ERIC[[#This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€]]-(DELPHINE!AP5*Paramètres!$H$4),0),0)</f>
        <v>0</v>
      </c>
      <c r="AW16" s="225">
        <f>IF(AP16&lt;&gt;"",IF(((AP16*Paramètres!$H$4)-PORTEFEUILLE_ERIC[[#This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6" s="190" t="str">
        <f>IF(PORTEFEUILLE_ERIC[[#This Row],[BONI COMPTABLE]]&lt;&gt;0,1,"")</f>
        <v/>
      </c>
      <c r="AY16" s="190" t="str">
        <f>IF(PORTEFEUILLE_ERIC[[#This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SUM(PORTEFEUILLE_ERIC[[#This Row],[PCR COMPTABLE €]:[MONTANT
RESPONSABLE RELATION CLIENT €]])-PORTEFEUILLE_ERIC[[#This Row],[MONTANT TOTAL LETTRE DE MISION €]]</f>
        <v>0</v>
      </c>
      <c r="AI17" s="191"/>
      <c r="AJ17" s="188"/>
      <c r="AK17" s="188"/>
      <c r="AL17" s="188"/>
      <c r="AM17" s="188"/>
      <c r="AN17" s="188"/>
      <c r="AO17" s="188"/>
      <c r="AP17" s="188"/>
      <c r="AQ17" s="188"/>
      <c r="AR1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7" s="188" t="str">
        <f>IF(PORTEFEUILLE_ERIC[[#This Row],[BONI AAC]]&lt;&gt;0,1,"")</f>
        <v/>
      </c>
      <c r="AU17" s="188" t="str">
        <f>IF(PORTEFEUILLE_ERIC[[#This Row],[MALI AAC]]&lt;&gt;0,1,"")</f>
        <v/>
      </c>
      <c r="AV17" s="225">
        <f>IF(AP17&lt;&gt;"",IF((AP17*Paramètres!$H$4)-PORTEFEUILLE_ERIC[[#This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€]]-(DELPHINE!AP6*Paramètres!$H$4),0),0)</f>
        <v>0</v>
      </c>
      <c r="AW17" s="225">
        <f>IF(AP17&lt;&gt;"",IF(((AP17*Paramètres!$H$4)-PORTEFEUILLE_ERIC[[#This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7" s="190" t="str">
        <f>IF(PORTEFEUILLE_ERIC[[#This Row],[BONI COMPTABLE]]&lt;&gt;0,1,"")</f>
        <v/>
      </c>
      <c r="AY17" s="190" t="str">
        <f>IF(PORTEFEUILLE_ERIC[[#This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SUM(PORTEFEUILLE_ERIC[[#This Row],[PCR COMPTABLE €]:[MONTANT
RESPONSABLE RELATION CLIENT €]])-PORTEFEUILLE_ERIC[[#This Row],[MONTANT TOTAL LETTRE DE MISION €]]</f>
        <v>0</v>
      </c>
      <c r="AI18" s="191"/>
      <c r="AJ18" s="188"/>
      <c r="AK18" s="188"/>
      <c r="AL18" s="188"/>
      <c r="AM18" s="188"/>
      <c r="AN18" s="188"/>
      <c r="AO18" s="188"/>
      <c r="AP18" s="188"/>
      <c r="AQ18" s="188"/>
      <c r="AR1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8" s="188" t="str">
        <f>IF(PORTEFEUILLE_ERIC[[#This Row],[BONI AAC]]&lt;&gt;0,1,"")</f>
        <v/>
      </c>
      <c r="AU18" s="188" t="str">
        <f>IF(PORTEFEUILLE_ERIC[[#This Row],[MALI AAC]]&lt;&gt;0,1,"")</f>
        <v/>
      </c>
      <c r="AV18" s="225">
        <f>IF(AP18&lt;&gt;"",IF((AP18*Paramètres!$H$4)-PORTEFEUILLE_ERIC[[#This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€]]-(DELPHINE!AP7*Paramètres!$H$4),0),0)</f>
        <v>0</v>
      </c>
      <c r="AW18" s="225">
        <f>IF(AP18&lt;&gt;"",IF(((AP18*Paramètres!$H$4)-PORTEFEUILLE_ERIC[[#This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8" s="190" t="str">
        <f>IF(PORTEFEUILLE_ERIC[[#This Row],[BONI COMPTABLE]]&lt;&gt;0,1,"")</f>
        <v/>
      </c>
      <c r="AY18" s="190" t="str">
        <f>IF(PORTEFEUILLE_ERIC[[#This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SUM(PORTEFEUILLE_ERIC[[#This Row],[PCR COMPTABLE €]:[MONTANT
RESPONSABLE RELATION CLIENT €]])-PORTEFEUILLE_ERIC[[#This Row],[MONTANT TOTAL LETTRE DE MISION €]]</f>
        <v>0</v>
      </c>
      <c r="AI19" s="191"/>
      <c r="AJ19" s="188"/>
      <c r="AK19" s="188"/>
      <c r="AL19" s="188"/>
      <c r="AM19" s="188"/>
      <c r="AN19" s="188"/>
      <c r="AO19" s="188"/>
      <c r="AP19" s="188"/>
      <c r="AQ19" s="188"/>
      <c r="AR1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9" s="188" t="str">
        <f>IF(PORTEFEUILLE_ERIC[[#This Row],[BONI AAC]]&lt;&gt;0,1,"")</f>
        <v/>
      </c>
      <c r="AU19" s="188" t="str">
        <f>IF(PORTEFEUILLE_ERIC[[#This Row],[MALI AAC]]&lt;&gt;0,1,"")</f>
        <v/>
      </c>
      <c r="AV19" s="225">
        <f>IF(AP19&lt;&gt;"",IF((AP19*Paramètres!$H$4)-PORTEFEUILLE_ERIC[[#This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€]]-(DELPHINE!AP8*Paramètres!$H$4),0),0)</f>
        <v>0</v>
      </c>
      <c r="AW19" s="225">
        <f>IF(AP19&lt;&gt;"",IF(((AP19*Paramètres!$H$4)-PORTEFEUILLE_ERIC[[#This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9" s="190" t="str">
        <f>IF(PORTEFEUILLE_ERIC[[#This Row],[BONI COMPTABLE]]&lt;&gt;0,1,"")</f>
        <v/>
      </c>
      <c r="AY19" s="190" t="str">
        <f>IF(PORTEFEUILLE_ERIC[[#This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SUM(PORTEFEUILLE_ERIC[[#This Row],[PCR COMPTABLE €]:[MONTANT
RESPONSABLE RELATION CLIENT €]])-PORTEFEUILLE_ERIC[[#This Row],[MONTANT TOTAL LETTRE DE MISION €]]</f>
        <v>0</v>
      </c>
      <c r="AI20" s="191"/>
      <c r="AJ20" s="188"/>
      <c r="AK20" s="188"/>
      <c r="AL20" s="188"/>
      <c r="AM20" s="188"/>
      <c r="AN20" s="196"/>
      <c r="AO20" s="196"/>
      <c r="AP20" s="196"/>
      <c r="AQ20" s="196"/>
      <c r="AR2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0" s="188" t="str">
        <f>IF(PORTEFEUILLE_ERIC[[#This Row],[BONI AAC]]&lt;&gt;0,1,"")</f>
        <v/>
      </c>
      <c r="AU20" s="188" t="str">
        <f>IF(PORTEFEUILLE_ERIC[[#This Row],[MALI AAC]]&lt;&gt;0,1,"")</f>
        <v/>
      </c>
      <c r="AV20" s="225">
        <f>IF(AP20&lt;&gt;"",IF((AP20*Paramètres!$H$4)-PORTEFEUILLE_ERIC[[#This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€]]-(DELPHINE!AP9*Paramètres!$H$4),0),0)</f>
        <v>0</v>
      </c>
      <c r="AW20" s="225">
        <f>IF(AP20&lt;&gt;"",IF(((AP20*Paramètres!$H$4)-PORTEFEUILLE_ERIC[[#This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0" s="190" t="str">
        <f>IF(PORTEFEUILLE_ERIC[[#This Row],[BONI COMPTABLE]]&lt;&gt;0,1,"")</f>
        <v/>
      </c>
      <c r="AY20" s="190" t="str">
        <f>IF(PORTEFEUILLE_ERIC[[#This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SUM(PORTEFEUILLE_ERIC[[#This Row],[PCR COMPTABLE €]:[MONTANT
RESPONSABLE RELATION CLIENT €]])-PORTEFEUILLE_ERIC[[#This Row],[MONTANT TOTAL LETTRE DE MISION €]]</f>
        <v>0</v>
      </c>
      <c r="AI21" s="191"/>
      <c r="AJ21" s="188"/>
      <c r="AK21" s="188"/>
      <c r="AL21" s="188"/>
      <c r="AM21" s="188"/>
      <c r="AN21" s="188"/>
      <c r="AO21" s="188"/>
      <c r="AP21" s="188"/>
      <c r="AQ21" s="188"/>
      <c r="AR2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1" s="188" t="str">
        <f>IF(PORTEFEUILLE_ERIC[[#This Row],[BONI AAC]]&lt;&gt;0,1,"")</f>
        <v/>
      </c>
      <c r="AU21" s="188" t="str">
        <f>IF(PORTEFEUILLE_ERIC[[#This Row],[MALI AAC]]&lt;&gt;0,1,"")</f>
        <v/>
      </c>
      <c r="AV21" s="225">
        <f>IF(AP21&lt;&gt;"",IF((AP21*Paramètres!$H$4)-PORTEFEUILLE_ERIC[[#This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€]]-(DELPHINE!AP10*Paramètres!$H$4),0),0)</f>
        <v>0</v>
      </c>
      <c r="AW21" s="225">
        <f>IF(AP21&lt;&gt;"",IF(((AP21*Paramètres!$H$4)-PORTEFEUILLE_ERIC[[#This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1" s="190" t="str">
        <f>IF(PORTEFEUILLE_ERIC[[#This Row],[BONI COMPTABLE]]&lt;&gt;0,1,"")</f>
        <v/>
      </c>
      <c r="AY21" s="190" t="str">
        <f>IF(PORTEFEUILLE_ERIC[[#This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SUM(PORTEFEUILLE_ERIC[[#This Row],[PCR COMPTABLE €]:[MONTANT
RESPONSABLE RELATION CLIENT €]])-PORTEFEUILLE_ERIC[[#This Row],[MONTANT TOTAL LETTRE DE MISION €]]</f>
        <v>0</v>
      </c>
      <c r="AI22" s="191"/>
      <c r="AJ22" s="188"/>
      <c r="AK22" s="188"/>
      <c r="AL22" s="188"/>
      <c r="AM22" s="188"/>
      <c r="AN22" s="197"/>
      <c r="AO22" s="197"/>
      <c r="AP22" s="197"/>
      <c r="AQ22" s="197"/>
      <c r="AR2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2" s="188" t="str">
        <f>IF(PORTEFEUILLE_ERIC[[#This Row],[BONI AAC]]&lt;&gt;0,1,"")</f>
        <v/>
      </c>
      <c r="AU22" s="188" t="str">
        <f>IF(PORTEFEUILLE_ERIC[[#This Row],[MALI AAC]]&lt;&gt;0,1,"")</f>
        <v/>
      </c>
      <c r="AV22" s="225">
        <f>IF(AP22&lt;&gt;"",IF((AP22*Paramètres!$H$4)-PORTEFEUILLE_ERIC[[#This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€]]-(DELPHINE!AP11*Paramètres!$H$4),0),0)</f>
        <v>0</v>
      </c>
      <c r="AW22" s="225">
        <f>IF(AP22&lt;&gt;"",IF(((AP22*Paramètres!$H$4)-PORTEFEUILLE_ERIC[[#This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2" s="190" t="str">
        <f>IF(PORTEFEUILLE_ERIC[[#This Row],[BONI COMPTABLE]]&lt;&gt;0,1,"")</f>
        <v/>
      </c>
      <c r="AY22" s="190" t="str">
        <f>IF(PORTEFEUILLE_ERIC[[#This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SUM(PORTEFEUILLE_ERIC[[#This Row],[PCR COMPTABLE €]:[MONTANT
RESPONSABLE RELATION CLIENT €]])-PORTEFEUILLE_ERIC[[#This Row],[MONTANT TOTAL LETTRE DE MISION €]]</f>
        <v>0</v>
      </c>
      <c r="AI23" s="191"/>
      <c r="AJ23" s="188"/>
      <c r="AK23" s="188"/>
      <c r="AL23" s="188"/>
      <c r="AM23" s="188"/>
      <c r="AN23" s="188"/>
      <c r="AO23" s="188"/>
      <c r="AP23" s="188"/>
      <c r="AQ23" s="188"/>
      <c r="AR2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3" s="188" t="str">
        <f>IF(PORTEFEUILLE_ERIC[[#This Row],[BONI AAC]]&lt;&gt;0,1,"")</f>
        <v/>
      </c>
      <c r="AU23" s="188" t="str">
        <f>IF(PORTEFEUILLE_ERIC[[#This Row],[MALI AAC]]&lt;&gt;0,1,"")</f>
        <v/>
      </c>
      <c r="AV23" s="225">
        <f>IF(AP23&lt;&gt;"",IF((AP23*Paramètres!$H$4)-PORTEFEUILLE_ERIC[[#This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€]]-(DELPHINE!AP12*Paramètres!$H$4),0),0)</f>
        <v>0</v>
      </c>
      <c r="AW23" s="225">
        <f>IF(AP23&lt;&gt;"",IF(((AP23*Paramètres!$H$4)-PORTEFEUILLE_ERIC[[#This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3" s="190" t="str">
        <f>IF(PORTEFEUILLE_ERIC[[#This Row],[BONI COMPTABLE]]&lt;&gt;0,1,"")</f>
        <v/>
      </c>
      <c r="AY23" s="190" t="str">
        <f>IF(PORTEFEUILLE_ERIC[[#This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SUM(PORTEFEUILLE_ERIC[[#This Row],[PCR COMPTABLE €]:[MONTANT
RESPONSABLE RELATION CLIENT €]])-PORTEFEUILLE_ERIC[[#This Row],[MONTANT TOTAL LETTRE DE MISION €]]</f>
        <v>0</v>
      </c>
      <c r="AI24" s="191"/>
      <c r="AJ24" s="188"/>
      <c r="AK24" s="188"/>
      <c r="AL24" s="188"/>
      <c r="AM24" s="188"/>
      <c r="AN24" s="196"/>
      <c r="AO24" s="196"/>
      <c r="AP24" s="196"/>
      <c r="AQ24" s="196"/>
      <c r="AR2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4" s="188" t="str">
        <f>IF(PORTEFEUILLE_ERIC[[#This Row],[BONI AAC]]&lt;&gt;0,1,"")</f>
        <v/>
      </c>
      <c r="AU24" s="188" t="str">
        <f>IF(PORTEFEUILLE_ERIC[[#This Row],[MALI AAC]]&lt;&gt;0,1,"")</f>
        <v/>
      </c>
      <c r="AV24" s="225">
        <f>IF(AP24&lt;&gt;"",IF((AP24*Paramètres!$H$4)-PORTEFEUILLE_ERIC[[#This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€]]-(DELPHINE!AP13*Paramètres!$H$4),0),0)</f>
        <v>0</v>
      </c>
      <c r="AW24" s="225">
        <f>IF(AP24&lt;&gt;"",IF(((AP24*Paramètres!$H$4)-PORTEFEUILLE_ERIC[[#This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4" s="190" t="str">
        <f>IF(PORTEFEUILLE_ERIC[[#This Row],[BONI COMPTABLE]]&lt;&gt;0,1,"")</f>
        <v/>
      </c>
      <c r="AY24" s="190" t="str">
        <f>IF(PORTEFEUILLE_ERIC[[#This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SUM(PORTEFEUILLE_ERIC[[#This Row],[PCR COMPTABLE €]:[MONTANT
RESPONSABLE RELATION CLIENT €]])-PORTEFEUILLE_ERIC[[#This Row],[MONTANT TOTAL LETTRE DE MISION €]]</f>
        <v>0</v>
      </c>
      <c r="AI25" s="191"/>
      <c r="AJ25" s="188"/>
      <c r="AK25" s="188"/>
      <c r="AL25" s="188"/>
      <c r="AM25" s="188"/>
      <c r="AN25" s="196"/>
      <c r="AO25" s="196"/>
      <c r="AP25" s="196"/>
      <c r="AQ25" s="196"/>
      <c r="AR2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5" s="188" t="str">
        <f>IF(PORTEFEUILLE_ERIC[[#This Row],[BONI AAC]]&lt;&gt;0,1,"")</f>
        <v/>
      </c>
      <c r="AU25" s="188" t="str">
        <f>IF(PORTEFEUILLE_ERIC[[#This Row],[MALI AAC]]&lt;&gt;0,1,"")</f>
        <v/>
      </c>
      <c r="AV25" s="225">
        <f>IF(AP25&lt;&gt;"",IF((AP25*Paramètres!$H$4)-PORTEFEUILLE_ERIC[[#This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€]]-(DELPHINE!AP14*Paramètres!$H$4),0),0)</f>
        <v>0</v>
      </c>
      <c r="AW25" s="225">
        <f>IF(AP25&lt;&gt;"",IF(((AP25*Paramètres!$H$4)-PORTEFEUILLE_ERIC[[#This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5" s="190" t="str">
        <f>IF(PORTEFEUILLE_ERIC[[#This Row],[BONI COMPTABLE]]&lt;&gt;0,1,"")</f>
        <v/>
      </c>
      <c r="AY25" s="190" t="str">
        <f>IF(PORTEFEUILLE_ERIC[[#This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SUM(PORTEFEUILLE_ERIC[[#This Row],[PCR COMPTABLE €]:[MONTANT
RESPONSABLE RELATION CLIENT €]])-PORTEFEUILLE_ERIC[[#This Row],[MONTANT TOTAL LETTRE DE MISION €]]</f>
        <v>0</v>
      </c>
      <c r="AI26" s="191"/>
      <c r="AJ26" s="188"/>
      <c r="AK26" s="188"/>
      <c r="AL26" s="188"/>
      <c r="AM26" s="188"/>
      <c r="AN26" s="196"/>
      <c r="AO26" s="196"/>
      <c r="AP26" s="196"/>
      <c r="AQ26" s="196"/>
      <c r="AR2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6" s="188" t="str">
        <f>IF(PORTEFEUILLE_ERIC[[#This Row],[BONI AAC]]&lt;&gt;0,1,"")</f>
        <v/>
      </c>
      <c r="AU26" s="188" t="str">
        <f>IF(PORTEFEUILLE_ERIC[[#This Row],[MALI AAC]]&lt;&gt;0,1,"")</f>
        <v/>
      </c>
      <c r="AV26" s="225">
        <f>IF(AP26&lt;&gt;"",IF((AP26*Paramètres!$H$4)-PORTEFEUILLE_ERIC[[#This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€]]-(DELPHINE!AP15*Paramètres!$H$4),0),0)</f>
        <v>0</v>
      </c>
      <c r="AW26" s="225">
        <f>IF(AP26&lt;&gt;"",IF(((AP26*Paramètres!$H$4)-PORTEFEUILLE_ERIC[[#This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6" s="190" t="str">
        <f>IF(PORTEFEUILLE_ERIC[[#This Row],[BONI COMPTABLE]]&lt;&gt;0,1,"")</f>
        <v/>
      </c>
      <c r="AY26" s="190" t="str">
        <f>IF(PORTEFEUILLE_ERIC[[#This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SUM(PORTEFEUILLE_ERIC[[#This Row],[PCR COMPTABLE €]:[MONTANT
RESPONSABLE RELATION CLIENT €]])-PORTEFEUILLE_ERIC[[#This Row],[MONTANT TOTAL LETTRE DE MISION €]]</f>
        <v>0</v>
      </c>
      <c r="AI27" s="191"/>
      <c r="AJ27" s="188"/>
      <c r="AK27" s="188"/>
      <c r="AL27" s="188"/>
      <c r="AM27" s="188"/>
      <c r="AN27" s="196"/>
      <c r="AO27" s="196"/>
      <c r="AP27" s="196"/>
      <c r="AQ27" s="196"/>
      <c r="AR2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7" s="188" t="str">
        <f>IF(PORTEFEUILLE_ERIC[[#This Row],[BONI AAC]]&lt;&gt;0,1,"")</f>
        <v/>
      </c>
      <c r="AU27" s="188" t="str">
        <f>IF(PORTEFEUILLE_ERIC[[#This Row],[MALI AAC]]&lt;&gt;0,1,"")</f>
        <v/>
      </c>
      <c r="AV27" s="225">
        <f>IF(AP27&lt;&gt;"",IF((AP27*Paramètres!$H$4)-PORTEFEUILLE_ERIC[[#This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€]]-(DELPHINE!AP16*Paramètres!$H$4),0),0)</f>
        <v>0</v>
      </c>
      <c r="AW27" s="225">
        <f>IF(AP27&lt;&gt;"",IF(((AP27*Paramètres!$H$4)-PORTEFEUILLE_ERIC[[#This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7" s="190" t="str">
        <f>IF(PORTEFEUILLE_ERIC[[#This Row],[BONI COMPTABLE]]&lt;&gt;0,1,"")</f>
        <v/>
      </c>
      <c r="AY27" s="190" t="str">
        <f>IF(PORTEFEUILLE_ERIC[[#This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SUM(PORTEFEUILLE_ERIC[[#This Row],[PCR COMPTABLE €]:[MONTANT
RESPONSABLE RELATION CLIENT €]])-PORTEFEUILLE_ERIC[[#This Row],[MONTANT TOTAL LETTRE DE MISION €]]</f>
        <v>0</v>
      </c>
      <c r="AI28" s="191"/>
      <c r="AJ28" s="188"/>
      <c r="AK28" s="188"/>
      <c r="AL28" s="188"/>
      <c r="AM28" s="188"/>
      <c r="AN28" s="188"/>
      <c r="AO28" s="188"/>
      <c r="AP28" s="188"/>
      <c r="AQ28" s="188"/>
      <c r="AR2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8" s="188" t="str">
        <f>IF(PORTEFEUILLE_ERIC[[#This Row],[BONI AAC]]&lt;&gt;0,1,"")</f>
        <v/>
      </c>
      <c r="AU28" s="188" t="str">
        <f>IF(PORTEFEUILLE_ERIC[[#This Row],[MALI AAC]]&lt;&gt;0,1,"")</f>
        <v/>
      </c>
      <c r="AV28" s="225">
        <f>IF(AP28&lt;&gt;"",IF((AP28*Paramètres!$H$4)-PORTEFEUILLE_ERIC[[#This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€]]-(DELPHINE!AP17*Paramètres!$H$4),0),0)</f>
        <v>0</v>
      </c>
      <c r="AW28" s="225">
        <f>IF(AP28&lt;&gt;"",IF(((AP28*Paramètres!$H$4)-PORTEFEUILLE_ERIC[[#This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8" s="190" t="str">
        <f>IF(PORTEFEUILLE_ERIC[[#This Row],[BONI COMPTABLE]]&lt;&gt;0,1,"")</f>
        <v/>
      </c>
      <c r="AY28" s="190" t="str">
        <f>IF(PORTEFEUILLE_ERIC[[#This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SUM(PORTEFEUILLE_ERIC[[#This Row],[PCR COMPTABLE €]:[MONTANT
RESPONSABLE RELATION CLIENT €]])-PORTEFEUILLE_ERIC[[#This Row],[MONTANT TOTAL LETTRE DE MISION €]]</f>
        <v>0</v>
      </c>
      <c r="AI29" s="191"/>
      <c r="AJ29" s="188"/>
      <c r="AK29" s="188"/>
      <c r="AL29" s="188"/>
      <c r="AM29" s="188"/>
      <c r="AN29" s="188"/>
      <c r="AO29" s="188"/>
      <c r="AP29" s="188"/>
      <c r="AQ29" s="188"/>
      <c r="AR2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9" s="188" t="str">
        <f>IF(PORTEFEUILLE_ERIC[[#This Row],[BONI AAC]]&lt;&gt;0,1,"")</f>
        <v/>
      </c>
      <c r="AU29" s="188" t="str">
        <f>IF(PORTEFEUILLE_ERIC[[#This Row],[MALI AAC]]&lt;&gt;0,1,"")</f>
        <v/>
      </c>
      <c r="AV29" s="225">
        <f>IF(AP29&lt;&gt;"",IF((AP29*Paramètres!$H$4)-PORTEFEUILLE_ERIC[[#This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€]]-(DELPHINE!AP18*Paramètres!$H$4),0),0)</f>
        <v>0</v>
      </c>
      <c r="AW29" s="225">
        <f>IF(AP29&lt;&gt;"",IF(((AP29*Paramètres!$H$4)-PORTEFEUILLE_ERIC[[#This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9" s="190" t="str">
        <f>IF(PORTEFEUILLE_ERIC[[#This Row],[BONI COMPTABLE]]&lt;&gt;0,1,"")</f>
        <v/>
      </c>
      <c r="AY29" s="190" t="str">
        <f>IF(PORTEFEUILLE_ERIC[[#This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SUM(PORTEFEUILLE_ERIC[[#This Row],[PCR COMPTABLE €]:[MONTANT
RESPONSABLE RELATION CLIENT €]])-PORTEFEUILLE_ERIC[[#This Row],[MONTANT TOTAL LETTRE DE MISION €]]</f>
        <v>0</v>
      </c>
      <c r="AI30" s="191"/>
      <c r="AJ30" s="188"/>
      <c r="AK30" s="188"/>
      <c r="AL30" s="188"/>
      <c r="AM30" s="188"/>
      <c r="AN30" s="188"/>
      <c r="AO30" s="188"/>
      <c r="AP30" s="188"/>
      <c r="AQ30" s="188"/>
      <c r="AR3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0" s="188" t="str">
        <f>IF(PORTEFEUILLE_ERIC[[#This Row],[BONI AAC]]&lt;&gt;0,1,"")</f>
        <v/>
      </c>
      <c r="AU30" s="188" t="str">
        <f>IF(PORTEFEUILLE_ERIC[[#This Row],[MALI AAC]]&lt;&gt;0,1,"")</f>
        <v/>
      </c>
      <c r="AV30" s="225">
        <f>IF(AP30&lt;&gt;"",IF((AP30*Paramètres!$H$4)-PORTEFEUILLE_ERIC[[#This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€]]-(DELPHINE!AP19*Paramètres!$H$4),0),0)</f>
        <v>0</v>
      </c>
      <c r="AW30" s="225">
        <f>IF(AP30&lt;&gt;"",IF(((AP30*Paramètres!$H$4)-PORTEFEUILLE_ERIC[[#This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0" s="190" t="str">
        <f>IF(PORTEFEUILLE_ERIC[[#This Row],[BONI COMPTABLE]]&lt;&gt;0,1,"")</f>
        <v/>
      </c>
      <c r="AY30" s="190" t="str">
        <f>IF(PORTEFEUILLE_ERIC[[#This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SUM(PORTEFEUILLE_ERIC[[#This Row],[PCR COMPTABLE €]:[MONTANT
RESPONSABLE RELATION CLIENT €]])-PORTEFEUILLE_ERIC[[#This Row],[MONTANT TOTAL LETTRE DE MISION €]]</f>
        <v>0</v>
      </c>
      <c r="AI31" s="191"/>
      <c r="AJ31" s="188"/>
      <c r="AK31" s="188"/>
      <c r="AL31" s="188"/>
      <c r="AM31" s="188"/>
      <c r="AN31" s="188"/>
      <c r="AO31" s="188"/>
      <c r="AP31" s="188"/>
      <c r="AQ31" s="188"/>
      <c r="AR3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1" s="188" t="str">
        <f>IF(PORTEFEUILLE_ERIC[[#This Row],[BONI AAC]]&lt;&gt;0,1,"")</f>
        <v/>
      </c>
      <c r="AU31" s="188" t="str">
        <f>IF(PORTEFEUILLE_ERIC[[#This Row],[MALI AAC]]&lt;&gt;0,1,"")</f>
        <v/>
      </c>
      <c r="AV31" s="225">
        <f>IF(AP31&lt;&gt;"",IF((AP31*Paramètres!$H$4)-PORTEFEUILLE_ERIC[[#This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€]]-(DELPHINE!AP20*Paramètres!$H$4),0),0)</f>
        <v>0</v>
      </c>
      <c r="AW31" s="225">
        <f>IF(AP31&lt;&gt;"",IF(((AP31*Paramètres!$H$4)-PORTEFEUILLE_ERIC[[#This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1" s="190" t="str">
        <f>IF(PORTEFEUILLE_ERIC[[#This Row],[BONI COMPTABLE]]&lt;&gt;0,1,"")</f>
        <v/>
      </c>
      <c r="AY31" s="190" t="str">
        <f>IF(PORTEFEUILLE_ERIC[[#This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SUM(PORTEFEUILLE_ERIC[[#This Row],[PCR COMPTABLE €]:[MONTANT
RESPONSABLE RELATION CLIENT €]])-PORTEFEUILLE_ERIC[[#This Row],[MONTANT TOTAL LETTRE DE MISION €]]</f>
        <v>0</v>
      </c>
      <c r="AI32" s="191"/>
      <c r="AJ32" s="188"/>
      <c r="AK32" s="188"/>
      <c r="AL32" s="188"/>
      <c r="AM32" s="188"/>
      <c r="AN32" s="188"/>
      <c r="AO32" s="188"/>
      <c r="AP32" s="188"/>
      <c r="AQ32" s="188"/>
      <c r="AR3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2" s="188" t="str">
        <f>IF(PORTEFEUILLE_ERIC[[#This Row],[BONI AAC]]&lt;&gt;0,1,"")</f>
        <v/>
      </c>
      <c r="AU32" s="188" t="str">
        <f>IF(PORTEFEUILLE_ERIC[[#This Row],[MALI AAC]]&lt;&gt;0,1,"")</f>
        <v/>
      </c>
      <c r="AV32" s="225">
        <f>IF(AP32&lt;&gt;"",IF((AP32*Paramètres!$H$4)-PORTEFEUILLE_ERIC[[#This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€]]-(DELPHINE!AP21*Paramètres!$H$4),0),0)</f>
        <v>0</v>
      </c>
      <c r="AW32" s="225">
        <f>IF(AP32&lt;&gt;"",IF(((AP32*Paramètres!$H$4)-PORTEFEUILLE_ERIC[[#This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2" s="190" t="str">
        <f>IF(PORTEFEUILLE_ERIC[[#This Row],[BONI COMPTABLE]]&lt;&gt;0,1,"")</f>
        <v/>
      </c>
      <c r="AY32" s="190" t="str">
        <f>IF(PORTEFEUILLE_ERIC[[#This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SUM(PORTEFEUILLE_ERIC[[#This Row],[PCR COMPTABLE €]:[MONTANT
RESPONSABLE RELATION CLIENT €]])-PORTEFEUILLE_ERIC[[#This Row],[MONTANT TOTAL LETTRE DE MISION €]]</f>
        <v>0</v>
      </c>
      <c r="AI33" s="191"/>
      <c r="AJ33" s="188"/>
      <c r="AK33" s="188"/>
      <c r="AL33" s="188"/>
      <c r="AM33" s="188"/>
      <c r="AN33" s="196"/>
      <c r="AO33" s="196"/>
      <c r="AP33" s="196"/>
      <c r="AQ33" s="196"/>
      <c r="AR3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3" s="188" t="str">
        <f>IF(PORTEFEUILLE_ERIC[[#This Row],[BONI AAC]]&lt;&gt;0,1,"")</f>
        <v/>
      </c>
      <c r="AU33" s="188" t="str">
        <f>IF(PORTEFEUILLE_ERIC[[#This Row],[MALI AAC]]&lt;&gt;0,1,"")</f>
        <v/>
      </c>
      <c r="AV33" s="225">
        <f>IF(AP33&lt;&gt;"",IF((AP33*Paramètres!$H$4)-PORTEFEUILLE_ERIC[[#This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€]]-(DELPHINE!AP22*Paramètres!$H$4),0),0)</f>
        <v>0</v>
      </c>
      <c r="AW33" s="225">
        <f>IF(AP33&lt;&gt;"",IF(((AP33*Paramètres!$H$4)-PORTEFEUILLE_ERIC[[#This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3" s="190" t="str">
        <f>IF(PORTEFEUILLE_ERIC[[#This Row],[BONI COMPTABLE]]&lt;&gt;0,1,"")</f>
        <v/>
      </c>
      <c r="AY33" s="190" t="str">
        <f>IF(PORTEFEUILLE_ERIC[[#This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SUM(PORTEFEUILLE_ERIC[[#This Row],[PCR COMPTABLE €]:[MONTANT
RESPONSABLE RELATION CLIENT €]])-PORTEFEUILLE_ERIC[[#This Row],[MONTANT TOTAL LETTRE DE MISION €]]</f>
        <v>0</v>
      </c>
      <c r="AI34" s="191"/>
      <c r="AJ34" s="188"/>
      <c r="AK34" s="188"/>
      <c r="AL34" s="188"/>
      <c r="AM34" s="188"/>
      <c r="AN34" s="196"/>
      <c r="AO34" s="196"/>
      <c r="AP34" s="196"/>
      <c r="AQ34" s="196"/>
      <c r="AR3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4" s="188" t="str">
        <f>IF(PORTEFEUILLE_ERIC[[#This Row],[BONI AAC]]&lt;&gt;0,1,"")</f>
        <v/>
      </c>
      <c r="AU34" s="188" t="str">
        <f>IF(PORTEFEUILLE_ERIC[[#This Row],[MALI AAC]]&lt;&gt;0,1,"")</f>
        <v/>
      </c>
      <c r="AV34" s="225">
        <f>IF(AP34&lt;&gt;"",IF((AP34*Paramètres!$H$4)-PORTEFEUILLE_ERIC[[#This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€]]-(DELPHINE!AP23*Paramètres!$H$4),0),0)</f>
        <v>0</v>
      </c>
      <c r="AW34" s="225">
        <f>IF(AP34&lt;&gt;"",IF(((AP34*Paramètres!$H$4)-PORTEFEUILLE_ERIC[[#This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4" s="190" t="str">
        <f>IF(PORTEFEUILLE_ERIC[[#This Row],[BONI COMPTABLE]]&lt;&gt;0,1,"")</f>
        <v/>
      </c>
      <c r="AY34" s="190" t="str">
        <f>IF(PORTEFEUILLE_ERIC[[#This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SUM(PORTEFEUILLE_ERIC[[#This Row],[PCR COMPTABLE €]:[MONTANT
RESPONSABLE RELATION CLIENT €]])-PORTEFEUILLE_ERIC[[#This Row],[MONTANT TOTAL LETTRE DE MISION €]]</f>
        <v>0</v>
      </c>
      <c r="AI35" s="191"/>
      <c r="AJ35" s="188"/>
      <c r="AK35" s="188"/>
      <c r="AL35" s="188"/>
      <c r="AM35" s="188"/>
      <c r="AN35" s="188"/>
      <c r="AO35" s="188"/>
      <c r="AP35" s="188"/>
      <c r="AQ35" s="188"/>
      <c r="AR3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5" s="188" t="str">
        <f>IF(PORTEFEUILLE_ERIC[[#This Row],[BONI AAC]]&lt;&gt;0,1,"")</f>
        <v/>
      </c>
      <c r="AU35" s="188" t="str">
        <f>IF(PORTEFEUILLE_ERIC[[#This Row],[MALI AAC]]&lt;&gt;0,1,"")</f>
        <v/>
      </c>
      <c r="AV35" s="225">
        <f>IF(AP35&lt;&gt;"",IF((AP35*Paramètres!$H$4)-PORTEFEUILLE_ERIC[[#This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€]]-(DELPHINE!AP24*Paramètres!$H$4),0),0)</f>
        <v>0</v>
      </c>
      <c r="AW35" s="225">
        <f>IF(AP35&lt;&gt;"",IF(((AP35*Paramètres!$H$4)-PORTEFEUILLE_ERIC[[#This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5" s="190" t="str">
        <f>IF(PORTEFEUILLE_ERIC[[#This Row],[BONI COMPTABLE]]&lt;&gt;0,1,"")</f>
        <v/>
      </c>
      <c r="AY35" s="190" t="str">
        <f>IF(PORTEFEUILLE_ERIC[[#This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SUM(PORTEFEUILLE_ERIC[[#This Row],[PCR COMPTABLE €]:[MONTANT
RESPONSABLE RELATION CLIENT €]])-PORTEFEUILLE_ERIC[[#This Row],[MONTANT TOTAL LETTRE DE MISION €]]</f>
        <v>0</v>
      </c>
      <c r="AI36" s="191"/>
      <c r="AJ36" s="188"/>
      <c r="AK36" s="188"/>
      <c r="AL36" s="188"/>
      <c r="AM36" s="188"/>
      <c r="AN36" s="188"/>
      <c r="AO36" s="188"/>
      <c r="AP36" s="188"/>
      <c r="AQ36" s="188"/>
      <c r="AR3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6" s="188" t="str">
        <f>IF(PORTEFEUILLE_ERIC[[#This Row],[BONI AAC]]&lt;&gt;0,1,"")</f>
        <v/>
      </c>
      <c r="AU36" s="188" t="str">
        <f>IF(PORTEFEUILLE_ERIC[[#This Row],[MALI AAC]]&lt;&gt;0,1,"")</f>
        <v/>
      </c>
      <c r="AV36" s="225">
        <f>IF(AP36&lt;&gt;"",IF((AP36*Paramètres!$H$4)-PORTEFEUILLE_ERIC[[#This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€]]-(DELPHINE!AP25*Paramètres!$H$4),0),0)</f>
        <v>0</v>
      </c>
      <c r="AW36" s="225">
        <f>IF(AP36&lt;&gt;"",IF(((AP36*Paramètres!$H$4)-PORTEFEUILLE_ERIC[[#This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6" s="190" t="str">
        <f>IF(PORTEFEUILLE_ERIC[[#This Row],[BONI COMPTABLE]]&lt;&gt;0,1,"")</f>
        <v/>
      </c>
      <c r="AY36" s="190" t="str">
        <f>IF(PORTEFEUILLE_ERIC[[#This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SUM(PORTEFEUILLE_ERIC[[#This Row],[PCR COMPTABLE €]:[MONTANT
RESPONSABLE RELATION CLIENT €]])-PORTEFEUILLE_ERIC[[#This Row],[MONTANT TOTAL LETTRE DE MISION €]]</f>
        <v>0</v>
      </c>
      <c r="AI37" s="191"/>
      <c r="AJ37" s="188"/>
      <c r="AK37" s="188"/>
      <c r="AL37" s="188"/>
      <c r="AM37" s="188"/>
      <c r="AN37" s="188"/>
      <c r="AO37" s="188"/>
      <c r="AP37" s="188"/>
      <c r="AQ37" s="188"/>
      <c r="AR3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7" s="188" t="str">
        <f>IF(PORTEFEUILLE_ERIC[[#This Row],[BONI AAC]]&lt;&gt;0,1,"")</f>
        <v/>
      </c>
      <c r="AU37" s="188" t="str">
        <f>IF(PORTEFEUILLE_ERIC[[#This Row],[MALI AAC]]&lt;&gt;0,1,"")</f>
        <v/>
      </c>
      <c r="AV37" s="225">
        <f>IF(AP37&lt;&gt;"",IF((AP37*Paramètres!$H$4)-PORTEFEUILLE_ERIC[[#This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€]]-(DELPHINE!AP26*Paramètres!$H$4),0),0)</f>
        <v>0</v>
      </c>
      <c r="AW37" s="225">
        <f>IF(AP37&lt;&gt;"",IF(((AP37*Paramètres!$H$4)-PORTEFEUILLE_ERIC[[#This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7" s="190" t="str">
        <f>IF(PORTEFEUILLE_ERIC[[#This Row],[BONI COMPTABLE]]&lt;&gt;0,1,"")</f>
        <v/>
      </c>
      <c r="AY37" s="190" t="str">
        <f>IF(PORTEFEUILLE_ERIC[[#This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SUM(PORTEFEUILLE_ERIC[[#This Row],[PCR COMPTABLE €]:[MONTANT
RESPONSABLE RELATION CLIENT €]])-PORTEFEUILLE_ERIC[[#This Row],[MONTANT TOTAL LETTRE DE MISION €]]</f>
        <v>0</v>
      </c>
      <c r="AI38" s="191"/>
      <c r="AJ38" s="188"/>
      <c r="AK38" s="188"/>
      <c r="AL38" s="188"/>
      <c r="AM38" s="188"/>
      <c r="AN38" s="188"/>
      <c r="AO38" s="188"/>
      <c r="AP38" s="188"/>
      <c r="AQ38" s="188"/>
      <c r="AR3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8" s="188" t="str">
        <f>IF(PORTEFEUILLE_ERIC[[#This Row],[BONI AAC]]&lt;&gt;0,1,"")</f>
        <v/>
      </c>
      <c r="AU38" s="188" t="str">
        <f>IF(PORTEFEUILLE_ERIC[[#This Row],[MALI AAC]]&lt;&gt;0,1,"")</f>
        <v/>
      </c>
      <c r="AV38" s="225">
        <f>IF(AP38&lt;&gt;"",IF((AP38*Paramètres!$H$4)-PORTEFEUILLE_ERIC[[#This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€]]-(DELPHINE!AP27*Paramètres!$H$4),0),0)</f>
        <v>0</v>
      </c>
      <c r="AW38" s="225">
        <f>IF(AP38&lt;&gt;"",IF(((AP38*Paramètres!$H$4)-PORTEFEUILLE_ERIC[[#This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8" s="190" t="str">
        <f>IF(PORTEFEUILLE_ERIC[[#This Row],[BONI COMPTABLE]]&lt;&gt;0,1,"")</f>
        <v/>
      </c>
      <c r="AY38" s="190" t="str">
        <f>IF(PORTEFEUILLE_ERIC[[#This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SUM(PORTEFEUILLE_ERIC[[#This Row],[PCR COMPTABLE €]:[MONTANT
RESPONSABLE RELATION CLIENT €]])-PORTEFEUILLE_ERIC[[#This Row],[MONTANT TOTAL LETTRE DE MISION €]]</f>
        <v>0</v>
      </c>
      <c r="AI39" s="191"/>
      <c r="AJ39" s="188"/>
      <c r="AK39" s="188"/>
      <c r="AL39" s="188"/>
      <c r="AM39" s="188"/>
      <c r="AN39" s="188"/>
      <c r="AO39" s="188"/>
      <c r="AP39" s="188"/>
      <c r="AQ39" s="188"/>
      <c r="AR3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9" s="188" t="str">
        <f>IF(PORTEFEUILLE_ERIC[[#This Row],[BONI AAC]]&lt;&gt;0,1,"")</f>
        <v/>
      </c>
      <c r="AU39" s="188" t="str">
        <f>IF(PORTEFEUILLE_ERIC[[#This Row],[MALI AAC]]&lt;&gt;0,1,"")</f>
        <v/>
      </c>
      <c r="AV39" s="225">
        <f>IF(AP39&lt;&gt;"",IF((AP39*Paramètres!$H$4)-PORTEFEUILLE_ERIC[[#This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€]]-(DELPHINE!AP28*Paramètres!$H$4),0),0)</f>
        <v>0</v>
      </c>
      <c r="AW39" s="225">
        <f>IF(AP39&lt;&gt;"",IF(((AP39*Paramètres!$H$4)-PORTEFEUILLE_ERIC[[#This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9" s="190" t="str">
        <f>IF(PORTEFEUILLE_ERIC[[#This Row],[BONI COMPTABLE]]&lt;&gt;0,1,"")</f>
        <v/>
      </c>
      <c r="AY39" s="190" t="str">
        <f>IF(PORTEFEUILLE_ERIC[[#This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SUM(PORTEFEUILLE_ERIC[[#This Row],[PCR COMPTABLE €]:[MONTANT
RESPONSABLE RELATION CLIENT €]])-PORTEFEUILLE_ERIC[[#This Row],[MONTANT TOTAL LETTRE DE MISION €]]</f>
        <v>0</v>
      </c>
      <c r="AI40" s="191"/>
      <c r="AJ40" s="188"/>
      <c r="AK40" s="188"/>
      <c r="AL40" s="188"/>
      <c r="AM40" s="188"/>
      <c r="AN40" s="188"/>
      <c r="AO40" s="188"/>
      <c r="AP40" s="188"/>
      <c r="AQ40" s="188"/>
      <c r="AR4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0" s="188" t="str">
        <f>IF(PORTEFEUILLE_ERIC[[#This Row],[BONI AAC]]&lt;&gt;0,1,"")</f>
        <v/>
      </c>
      <c r="AU40" s="188" t="str">
        <f>IF(PORTEFEUILLE_ERIC[[#This Row],[MALI AAC]]&lt;&gt;0,1,"")</f>
        <v/>
      </c>
      <c r="AV40" s="225">
        <f>IF(AP40&lt;&gt;"",IF((AP40*Paramètres!$H$4)-PORTEFEUILLE_ERIC[[#This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€]]-(DELPHINE!AP29*Paramètres!$H$4),0),0)</f>
        <v>0</v>
      </c>
      <c r="AW40" s="225">
        <f>IF(AP40&lt;&gt;"",IF(((AP40*Paramètres!$H$4)-PORTEFEUILLE_ERIC[[#This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0" s="190" t="str">
        <f>IF(PORTEFEUILLE_ERIC[[#This Row],[BONI COMPTABLE]]&lt;&gt;0,1,"")</f>
        <v/>
      </c>
      <c r="AY40" s="190" t="str">
        <f>IF(PORTEFEUILLE_ERIC[[#This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SUM(PORTEFEUILLE_ERIC[[#This Row],[PCR COMPTABLE €]:[MONTANT
RESPONSABLE RELATION CLIENT €]])-PORTEFEUILLE_ERIC[[#This Row],[MONTANT TOTAL LETTRE DE MISION €]]</f>
        <v>0</v>
      </c>
      <c r="AI41" s="191"/>
      <c r="AJ41" s="188"/>
      <c r="AK41" s="188"/>
      <c r="AL41" s="188"/>
      <c r="AM41" s="188"/>
      <c r="AN41" s="196"/>
      <c r="AO41" s="196"/>
      <c r="AP41" s="196"/>
      <c r="AQ41" s="196"/>
      <c r="AR4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1" s="188" t="str">
        <f>IF(PORTEFEUILLE_ERIC[[#This Row],[BONI AAC]]&lt;&gt;0,1,"")</f>
        <v/>
      </c>
      <c r="AU41" s="188" t="str">
        <f>IF(PORTEFEUILLE_ERIC[[#This Row],[MALI AAC]]&lt;&gt;0,1,"")</f>
        <v/>
      </c>
      <c r="AV41" s="225">
        <f>IF(AP41&lt;&gt;"",IF((AP41*Paramètres!$H$4)-PORTEFEUILLE_ERIC[[#This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€]]-(DELPHINE!AP30*Paramètres!$H$4),0),0)</f>
        <v>0</v>
      </c>
      <c r="AW41" s="225">
        <f>IF(AP41&lt;&gt;"",IF(((AP41*Paramètres!$H$4)-PORTEFEUILLE_ERIC[[#This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1" s="190" t="str">
        <f>IF(PORTEFEUILLE_ERIC[[#This Row],[BONI COMPTABLE]]&lt;&gt;0,1,"")</f>
        <v/>
      </c>
      <c r="AY41" s="190" t="str">
        <f>IF(PORTEFEUILLE_ERIC[[#This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SUM(PORTEFEUILLE_ERIC[[#This Row],[PCR COMPTABLE €]:[MONTANT
RESPONSABLE RELATION CLIENT €]])-PORTEFEUILLE_ERIC[[#This Row],[MONTANT TOTAL LETTRE DE MISION €]]</f>
        <v>0</v>
      </c>
      <c r="AI42" s="191"/>
      <c r="AJ42" s="188"/>
      <c r="AK42" s="188"/>
      <c r="AL42" s="188"/>
      <c r="AM42" s="188"/>
      <c r="AN42" s="196"/>
      <c r="AO42" s="196"/>
      <c r="AP42" s="196"/>
      <c r="AQ42" s="196"/>
      <c r="AR4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2" s="188" t="str">
        <f>IF(PORTEFEUILLE_ERIC[[#This Row],[BONI AAC]]&lt;&gt;0,1,"")</f>
        <v/>
      </c>
      <c r="AU42" s="188" t="str">
        <f>IF(PORTEFEUILLE_ERIC[[#This Row],[MALI AAC]]&lt;&gt;0,1,"")</f>
        <v/>
      </c>
      <c r="AV42" s="225">
        <f>IF(AP42&lt;&gt;"",IF((AP42*Paramètres!$H$4)-PORTEFEUILLE_ERIC[[#This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€]]-(DELPHINE!AP31*Paramètres!$H$4),0),0)</f>
        <v>0</v>
      </c>
      <c r="AW42" s="225">
        <f>IF(AP42&lt;&gt;"",IF(((AP42*Paramètres!$H$4)-PORTEFEUILLE_ERIC[[#This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2" s="190" t="str">
        <f>IF(PORTEFEUILLE_ERIC[[#This Row],[BONI COMPTABLE]]&lt;&gt;0,1,"")</f>
        <v/>
      </c>
      <c r="AY42" s="190" t="str">
        <f>IF(PORTEFEUILLE_ERIC[[#This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SUM(PORTEFEUILLE_ERIC[[#This Row],[PCR COMPTABLE €]:[MONTANT
RESPONSABLE RELATION CLIENT €]])-PORTEFEUILLE_ERIC[[#This Row],[MONTANT TOTAL LETTRE DE MISION €]]</f>
        <v>0</v>
      </c>
      <c r="AI43" s="191"/>
      <c r="AJ43" s="188"/>
      <c r="AK43" s="188"/>
      <c r="AL43" s="188"/>
      <c r="AM43" s="188"/>
      <c r="AN43" s="188"/>
      <c r="AO43" s="188"/>
      <c r="AP43" s="188"/>
      <c r="AQ43" s="188"/>
      <c r="AR4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3" s="188" t="str">
        <f>IF(PORTEFEUILLE_ERIC[[#This Row],[BONI AAC]]&lt;&gt;0,1,"")</f>
        <v/>
      </c>
      <c r="AU43" s="188" t="str">
        <f>IF(PORTEFEUILLE_ERIC[[#This Row],[MALI AAC]]&lt;&gt;0,1,"")</f>
        <v/>
      </c>
      <c r="AV43" s="225">
        <f>IF(AP43&lt;&gt;"",IF((AP43*Paramètres!$H$4)-PORTEFEUILLE_ERIC[[#This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€]]-(DELPHINE!AP32*Paramètres!$H$4),0),0)</f>
        <v>0</v>
      </c>
      <c r="AW43" s="225">
        <f>IF(AP43&lt;&gt;"",IF(((AP43*Paramètres!$H$4)-PORTEFEUILLE_ERIC[[#This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3" s="190" t="str">
        <f>IF(PORTEFEUILLE_ERIC[[#This Row],[BONI COMPTABLE]]&lt;&gt;0,1,"")</f>
        <v/>
      </c>
      <c r="AY43" s="190" t="str">
        <f>IF(PORTEFEUILLE_ERIC[[#This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SUM(PORTEFEUILLE_ERIC[[#This Row],[PCR COMPTABLE €]:[MONTANT
RESPONSABLE RELATION CLIENT €]])-PORTEFEUILLE_ERIC[[#This Row],[MONTANT TOTAL LETTRE DE MISION €]]</f>
        <v>0</v>
      </c>
      <c r="AI44" s="191"/>
      <c r="AJ44" s="188"/>
      <c r="AK44" s="188"/>
      <c r="AL44" s="188"/>
      <c r="AM44" s="188"/>
      <c r="AN44" s="188"/>
      <c r="AO44" s="188"/>
      <c r="AP44" s="188"/>
      <c r="AQ44" s="188"/>
      <c r="AR4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4" s="188" t="str">
        <f>IF(PORTEFEUILLE_ERIC[[#This Row],[BONI AAC]]&lt;&gt;0,1,"")</f>
        <v/>
      </c>
      <c r="AU44" s="188" t="str">
        <f>IF(PORTEFEUILLE_ERIC[[#This Row],[MALI AAC]]&lt;&gt;0,1,"")</f>
        <v/>
      </c>
      <c r="AV44" s="225">
        <f>IF(AP44&lt;&gt;"",IF((AP44*Paramètres!$H$4)-PORTEFEUILLE_ERIC[[#This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€]]-(DELPHINE!AP33*Paramètres!$H$4),0),0)</f>
        <v>0</v>
      </c>
      <c r="AW44" s="225">
        <f>IF(AP44&lt;&gt;"",IF(((AP44*Paramètres!$H$4)-PORTEFEUILLE_ERIC[[#This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4" s="190" t="str">
        <f>IF(PORTEFEUILLE_ERIC[[#This Row],[BONI COMPTABLE]]&lt;&gt;0,1,"")</f>
        <v/>
      </c>
      <c r="AY44" s="190" t="str">
        <f>IF(PORTEFEUILLE_ERIC[[#This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SUM(PORTEFEUILLE_ERIC[[#This Row],[PCR COMPTABLE €]:[MONTANT
RESPONSABLE RELATION CLIENT €]])-PORTEFEUILLE_ERIC[[#This Row],[MONTANT TOTAL LETTRE DE MISION €]]</f>
        <v>0</v>
      </c>
      <c r="AI45" s="191"/>
      <c r="AJ45" s="188"/>
      <c r="AK45" s="188"/>
      <c r="AL45" s="188"/>
      <c r="AM45" s="188"/>
      <c r="AN45" s="188"/>
      <c r="AO45" s="188"/>
      <c r="AP45" s="188"/>
      <c r="AQ45" s="188"/>
      <c r="AR4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5" s="188" t="str">
        <f>IF(PORTEFEUILLE_ERIC[[#This Row],[BONI AAC]]&lt;&gt;0,1,"")</f>
        <v/>
      </c>
      <c r="AU45" s="188" t="str">
        <f>IF(PORTEFEUILLE_ERIC[[#This Row],[MALI AAC]]&lt;&gt;0,1,"")</f>
        <v/>
      </c>
      <c r="AV45" s="225">
        <f>IF(AP45&lt;&gt;"",IF((AP45*Paramètres!$H$4)-PORTEFEUILLE_ERIC[[#This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€]]-(DELPHINE!AP34*Paramètres!$H$4),0),0)</f>
        <v>0</v>
      </c>
      <c r="AW45" s="225">
        <f>IF(AP45&lt;&gt;"",IF(((AP45*Paramètres!$H$4)-PORTEFEUILLE_ERIC[[#This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5" s="190" t="str">
        <f>IF(PORTEFEUILLE_ERIC[[#This Row],[BONI COMPTABLE]]&lt;&gt;0,1,"")</f>
        <v/>
      </c>
      <c r="AY45" s="190" t="str">
        <f>IF(PORTEFEUILLE_ERIC[[#This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SUM(PORTEFEUILLE_ERIC[[#This Row],[PCR COMPTABLE €]:[MONTANT
RESPONSABLE RELATION CLIENT €]])-PORTEFEUILLE_ERIC[[#This Row],[MONTANT TOTAL LETTRE DE MISION €]]</f>
        <v>0</v>
      </c>
      <c r="AI46" s="191"/>
      <c r="AJ46" s="188"/>
      <c r="AK46" s="188"/>
      <c r="AL46" s="188"/>
      <c r="AM46" s="188"/>
      <c r="AN46" s="196"/>
      <c r="AO46" s="196"/>
      <c r="AP46" s="196"/>
      <c r="AQ46" s="196"/>
      <c r="AR4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6" s="188" t="str">
        <f>IF(PORTEFEUILLE_ERIC[[#This Row],[BONI AAC]]&lt;&gt;0,1,"")</f>
        <v/>
      </c>
      <c r="AU46" s="188" t="str">
        <f>IF(PORTEFEUILLE_ERIC[[#This Row],[MALI AAC]]&lt;&gt;0,1,"")</f>
        <v/>
      </c>
      <c r="AV46" s="225">
        <f>IF(AP46&lt;&gt;"",IF((AP46*Paramètres!$H$4)-PORTEFEUILLE_ERIC[[#This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€]]-(DELPHINE!AP35*Paramètres!$H$4),0),0)</f>
        <v>0</v>
      </c>
      <c r="AW46" s="225">
        <f>IF(AP46&lt;&gt;"",IF(((AP46*Paramètres!$H$4)-PORTEFEUILLE_ERIC[[#This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6" s="190" t="str">
        <f>IF(PORTEFEUILLE_ERIC[[#This Row],[BONI COMPTABLE]]&lt;&gt;0,1,"")</f>
        <v/>
      </c>
      <c r="AY46" s="190" t="str">
        <f>IF(PORTEFEUILLE_ERIC[[#This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SUM(PORTEFEUILLE_ERIC[[#This Row],[PCR COMPTABLE €]:[MONTANT
RESPONSABLE RELATION CLIENT €]])-PORTEFEUILLE_ERIC[[#This Row],[MONTANT TOTAL LETTRE DE MISION €]]</f>
        <v>0</v>
      </c>
      <c r="AI47" s="191"/>
      <c r="AJ47" s="188"/>
      <c r="AK47" s="188"/>
      <c r="AL47" s="188"/>
      <c r="AM47" s="188"/>
      <c r="AN47" s="188"/>
      <c r="AO47" s="188"/>
      <c r="AP47" s="188"/>
      <c r="AQ47" s="188"/>
      <c r="AR4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7" s="188" t="str">
        <f>IF(PORTEFEUILLE_ERIC[[#This Row],[BONI AAC]]&lt;&gt;0,1,"")</f>
        <v/>
      </c>
      <c r="AU47" s="188" t="str">
        <f>IF(PORTEFEUILLE_ERIC[[#This Row],[MALI AAC]]&lt;&gt;0,1,"")</f>
        <v/>
      </c>
      <c r="AV47" s="225">
        <f>IF(AP47&lt;&gt;"",IF((AP47*Paramètres!$H$4)-PORTEFEUILLE_ERIC[[#This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€]]-(DELPHINE!AP36*Paramètres!$H$4),0),0)</f>
        <v>0</v>
      </c>
      <c r="AW47" s="225">
        <f>IF(AP47&lt;&gt;"",IF(((AP47*Paramètres!$H$4)-PORTEFEUILLE_ERIC[[#This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7" s="190" t="str">
        <f>IF(PORTEFEUILLE_ERIC[[#This Row],[BONI COMPTABLE]]&lt;&gt;0,1,"")</f>
        <v/>
      </c>
      <c r="AY47" s="190" t="str">
        <f>IF(PORTEFEUILLE_ERIC[[#This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SUM(PORTEFEUILLE_ERIC[[#This Row],[PCR COMPTABLE €]:[MONTANT
RESPONSABLE RELATION CLIENT €]])-PORTEFEUILLE_ERIC[[#This Row],[MONTANT TOTAL LETTRE DE MISION €]]</f>
        <v>0</v>
      </c>
      <c r="AI48" s="191"/>
      <c r="AJ48" s="188"/>
      <c r="AK48" s="188"/>
      <c r="AL48" s="188"/>
      <c r="AM48" s="188"/>
      <c r="AN48" s="196"/>
      <c r="AO48" s="196"/>
      <c r="AP48" s="196"/>
      <c r="AQ48" s="196"/>
      <c r="AR4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8" s="188" t="str">
        <f>IF(PORTEFEUILLE_ERIC[[#This Row],[BONI AAC]]&lt;&gt;0,1,"")</f>
        <v/>
      </c>
      <c r="AU48" s="188" t="str">
        <f>IF(PORTEFEUILLE_ERIC[[#This Row],[MALI AAC]]&lt;&gt;0,1,"")</f>
        <v/>
      </c>
      <c r="AV48" s="225">
        <f>IF(AP48&lt;&gt;"",IF((AP48*Paramètres!$H$4)-PORTEFEUILLE_ERIC[[#This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€]]-(DELPHINE!AP37*Paramètres!$H$4),0),0)</f>
        <v>0</v>
      </c>
      <c r="AW48" s="225">
        <f>IF(AP48&lt;&gt;"",IF(((AP48*Paramètres!$H$4)-PORTEFEUILLE_ERIC[[#This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8" s="190" t="str">
        <f>IF(PORTEFEUILLE_ERIC[[#This Row],[BONI COMPTABLE]]&lt;&gt;0,1,"")</f>
        <v/>
      </c>
      <c r="AY48" s="190" t="str">
        <f>IF(PORTEFEUILLE_ERIC[[#This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SUM(PORTEFEUILLE_ERIC[[#This Row],[PCR COMPTABLE €]:[MONTANT
RESPONSABLE RELATION CLIENT €]])-PORTEFEUILLE_ERIC[[#This Row],[MONTANT TOTAL LETTRE DE MISION €]]</f>
        <v>0</v>
      </c>
      <c r="AI49" s="191"/>
      <c r="AJ49" s="188"/>
      <c r="AK49" s="188"/>
      <c r="AL49" s="188"/>
      <c r="AM49" s="188"/>
      <c r="AN49" s="188"/>
      <c r="AO49" s="188"/>
      <c r="AP49" s="188"/>
      <c r="AQ49" s="188"/>
      <c r="AR4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9" s="188" t="str">
        <f>IF(PORTEFEUILLE_ERIC[[#This Row],[BONI AAC]]&lt;&gt;0,1,"")</f>
        <v/>
      </c>
      <c r="AU49" s="188" t="str">
        <f>IF(PORTEFEUILLE_ERIC[[#This Row],[MALI AAC]]&lt;&gt;0,1,"")</f>
        <v/>
      </c>
      <c r="AV49" s="225">
        <f>IF(AP49&lt;&gt;"",IF((AP49*Paramètres!$H$4)-PORTEFEUILLE_ERIC[[#This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€]]-(DELPHINE!AP38*Paramètres!$H$4),0),0)</f>
        <v>0</v>
      </c>
      <c r="AW49" s="225">
        <f>IF(AP49&lt;&gt;"",IF(((AP49*Paramètres!$H$4)-PORTEFEUILLE_ERIC[[#This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9" s="190" t="str">
        <f>IF(PORTEFEUILLE_ERIC[[#This Row],[BONI COMPTABLE]]&lt;&gt;0,1,"")</f>
        <v/>
      </c>
      <c r="AY49" s="190" t="str">
        <f>IF(PORTEFEUILLE_ERIC[[#This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SUM(PORTEFEUILLE_ERIC[[#This Row],[PCR COMPTABLE €]:[MONTANT
RESPONSABLE RELATION CLIENT €]])-PORTEFEUILLE_ERIC[[#This Row],[MONTANT TOTAL LETTRE DE MISION €]]</f>
        <v>0</v>
      </c>
      <c r="AI50" s="191"/>
      <c r="AJ50" s="188"/>
      <c r="AK50" s="188"/>
      <c r="AL50" s="188"/>
      <c r="AM50" s="188"/>
      <c r="AN50" s="196"/>
      <c r="AO50" s="196"/>
      <c r="AP50" s="196"/>
      <c r="AQ50" s="196"/>
      <c r="AR5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0" s="188" t="str">
        <f>IF(PORTEFEUILLE_ERIC[[#This Row],[BONI AAC]]&lt;&gt;0,1,"")</f>
        <v/>
      </c>
      <c r="AU50" s="188" t="str">
        <f>IF(PORTEFEUILLE_ERIC[[#This Row],[MALI AAC]]&lt;&gt;0,1,"")</f>
        <v/>
      </c>
      <c r="AV50" s="225">
        <f>IF(AP50&lt;&gt;"",IF((AP50*Paramètres!$H$4)-PORTEFEUILLE_ERIC[[#This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€]]-(DELPHINE!AP39*Paramètres!$H$4),0),0)</f>
        <v>0</v>
      </c>
      <c r="AW50" s="225">
        <f>IF(AP50&lt;&gt;"",IF(((AP50*Paramètres!$H$4)-PORTEFEUILLE_ERIC[[#This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0" s="190" t="str">
        <f>IF(PORTEFEUILLE_ERIC[[#This Row],[BONI COMPTABLE]]&lt;&gt;0,1,"")</f>
        <v/>
      </c>
      <c r="AY50" s="190" t="str">
        <f>IF(PORTEFEUILLE_ERIC[[#This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SUM(PORTEFEUILLE_ERIC[[#This Row],[PCR COMPTABLE €]:[MONTANT
RESPONSABLE RELATION CLIENT €]])-PORTEFEUILLE_ERIC[[#This Row],[MONTANT TOTAL LETTRE DE MISION €]]</f>
        <v>0</v>
      </c>
      <c r="AI51" s="191"/>
      <c r="AJ51" s="188"/>
      <c r="AK51" s="188"/>
      <c r="AL51" s="188"/>
      <c r="AM51" s="188"/>
      <c r="AN51" s="196"/>
      <c r="AO51" s="196"/>
      <c r="AP51" s="196"/>
      <c r="AQ51" s="196"/>
      <c r="AR5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1" s="188" t="str">
        <f>IF(PORTEFEUILLE_ERIC[[#This Row],[BONI AAC]]&lt;&gt;0,1,"")</f>
        <v/>
      </c>
      <c r="AU51" s="188" t="str">
        <f>IF(PORTEFEUILLE_ERIC[[#This Row],[MALI AAC]]&lt;&gt;0,1,"")</f>
        <v/>
      </c>
      <c r="AV51" s="225">
        <f>IF(AP51&lt;&gt;"",IF((AP51*Paramètres!$H$4)-PORTEFEUILLE_ERIC[[#This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€]]-(DELPHINE!AP40*Paramètres!$H$4),0),0)</f>
        <v>0</v>
      </c>
      <c r="AW51" s="225">
        <f>IF(AP51&lt;&gt;"",IF(((AP51*Paramètres!$H$4)-PORTEFEUILLE_ERIC[[#This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1" s="190" t="str">
        <f>IF(PORTEFEUILLE_ERIC[[#This Row],[BONI COMPTABLE]]&lt;&gt;0,1,"")</f>
        <v/>
      </c>
      <c r="AY51" s="190" t="str">
        <f>IF(PORTEFEUILLE_ERIC[[#This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SUM(PORTEFEUILLE_ERIC[[#This Row],[PCR COMPTABLE €]:[MONTANT
RESPONSABLE RELATION CLIENT €]])-PORTEFEUILLE_ERIC[[#This Row],[MONTANT TOTAL LETTRE DE MISION €]]</f>
        <v>0</v>
      </c>
      <c r="AI52" s="191"/>
      <c r="AJ52" s="188"/>
      <c r="AK52" s="188"/>
      <c r="AL52" s="188"/>
      <c r="AM52" s="188"/>
      <c r="AN52" s="196"/>
      <c r="AO52" s="196"/>
      <c r="AP52" s="196"/>
      <c r="AQ52" s="196"/>
      <c r="AR5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2" s="188" t="str">
        <f>IF(PORTEFEUILLE_ERIC[[#This Row],[BONI AAC]]&lt;&gt;0,1,"")</f>
        <v/>
      </c>
      <c r="AU52" s="188" t="str">
        <f>IF(PORTEFEUILLE_ERIC[[#This Row],[MALI AAC]]&lt;&gt;0,1,"")</f>
        <v/>
      </c>
      <c r="AV52" s="225">
        <f>IF(AP52&lt;&gt;"",IF((AP52*Paramètres!$H$4)-PORTEFEUILLE_ERIC[[#This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€]]-(DELPHINE!AP41*Paramètres!$H$4),0),0)</f>
        <v>0</v>
      </c>
      <c r="AW52" s="225">
        <f>IF(AP52&lt;&gt;"",IF(((AP52*Paramètres!$H$4)-PORTEFEUILLE_ERIC[[#This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2" s="190" t="str">
        <f>IF(PORTEFEUILLE_ERIC[[#This Row],[BONI COMPTABLE]]&lt;&gt;0,1,"")</f>
        <v/>
      </c>
      <c r="AY52" s="190" t="str">
        <f>IF(PORTEFEUILLE_ERIC[[#This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SUM(PORTEFEUILLE_ERIC[[#This Row],[PCR COMPTABLE €]:[MONTANT
RESPONSABLE RELATION CLIENT €]])-PORTEFEUILLE_ERIC[[#This Row],[MONTANT TOTAL LETTRE DE MISION €]]</f>
        <v>0</v>
      </c>
      <c r="AI53" s="191"/>
      <c r="AJ53" s="188"/>
      <c r="AK53" s="201"/>
      <c r="AL53" s="201"/>
      <c r="AM53" s="201"/>
      <c r="AN53" s="202"/>
      <c r="AO53" s="202"/>
      <c r="AP53" s="202"/>
      <c r="AQ53" s="202"/>
      <c r="AR5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3" s="188" t="str">
        <f>IF(PORTEFEUILLE_ERIC[[#This Row],[BONI AAC]]&lt;&gt;0,1,"")</f>
        <v/>
      </c>
      <c r="AU53" s="188" t="str">
        <f>IF(PORTEFEUILLE_ERIC[[#This Row],[MALI AAC]]&lt;&gt;0,1,"")</f>
        <v/>
      </c>
      <c r="AV53" s="225">
        <f>IF(AP53&lt;&gt;"",IF((AP53*Paramètres!$H$4)-PORTEFEUILLE_ERIC[[#This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€]]-(DELPHINE!AP42*Paramètres!$H$4),0),0)</f>
        <v>0</v>
      </c>
      <c r="AW53" s="225">
        <f>IF(AP53&lt;&gt;"",IF(((AP53*Paramètres!$H$4)-PORTEFEUILLE_ERIC[[#This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3" s="190" t="str">
        <f>IF(PORTEFEUILLE_ERIC[[#This Row],[BONI COMPTABLE]]&lt;&gt;0,1,"")</f>
        <v/>
      </c>
      <c r="AY53" s="190" t="str">
        <f>IF(PORTEFEUILLE_ERIC[[#This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SUM(PORTEFEUILLE_ERIC[[#This Row],[PCR COMPTABLE €]:[MONTANT
RESPONSABLE RELATION CLIENT €]])-PORTEFEUILLE_ERIC[[#This Row],[MONTANT TOTAL LETTRE DE MISION €]]</f>
        <v>0</v>
      </c>
      <c r="AI54" s="191"/>
      <c r="AJ54" s="188"/>
      <c r="AK54" s="188"/>
      <c r="AL54" s="188"/>
      <c r="AM54" s="188"/>
      <c r="AN54" s="194"/>
      <c r="AO54" s="194"/>
      <c r="AP54" s="194"/>
      <c r="AQ54" s="194"/>
      <c r="AR5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4" s="188" t="str">
        <f>IF(PORTEFEUILLE_ERIC[[#This Row],[BONI AAC]]&lt;&gt;0,1,"")</f>
        <v/>
      </c>
      <c r="AU54" s="188" t="str">
        <f>IF(PORTEFEUILLE_ERIC[[#This Row],[MALI AAC]]&lt;&gt;0,1,"")</f>
        <v/>
      </c>
      <c r="AV54" s="225">
        <f>IF(AP54&lt;&gt;"",IF((AP54*Paramètres!$H$4)-PORTEFEUILLE_ERIC[[#This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€]]-(DELPHINE!AP43*Paramètres!$H$4),0),0)</f>
        <v>0</v>
      </c>
      <c r="AW54" s="225">
        <f>IF(AP54&lt;&gt;"",IF(((AP54*Paramètres!$H$4)-PORTEFEUILLE_ERIC[[#This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4" s="190" t="str">
        <f>IF(PORTEFEUILLE_ERIC[[#This Row],[BONI COMPTABLE]]&lt;&gt;0,1,"")</f>
        <v/>
      </c>
      <c r="AY54" s="190" t="str">
        <f>IF(PORTEFEUILLE_ERIC[[#This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SUM(PORTEFEUILLE_ERIC[[#This Row],[PCR COMPTABLE €]:[MONTANT
RESPONSABLE RELATION CLIENT €]])-PORTEFEUILLE_ERIC[[#This Row],[MONTANT TOTAL LETTRE DE MISION €]]</f>
        <v>0</v>
      </c>
      <c r="AI55" s="191"/>
      <c r="AJ55" s="188"/>
      <c r="AK55" s="188"/>
      <c r="AL55" s="188"/>
      <c r="AM55" s="188"/>
      <c r="AN55" s="194"/>
      <c r="AO55" s="194"/>
      <c r="AP55" s="194"/>
      <c r="AQ55" s="194"/>
      <c r="AR5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5" s="188" t="str">
        <f>IF(PORTEFEUILLE_ERIC[[#This Row],[BONI AAC]]&lt;&gt;0,1,"")</f>
        <v/>
      </c>
      <c r="AU55" s="188" t="str">
        <f>IF(PORTEFEUILLE_ERIC[[#This Row],[MALI AAC]]&lt;&gt;0,1,"")</f>
        <v/>
      </c>
      <c r="AV55" s="225">
        <f>IF(AP55&lt;&gt;"",IF((AP55*Paramètres!$H$4)-PORTEFEUILLE_ERIC[[#This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€]]-(DELPHINE!AP44*Paramètres!$H$4),0),0)</f>
        <v>0</v>
      </c>
      <c r="AW55" s="225">
        <f>IF(AP55&lt;&gt;"",IF(((AP55*Paramètres!$H$4)-PORTEFEUILLE_ERIC[[#This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5" s="190" t="str">
        <f>IF(PORTEFEUILLE_ERIC[[#This Row],[BONI COMPTABLE]]&lt;&gt;0,1,"")</f>
        <v/>
      </c>
      <c r="AY55" s="190" t="str">
        <f>IF(PORTEFEUILLE_ERIC[[#This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SUM(PORTEFEUILLE_ERIC[[#This Row],[PCR COMPTABLE €]:[MONTANT
RESPONSABLE RELATION CLIENT €]])-PORTEFEUILLE_ERIC[[#This Row],[MONTANT TOTAL LETTRE DE MISION €]]</f>
        <v>0</v>
      </c>
      <c r="AI56" s="191"/>
      <c r="AJ56" s="188"/>
      <c r="AK56" s="188"/>
      <c r="AL56" s="188"/>
      <c r="AM56" s="188"/>
      <c r="AN56" s="194"/>
      <c r="AO56" s="194"/>
      <c r="AP56" s="194"/>
      <c r="AQ56" s="194"/>
      <c r="AR5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6" s="188" t="str">
        <f>IF(PORTEFEUILLE_ERIC[[#This Row],[BONI AAC]]&lt;&gt;0,1,"")</f>
        <v/>
      </c>
      <c r="AU56" s="188" t="str">
        <f>IF(PORTEFEUILLE_ERIC[[#This Row],[MALI AAC]]&lt;&gt;0,1,"")</f>
        <v/>
      </c>
      <c r="AV56" s="225">
        <f>IF(AP56&lt;&gt;"",IF((AP56*Paramètres!$H$4)-PORTEFEUILLE_ERIC[[#This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€]]-(DELPHINE!AP45*Paramètres!$H$4),0),0)</f>
        <v>0</v>
      </c>
      <c r="AW56" s="225">
        <f>IF(AP56&lt;&gt;"",IF(((AP56*Paramètres!$H$4)-PORTEFEUILLE_ERIC[[#This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6" s="190" t="str">
        <f>IF(PORTEFEUILLE_ERIC[[#This Row],[BONI COMPTABLE]]&lt;&gt;0,1,"")</f>
        <v/>
      </c>
      <c r="AY56" s="190" t="str">
        <f>IF(PORTEFEUILLE_ERIC[[#This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SUM(PORTEFEUILLE_ERIC[[#This Row],[PCR COMPTABLE €]:[MONTANT
RESPONSABLE RELATION CLIENT €]])-PORTEFEUILLE_ERIC[[#This Row],[MONTANT TOTAL LETTRE DE MISION €]]</f>
        <v>0</v>
      </c>
      <c r="AI57" s="191"/>
      <c r="AJ57" s="188"/>
      <c r="AK57" s="188"/>
      <c r="AL57" s="188"/>
      <c r="AM57" s="188"/>
      <c r="AN57" s="194"/>
      <c r="AO57" s="194"/>
      <c r="AP57" s="194"/>
      <c r="AQ57" s="194"/>
      <c r="AR5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7" s="188" t="str">
        <f>IF(PORTEFEUILLE_ERIC[[#This Row],[BONI AAC]]&lt;&gt;0,1,"")</f>
        <v/>
      </c>
      <c r="AU57" s="188" t="str">
        <f>IF(PORTEFEUILLE_ERIC[[#This Row],[MALI AAC]]&lt;&gt;0,1,"")</f>
        <v/>
      </c>
      <c r="AV57" s="225">
        <f>IF(AP57&lt;&gt;"",IF((AP57*Paramètres!$H$4)-PORTEFEUILLE_ERIC[[#This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€]]-(DELPHINE!AP46*Paramètres!$H$4),0),0)</f>
        <v>0</v>
      </c>
      <c r="AW57" s="225">
        <f>IF(AP57&lt;&gt;"",IF(((AP57*Paramètres!$H$4)-PORTEFEUILLE_ERIC[[#This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7" s="190" t="str">
        <f>IF(PORTEFEUILLE_ERIC[[#This Row],[BONI COMPTABLE]]&lt;&gt;0,1,"")</f>
        <v/>
      </c>
      <c r="AY57" s="190" t="str">
        <f>IF(PORTEFEUILLE_ERIC[[#This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SUM(PORTEFEUILLE_ERIC[[#This Row],[PCR COMPTABLE €]:[MONTANT
RESPONSABLE RELATION CLIENT €]])-PORTEFEUILLE_ERIC[[#This Row],[MONTANT TOTAL LETTRE DE MISION €]]</f>
        <v>0</v>
      </c>
      <c r="AI58" s="191"/>
      <c r="AJ58" s="188"/>
      <c r="AK58" s="188"/>
      <c r="AL58" s="188"/>
      <c r="AM58" s="188"/>
      <c r="AN58" s="194"/>
      <c r="AO58" s="194"/>
      <c r="AP58" s="194"/>
      <c r="AQ58" s="194"/>
      <c r="AR5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8" s="188" t="str">
        <f>IF(PORTEFEUILLE_ERIC[[#This Row],[BONI AAC]]&lt;&gt;0,1,"")</f>
        <v/>
      </c>
      <c r="AU58" s="188" t="str">
        <f>IF(PORTEFEUILLE_ERIC[[#This Row],[MALI AAC]]&lt;&gt;0,1,"")</f>
        <v/>
      </c>
      <c r="AV58" s="225">
        <f>IF(AP58&lt;&gt;"",IF((AP58*Paramètres!$H$4)-PORTEFEUILLE_ERIC[[#This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€]]-(DELPHINE!AP47*Paramètres!$H$4),0),0)</f>
        <v>0</v>
      </c>
      <c r="AW58" s="225">
        <f>IF(AP58&lt;&gt;"",IF(((AP58*Paramètres!$H$4)-PORTEFEUILLE_ERIC[[#This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8" s="190" t="str">
        <f>IF(PORTEFEUILLE_ERIC[[#This Row],[BONI COMPTABLE]]&lt;&gt;0,1,"")</f>
        <v/>
      </c>
      <c r="AY58" s="190" t="str">
        <f>IF(PORTEFEUILLE_ERIC[[#This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SUM(PORTEFEUILLE_ERIC[[#This Row],[PCR COMPTABLE €]:[MONTANT
RESPONSABLE RELATION CLIENT €]])-PORTEFEUILLE_ERIC[[#This Row],[MONTANT TOTAL LETTRE DE MISION €]]</f>
        <v>0</v>
      </c>
      <c r="AI59" s="191"/>
      <c r="AJ59" s="188"/>
      <c r="AK59" s="188"/>
      <c r="AL59" s="188"/>
      <c r="AM59" s="188"/>
      <c r="AN59" s="194"/>
      <c r="AO59" s="194"/>
      <c r="AP59" s="194"/>
      <c r="AQ59" s="194"/>
      <c r="AR5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9" s="188" t="str">
        <f>IF(PORTEFEUILLE_ERIC[[#This Row],[BONI AAC]]&lt;&gt;0,1,"")</f>
        <v/>
      </c>
      <c r="AU59" s="188" t="str">
        <f>IF(PORTEFEUILLE_ERIC[[#This Row],[MALI AAC]]&lt;&gt;0,1,"")</f>
        <v/>
      </c>
      <c r="AV59" s="225">
        <f>IF(AP59&lt;&gt;"",IF((AP59*Paramètres!$H$4)-PORTEFEUILLE_ERIC[[#This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€]]-(DELPHINE!AP48*Paramètres!$H$4),0),0)</f>
        <v>0</v>
      </c>
      <c r="AW59" s="225">
        <f>IF(AP59&lt;&gt;"",IF(((AP59*Paramètres!$H$4)-PORTEFEUILLE_ERIC[[#This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9" s="190" t="str">
        <f>IF(PORTEFEUILLE_ERIC[[#This Row],[BONI COMPTABLE]]&lt;&gt;0,1,"")</f>
        <v/>
      </c>
      <c r="AY59" s="190" t="str">
        <f>IF(PORTEFEUILLE_ERIC[[#This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SUM(PORTEFEUILLE_ERIC[[#This Row],[PCR COMPTABLE €]:[MONTANT
RESPONSABLE RELATION CLIENT €]])-PORTEFEUILLE_ERIC[[#This Row],[MONTANT TOTAL LETTRE DE MISION €]]</f>
        <v>0</v>
      </c>
      <c r="AI60" s="191"/>
      <c r="AJ60" s="188"/>
      <c r="AK60" s="201"/>
      <c r="AL60" s="201"/>
      <c r="AM60" s="201"/>
      <c r="AN60" s="205"/>
      <c r="AO60" s="205"/>
      <c r="AP60" s="205"/>
      <c r="AQ60" s="205"/>
      <c r="AR6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6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60" s="188" t="str">
        <f>IF(PORTEFEUILLE_ERIC[[#This Row],[BONI AAC]]&lt;&gt;0,1,"")</f>
        <v/>
      </c>
      <c r="AU60" s="188" t="str">
        <f>IF(PORTEFEUILLE_ERIC[[#This Row],[MALI AAC]]&lt;&gt;0,1,"")</f>
        <v/>
      </c>
      <c r="AV60" s="225">
        <f>IF(AP60&lt;&gt;"",IF((AP60*Paramètres!$H$4)-PORTEFEUILLE_ERIC[[#This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€]]-(DELPHINE!AP49*Paramètres!$H$4),0),0)</f>
        <v>0</v>
      </c>
      <c r="AW60" s="225">
        <f>IF(AP60&lt;&gt;"",IF(((AP60*Paramètres!$H$4)-PORTEFEUILLE_ERIC[[#This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€]])&gt;0,(AP60*Paramètres!$H$4)-PORTEFEUILLE_ERIC[[#This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60" s="190" t="str">
        <f>IF(PORTEFEUILLE_ERIC[[#This Row],[BONI COMPTABLE]]&lt;&gt;0,1,"")</f>
        <v/>
      </c>
      <c r="AY60" s="190" t="str">
        <f>IF(PORTEFEUILLE_ERIC[[#This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80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81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81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82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83" t="s">
        <v>123</v>
      </c>
      <c r="C69" s="283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4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81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81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82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83" t="s">
        <v>123</v>
      </c>
      <c r="C75" s="283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4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81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81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82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83" t="s">
        <v>123</v>
      </c>
      <c r="C81" s="283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5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6"/>
      <c r="C85" s="146" t="s">
        <v>109</v>
      </c>
      <c r="D85" s="138">
        <f>COUNTIFS($I$3:$I$60,"&lt;&gt;",$D$3:$D$60,"ACS")</f>
        <v>3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1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6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6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6" t="s">
        <v>123</v>
      </c>
      <c r="C88" s="286"/>
      <c r="D88" s="138">
        <f t="shared" ref="D88:R88" si="8">+SUM(D85:D87)</f>
        <v>3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1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7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6"/>
      <c r="C91" s="146" t="s">
        <v>109</v>
      </c>
      <c r="D91" s="138">
        <f>COUNTIFS($I$3:$I$60,"&lt;&gt;",$E$3:$E$60,DATE(Paramètres!A4,Paramètres!D15,Paramètres!C15),$D$3:$D$60,"ACS")</f>
        <v>3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1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6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6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6" t="s">
        <v>123</v>
      </c>
      <c r="C94" s="286"/>
      <c r="D94" s="138">
        <f t="shared" ref="D94:R94" si="10">+SUM(D91:D93)</f>
        <v>3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1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6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6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6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6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6" t="s">
        <v>123</v>
      </c>
      <c r="C100" s="286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80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81"/>
      <c r="C105" s="120" t="s">
        <v>109</v>
      </c>
      <c r="D105" s="122">
        <f>+D66-D85</f>
        <v>0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0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81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82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83" t="s">
        <v>123</v>
      </c>
      <c r="C108" s="283"/>
      <c r="D108" s="122">
        <f t="shared" ref="D108:R108" si="16">+SUM(D105:D107)</f>
        <v>0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0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4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81"/>
      <c r="C111" s="120" t="s">
        <v>109</v>
      </c>
      <c r="D111" s="122">
        <f>+D72-D91</f>
        <v>0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0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81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82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83" t="s">
        <v>123</v>
      </c>
      <c r="C114" s="283"/>
      <c r="D114" s="122">
        <f t="shared" ref="D114:R114" si="19">+SUM(D111:D113)</f>
        <v>0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0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4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81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81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82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83" t="s">
        <v>123</v>
      </c>
      <c r="C120" s="283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45" priority="6">
      <formula>AND(P3&lt;&gt;"",P3&lt;&gt;"OUI")</formula>
    </cfRule>
  </conditionalFormatting>
  <conditionalFormatting sqref="AN3:AO60 S3:AH60">
    <cfRule type="expression" dxfId="44" priority="5" stopIfTrue="1">
      <formula>$AH3&lt;&gt;0</formula>
    </cfRule>
  </conditionalFormatting>
  <conditionalFormatting sqref="A6:E60 C3:E5 A3:A5">
    <cfRule type="expression" dxfId="43" priority="7" stopIfTrue="1">
      <formula>AND($I3&lt;&gt;"",AND($J3="",AND($BA3="",$BB3="")))</formula>
    </cfRule>
    <cfRule type="expression" dxfId="42" priority="8" stopIfTrue="1">
      <formula>AND($J3&lt;&gt;"",AND($BA3="",$BB3=""))</formula>
    </cfRule>
    <cfRule type="expression" dxfId="41" priority="9" stopIfTrue="1">
      <formula>AND($BA3&lt;&gt;"",$BB3="")</formula>
    </cfRule>
    <cfRule type="expression" dxfId="40" priority="10" stopIfTrue="1">
      <formula>$BB3="X"</formula>
    </cfRule>
  </conditionalFormatting>
  <conditionalFormatting sqref="B3:B5">
    <cfRule type="expression" dxfId="39" priority="1" stopIfTrue="1">
      <formula>AND($I3&lt;&gt;"",AND($J3="",AND($BA3="",$BB3="")))</formula>
    </cfRule>
    <cfRule type="expression" dxfId="38" priority="2" stopIfTrue="1">
      <formula>AND($J3&lt;&gt;"",AND($BA3="",$BB3=""))</formula>
    </cfRule>
    <cfRule type="expression" dxfId="37" priority="3" stopIfTrue="1">
      <formula>AND($BA3&lt;&gt;"",$BB3="")</formula>
    </cfRule>
    <cfRule type="expression" dxfId="36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N183"/>
  <sheetViews>
    <sheetView zoomScale="85" zoomScaleNormal="85" workbookViewId="0">
      <pane xSplit="5" ySplit="2" topLeftCell="F3" activePane="bottomRight" state="frozen"/>
      <selection activeCell="F22" sqref="F22"/>
      <selection pane="topRight" activeCell="F22" sqref="F22"/>
      <selection pane="bottomLeft" activeCell="F22" sqref="F22"/>
      <selection pane="bottomRight" activeCell="A3" sqref="A3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228</v>
      </c>
      <c r="AM2" s="237" t="s">
        <v>229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226</v>
      </c>
      <c r="B3" s="170">
        <v>860078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SUM(PORTEFEUILLE_MARIE_PIERRE[[#This Row],[PCR COMPTABLE €]:[MONTANT
RESPONSABLE RELATION CLIENT €]])-PORTEFEUILLE_MARIE_PIERRE[[#This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400</v>
      </c>
      <c r="AT3" s="188" t="str">
        <f>IF(PORTEFEUILLE_MARIE_PIERRE[[#This Row],[BONI AAC]]&lt;&gt;0,1,"")</f>
        <v/>
      </c>
      <c r="AU3" s="188">
        <f>IF(PORTEFEUILLE_MARIE_PIERRE[[#This Row],[MALI AAC]]&lt;&gt;0,1,"")</f>
        <v>1</v>
      </c>
      <c r="AV3" s="225">
        <f>IF(AP3&lt;&gt;"",IF((AP3*Paramètres!$H$4)-PORTEFEUILLE_MARIE_PIERRE[[#This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3" s="225">
        <f>IF(AP3&lt;&gt;"",IF(((AP3*Paramètres!$H$4)-PORTEFEUILLE_MARIE_PIERRE[[#This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" s="190" t="str">
        <f>IF(PORTEFEUILLE_MARIE_PIERRE[[#This Row],[BONI COMPTABLE]]&lt;&gt;0,1,"")</f>
        <v/>
      </c>
      <c r="AY3" s="190" t="str">
        <f>IF(PORTEFEUILLE_MARIE_PIERRE[[#This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226</v>
      </c>
      <c r="B4" s="170">
        <v>860079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SUM(PORTEFEUILLE_MARIE_PIERRE[[#This Row],[PCR COMPTABLE €]:[MONTANT
RESPONSABLE RELATION CLIENT €]])-PORTEFEUILLE_MARIE_PIERRE[[#This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1000</v>
      </c>
      <c r="AT4" s="188" t="str">
        <f>IF(PORTEFEUILLE_MARIE_PIERRE[[#This Row],[BONI AAC]]&lt;&gt;0,1,"")</f>
        <v/>
      </c>
      <c r="AU4" s="188">
        <f>IF(PORTEFEUILLE_MARIE_PIERRE[[#This Row],[MALI AAC]]&lt;&gt;0,1,"")</f>
        <v>1</v>
      </c>
      <c r="AV4" s="225">
        <f>IF(AP4&lt;&gt;"",IF((AP4*Paramètres!$H$4)-PORTEFEUILLE_MARIE_PIERRE[[#This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4" s="225">
        <f>IF(AP4&lt;&gt;"",IF(((AP4*Paramètres!$H$4)-PORTEFEUILLE_MARIE_PIERRE[[#This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3000</v>
      </c>
      <c r="AX4" s="190" t="str">
        <f>IF(PORTEFEUILLE_MARIE_PIERRE[[#This Row],[BONI COMPTABLE]]&lt;&gt;0,1,"")</f>
        <v/>
      </c>
      <c r="AY4" s="190">
        <f>IF(PORTEFEUILLE_MARIE_PIERRE[[#This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226</v>
      </c>
      <c r="B5" s="170">
        <v>860080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SUM(PORTEFEUILLE_MARIE_PIERRE[[#This Row],[PCR COMPTABLE €]:[MONTANT
RESPONSABLE RELATION CLIENT €]])-PORTEFEUILLE_MARIE_PIERRE[[#This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2200</v>
      </c>
      <c r="AT5" s="188" t="str">
        <f>IF(PORTEFEUILLE_MARIE_PIERRE[[#This Row],[BONI AAC]]&lt;&gt;0,1,"")</f>
        <v/>
      </c>
      <c r="AU5" s="188">
        <f>IF(PORTEFEUILLE_MARIE_PIERRE[[#This Row],[MALI AAC]]&lt;&gt;0,1,"")</f>
        <v>1</v>
      </c>
      <c r="AV5" s="225">
        <f>IF(AP5&lt;&gt;"",IF((AP5*Paramètres!$H$4)-PORTEFEUILLE_MARIE_PIERRE[[#This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5" s="225">
        <f>IF(AP5&lt;&gt;"",IF(((AP5*Paramètres!$H$4)-PORTEFEUILLE_MARIE_PIERRE[[#This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4150</v>
      </c>
      <c r="AX5" s="190" t="str">
        <f>IF(PORTEFEUILLE_MARIE_PIERRE[[#This Row],[BONI COMPTABLE]]&lt;&gt;0,1,"")</f>
        <v/>
      </c>
      <c r="AY5" s="190">
        <f>IF(PORTEFEUILLE_MARIE_PIERRE[[#This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SUM(PORTEFEUILLE_MARIE_PIERRE[[#This Row],[PCR COMPTABLE €]:[MONTANT
RESPONSABLE RELATION CLIENT €]])-PORTEFEUILLE_MARIE_PIERRE[[#This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6" s="188" t="str">
        <f>IF(PORTEFEUILLE_MARIE_PIERRE[[#This Row],[BONI AAC]]&lt;&gt;0,1,"")</f>
        <v/>
      </c>
      <c r="AU6" s="188" t="str">
        <f>IF(PORTEFEUILLE_MARIE_PIERRE[[#This Row],[MALI AAC]]&lt;&gt;0,1,"")</f>
        <v/>
      </c>
      <c r="AV6" s="225">
        <f>IF(AP6&lt;&gt;"",IF((AP6*Paramètres!$H$4)-PORTEFEUILLE_MARIE_PIERRE[[#This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6" s="225">
        <f>IF(AP6&lt;&gt;"",IF(((AP6*Paramètres!$H$4)-PORTEFEUILLE_MARIE_PIERRE[[#This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6" s="190" t="str">
        <f>IF(PORTEFEUILLE_MARIE_PIERRE[[#This Row],[BONI COMPTABLE]]&lt;&gt;0,1,"")</f>
        <v/>
      </c>
      <c r="AY6" s="190" t="str">
        <f>IF(PORTEFEUILLE_MARIE_PIERRE[[#This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SUM(PORTEFEUILLE_MARIE_PIERRE[[#This Row],[PCR COMPTABLE €]:[MONTANT
RESPONSABLE RELATION CLIENT €]])-PORTEFEUILLE_MARIE_PIERRE[[#This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7" s="188" t="str">
        <f>IF(PORTEFEUILLE_MARIE_PIERRE[[#This Row],[BONI AAC]]&lt;&gt;0,1,"")</f>
        <v/>
      </c>
      <c r="AU7" s="188" t="str">
        <f>IF(PORTEFEUILLE_MARIE_PIERRE[[#This Row],[MALI AAC]]&lt;&gt;0,1,"")</f>
        <v/>
      </c>
      <c r="AV7" s="225">
        <f>IF(AP7&lt;&gt;"",IF((AP7*Paramètres!$H$4)-PORTEFEUILLE_MARIE_PIERRE[[#This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7" s="225">
        <f>IF(AP7&lt;&gt;"",IF(((AP7*Paramètres!$H$4)-PORTEFEUILLE_MARIE_PIERRE[[#This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7" s="190" t="str">
        <f>IF(PORTEFEUILLE_MARIE_PIERRE[[#This Row],[BONI COMPTABLE]]&lt;&gt;0,1,"")</f>
        <v/>
      </c>
      <c r="AY7" s="190" t="str">
        <f>IF(PORTEFEUILLE_MARIE_PIERRE[[#This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SUM(PORTEFEUILLE_MARIE_PIERRE[[#This Row],[PCR COMPTABLE €]:[MONTANT
RESPONSABLE RELATION CLIENT €]])-PORTEFEUILLE_MARIE_PIERRE[[#This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8" s="188" t="str">
        <f>IF(PORTEFEUILLE_MARIE_PIERRE[[#This Row],[BONI AAC]]&lt;&gt;0,1,"")</f>
        <v/>
      </c>
      <c r="AU8" s="188" t="str">
        <f>IF(PORTEFEUILLE_MARIE_PIERRE[[#This Row],[MALI AAC]]&lt;&gt;0,1,"")</f>
        <v/>
      </c>
      <c r="AV8" s="225">
        <f>IF(AP8&lt;&gt;"",IF((AP8*Paramètres!$H$4)-PORTEFEUILLE_MARIE_PIERRE[[#This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8" s="225">
        <f>IF(AP8&lt;&gt;"",IF(((AP8*Paramètres!$H$4)-PORTEFEUILLE_MARIE_PIERRE[[#This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8" s="190" t="str">
        <f>IF(PORTEFEUILLE_MARIE_PIERRE[[#This Row],[BONI COMPTABLE]]&lt;&gt;0,1,"")</f>
        <v/>
      </c>
      <c r="AY8" s="190" t="str">
        <f>IF(PORTEFEUILLE_MARIE_PIERRE[[#This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SUM(PORTEFEUILLE_MARIE_PIERRE[[#This Row],[PCR COMPTABLE €]:[MONTANT
RESPONSABLE RELATION CLIENT €]])-PORTEFEUILLE_MARIE_PIERRE[[#This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9" s="188" t="str">
        <f>IF(PORTEFEUILLE_MARIE_PIERRE[[#This Row],[BONI AAC]]&lt;&gt;0,1,"")</f>
        <v/>
      </c>
      <c r="AU9" s="188" t="str">
        <f>IF(PORTEFEUILLE_MARIE_PIERRE[[#This Row],[MALI AAC]]&lt;&gt;0,1,"")</f>
        <v/>
      </c>
      <c r="AV9" s="225">
        <f>IF(AP9&lt;&gt;"",IF((AP9*Paramètres!$H$4)-PORTEFEUILLE_MARIE_PIERRE[[#This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9" s="225">
        <f>IF(AP9&lt;&gt;"",IF(((AP9*Paramètres!$H$4)-PORTEFEUILLE_MARIE_PIERRE[[#This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9" s="190" t="str">
        <f>IF(PORTEFEUILLE_MARIE_PIERRE[[#This Row],[BONI COMPTABLE]]&lt;&gt;0,1,"")</f>
        <v/>
      </c>
      <c r="AY9" s="190" t="str">
        <f>IF(PORTEFEUILLE_MARIE_PIERRE[[#This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SUM(PORTEFEUILLE_MARIE_PIERRE[[#This Row],[PCR COMPTABLE €]:[MONTANT
RESPONSABLE RELATION CLIENT €]])-PORTEFEUILLE_MARIE_PIERRE[[#This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0" s="188" t="str">
        <f>IF(PORTEFEUILLE_MARIE_PIERRE[[#This Row],[BONI AAC]]&lt;&gt;0,1,"")</f>
        <v/>
      </c>
      <c r="AU10" s="188" t="str">
        <f>IF(PORTEFEUILLE_MARIE_PIERRE[[#This Row],[MALI AAC]]&lt;&gt;0,1,"")</f>
        <v/>
      </c>
      <c r="AV10" s="225">
        <f>IF(AP10&lt;&gt;"",IF((AP10*Paramètres!$H$4)-PORTEFEUILLE_MARIE_PIERRE[[#This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10" s="225">
        <f>IF(AP10&lt;&gt;"",IF(((AP10*Paramètres!$H$4)-PORTEFEUILLE_MARIE_PIERRE[[#This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0" s="190" t="str">
        <f>IF(PORTEFEUILLE_MARIE_PIERRE[[#This Row],[BONI COMPTABLE]]&lt;&gt;0,1,"")</f>
        <v/>
      </c>
      <c r="AY10" s="190" t="str">
        <f>IF(PORTEFEUILLE_MARIE_PIERRE[[#This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SUM(PORTEFEUILLE_MARIE_PIERRE[[#This Row],[PCR COMPTABLE €]:[MONTANT
RESPONSABLE RELATION CLIENT €]])-PORTEFEUILLE_MARIE_PIERRE[[#This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1" s="188" t="str">
        <f>IF(PORTEFEUILLE_MARIE_PIERRE[[#This Row],[BONI AAC]]&lt;&gt;0,1,"")</f>
        <v/>
      </c>
      <c r="AU11" s="188" t="str">
        <f>IF(PORTEFEUILLE_MARIE_PIERRE[[#This Row],[MALI AAC]]&lt;&gt;0,1,"")</f>
        <v/>
      </c>
      <c r="AV11" s="225">
        <f>IF(AP11&lt;&gt;"",IF((AP11*Paramètres!$H$4)-PORTEFEUILLE_MARIE_PIERRE[[#This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11" s="225">
        <f>IF(AP11&lt;&gt;"",IF(((AP11*Paramètres!$H$4)-PORTEFEUILLE_MARIE_PIERRE[[#This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1" s="190" t="str">
        <f>IF(PORTEFEUILLE_MARIE_PIERRE[[#This Row],[BONI COMPTABLE]]&lt;&gt;0,1,"")</f>
        <v/>
      </c>
      <c r="AY11" s="190" t="str">
        <f>IF(PORTEFEUILLE_MARIE_PIERRE[[#This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SUM(PORTEFEUILLE_MARIE_PIERRE[[#This Row],[PCR COMPTABLE €]:[MONTANT
RESPONSABLE RELATION CLIENT €]])-PORTEFEUILLE_MARIE_PIERRE[[#This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2" s="188" t="str">
        <f>IF(PORTEFEUILLE_MARIE_PIERRE[[#This Row],[BONI AAC]]&lt;&gt;0,1,"")</f>
        <v/>
      </c>
      <c r="AU12" s="188" t="str">
        <f>IF(PORTEFEUILLE_MARIE_PIERRE[[#This Row],[MALI AAC]]&lt;&gt;0,1,"")</f>
        <v/>
      </c>
      <c r="AV12" s="225">
        <f>IF(AP12&lt;&gt;"",IF((AP12*Paramètres!$H$4)-PORTEFEUILLE_MARIE_PIERRE[[#This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12" s="225">
        <f>IF(AP12&lt;&gt;"",IF(((AP12*Paramètres!$H$4)-PORTEFEUILLE_MARIE_PIERRE[[#This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2" s="190" t="str">
        <f>IF(PORTEFEUILLE_MARIE_PIERRE[[#This Row],[BONI COMPTABLE]]&lt;&gt;0,1,"")</f>
        <v/>
      </c>
      <c r="AY12" s="190" t="str">
        <f>IF(PORTEFEUILLE_MARIE_PIERRE[[#This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SUM(PORTEFEUILLE_MARIE_PIERRE[[#This Row],[PCR COMPTABLE €]:[MONTANT
RESPONSABLE RELATION CLIENT €]])-PORTEFEUILLE_MARIE_PIERRE[[#This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3" s="188" t="str">
        <f>IF(PORTEFEUILLE_MARIE_PIERRE[[#This Row],[BONI AAC]]&lt;&gt;0,1,"")</f>
        <v/>
      </c>
      <c r="AU13" s="188" t="str">
        <f>IF(PORTEFEUILLE_MARIE_PIERRE[[#This Row],[MALI AAC]]&lt;&gt;0,1,"")</f>
        <v/>
      </c>
      <c r="AV13" s="225">
        <f>IF(AP13&lt;&gt;"",IF((AP13*Paramètres!$H$4)-PORTEFEUILLE_MARIE_PIERRE[[#This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€]]-(DELPHINE!AP3*Paramètres!$H$4),0),0)</f>
        <v>0</v>
      </c>
      <c r="AW13" s="225">
        <f>IF(AP13&lt;&gt;"",IF(((AP13*Paramètres!$H$4)-PORTEFEUILLE_MARIE_PIERRE[[#This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3" s="190" t="str">
        <f>IF(PORTEFEUILLE_MARIE_PIERRE[[#This Row],[BONI COMPTABLE]]&lt;&gt;0,1,"")</f>
        <v/>
      </c>
      <c r="AY13" s="190" t="str">
        <f>IF(PORTEFEUILLE_MARIE_PIERRE[[#This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SUM(PORTEFEUILLE_MARIE_PIERRE[[#This Row],[PCR COMPTABLE €]:[MONTANT
RESPONSABLE RELATION CLIENT €]])-PORTEFEUILLE_MARIE_PIERRE[[#This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4" s="188" t="str">
        <f>IF(PORTEFEUILLE_MARIE_PIERRE[[#This Row],[BONI AAC]]&lt;&gt;0,1,"")</f>
        <v/>
      </c>
      <c r="AU14" s="188" t="str">
        <f>IF(PORTEFEUILLE_MARIE_PIERRE[[#This Row],[MALI AAC]]&lt;&gt;0,1,"")</f>
        <v/>
      </c>
      <c r="AV14" s="225">
        <f>IF(AP14&lt;&gt;"",IF((AP14*Paramètres!$H$4)-PORTEFEUILLE_MARIE_PIERRE[[#This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14" s="225">
        <f>IF(AP14&lt;&gt;"",IF(((AP14*Paramètres!$H$4)-PORTEFEUILLE_MARIE_PIERRE[[#This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4" s="190" t="str">
        <f>IF(PORTEFEUILLE_MARIE_PIERRE[[#This Row],[BONI COMPTABLE]]&lt;&gt;0,1,"")</f>
        <v/>
      </c>
      <c r="AY14" s="190" t="str">
        <f>IF(PORTEFEUILLE_MARIE_PIERRE[[#This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SUM(PORTEFEUILLE_MARIE_PIERRE[[#This Row],[PCR COMPTABLE €]:[MONTANT
RESPONSABLE RELATION CLIENT €]])-PORTEFEUILLE_MARIE_PIERRE[[#This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5" s="188" t="str">
        <f>IF(PORTEFEUILLE_MARIE_PIERRE[[#This Row],[BONI AAC]]&lt;&gt;0,1,"")</f>
        <v/>
      </c>
      <c r="AU15" s="188" t="str">
        <f>IF(PORTEFEUILLE_MARIE_PIERRE[[#This Row],[MALI AAC]]&lt;&gt;0,1,"")</f>
        <v/>
      </c>
      <c r="AV15" s="225">
        <f>IF(AP15&lt;&gt;"",IF((AP15*Paramètres!$H$4)-PORTEFEUILLE_MARIE_PIERRE[[#This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€]]-(DELPHINE!AP4*Paramètres!$H$4),0),0)</f>
        <v>0</v>
      </c>
      <c r="AW15" s="225">
        <f>IF(AP15&lt;&gt;"",IF(((AP15*Paramètres!$H$4)-PORTEFEUILLE_MARIE_PIERRE[[#This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5" s="190" t="str">
        <f>IF(PORTEFEUILLE_MARIE_PIERRE[[#This Row],[BONI COMPTABLE]]&lt;&gt;0,1,"")</f>
        <v/>
      </c>
      <c r="AY15" s="190" t="str">
        <f>IF(PORTEFEUILLE_MARIE_PIERRE[[#This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SUM(PORTEFEUILLE_MARIE_PIERRE[[#This Row],[PCR COMPTABLE €]:[MONTANT
RESPONSABLE RELATION CLIENT €]])-PORTEFEUILLE_MARIE_PIERRE[[#This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6" s="188" t="str">
        <f>IF(PORTEFEUILLE_MARIE_PIERRE[[#This Row],[BONI AAC]]&lt;&gt;0,1,"")</f>
        <v/>
      </c>
      <c r="AU16" s="188" t="str">
        <f>IF(PORTEFEUILLE_MARIE_PIERRE[[#This Row],[MALI AAC]]&lt;&gt;0,1,"")</f>
        <v/>
      </c>
      <c r="AV16" s="225">
        <f>IF(AP16&lt;&gt;"",IF((AP16*Paramètres!$H$4)-PORTEFEUILLE_MARIE_PIERRE[[#This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€]]-(DELPHINE!AP5*Paramètres!$H$4),0),0)</f>
        <v>0</v>
      </c>
      <c r="AW16" s="225">
        <f>IF(AP16&lt;&gt;"",IF(((AP16*Paramètres!$H$4)-PORTEFEUILLE_MARIE_PIERRE[[#This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6" s="190" t="str">
        <f>IF(PORTEFEUILLE_MARIE_PIERRE[[#This Row],[BONI COMPTABLE]]&lt;&gt;0,1,"")</f>
        <v/>
      </c>
      <c r="AY16" s="190" t="str">
        <f>IF(PORTEFEUILLE_MARIE_PIERRE[[#This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SUM(PORTEFEUILLE_MARIE_PIERRE[[#This Row],[PCR COMPTABLE €]:[MONTANT
RESPONSABLE RELATION CLIENT €]])-PORTEFEUILLE_MARIE_PIERRE[[#This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7" s="188" t="str">
        <f>IF(PORTEFEUILLE_MARIE_PIERRE[[#This Row],[BONI AAC]]&lt;&gt;0,1,"")</f>
        <v/>
      </c>
      <c r="AU17" s="188" t="str">
        <f>IF(PORTEFEUILLE_MARIE_PIERRE[[#This Row],[MALI AAC]]&lt;&gt;0,1,"")</f>
        <v/>
      </c>
      <c r="AV17" s="225">
        <f>IF(AP17&lt;&gt;"",IF((AP17*Paramètres!$H$4)-PORTEFEUILLE_MARIE_PIERRE[[#This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€]]-(DELPHINE!AP6*Paramètres!$H$4),0),0)</f>
        <v>0</v>
      </c>
      <c r="AW17" s="225">
        <f>IF(AP17&lt;&gt;"",IF(((AP17*Paramètres!$H$4)-PORTEFEUILLE_MARIE_PIERRE[[#This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7" s="190" t="str">
        <f>IF(PORTEFEUILLE_MARIE_PIERRE[[#This Row],[BONI COMPTABLE]]&lt;&gt;0,1,"")</f>
        <v/>
      </c>
      <c r="AY17" s="190" t="str">
        <f>IF(PORTEFEUILLE_MARIE_PIERRE[[#This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SUM(PORTEFEUILLE_MARIE_PIERRE[[#This Row],[PCR COMPTABLE €]:[MONTANT
RESPONSABLE RELATION CLIENT €]])-PORTEFEUILLE_MARIE_PIERRE[[#This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8" s="188" t="str">
        <f>IF(PORTEFEUILLE_MARIE_PIERRE[[#This Row],[BONI AAC]]&lt;&gt;0,1,"")</f>
        <v/>
      </c>
      <c r="AU18" s="188" t="str">
        <f>IF(PORTEFEUILLE_MARIE_PIERRE[[#This Row],[MALI AAC]]&lt;&gt;0,1,"")</f>
        <v/>
      </c>
      <c r="AV18" s="225">
        <f>IF(AP18&lt;&gt;"",IF((AP18*Paramètres!$H$4)-PORTEFEUILLE_MARIE_PIERRE[[#This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€]]-(DELPHINE!AP7*Paramètres!$H$4),0),0)</f>
        <v>0</v>
      </c>
      <c r="AW18" s="225">
        <f>IF(AP18&lt;&gt;"",IF(((AP18*Paramètres!$H$4)-PORTEFEUILLE_MARIE_PIERRE[[#This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8" s="190" t="str">
        <f>IF(PORTEFEUILLE_MARIE_PIERRE[[#This Row],[BONI COMPTABLE]]&lt;&gt;0,1,"")</f>
        <v/>
      </c>
      <c r="AY18" s="190" t="str">
        <f>IF(PORTEFEUILLE_MARIE_PIERRE[[#This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SUM(PORTEFEUILLE_MARIE_PIERRE[[#This Row],[PCR COMPTABLE €]:[MONTANT
RESPONSABLE RELATION CLIENT €]])-PORTEFEUILLE_MARIE_PIERRE[[#This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9" s="188" t="str">
        <f>IF(PORTEFEUILLE_MARIE_PIERRE[[#This Row],[BONI AAC]]&lt;&gt;0,1,"")</f>
        <v/>
      </c>
      <c r="AU19" s="188" t="str">
        <f>IF(PORTEFEUILLE_MARIE_PIERRE[[#This Row],[MALI AAC]]&lt;&gt;0,1,"")</f>
        <v/>
      </c>
      <c r="AV19" s="225">
        <f>IF(AP19&lt;&gt;"",IF((AP19*Paramètres!$H$4)-PORTEFEUILLE_MARIE_PIERRE[[#This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€]]-(DELPHINE!AP8*Paramètres!$H$4),0),0)</f>
        <v>0</v>
      </c>
      <c r="AW19" s="225">
        <f>IF(AP19&lt;&gt;"",IF(((AP19*Paramètres!$H$4)-PORTEFEUILLE_MARIE_PIERRE[[#This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9" s="190" t="str">
        <f>IF(PORTEFEUILLE_MARIE_PIERRE[[#This Row],[BONI COMPTABLE]]&lt;&gt;0,1,"")</f>
        <v/>
      </c>
      <c r="AY19" s="190" t="str">
        <f>IF(PORTEFEUILLE_MARIE_PIERRE[[#This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SUM(PORTEFEUILLE_MARIE_PIERRE[[#This Row],[PCR COMPTABLE €]:[MONTANT
RESPONSABLE RELATION CLIENT €]])-PORTEFEUILLE_MARIE_PIERRE[[#This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0" s="188" t="str">
        <f>IF(PORTEFEUILLE_MARIE_PIERRE[[#This Row],[BONI AAC]]&lt;&gt;0,1,"")</f>
        <v/>
      </c>
      <c r="AU20" s="188" t="str">
        <f>IF(PORTEFEUILLE_MARIE_PIERRE[[#This Row],[MALI AAC]]&lt;&gt;0,1,"")</f>
        <v/>
      </c>
      <c r="AV20" s="225">
        <f>IF(AP20&lt;&gt;"",IF((AP20*Paramètres!$H$4)-PORTEFEUILLE_MARIE_PIERRE[[#This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€]]-(DELPHINE!AP9*Paramètres!$H$4),0),0)</f>
        <v>0</v>
      </c>
      <c r="AW20" s="225">
        <f>IF(AP20&lt;&gt;"",IF(((AP20*Paramètres!$H$4)-PORTEFEUILLE_MARIE_PIERRE[[#This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0" s="190" t="str">
        <f>IF(PORTEFEUILLE_MARIE_PIERRE[[#This Row],[BONI COMPTABLE]]&lt;&gt;0,1,"")</f>
        <v/>
      </c>
      <c r="AY20" s="190" t="str">
        <f>IF(PORTEFEUILLE_MARIE_PIERRE[[#This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SUM(PORTEFEUILLE_MARIE_PIERRE[[#This Row],[PCR COMPTABLE €]:[MONTANT
RESPONSABLE RELATION CLIENT €]])-PORTEFEUILLE_MARIE_PIERRE[[#This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1" s="188" t="str">
        <f>IF(PORTEFEUILLE_MARIE_PIERRE[[#This Row],[BONI AAC]]&lt;&gt;0,1,"")</f>
        <v/>
      </c>
      <c r="AU21" s="188" t="str">
        <f>IF(PORTEFEUILLE_MARIE_PIERRE[[#This Row],[MALI AAC]]&lt;&gt;0,1,"")</f>
        <v/>
      </c>
      <c r="AV21" s="225">
        <f>IF(AP21&lt;&gt;"",IF((AP21*Paramètres!$H$4)-PORTEFEUILLE_MARIE_PIERRE[[#This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€]]-(DELPHINE!AP10*Paramètres!$H$4),0),0)</f>
        <v>0</v>
      </c>
      <c r="AW21" s="225">
        <f>IF(AP21&lt;&gt;"",IF(((AP21*Paramètres!$H$4)-PORTEFEUILLE_MARIE_PIERRE[[#This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1" s="190" t="str">
        <f>IF(PORTEFEUILLE_MARIE_PIERRE[[#This Row],[BONI COMPTABLE]]&lt;&gt;0,1,"")</f>
        <v/>
      </c>
      <c r="AY21" s="190" t="str">
        <f>IF(PORTEFEUILLE_MARIE_PIERRE[[#This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SUM(PORTEFEUILLE_MARIE_PIERRE[[#This Row],[PCR COMPTABLE €]:[MONTANT
RESPONSABLE RELATION CLIENT €]])-PORTEFEUILLE_MARIE_PIERRE[[#This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2" s="188" t="str">
        <f>IF(PORTEFEUILLE_MARIE_PIERRE[[#This Row],[BONI AAC]]&lt;&gt;0,1,"")</f>
        <v/>
      </c>
      <c r="AU22" s="188" t="str">
        <f>IF(PORTEFEUILLE_MARIE_PIERRE[[#This Row],[MALI AAC]]&lt;&gt;0,1,"")</f>
        <v/>
      </c>
      <c r="AV22" s="225">
        <f>IF(AP22&lt;&gt;"",IF((AP22*Paramètres!$H$4)-PORTEFEUILLE_MARIE_PIERRE[[#This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€]]-(DELPHINE!AP11*Paramètres!$H$4),0),0)</f>
        <v>0</v>
      </c>
      <c r="AW22" s="225">
        <f>IF(AP22&lt;&gt;"",IF(((AP22*Paramètres!$H$4)-PORTEFEUILLE_MARIE_PIERRE[[#This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2" s="190" t="str">
        <f>IF(PORTEFEUILLE_MARIE_PIERRE[[#This Row],[BONI COMPTABLE]]&lt;&gt;0,1,"")</f>
        <v/>
      </c>
      <c r="AY22" s="190" t="str">
        <f>IF(PORTEFEUILLE_MARIE_PIERRE[[#This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SUM(PORTEFEUILLE_MARIE_PIERRE[[#This Row],[PCR COMPTABLE €]:[MONTANT
RESPONSABLE RELATION CLIENT €]])-PORTEFEUILLE_MARIE_PIERRE[[#This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3" s="188" t="str">
        <f>IF(PORTEFEUILLE_MARIE_PIERRE[[#This Row],[BONI AAC]]&lt;&gt;0,1,"")</f>
        <v/>
      </c>
      <c r="AU23" s="188" t="str">
        <f>IF(PORTEFEUILLE_MARIE_PIERRE[[#This Row],[MALI AAC]]&lt;&gt;0,1,"")</f>
        <v/>
      </c>
      <c r="AV23" s="225">
        <f>IF(AP23&lt;&gt;"",IF((AP23*Paramètres!$H$4)-PORTEFEUILLE_MARIE_PIERRE[[#This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€]]-(DELPHINE!AP12*Paramètres!$H$4),0),0)</f>
        <v>0</v>
      </c>
      <c r="AW23" s="225">
        <f>IF(AP23&lt;&gt;"",IF(((AP23*Paramètres!$H$4)-PORTEFEUILLE_MARIE_PIERRE[[#This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3" s="190" t="str">
        <f>IF(PORTEFEUILLE_MARIE_PIERRE[[#This Row],[BONI COMPTABLE]]&lt;&gt;0,1,"")</f>
        <v/>
      </c>
      <c r="AY23" s="190" t="str">
        <f>IF(PORTEFEUILLE_MARIE_PIERRE[[#This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SUM(PORTEFEUILLE_MARIE_PIERRE[[#This Row],[PCR COMPTABLE €]:[MONTANT
RESPONSABLE RELATION CLIENT €]])-PORTEFEUILLE_MARIE_PIERRE[[#This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4" s="188" t="str">
        <f>IF(PORTEFEUILLE_MARIE_PIERRE[[#This Row],[BONI AAC]]&lt;&gt;0,1,"")</f>
        <v/>
      </c>
      <c r="AU24" s="188" t="str">
        <f>IF(PORTEFEUILLE_MARIE_PIERRE[[#This Row],[MALI AAC]]&lt;&gt;0,1,"")</f>
        <v/>
      </c>
      <c r="AV24" s="225">
        <f>IF(AP24&lt;&gt;"",IF((AP24*Paramètres!$H$4)-PORTEFEUILLE_MARIE_PIERRE[[#This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€]]-(DELPHINE!AP13*Paramètres!$H$4),0),0)</f>
        <v>0</v>
      </c>
      <c r="AW24" s="225">
        <f>IF(AP24&lt;&gt;"",IF(((AP24*Paramètres!$H$4)-PORTEFEUILLE_MARIE_PIERRE[[#This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4" s="190" t="str">
        <f>IF(PORTEFEUILLE_MARIE_PIERRE[[#This Row],[BONI COMPTABLE]]&lt;&gt;0,1,"")</f>
        <v/>
      </c>
      <c r="AY24" s="190" t="str">
        <f>IF(PORTEFEUILLE_MARIE_PIERRE[[#This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SUM(PORTEFEUILLE_MARIE_PIERRE[[#This Row],[PCR COMPTABLE €]:[MONTANT
RESPONSABLE RELATION CLIENT €]])-PORTEFEUILLE_MARIE_PIERRE[[#This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5" s="188" t="str">
        <f>IF(PORTEFEUILLE_MARIE_PIERRE[[#This Row],[BONI AAC]]&lt;&gt;0,1,"")</f>
        <v/>
      </c>
      <c r="AU25" s="188" t="str">
        <f>IF(PORTEFEUILLE_MARIE_PIERRE[[#This Row],[MALI AAC]]&lt;&gt;0,1,"")</f>
        <v/>
      </c>
      <c r="AV25" s="225">
        <f>IF(AP25&lt;&gt;"",IF((AP25*Paramètres!$H$4)-PORTEFEUILLE_MARIE_PIERRE[[#This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€]]-(DELPHINE!AP14*Paramètres!$H$4),0),0)</f>
        <v>0</v>
      </c>
      <c r="AW25" s="225">
        <f>IF(AP25&lt;&gt;"",IF(((AP25*Paramètres!$H$4)-PORTEFEUILLE_MARIE_PIERRE[[#This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5" s="190" t="str">
        <f>IF(PORTEFEUILLE_MARIE_PIERRE[[#This Row],[BONI COMPTABLE]]&lt;&gt;0,1,"")</f>
        <v/>
      </c>
      <c r="AY25" s="190" t="str">
        <f>IF(PORTEFEUILLE_MARIE_PIERRE[[#This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SUM(PORTEFEUILLE_MARIE_PIERRE[[#This Row],[PCR COMPTABLE €]:[MONTANT
RESPONSABLE RELATION CLIENT €]])-PORTEFEUILLE_MARIE_PIERRE[[#This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6" s="188" t="str">
        <f>IF(PORTEFEUILLE_MARIE_PIERRE[[#This Row],[BONI AAC]]&lt;&gt;0,1,"")</f>
        <v/>
      </c>
      <c r="AU26" s="188" t="str">
        <f>IF(PORTEFEUILLE_MARIE_PIERRE[[#This Row],[MALI AAC]]&lt;&gt;0,1,"")</f>
        <v/>
      </c>
      <c r="AV26" s="225">
        <f>IF(AP26&lt;&gt;"",IF((AP26*Paramètres!$H$4)-PORTEFEUILLE_MARIE_PIERRE[[#This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€]]-(DELPHINE!AP15*Paramètres!$H$4),0),0)</f>
        <v>0</v>
      </c>
      <c r="AW26" s="225">
        <f>IF(AP26&lt;&gt;"",IF(((AP26*Paramètres!$H$4)-PORTEFEUILLE_MARIE_PIERRE[[#This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6" s="190" t="str">
        <f>IF(PORTEFEUILLE_MARIE_PIERRE[[#This Row],[BONI COMPTABLE]]&lt;&gt;0,1,"")</f>
        <v/>
      </c>
      <c r="AY26" s="190" t="str">
        <f>IF(PORTEFEUILLE_MARIE_PIERRE[[#This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SUM(PORTEFEUILLE_MARIE_PIERRE[[#This Row],[PCR COMPTABLE €]:[MONTANT
RESPONSABLE RELATION CLIENT €]])-PORTEFEUILLE_MARIE_PIERRE[[#This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7" s="188" t="str">
        <f>IF(PORTEFEUILLE_MARIE_PIERRE[[#This Row],[BONI AAC]]&lt;&gt;0,1,"")</f>
        <v/>
      </c>
      <c r="AU27" s="188" t="str">
        <f>IF(PORTEFEUILLE_MARIE_PIERRE[[#This Row],[MALI AAC]]&lt;&gt;0,1,"")</f>
        <v/>
      </c>
      <c r="AV27" s="225">
        <f>IF(AP27&lt;&gt;"",IF((AP27*Paramètres!$H$4)-PORTEFEUILLE_MARIE_PIERRE[[#This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€]]-(DELPHINE!AP16*Paramètres!$H$4),0),0)</f>
        <v>0</v>
      </c>
      <c r="AW27" s="225">
        <f>IF(AP27&lt;&gt;"",IF(((AP27*Paramètres!$H$4)-PORTEFEUILLE_MARIE_PIERRE[[#This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7" s="190" t="str">
        <f>IF(PORTEFEUILLE_MARIE_PIERRE[[#This Row],[BONI COMPTABLE]]&lt;&gt;0,1,"")</f>
        <v/>
      </c>
      <c r="AY27" s="190" t="str">
        <f>IF(PORTEFEUILLE_MARIE_PIERRE[[#This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SUM(PORTEFEUILLE_MARIE_PIERRE[[#This Row],[PCR COMPTABLE €]:[MONTANT
RESPONSABLE RELATION CLIENT €]])-PORTEFEUILLE_MARIE_PIERRE[[#This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8" s="188" t="str">
        <f>IF(PORTEFEUILLE_MARIE_PIERRE[[#This Row],[BONI AAC]]&lt;&gt;0,1,"")</f>
        <v/>
      </c>
      <c r="AU28" s="188" t="str">
        <f>IF(PORTEFEUILLE_MARIE_PIERRE[[#This Row],[MALI AAC]]&lt;&gt;0,1,"")</f>
        <v/>
      </c>
      <c r="AV28" s="225">
        <f>IF(AP28&lt;&gt;"",IF((AP28*Paramètres!$H$4)-PORTEFEUILLE_MARIE_PIERRE[[#This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€]]-(DELPHINE!AP17*Paramètres!$H$4),0),0)</f>
        <v>0</v>
      </c>
      <c r="AW28" s="225">
        <f>IF(AP28&lt;&gt;"",IF(((AP28*Paramètres!$H$4)-PORTEFEUILLE_MARIE_PIERRE[[#This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8" s="190" t="str">
        <f>IF(PORTEFEUILLE_MARIE_PIERRE[[#This Row],[BONI COMPTABLE]]&lt;&gt;0,1,"")</f>
        <v/>
      </c>
      <c r="AY28" s="190" t="str">
        <f>IF(PORTEFEUILLE_MARIE_PIERRE[[#This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SUM(PORTEFEUILLE_MARIE_PIERRE[[#This Row],[PCR COMPTABLE €]:[MONTANT
RESPONSABLE RELATION CLIENT €]])-PORTEFEUILLE_MARIE_PIERRE[[#This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9" s="188" t="str">
        <f>IF(PORTEFEUILLE_MARIE_PIERRE[[#This Row],[BONI AAC]]&lt;&gt;0,1,"")</f>
        <v/>
      </c>
      <c r="AU29" s="188" t="str">
        <f>IF(PORTEFEUILLE_MARIE_PIERRE[[#This Row],[MALI AAC]]&lt;&gt;0,1,"")</f>
        <v/>
      </c>
      <c r="AV29" s="225">
        <f>IF(AP29&lt;&gt;"",IF((AP29*Paramètres!$H$4)-PORTEFEUILLE_MARIE_PIERRE[[#This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€]]-(DELPHINE!AP18*Paramètres!$H$4),0),0)</f>
        <v>0</v>
      </c>
      <c r="AW29" s="225">
        <f>IF(AP29&lt;&gt;"",IF(((AP29*Paramètres!$H$4)-PORTEFEUILLE_MARIE_PIERRE[[#This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9" s="190" t="str">
        <f>IF(PORTEFEUILLE_MARIE_PIERRE[[#This Row],[BONI COMPTABLE]]&lt;&gt;0,1,"")</f>
        <v/>
      </c>
      <c r="AY29" s="190" t="str">
        <f>IF(PORTEFEUILLE_MARIE_PIERRE[[#This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SUM(PORTEFEUILLE_MARIE_PIERRE[[#This Row],[PCR COMPTABLE €]:[MONTANT
RESPONSABLE RELATION CLIENT €]])-PORTEFEUILLE_MARIE_PIERRE[[#This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0" s="188" t="str">
        <f>IF(PORTEFEUILLE_MARIE_PIERRE[[#This Row],[BONI AAC]]&lt;&gt;0,1,"")</f>
        <v/>
      </c>
      <c r="AU30" s="188" t="str">
        <f>IF(PORTEFEUILLE_MARIE_PIERRE[[#This Row],[MALI AAC]]&lt;&gt;0,1,"")</f>
        <v/>
      </c>
      <c r="AV30" s="225">
        <f>IF(AP30&lt;&gt;"",IF((AP30*Paramètres!$H$4)-PORTEFEUILLE_MARIE_PIERRE[[#This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€]]-(DELPHINE!AP19*Paramètres!$H$4),0),0)</f>
        <v>0</v>
      </c>
      <c r="AW30" s="225">
        <f>IF(AP30&lt;&gt;"",IF(((AP30*Paramètres!$H$4)-PORTEFEUILLE_MARIE_PIERRE[[#This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0" s="190" t="str">
        <f>IF(PORTEFEUILLE_MARIE_PIERRE[[#This Row],[BONI COMPTABLE]]&lt;&gt;0,1,"")</f>
        <v/>
      </c>
      <c r="AY30" s="190" t="str">
        <f>IF(PORTEFEUILLE_MARIE_PIERRE[[#This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SUM(PORTEFEUILLE_MARIE_PIERRE[[#This Row],[PCR COMPTABLE €]:[MONTANT
RESPONSABLE RELATION CLIENT €]])-PORTEFEUILLE_MARIE_PIERRE[[#This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1" s="188" t="str">
        <f>IF(PORTEFEUILLE_MARIE_PIERRE[[#This Row],[BONI AAC]]&lt;&gt;0,1,"")</f>
        <v/>
      </c>
      <c r="AU31" s="188" t="str">
        <f>IF(PORTEFEUILLE_MARIE_PIERRE[[#This Row],[MALI AAC]]&lt;&gt;0,1,"")</f>
        <v/>
      </c>
      <c r="AV31" s="225">
        <f>IF(AP31&lt;&gt;"",IF((AP31*Paramètres!$H$4)-PORTEFEUILLE_MARIE_PIERRE[[#This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€]]-(DELPHINE!AP20*Paramètres!$H$4),0),0)</f>
        <v>0</v>
      </c>
      <c r="AW31" s="225">
        <f>IF(AP31&lt;&gt;"",IF(((AP31*Paramètres!$H$4)-PORTEFEUILLE_MARIE_PIERRE[[#This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1" s="190" t="str">
        <f>IF(PORTEFEUILLE_MARIE_PIERRE[[#This Row],[BONI COMPTABLE]]&lt;&gt;0,1,"")</f>
        <v/>
      </c>
      <c r="AY31" s="190" t="str">
        <f>IF(PORTEFEUILLE_MARIE_PIERRE[[#This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SUM(PORTEFEUILLE_MARIE_PIERRE[[#This Row],[PCR COMPTABLE €]:[MONTANT
RESPONSABLE RELATION CLIENT €]])-PORTEFEUILLE_MARIE_PIERRE[[#This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2" s="188" t="str">
        <f>IF(PORTEFEUILLE_MARIE_PIERRE[[#This Row],[BONI AAC]]&lt;&gt;0,1,"")</f>
        <v/>
      </c>
      <c r="AU32" s="188" t="str">
        <f>IF(PORTEFEUILLE_MARIE_PIERRE[[#This Row],[MALI AAC]]&lt;&gt;0,1,"")</f>
        <v/>
      </c>
      <c r="AV32" s="225">
        <f>IF(AP32&lt;&gt;"",IF((AP32*Paramètres!$H$4)-PORTEFEUILLE_MARIE_PIERRE[[#This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€]]-(DELPHINE!AP21*Paramètres!$H$4),0),0)</f>
        <v>0</v>
      </c>
      <c r="AW32" s="225">
        <f>IF(AP32&lt;&gt;"",IF(((AP32*Paramètres!$H$4)-PORTEFEUILLE_MARIE_PIERRE[[#This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2" s="190" t="str">
        <f>IF(PORTEFEUILLE_MARIE_PIERRE[[#This Row],[BONI COMPTABLE]]&lt;&gt;0,1,"")</f>
        <v/>
      </c>
      <c r="AY32" s="190" t="str">
        <f>IF(PORTEFEUILLE_MARIE_PIERRE[[#This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SUM(PORTEFEUILLE_MARIE_PIERRE[[#This Row],[PCR COMPTABLE €]:[MONTANT
RESPONSABLE RELATION CLIENT €]])-PORTEFEUILLE_MARIE_PIERRE[[#This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3" s="188" t="str">
        <f>IF(PORTEFEUILLE_MARIE_PIERRE[[#This Row],[BONI AAC]]&lt;&gt;0,1,"")</f>
        <v/>
      </c>
      <c r="AU33" s="188" t="str">
        <f>IF(PORTEFEUILLE_MARIE_PIERRE[[#This Row],[MALI AAC]]&lt;&gt;0,1,"")</f>
        <v/>
      </c>
      <c r="AV33" s="225">
        <f>IF(AP33&lt;&gt;"",IF((AP33*Paramètres!$H$4)-PORTEFEUILLE_MARIE_PIERRE[[#This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€]]-(DELPHINE!AP22*Paramètres!$H$4),0),0)</f>
        <v>0</v>
      </c>
      <c r="AW33" s="225">
        <f>IF(AP33&lt;&gt;"",IF(((AP33*Paramètres!$H$4)-PORTEFEUILLE_MARIE_PIERRE[[#This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3" s="190" t="str">
        <f>IF(PORTEFEUILLE_MARIE_PIERRE[[#This Row],[BONI COMPTABLE]]&lt;&gt;0,1,"")</f>
        <v/>
      </c>
      <c r="AY33" s="190" t="str">
        <f>IF(PORTEFEUILLE_MARIE_PIERRE[[#This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SUM(PORTEFEUILLE_MARIE_PIERRE[[#This Row],[PCR COMPTABLE €]:[MONTANT
RESPONSABLE RELATION CLIENT €]])-PORTEFEUILLE_MARIE_PIERRE[[#This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4" s="188" t="str">
        <f>IF(PORTEFEUILLE_MARIE_PIERRE[[#This Row],[BONI AAC]]&lt;&gt;0,1,"")</f>
        <v/>
      </c>
      <c r="AU34" s="188" t="str">
        <f>IF(PORTEFEUILLE_MARIE_PIERRE[[#This Row],[MALI AAC]]&lt;&gt;0,1,"")</f>
        <v/>
      </c>
      <c r="AV34" s="225">
        <f>IF(AP34&lt;&gt;"",IF((AP34*Paramètres!$H$4)-PORTEFEUILLE_MARIE_PIERRE[[#This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€]]-(DELPHINE!AP23*Paramètres!$H$4),0),0)</f>
        <v>0</v>
      </c>
      <c r="AW34" s="225">
        <f>IF(AP34&lt;&gt;"",IF(((AP34*Paramètres!$H$4)-PORTEFEUILLE_MARIE_PIERRE[[#This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4" s="190" t="str">
        <f>IF(PORTEFEUILLE_MARIE_PIERRE[[#This Row],[BONI COMPTABLE]]&lt;&gt;0,1,"")</f>
        <v/>
      </c>
      <c r="AY34" s="190" t="str">
        <f>IF(PORTEFEUILLE_MARIE_PIERRE[[#This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SUM(PORTEFEUILLE_MARIE_PIERRE[[#This Row],[PCR COMPTABLE €]:[MONTANT
RESPONSABLE RELATION CLIENT €]])-PORTEFEUILLE_MARIE_PIERRE[[#This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5" s="188" t="str">
        <f>IF(PORTEFEUILLE_MARIE_PIERRE[[#This Row],[BONI AAC]]&lt;&gt;0,1,"")</f>
        <v/>
      </c>
      <c r="AU35" s="188" t="str">
        <f>IF(PORTEFEUILLE_MARIE_PIERRE[[#This Row],[MALI AAC]]&lt;&gt;0,1,"")</f>
        <v/>
      </c>
      <c r="AV35" s="225">
        <f>IF(AP35&lt;&gt;"",IF((AP35*Paramètres!$H$4)-PORTEFEUILLE_MARIE_PIERRE[[#This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€]]-(DELPHINE!AP24*Paramètres!$H$4),0),0)</f>
        <v>0</v>
      </c>
      <c r="AW35" s="225">
        <f>IF(AP35&lt;&gt;"",IF(((AP35*Paramètres!$H$4)-PORTEFEUILLE_MARIE_PIERRE[[#This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5" s="190" t="str">
        <f>IF(PORTEFEUILLE_MARIE_PIERRE[[#This Row],[BONI COMPTABLE]]&lt;&gt;0,1,"")</f>
        <v/>
      </c>
      <c r="AY35" s="190" t="str">
        <f>IF(PORTEFEUILLE_MARIE_PIERRE[[#This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SUM(PORTEFEUILLE_MARIE_PIERRE[[#This Row],[PCR COMPTABLE €]:[MONTANT
RESPONSABLE RELATION CLIENT €]])-PORTEFEUILLE_MARIE_PIERRE[[#This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6" s="188" t="str">
        <f>IF(PORTEFEUILLE_MARIE_PIERRE[[#This Row],[BONI AAC]]&lt;&gt;0,1,"")</f>
        <v/>
      </c>
      <c r="AU36" s="188" t="str">
        <f>IF(PORTEFEUILLE_MARIE_PIERRE[[#This Row],[MALI AAC]]&lt;&gt;0,1,"")</f>
        <v/>
      </c>
      <c r="AV36" s="225">
        <f>IF(AP36&lt;&gt;"",IF((AP36*Paramètres!$H$4)-PORTEFEUILLE_MARIE_PIERRE[[#This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€]]-(DELPHINE!AP25*Paramètres!$H$4),0),0)</f>
        <v>0</v>
      </c>
      <c r="AW36" s="225">
        <f>IF(AP36&lt;&gt;"",IF(((AP36*Paramètres!$H$4)-PORTEFEUILLE_MARIE_PIERRE[[#This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6" s="190" t="str">
        <f>IF(PORTEFEUILLE_MARIE_PIERRE[[#This Row],[BONI COMPTABLE]]&lt;&gt;0,1,"")</f>
        <v/>
      </c>
      <c r="AY36" s="190" t="str">
        <f>IF(PORTEFEUILLE_MARIE_PIERRE[[#This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SUM(PORTEFEUILLE_MARIE_PIERRE[[#This Row],[PCR COMPTABLE €]:[MONTANT
RESPONSABLE RELATION CLIENT €]])-PORTEFEUILLE_MARIE_PIERRE[[#This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7" s="188" t="str">
        <f>IF(PORTEFEUILLE_MARIE_PIERRE[[#This Row],[BONI AAC]]&lt;&gt;0,1,"")</f>
        <v/>
      </c>
      <c r="AU37" s="188" t="str">
        <f>IF(PORTEFEUILLE_MARIE_PIERRE[[#This Row],[MALI AAC]]&lt;&gt;0,1,"")</f>
        <v/>
      </c>
      <c r="AV37" s="225">
        <f>IF(AP37&lt;&gt;"",IF((AP37*Paramètres!$H$4)-PORTEFEUILLE_MARIE_PIERRE[[#This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€]]-(DELPHINE!AP26*Paramètres!$H$4),0),0)</f>
        <v>0</v>
      </c>
      <c r="AW37" s="225">
        <f>IF(AP37&lt;&gt;"",IF(((AP37*Paramètres!$H$4)-PORTEFEUILLE_MARIE_PIERRE[[#This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7" s="190" t="str">
        <f>IF(PORTEFEUILLE_MARIE_PIERRE[[#This Row],[BONI COMPTABLE]]&lt;&gt;0,1,"")</f>
        <v/>
      </c>
      <c r="AY37" s="190" t="str">
        <f>IF(PORTEFEUILLE_MARIE_PIERRE[[#This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SUM(PORTEFEUILLE_MARIE_PIERRE[[#This Row],[PCR COMPTABLE €]:[MONTANT
RESPONSABLE RELATION CLIENT €]])-PORTEFEUILLE_MARIE_PIERRE[[#This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8" s="188" t="str">
        <f>IF(PORTEFEUILLE_MARIE_PIERRE[[#This Row],[BONI AAC]]&lt;&gt;0,1,"")</f>
        <v/>
      </c>
      <c r="AU38" s="188" t="str">
        <f>IF(PORTEFEUILLE_MARIE_PIERRE[[#This Row],[MALI AAC]]&lt;&gt;0,1,"")</f>
        <v/>
      </c>
      <c r="AV38" s="225">
        <f>IF(AP38&lt;&gt;"",IF((AP38*Paramètres!$H$4)-PORTEFEUILLE_MARIE_PIERRE[[#This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€]]-(DELPHINE!AP27*Paramètres!$H$4),0),0)</f>
        <v>0</v>
      </c>
      <c r="AW38" s="225">
        <f>IF(AP38&lt;&gt;"",IF(((AP38*Paramètres!$H$4)-PORTEFEUILLE_MARIE_PIERRE[[#This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8" s="190" t="str">
        <f>IF(PORTEFEUILLE_MARIE_PIERRE[[#This Row],[BONI COMPTABLE]]&lt;&gt;0,1,"")</f>
        <v/>
      </c>
      <c r="AY38" s="190" t="str">
        <f>IF(PORTEFEUILLE_MARIE_PIERRE[[#This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SUM(PORTEFEUILLE_MARIE_PIERRE[[#This Row],[PCR COMPTABLE €]:[MONTANT
RESPONSABLE RELATION CLIENT €]])-PORTEFEUILLE_MARIE_PIERRE[[#This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9" s="188" t="str">
        <f>IF(PORTEFEUILLE_MARIE_PIERRE[[#This Row],[BONI AAC]]&lt;&gt;0,1,"")</f>
        <v/>
      </c>
      <c r="AU39" s="188" t="str">
        <f>IF(PORTEFEUILLE_MARIE_PIERRE[[#This Row],[MALI AAC]]&lt;&gt;0,1,"")</f>
        <v/>
      </c>
      <c r="AV39" s="225">
        <f>IF(AP39&lt;&gt;"",IF((AP39*Paramètres!$H$4)-PORTEFEUILLE_MARIE_PIERRE[[#This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€]]-(DELPHINE!AP28*Paramètres!$H$4),0),0)</f>
        <v>0</v>
      </c>
      <c r="AW39" s="225">
        <f>IF(AP39&lt;&gt;"",IF(((AP39*Paramètres!$H$4)-PORTEFEUILLE_MARIE_PIERRE[[#This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9" s="190" t="str">
        <f>IF(PORTEFEUILLE_MARIE_PIERRE[[#This Row],[BONI COMPTABLE]]&lt;&gt;0,1,"")</f>
        <v/>
      </c>
      <c r="AY39" s="190" t="str">
        <f>IF(PORTEFEUILLE_MARIE_PIERRE[[#This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SUM(PORTEFEUILLE_MARIE_PIERRE[[#This Row],[PCR COMPTABLE €]:[MONTANT
RESPONSABLE RELATION CLIENT €]])-PORTEFEUILLE_MARIE_PIERRE[[#This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0" s="188" t="str">
        <f>IF(PORTEFEUILLE_MARIE_PIERRE[[#This Row],[BONI AAC]]&lt;&gt;0,1,"")</f>
        <v/>
      </c>
      <c r="AU40" s="188" t="str">
        <f>IF(PORTEFEUILLE_MARIE_PIERRE[[#This Row],[MALI AAC]]&lt;&gt;0,1,"")</f>
        <v/>
      </c>
      <c r="AV40" s="225">
        <f>IF(AP40&lt;&gt;"",IF((AP40*Paramètres!$H$4)-PORTEFEUILLE_MARIE_PIERRE[[#This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€]]-(DELPHINE!AP29*Paramètres!$H$4),0),0)</f>
        <v>0</v>
      </c>
      <c r="AW40" s="225">
        <f>IF(AP40&lt;&gt;"",IF(((AP40*Paramètres!$H$4)-PORTEFEUILLE_MARIE_PIERRE[[#This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0" s="190" t="str">
        <f>IF(PORTEFEUILLE_MARIE_PIERRE[[#This Row],[BONI COMPTABLE]]&lt;&gt;0,1,"")</f>
        <v/>
      </c>
      <c r="AY40" s="190" t="str">
        <f>IF(PORTEFEUILLE_MARIE_PIERRE[[#This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SUM(PORTEFEUILLE_MARIE_PIERRE[[#This Row],[PCR COMPTABLE €]:[MONTANT
RESPONSABLE RELATION CLIENT €]])-PORTEFEUILLE_MARIE_PIERRE[[#This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1" s="188" t="str">
        <f>IF(PORTEFEUILLE_MARIE_PIERRE[[#This Row],[BONI AAC]]&lt;&gt;0,1,"")</f>
        <v/>
      </c>
      <c r="AU41" s="188" t="str">
        <f>IF(PORTEFEUILLE_MARIE_PIERRE[[#This Row],[MALI AAC]]&lt;&gt;0,1,"")</f>
        <v/>
      </c>
      <c r="AV41" s="225">
        <f>IF(AP41&lt;&gt;"",IF((AP41*Paramètres!$H$4)-PORTEFEUILLE_MARIE_PIERRE[[#This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€]]-(DELPHINE!AP30*Paramètres!$H$4),0),0)</f>
        <v>0</v>
      </c>
      <c r="AW41" s="225">
        <f>IF(AP41&lt;&gt;"",IF(((AP41*Paramètres!$H$4)-PORTEFEUILLE_MARIE_PIERRE[[#This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1" s="190" t="str">
        <f>IF(PORTEFEUILLE_MARIE_PIERRE[[#This Row],[BONI COMPTABLE]]&lt;&gt;0,1,"")</f>
        <v/>
      </c>
      <c r="AY41" s="190" t="str">
        <f>IF(PORTEFEUILLE_MARIE_PIERRE[[#This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SUM(PORTEFEUILLE_MARIE_PIERRE[[#This Row],[PCR COMPTABLE €]:[MONTANT
RESPONSABLE RELATION CLIENT €]])-PORTEFEUILLE_MARIE_PIERRE[[#This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2" s="188" t="str">
        <f>IF(PORTEFEUILLE_MARIE_PIERRE[[#This Row],[BONI AAC]]&lt;&gt;0,1,"")</f>
        <v/>
      </c>
      <c r="AU42" s="188" t="str">
        <f>IF(PORTEFEUILLE_MARIE_PIERRE[[#This Row],[MALI AAC]]&lt;&gt;0,1,"")</f>
        <v/>
      </c>
      <c r="AV42" s="225">
        <f>IF(AP42&lt;&gt;"",IF((AP42*Paramètres!$H$4)-PORTEFEUILLE_MARIE_PIERRE[[#This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€]]-(DELPHINE!AP31*Paramètres!$H$4),0),0)</f>
        <v>0</v>
      </c>
      <c r="AW42" s="225">
        <f>IF(AP42&lt;&gt;"",IF(((AP42*Paramètres!$H$4)-PORTEFEUILLE_MARIE_PIERRE[[#This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2" s="190" t="str">
        <f>IF(PORTEFEUILLE_MARIE_PIERRE[[#This Row],[BONI COMPTABLE]]&lt;&gt;0,1,"")</f>
        <v/>
      </c>
      <c r="AY42" s="190" t="str">
        <f>IF(PORTEFEUILLE_MARIE_PIERRE[[#This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SUM(PORTEFEUILLE_MARIE_PIERRE[[#This Row],[PCR COMPTABLE €]:[MONTANT
RESPONSABLE RELATION CLIENT €]])-PORTEFEUILLE_MARIE_PIERRE[[#This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3" s="188" t="str">
        <f>IF(PORTEFEUILLE_MARIE_PIERRE[[#This Row],[BONI AAC]]&lt;&gt;0,1,"")</f>
        <v/>
      </c>
      <c r="AU43" s="188" t="str">
        <f>IF(PORTEFEUILLE_MARIE_PIERRE[[#This Row],[MALI AAC]]&lt;&gt;0,1,"")</f>
        <v/>
      </c>
      <c r="AV43" s="225">
        <f>IF(AP43&lt;&gt;"",IF((AP43*Paramètres!$H$4)-PORTEFEUILLE_MARIE_PIERRE[[#This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€]]-(DELPHINE!AP32*Paramètres!$H$4),0),0)</f>
        <v>0</v>
      </c>
      <c r="AW43" s="225">
        <f>IF(AP43&lt;&gt;"",IF(((AP43*Paramètres!$H$4)-PORTEFEUILLE_MARIE_PIERRE[[#This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3" s="190" t="str">
        <f>IF(PORTEFEUILLE_MARIE_PIERRE[[#This Row],[BONI COMPTABLE]]&lt;&gt;0,1,"")</f>
        <v/>
      </c>
      <c r="AY43" s="190" t="str">
        <f>IF(PORTEFEUILLE_MARIE_PIERRE[[#This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SUM(PORTEFEUILLE_MARIE_PIERRE[[#This Row],[PCR COMPTABLE €]:[MONTANT
RESPONSABLE RELATION CLIENT €]])-PORTEFEUILLE_MARIE_PIERRE[[#This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4" s="188" t="str">
        <f>IF(PORTEFEUILLE_MARIE_PIERRE[[#This Row],[BONI AAC]]&lt;&gt;0,1,"")</f>
        <v/>
      </c>
      <c r="AU44" s="188" t="str">
        <f>IF(PORTEFEUILLE_MARIE_PIERRE[[#This Row],[MALI AAC]]&lt;&gt;0,1,"")</f>
        <v/>
      </c>
      <c r="AV44" s="225">
        <f>IF(AP44&lt;&gt;"",IF((AP44*Paramètres!$H$4)-PORTEFEUILLE_MARIE_PIERRE[[#This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€]]-(DELPHINE!AP33*Paramètres!$H$4),0),0)</f>
        <v>0</v>
      </c>
      <c r="AW44" s="225">
        <f>IF(AP44&lt;&gt;"",IF(((AP44*Paramètres!$H$4)-PORTEFEUILLE_MARIE_PIERRE[[#This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4" s="190" t="str">
        <f>IF(PORTEFEUILLE_MARIE_PIERRE[[#This Row],[BONI COMPTABLE]]&lt;&gt;0,1,"")</f>
        <v/>
      </c>
      <c r="AY44" s="190" t="str">
        <f>IF(PORTEFEUILLE_MARIE_PIERRE[[#This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SUM(PORTEFEUILLE_MARIE_PIERRE[[#This Row],[PCR COMPTABLE €]:[MONTANT
RESPONSABLE RELATION CLIENT €]])-PORTEFEUILLE_MARIE_PIERRE[[#This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5" s="188" t="str">
        <f>IF(PORTEFEUILLE_MARIE_PIERRE[[#This Row],[BONI AAC]]&lt;&gt;0,1,"")</f>
        <v/>
      </c>
      <c r="AU45" s="188" t="str">
        <f>IF(PORTEFEUILLE_MARIE_PIERRE[[#This Row],[MALI AAC]]&lt;&gt;0,1,"")</f>
        <v/>
      </c>
      <c r="AV45" s="225">
        <f>IF(AP45&lt;&gt;"",IF((AP45*Paramètres!$H$4)-PORTEFEUILLE_MARIE_PIERRE[[#This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€]]-(DELPHINE!AP34*Paramètres!$H$4),0),0)</f>
        <v>0</v>
      </c>
      <c r="AW45" s="225">
        <f>IF(AP45&lt;&gt;"",IF(((AP45*Paramètres!$H$4)-PORTEFEUILLE_MARIE_PIERRE[[#This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5" s="190" t="str">
        <f>IF(PORTEFEUILLE_MARIE_PIERRE[[#This Row],[BONI COMPTABLE]]&lt;&gt;0,1,"")</f>
        <v/>
      </c>
      <c r="AY45" s="190" t="str">
        <f>IF(PORTEFEUILLE_MARIE_PIERRE[[#This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SUM(PORTEFEUILLE_MARIE_PIERRE[[#This Row],[PCR COMPTABLE €]:[MONTANT
RESPONSABLE RELATION CLIENT €]])-PORTEFEUILLE_MARIE_PIERRE[[#This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6" s="188" t="str">
        <f>IF(PORTEFEUILLE_MARIE_PIERRE[[#This Row],[BONI AAC]]&lt;&gt;0,1,"")</f>
        <v/>
      </c>
      <c r="AU46" s="188" t="str">
        <f>IF(PORTEFEUILLE_MARIE_PIERRE[[#This Row],[MALI AAC]]&lt;&gt;0,1,"")</f>
        <v/>
      </c>
      <c r="AV46" s="225">
        <f>IF(AP46&lt;&gt;"",IF((AP46*Paramètres!$H$4)-PORTEFEUILLE_MARIE_PIERRE[[#This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€]]-(DELPHINE!AP35*Paramètres!$H$4),0),0)</f>
        <v>0</v>
      </c>
      <c r="AW46" s="225">
        <f>IF(AP46&lt;&gt;"",IF(((AP46*Paramètres!$H$4)-PORTEFEUILLE_MARIE_PIERRE[[#This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6" s="190" t="str">
        <f>IF(PORTEFEUILLE_MARIE_PIERRE[[#This Row],[BONI COMPTABLE]]&lt;&gt;0,1,"")</f>
        <v/>
      </c>
      <c r="AY46" s="190" t="str">
        <f>IF(PORTEFEUILLE_MARIE_PIERRE[[#This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SUM(PORTEFEUILLE_MARIE_PIERRE[[#This Row],[PCR COMPTABLE €]:[MONTANT
RESPONSABLE RELATION CLIENT €]])-PORTEFEUILLE_MARIE_PIERRE[[#This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7" s="188" t="str">
        <f>IF(PORTEFEUILLE_MARIE_PIERRE[[#This Row],[BONI AAC]]&lt;&gt;0,1,"")</f>
        <v/>
      </c>
      <c r="AU47" s="188" t="str">
        <f>IF(PORTEFEUILLE_MARIE_PIERRE[[#This Row],[MALI AAC]]&lt;&gt;0,1,"")</f>
        <v/>
      </c>
      <c r="AV47" s="225">
        <f>IF(AP47&lt;&gt;"",IF((AP47*Paramètres!$H$4)-PORTEFEUILLE_MARIE_PIERRE[[#This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€]]-(DELPHINE!AP36*Paramètres!$H$4),0),0)</f>
        <v>0</v>
      </c>
      <c r="AW47" s="225">
        <f>IF(AP47&lt;&gt;"",IF(((AP47*Paramètres!$H$4)-PORTEFEUILLE_MARIE_PIERRE[[#This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7" s="190" t="str">
        <f>IF(PORTEFEUILLE_MARIE_PIERRE[[#This Row],[BONI COMPTABLE]]&lt;&gt;0,1,"")</f>
        <v/>
      </c>
      <c r="AY47" s="190" t="str">
        <f>IF(PORTEFEUILLE_MARIE_PIERRE[[#This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SUM(PORTEFEUILLE_MARIE_PIERRE[[#This Row],[PCR COMPTABLE €]:[MONTANT
RESPONSABLE RELATION CLIENT €]])-PORTEFEUILLE_MARIE_PIERRE[[#This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8" s="188" t="str">
        <f>IF(PORTEFEUILLE_MARIE_PIERRE[[#This Row],[BONI AAC]]&lt;&gt;0,1,"")</f>
        <v/>
      </c>
      <c r="AU48" s="188" t="str">
        <f>IF(PORTEFEUILLE_MARIE_PIERRE[[#This Row],[MALI AAC]]&lt;&gt;0,1,"")</f>
        <v/>
      </c>
      <c r="AV48" s="225">
        <f>IF(AP48&lt;&gt;"",IF((AP48*Paramètres!$H$4)-PORTEFEUILLE_MARIE_PIERRE[[#This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€]]-(DELPHINE!AP37*Paramètres!$H$4),0),0)</f>
        <v>0</v>
      </c>
      <c r="AW48" s="225">
        <f>IF(AP48&lt;&gt;"",IF(((AP48*Paramètres!$H$4)-PORTEFEUILLE_MARIE_PIERRE[[#This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8" s="190" t="str">
        <f>IF(PORTEFEUILLE_MARIE_PIERRE[[#This Row],[BONI COMPTABLE]]&lt;&gt;0,1,"")</f>
        <v/>
      </c>
      <c r="AY48" s="190" t="str">
        <f>IF(PORTEFEUILLE_MARIE_PIERRE[[#This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SUM(PORTEFEUILLE_MARIE_PIERRE[[#This Row],[PCR COMPTABLE €]:[MONTANT
RESPONSABLE RELATION CLIENT €]])-PORTEFEUILLE_MARIE_PIERRE[[#This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9" s="188" t="str">
        <f>IF(PORTEFEUILLE_MARIE_PIERRE[[#This Row],[BONI AAC]]&lt;&gt;0,1,"")</f>
        <v/>
      </c>
      <c r="AU49" s="188" t="str">
        <f>IF(PORTEFEUILLE_MARIE_PIERRE[[#This Row],[MALI AAC]]&lt;&gt;0,1,"")</f>
        <v/>
      </c>
      <c r="AV49" s="225">
        <f>IF(AP49&lt;&gt;"",IF((AP49*Paramètres!$H$4)-PORTEFEUILLE_MARIE_PIERRE[[#This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€]]-(DELPHINE!AP38*Paramètres!$H$4),0),0)</f>
        <v>0</v>
      </c>
      <c r="AW49" s="225">
        <f>IF(AP49&lt;&gt;"",IF(((AP49*Paramètres!$H$4)-PORTEFEUILLE_MARIE_PIERRE[[#This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9" s="190" t="str">
        <f>IF(PORTEFEUILLE_MARIE_PIERRE[[#This Row],[BONI COMPTABLE]]&lt;&gt;0,1,"")</f>
        <v/>
      </c>
      <c r="AY49" s="190" t="str">
        <f>IF(PORTEFEUILLE_MARIE_PIERRE[[#This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SUM(PORTEFEUILLE_MARIE_PIERRE[[#This Row],[PCR COMPTABLE €]:[MONTANT
RESPONSABLE RELATION CLIENT €]])-PORTEFEUILLE_MARIE_PIERRE[[#This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0" s="188" t="str">
        <f>IF(PORTEFEUILLE_MARIE_PIERRE[[#This Row],[BONI AAC]]&lt;&gt;0,1,"")</f>
        <v/>
      </c>
      <c r="AU50" s="188" t="str">
        <f>IF(PORTEFEUILLE_MARIE_PIERRE[[#This Row],[MALI AAC]]&lt;&gt;0,1,"")</f>
        <v/>
      </c>
      <c r="AV50" s="225">
        <f>IF(AP50&lt;&gt;"",IF((AP50*Paramètres!$H$4)-PORTEFEUILLE_MARIE_PIERRE[[#This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€]]-(DELPHINE!AP39*Paramètres!$H$4),0),0)</f>
        <v>0</v>
      </c>
      <c r="AW50" s="225">
        <f>IF(AP50&lt;&gt;"",IF(((AP50*Paramètres!$H$4)-PORTEFEUILLE_MARIE_PIERRE[[#This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0" s="190" t="str">
        <f>IF(PORTEFEUILLE_MARIE_PIERRE[[#This Row],[BONI COMPTABLE]]&lt;&gt;0,1,"")</f>
        <v/>
      </c>
      <c r="AY50" s="190" t="str">
        <f>IF(PORTEFEUILLE_MARIE_PIERRE[[#This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SUM(PORTEFEUILLE_MARIE_PIERRE[[#This Row],[PCR COMPTABLE €]:[MONTANT
RESPONSABLE RELATION CLIENT €]])-PORTEFEUILLE_MARIE_PIERRE[[#This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1" s="188" t="str">
        <f>IF(PORTEFEUILLE_MARIE_PIERRE[[#This Row],[BONI AAC]]&lt;&gt;0,1,"")</f>
        <v/>
      </c>
      <c r="AU51" s="188" t="str">
        <f>IF(PORTEFEUILLE_MARIE_PIERRE[[#This Row],[MALI AAC]]&lt;&gt;0,1,"")</f>
        <v/>
      </c>
      <c r="AV51" s="225">
        <f>IF(AP51&lt;&gt;"",IF((AP51*Paramètres!$H$4)-PORTEFEUILLE_MARIE_PIERRE[[#This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€]]-(DELPHINE!AP40*Paramètres!$H$4),0),0)</f>
        <v>0</v>
      </c>
      <c r="AW51" s="225">
        <f>IF(AP51&lt;&gt;"",IF(((AP51*Paramètres!$H$4)-PORTEFEUILLE_MARIE_PIERRE[[#This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1" s="190" t="str">
        <f>IF(PORTEFEUILLE_MARIE_PIERRE[[#This Row],[BONI COMPTABLE]]&lt;&gt;0,1,"")</f>
        <v/>
      </c>
      <c r="AY51" s="190" t="str">
        <f>IF(PORTEFEUILLE_MARIE_PIERRE[[#This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SUM(PORTEFEUILLE_MARIE_PIERRE[[#This Row],[PCR COMPTABLE €]:[MONTANT
RESPONSABLE RELATION CLIENT €]])-PORTEFEUILLE_MARIE_PIERRE[[#This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2" s="188" t="str">
        <f>IF(PORTEFEUILLE_MARIE_PIERRE[[#This Row],[BONI AAC]]&lt;&gt;0,1,"")</f>
        <v/>
      </c>
      <c r="AU52" s="188" t="str">
        <f>IF(PORTEFEUILLE_MARIE_PIERRE[[#This Row],[MALI AAC]]&lt;&gt;0,1,"")</f>
        <v/>
      </c>
      <c r="AV52" s="225">
        <f>IF(AP52&lt;&gt;"",IF((AP52*Paramètres!$H$4)-PORTEFEUILLE_MARIE_PIERRE[[#This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€]]-(DELPHINE!AP41*Paramètres!$H$4),0),0)</f>
        <v>0</v>
      </c>
      <c r="AW52" s="225">
        <f>IF(AP52&lt;&gt;"",IF(((AP52*Paramètres!$H$4)-PORTEFEUILLE_MARIE_PIERRE[[#This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2" s="190" t="str">
        <f>IF(PORTEFEUILLE_MARIE_PIERRE[[#This Row],[BONI COMPTABLE]]&lt;&gt;0,1,"")</f>
        <v/>
      </c>
      <c r="AY52" s="190" t="str">
        <f>IF(PORTEFEUILLE_MARIE_PIERRE[[#This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SUM(PORTEFEUILLE_MARIE_PIERRE[[#This Row],[PCR COMPTABLE €]:[MONTANT
RESPONSABLE RELATION CLIENT €]])-PORTEFEUILLE_MARIE_PIERRE[[#This Row],[MONTANT TOTAL LETTRE DE MISION €]]</f>
        <v>0</v>
      </c>
      <c r="AI53" s="191"/>
      <c r="AJ53" s="188"/>
      <c r="AK53" s="201"/>
      <c r="AL53" s="201"/>
      <c r="AM53" s="246"/>
      <c r="AN53" s="202"/>
      <c r="AO53" s="202"/>
      <c r="AP53" s="202"/>
      <c r="AQ53" s="202"/>
      <c r="AR5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3" s="188" t="str">
        <f>IF(PORTEFEUILLE_MARIE_PIERRE[[#This Row],[BONI AAC]]&lt;&gt;0,1,"")</f>
        <v/>
      </c>
      <c r="AU53" s="188" t="str">
        <f>IF(PORTEFEUILLE_MARIE_PIERRE[[#This Row],[MALI AAC]]&lt;&gt;0,1,"")</f>
        <v/>
      </c>
      <c r="AV53" s="225">
        <f>IF(AP53&lt;&gt;"",IF((AP53*Paramètres!$H$4)-PORTEFEUILLE_MARIE_PIERRE[[#This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€]]-(DELPHINE!AP42*Paramètres!$H$4),0),0)</f>
        <v>0</v>
      </c>
      <c r="AW53" s="225">
        <f>IF(AP53&lt;&gt;"",IF(((AP53*Paramètres!$H$4)-PORTEFEUILLE_MARIE_PIERRE[[#This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3" s="190" t="str">
        <f>IF(PORTEFEUILLE_MARIE_PIERRE[[#This Row],[BONI COMPTABLE]]&lt;&gt;0,1,"")</f>
        <v/>
      </c>
      <c r="AY53" s="190" t="str">
        <f>IF(PORTEFEUILLE_MARIE_PIERRE[[#This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SUM(PORTEFEUILLE_MARIE_PIERRE[[#This Row],[PCR COMPTABLE €]:[MONTANT
RESPONSABLE RELATION CLIENT €]])-PORTEFEUILLE_MARIE_PIERRE[[#This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4" s="188" t="str">
        <f>IF(PORTEFEUILLE_MARIE_PIERRE[[#This Row],[BONI AAC]]&lt;&gt;0,1,"")</f>
        <v/>
      </c>
      <c r="AU54" s="188" t="str">
        <f>IF(PORTEFEUILLE_MARIE_PIERRE[[#This Row],[MALI AAC]]&lt;&gt;0,1,"")</f>
        <v/>
      </c>
      <c r="AV54" s="225">
        <f>IF(AP54&lt;&gt;"",IF((AP54*Paramètres!$H$4)-PORTEFEUILLE_MARIE_PIERRE[[#This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€]]-(DELPHINE!AP43*Paramètres!$H$4),0),0)</f>
        <v>0</v>
      </c>
      <c r="AW54" s="225">
        <f>IF(AP54&lt;&gt;"",IF(((AP54*Paramètres!$H$4)-PORTEFEUILLE_MARIE_PIERRE[[#This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4" s="190" t="str">
        <f>IF(PORTEFEUILLE_MARIE_PIERRE[[#This Row],[BONI COMPTABLE]]&lt;&gt;0,1,"")</f>
        <v/>
      </c>
      <c r="AY54" s="190" t="str">
        <f>IF(PORTEFEUILLE_MARIE_PIERRE[[#This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SUM(PORTEFEUILLE_MARIE_PIERRE[[#This Row],[PCR COMPTABLE €]:[MONTANT
RESPONSABLE RELATION CLIENT €]])-PORTEFEUILLE_MARIE_PIERRE[[#This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5" s="188" t="str">
        <f>IF(PORTEFEUILLE_MARIE_PIERRE[[#This Row],[BONI AAC]]&lt;&gt;0,1,"")</f>
        <v/>
      </c>
      <c r="AU55" s="188" t="str">
        <f>IF(PORTEFEUILLE_MARIE_PIERRE[[#This Row],[MALI AAC]]&lt;&gt;0,1,"")</f>
        <v/>
      </c>
      <c r="AV55" s="225">
        <f>IF(AP55&lt;&gt;"",IF((AP55*Paramètres!$H$4)-PORTEFEUILLE_MARIE_PIERRE[[#This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€]]-(DELPHINE!AP44*Paramètres!$H$4),0),0)</f>
        <v>0</v>
      </c>
      <c r="AW55" s="225">
        <f>IF(AP55&lt;&gt;"",IF(((AP55*Paramètres!$H$4)-PORTEFEUILLE_MARIE_PIERRE[[#This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5" s="190" t="str">
        <f>IF(PORTEFEUILLE_MARIE_PIERRE[[#This Row],[BONI COMPTABLE]]&lt;&gt;0,1,"")</f>
        <v/>
      </c>
      <c r="AY55" s="190" t="str">
        <f>IF(PORTEFEUILLE_MARIE_PIERRE[[#This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SUM(PORTEFEUILLE_MARIE_PIERRE[[#This Row],[PCR COMPTABLE €]:[MONTANT
RESPONSABLE RELATION CLIENT €]])-PORTEFEUILLE_MARIE_PIERRE[[#This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6" s="188" t="str">
        <f>IF(PORTEFEUILLE_MARIE_PIERRE[[#This Row],[BONI AAC]]&lt;&gt;0,1,"")</f>
        <v/>
      </c>
      <c r="AU56" s="188" t="str">
        <f>IF(PORTEFEUILLE_MARIE_PIERRE[[#This Row],[MALI AAC]]&lt;&gt;0,1,"")</f>
        <v/>
      </c>
      <c r="AV56" s="225">
        <f>IF(AP56&lt;&gt;"",IF((AP56*Paramètres!$H$4)-PORTEFEUILLE_MARIE_PIERRE[[#This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€]]-(DELPHINE!AP45*Paramètres!$H$4),0),0)</f>
        <v>0</v>
      </c>
      <c r="AW56" s="225">
        <f>IF(AP56&lt;&gt;"",IF(((AP56*Paramètres!$H$4)-PORTEFEUILLE_MARIE_PIERRE[[#This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6" s="190" t="str">
        <f>IF(PORTEFEUILLE_MARIE_PIERRE[[#This Row],[BONI COMPTABLE]]&lt;&gt;0,1,"")</f>
        <v/>
      </c>
      <c r="AY56" s="190" t="str">
        <f>IF(PORTEFEUILLE_MARIE_PIERRE[[#This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SUM(PORTEFEUILLE_MARIE_PIERRE[[#This Row],[PCR COMPTABLE €]:[MONTANT
RESPONSABLE RELATION CLIENT €]])-PORTEFEUILLE_MARIE_PIERRE[[#This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7" s="188" t="str">
        <f>IF(PORTEFEUILLE_MARIE_PIERRE[[#This Row],[BONI AAC]]&lt;&gt;0,1,"")</f>
        <v/>
      </c>
      <c r="AU57" s="188" t="str">
        <f>IF(PORTEFEUILLE_MARIE_PIERRE[[#This Row],[MALI AAC]]&lt;&gt;0,1,"")</f>
        <v/>
      </c>
      <c r="AV57" s="225">
        <f>IF(AP57&lt;&gt;"",IF((AP57*Paramètres!$H$4)-PORTEFEUILLE_MARIE_PIERRE[[#This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€]]-(DELPHINE!AP46*Paramètres!$H$4),0),0)</f>
        <v>0</v>
      </c>
      <c r="AW57" s="225">
        <f>IF(AP57&lt;&gt;"",IF(((AP57*Paramètres!$H$4)-PORTEFEUILLE_MARIE_PIERRE[[#This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7" s="190" t="str">
        <f>IF(PORTEFEUILLE_MARIE_PIERRE[[#This Row],[BONI COMPTABLE]]&lt;&gt;0,1,"")</f>
        <v/>
      </c>
      <c r="AY57" s="190" t="str">
        <f>IF(PORTEFEUILLE_MARIE_PIERRE[[#This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SUM(PORTEFEUILLE_MARIE_PIERRE[[#This Row],[PCR COMPTABLE €]:[MONTANT
RESPONSABLE RELATION CLIENT €]])-PORTEFEUILLE_MARIE_PIERRE[[#This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8" s="188" t="str">
        <f>IF(PORTEFEUILLE_MARIE_PIERRE[[#This Row],[BONI AAC]]&lt;&gt;0,1,"")</f>
        <v/>
      </c>
      <c r="AU58" s="188" t="str">
        <f>IF(PORTEFEUILLE_MARIE_PIERRE[[#This Row],[MALI AAC]]&lt;&gt;0,1,"")</f>
        <v/>
      </c>
      <c r="AV58" s="225">
        <f>IF(AP58&lt;&gt;"",IF((AP58*Paramètres!$H$4)-PORTEFEUILLE_MARIE_PIERRE[[#This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€]]-(DELPHINE!AP47*Paramètres!$H$4),0),0)</f>
        <v>0</v>
      </c>
      <c r="AW58" s="225">
        <f>IF(AP58&lt;&gt;"",IF(((AP58*Paramètres!$H$4)-PORTEFEUILLE_MARIE_PIERRE[[#This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8" s="190" t="str">
        <f>IF(PORTEFEUILLE_MARIE_PIERRE[[#This Row],[BONI COMPTABLE]]&lt;&gt;0,1,"")</f>
        <v/>
      </c>
      <c r="AY58" s="190" t="str">
        <f>IF(PORTEFEUILLE_MARIE_PIERRE[[#This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SUM(PORTEFEUILLE_MARIE_PIERRE[[#This Row],[PCR COMPTABLE €]:[MONTANT
RESPONSABLE RELATION CLIENT €]])-PORTEFEUILLE_MARIE_PIERRE[[#This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9" s="188" t="str">
        <f>IF(PORTEFEUILLE_MARIE_PIERRE[[#This Row],[BONI AAC]]&lt;&gt;0,1,"")</f>
        <v/>
      </c>
      <c r="AU59" s="188" t="str">
        <f>IF(PORTEFEUILLE_MARIE_PIERRE[[#This Row],[MALI AAC]]&lt;&gt;0,1,"")</f>
        <v/>
      </c>
      <c r="AV59" s="225">
        <f>IF(AP59&lt;&gt;"",IF((AP59*Paramètres!$H$4)-PORTEFEUILLE_MARIE_PIERRE[[#This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€]]-(DELPHINE!AP48*Paramètres!$H$4),0),0)</f>
        <v>0</v>
      </c>
      <c r="AW59" s="225">
        <f>IF(AP59&lt;&gt;"",IF(((AP59*Paramètres!$H$4)-PORTEFEUILLE_MARIE_PIERRE[[#This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9" s="190" t="str">
        <f>IF(PORTEFEUILLE_MARIE_PIERRE[[#This Row],[BONI COMPTABLE]]&lt;&gt;0,1,"")</f>
        <v/>
      </c>
      <c r="AY59" s="190" t="str">
        <f>IF(PORTEFEUILLE_MARIE_PIERRE[[#This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SUM(PORTEFEUILLE_MARIE_PIERRE[[#This Row],[PCR COMPTABLE €]:[MONTANT
RESPONSABLE RELATION CLIENT €]])-PORTEFEUILLE_MARIE_PIERRE[[#This Row],[MONTANT TOTAL LETTRE DE MISION €]]</f>
        <v>0</v>
      </c>
      <c r="AI60" s="191"/>
      <c r="AJ60" s="188"/>
      <c r="AK60" s="201"/>
      <c r="AL60" s="201"/>
      <c r="AM60" s="246"/>
      <c r="AN60" s="205"/>
      <c r="AO60" s="205"/>
      <c r="AP60" s="205"/>
      <c r="AQ60" s="205"/>
      <c r="AR6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6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60" s="188" t="str">
        <f>IF(PORTEFEUILLE_MARIE_PIERRE[[#This Row],[BONI AAC]]&lt;&gt;0,1,"")</f>
        <v/>
      </c>
      <c r="AU60" s="188" t="str">
        <f>IF(PORTEFEUILLE_MARIE_PIERRE[[#This Row],[MALI AAC]]&lt;&gt;0,1,"")</f>
        <v/>
      </c>
      <c r="AV60" s="225">
        <f>IF(AP60&lt;&gt;"",IF((AP60*Paramètres!$H$4)-PORTEFEUILLE_MARIE_PIERRE[[#This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€]]-(DELPHINE!AP49*Paramètres!$H$4),0),0)</f>
        <v>0</v>
      </c>
      <c r="AW60" s="225">
        <f>IF(AP60&lt;&gt;"",IF(((AP60*Paramètres!$H$4)-PORTEFEUILLE_MARIE_PIERRE[[#This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€]])&gt;0,(AP60*Paramètres!$H$4)-PORTEFEUILLE_MARIE_PIERRE[[#This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60" s="190" t="str">
        <f>IF(PORTEFEUILLE_MARIE_PIERRE[[#This Row],[BONI COMPTABLE]]&lt;&gt;0,1,"")</f>
        <v/>
      </c>
      <c r="AY60" s="190" t="str">
        <f>IF(PORTEFEUILLE_MARIE_PIERRE[[#This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80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81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81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82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83" t="s">
        <v>123</v>
      </c>
      <c r="C69" s="283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4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81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81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82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83" t="s">
        <v>123</v>
      </c>
      <c r="C75" s="283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4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81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81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82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83" t="s">
        <v>123</v>
      </c>
      <c r="C81" s="283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5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6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6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6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6" t="s">
        <v>123</v>
      </c>
      <c r="C88" s="286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7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6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6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6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6" t="s">
        <v>123</v>
      </c>
      <c r="C94" s="286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6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6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6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6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6" t="s">
        <v>123</v>
      </c>
      <c r="C100" s="286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80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81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81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82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83" t="s">
        <v>123</v>
      </c>
      <c r="C108" s="283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4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81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81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82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83" t="s">
        <v>123</v>
      </c>
      <c r="C114" s="283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4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81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81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82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83" t="s">
        <v>123</v>
      </c>
      <c r="C120" s="283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35" priority="6">
      <formula>AND(P3&lt;&gt;"",P3&lt;&gt;"OUI")</formula>
    </cfRule>
  </conditionalFormatting>
  <conditionalFormatting sqref="AN3:AO60 S3:AH60">
    <cfRule type="expression" dxfId="34" priority="5" stopIfTrue="1">
      <formula>$AH3&lt;&gt;0</formula>
    </cfRule>
  </conditionalFormatting>
  <conditionalFormatting sqref="A6:E60 C3:E5 A3:A5">
    <cfRule type="expression" dxfId="33" priority="7" stopIfTrue="1">
      <formula>AND($I3&lt;&gt;"",AND($J3="",AND($BA3="",$BB3="")))</formula>
    </cfRule>
    <cfRule type="expression" dxfId="32" priority="8" stopIfTrue="1">
      <formula>AND($J3&lt;&gt;"",AND($BA3="",$BB3=""))</formula>
    </cfRule>
    <cfRule type="expression" dxfId="31" priority="9" stopIfTrue="1">
      <formula>AND($BA3&lt;&gt;"",$BB3="")</formula>
    </cfRule>
    <cfRule type="expression" dxfId="30" priority="10" stopIfTrue="1">
      <formula>$BB3="X"</formula>
    </cfRule>
  </conditionalFormatting>
  <conditionalFormatting sqref="B3:B5">
    <cfRule type="expression" dxfId="29" priority="1" stopIfTrue="1">
      <formula>AND($I3&lt;&gt;"",AND($J3="",AND($BA3="",$BB3="")))</formula>
    </cfRule>
    <cfRule type="expression" dxfId="28" priority="2" stopIfTrue="1">
      <formula>AND($J3&lt;&gt;"",AND($BA3="",$BB3=""))</formula>
    </cfRule>
    <cfRule type="expression" dxfId="27" priority="3" stopIfTrue="1">
      <formula>AND($BA3&lt;&gt;"",$BB3="")</formula>
    </cfRule>
    <cfRule type="expression" dxfId="26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N183"/>
  <sheetViews>
    <sheetView zoomScale="85" zoomScaleNormal="85" workbookViewId="0">
      <pane xSplit="5" ySplit="2" topLeftCell="F3" activePane="bottomRight" state="frozen"/>
      <selection activeCell="F22" sqref="F22"/>
      <selection pane="topRight" activeCell="F22" sqref="F22"/>
      <selection pane="bottomLeft" activeCell="F22" sqref="F22"/>
      <selection pane="bottomRight" activeCell="A4" sqref="A4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228</v>
      </c>
      <c r="AM2" s="237" t="s">
        <v>229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142</v>
      </c>
      <c r="B3" s="170">
        <v>860000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SUM(PORTEFEUILLE_GUILLAUME[[#This Row],[PCR COMPTABLE €]:[MONTANT
RESPONSABLE RELATION CLIENT €]])-PORTEFEUILLE_GUILLAUME[[#This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400</v>
      </c>
      <c r="AT3" s="188" t="str">
        <f>IF(PORTEFEUILLE_GUILLAUME[[#This Row],[BONI AAC]]&lt;&gt;0,1,"")</f>
        <v/>
      </c>
      <c r="AU3" s="188">
        <f>IF(PORTEFEUILLE_GUILLAUME[[#This Row],[MALI AAC]]&lt;&gt;0,1,"")</f>
        <v>1</v>
      </c>
      <c r="AV3" s="225">
        <f>IF(AP3&lt;&gt;"",IF((AP3*Paramètres!$H$4)-PORTEFEUILLE_GUILLAUME[[#This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3" s="225">
        <f>IF(AP3&lt;&gt;"",IF(((AP3*Paramètres!$H$4)-PORTEFEUILLE_GUILLAUME[[#This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" s="190" t="str">
        <f>IF(PORTEFEUILLE_GUILLAUME[[#This Row],[BONI COMPTABLE]]&lt;&gt;0,1,"")</f>
        <v/>
      </c>
      <c r="AY3" s="190" t="str">
        <f>IF(PORTEFEUILLE_GUILLAUME[[#This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142</v>
      </c>
      <c r="B4" s="170">
        <v>860001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SUM(PORTEFEUILLE_GUILLAUME[[#This Row],[PCR COMPTABLE €]:[MONTANT
RESPONSABLE RELATION CLIENT €]])-PORTEFEUILLE_GUILLAUME[[#This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1000</v>
      </c>
      <c r="AT4" s="188" t="str">
        <f>IF(PORTEFEUILLE_GUILLAUME[[#This Row],[BONI AAC]]&lt;&gt;0,1,"")</f>
        <v/>
      </c>
      <c r="AU4" s="188">
        <f>IF(PORTEFEUILLE_GUILLAUME[[#This Row],[MALI AAC]]&lt;&gt;0,1,"")</f>
        <v>1</v>
      </c>
      <c r="AV4" s="225">
        <f>IF(AP4&lt;&gt;"",IF((AP4*Paramètres!$H$4)-PORTEFEUILLE_GUILLAUME[[#This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4" s="225">
        <f>IF(AP4&lt;&gt;"",IF(((AP4*Paramètres!$H$4)-PORTEFEUILLE_GUILLAUME[[#This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3000</v>
      </c>
      <c r="AX4" s="190" t="str">
        <f>IF(PORTEFEUILLE_GUILLAUME[[#This Row],[BONI COMPTABLE]]&lt;&gt;0,1,"")</f>
        <v/>
      </c>
      <c r="AY4" s="190">
        <f>IF(PORTEFEUILLE_GUILLAUME[[#This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142</v>
      </c>
      <c r="B5" s="170">
        <v>86000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SUM(PORTEFEUILLE_GUILLAUME[[#This Row],[PCR COMPTABLE €]:[MONTANT
RESPONSABLE RELATION CLIENT €]])-PORTEFEUILLE_GUILLAUME[[#This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2200</v>
      </c>
      <c r="AT5" s="188" t="str">
        <f>IF(PORTEFEUILLE_GUILLAUME[[#This Row],[BONI AAC]]&lt;&gt;0,1,"")</f>
        <v/>
      </c>
      <c r="AU5" s="188">
        <f>IF(PORTEFEUILLE_GUILLAUME[[#This Row],[MALI AAC]]&lt;&gt;0,1,"")</f>
        <v>1</v>
      </c>
      <c r="AV5" s="225">
        <f>IF(AP5&lt;&gt;"",IF((AP5*Paramètres!$H$4)-PORTEFEUILLE_GUILLAUME[[#This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5" s="225">
        <f>IF(AP5&lt;&gt;"",IF(((AP5*Paramètres!$H$4)-PORTEFEUILLE_GUILLAUME[[#This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4150</v>
      </c>
      <c r="AX5" s="190" t="str">
        <f>IF(PORTEFEUILLE_GUILLAUME[[#This Row],[BONI COMPTABLE]]&lt;&gt;0,1,"")</f>
        <v/>
      </c>
      <c r="AY5" s="190">
        <f>IF(PORTEFEUILLE_GUILLAUME[[#This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SUM(PORTEFEUILLE_GUILLAUME[[#This Row],[PCR COMPTABLE €]:[MONTANT
RESPONSABLE RELATION CLIENT €]])-PORTEFEUILLE_GUILLAUME[[#This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6" s="188" t="str">
        <f>IF(PORTEFEUILLE_GUILLAUME[[#This Row],[BONI AAC]]&lt;&gt;0,1,"")</f>
        <v/>
      </c>
      <c r="AU6" s="188" t="str">
        <f>IF(PORTEFEUILLE_GUILLAUME[[#This Row],[MALI AAC]]&lt;&gt;0,1,"")</f>
        <v/>
      </c>
      <c r="AV6" s="225">
        <f>IF(AP6&lt;&gt;"",IF((AP6*Paramètres!$H$4)-PORTEFEUILLE_GUILLAUME[[#This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6" s="225">
        <f>IF(AP6&lt;&gt;"",IF(((AP6*Paramètres!$H$4)-PORTEFEUILLE_GUILLAUME[[#This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6" s="190" t="str">
        <f>IF(PORTEFEUILLE_GUILLAUME[[#This Row],[BONI COMPTABLE]]&lt;&gt;0,1,"")</f>
        <v/>
      </c>
      <c r="AY6" s="190" t="str">
        <f>IF(PORTEFEUILLE_GUILLAUME[[#This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SUM(PORTEFEUILLE_GUILLAUME[[#This Row],[PCR COMPTABLE €]:[MONTANT
RESPONSABLE RELATION CLIENT €]])-PORTEFEUILLE_GUILLAUME[[#This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7" s="188" t="str">
        <f>IF(PORTEFEUILLE_GUILLAUME[[#This Row],[BONI AAC]]&lt;&gt;0,1,"")</f>
        <v/>
      </c>
      <c r="AU7" s="188" t="str">
        <f>IF(PORTEFEUILLE_GUILLAUME[[#This Row],[MALI AAC]]&lt;&gt;0,1,"")</f>
        <v/>
      </c>
      <c r="AV7" s="225">
        <f>IF(AP7&lt;&gt;"",IF((AP7*Paramètres!$H$4)-PORTEFEUILLE_GUILLAUME[[#This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7" s="225">
        <f>IF(AP7&lt;&gt;"",IF(((AP7*Paramètres!$H$4)-PORTEFEUILLE_GUILLAUME[[#This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7" s="190" t="str">
        <f>IF(PORTEFEUILLE_GUILLAUME[[#This Row],[BONI COMPTABLE]]&lt;&gt;0,1,"")</f>
        <v/>
      </c>
      <c r="AY7" s="190" t="str">
        <f>IF(PORTEFEUILLE_GUILLAUME[[#This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SUM(PORTEFEUILLE_GUILLAUME[[#This Row],[PCR COMPTABLE €]:[MONTANT
RESPONSABLE RELATION CLIENT €]])-PORTEFEUILLE_GUILLAUME[[#This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8" s="188" t="str">
        <f>IF(PORTEFEUILLE_GUILLAUME[[#This Row],[BONI AAC]]&lt;&gt;0,1,"")</f>
        <v/>
      </c>
      <c r="AU8" s="188" t="str">
        <f>IF(PORTEFEUILLE_GUILLAUME[[#This Row],[MALI AAC]]&lt;&gt;0,1,"")</f>
        <v/>
      </c>
      <c r="AV8" s="225">
        <f>IF(AP8&lt;&gt;"",IF((AP8*Paramètres!$H$4)-PORTEFEUILLE_GUILLAUME[[#This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8" s="225">
        <f>IF(AP8&lt;&gt;"",IF(((AP8*Paramètres!$H$4)-PORTEFEUILLE_GUILLAUME[[#This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8" s="190" t="str">
        <f>IF(PORTEFEUILLE_GUILLAUME[[#This Row],[BONI COMPTABLE]]&lt;&gt;0,1,"")</f>
        <v/>
      </c>
      <c r="AY8" s="190" t="str">
        <f>IF(PORTEFEUILLE_GUILLAUME[[#This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SUM(PORTEFEUILLE_GUILLAUME[[#This Row],[PCR COMPTABLE €]:[MONTANT
RESPONSABLE RELATION CLIENT €]])-PORTEFEUILLE_GUILLAUME[[#This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9" s="188" t="str">
        <f>IF(PORTEFEUILLE_GUILLAUME[[#This Row],[BONI AAC]]&lt;&gt;0,1,"")</f>
        <v/>
      </c>
      <c r="AU9" s="188" t="str">
        <f>IF(PORTEFEUILLE_GUILLAUME[[#This Row],[MALI AAC]]&lt;&gt;0,1,"")</f>
        <v/>
      </c>
      <c r="AV9" s="225">
        <f>IF(AP9&lt;&gt;"",IF((AP9*Paramètres!$H$4)-PORTEFEUILLE_GUILLAUME[[#This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9" s="225">
        <f>IF(AP9&lt;&gt;"",IF(((AP9*Paramètres!$H$4)-PORTEFEUILLE_GUILLAUME[[#This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9" s="190" t="str">
        <f>IF(PORTEFEUILLE_GUILLAUME[[#This Row],[BONI COMPTABLE]]&lt;&gt;0,1,"")</f>
        <v/>
      </c>
      <c r="AY9" s="190" t="str">
        <f>IF(PORTEFEUILLE_GUILLAUME[[#This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SUM(PORTEFEUILLE_GUILLAUME[[#This Row],[PCR COMPTABLE €]:[MONTANT
RESPONSABLE RELATION CLIENT €]])-PORTEFEUILLE_GUILLAUME[[#This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0" s="188" t="str">
        <f>IF(PORTEFEUILLE_GUILLAUME[[#This Row],[BONI AAC]]&lt;&gt;0,1,"")</f>
        <v/>
      </c>
      <c r="AU10" s="188" t="str">
        <f>IF(PORTEFEUILLE_GUILLAUME[[#This Row],[MALI AAC]]&lt;&gt;0,1,"")</f>
        <v/>
      </c>
      <c r="AV10" s="225">
        <f>IF(AP10&lt;&gt;"",IF((AP10*Paramètres!$H$4)-PORTEFEUILLE_GUILLAUME[[#This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10" s="225">
        <f>IF(AP10&lt;&gt;"",IF(((AP10*Paramètres!$H$4)-PORTEFEUILLE_GUILLAUME[[#This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0" s="190" t="str">
        <f>IF(PORTEFEUILLE_GUILLAUME[[#This Row],[BONI COMPTABLE]]&lt;&gt;0,1,"")</f>
        <v/>
      </c>
      <c r="AY10" s="190" t="str">
        <f>IF(PORTEFEUILLE_GUILLAUME[[#This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SUM(PORTEFEUILLE_GUILLAUME[[#This Row],[PCR COMPTABLE €]:[MONTANT
RESPONSABLE RELATION CLIENT €]])-PORTEFEUILLE_GUILLAUME[[#This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1" s="188" t="str">
        <f>IF(PORTEFEUILLE_GUILLAUME[[#This Row],[BONI AAC]]&lt;&gt;0,1,"")</f>
        <v/>
      </c>
      <c r="AU11" s="188" t="str">
        <f>IF(PORTEFEUILLE_GUILLAUME[[#This Row],[MALI AAC]]&lt;&gt;0,1,"")</f>
        <v/>
      </c>
      <c r="AV11" s="225">
        <f>IF(AP11&lt;&gt;"",IF((AP11*Paramètres!$H$4)-PORTEFEUILLE_GUILLAUME[[#This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11" s="225">
        <f>IF(AP11&lt;&gt;"",IF(((AP11*Paramètres!$H$4)-PORTEFEUILLE_GUILLAUME[[#This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1" s="190" t="str">
        <f>IF(PORTEFEUILLE_GUILLAUME[[#This Row],[BONI COMPTABLE]]&lt;&gt;0,1,"")</f>
        <v/>
      </c>
      <c r="AY11" s="190" t="str">
        <f>IF(PORTEFEUILLE_GUILLAUME[[#This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SUM(PORTEFEUILLE_GUILLAUME[[#This Row],[PCR COMPTABLE €]:[MONTANT
RESPONSABLE RELATION CLIENT €]])-PORTEFEUILLE_GUILLAUME[[#This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2" s="188" t="str">
        <f>IF(PORTEFEUILLE_GUILLAUME[[#This Row],[BONI AAC]]&lt;&gt;0,1,"")</f>
        <v/>
      </c>
      <c r="AU12" s="188" t="str">
        <f>IF(PORTEFEUILLE_GUILLAUME[[#This Row],[MALI AAC]]&lt;&gt;0,1,"")</f>
        <v/>
      </c>
      <c r="AV12" s="225">
        <f>IF(AP12&lt;&gt;"",IF((AP12*Paramètres!$H$4)-PORTEFEUILLE_GUILLAUME[[#This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12" s="225">
        <f>IF(AP12&lt;&gt;"",IF(((AP12*Paramètres!$H$4)-PORTEFEUILLE_GUILLAUME[[#This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2" s="190" t="str">
        <f>IF(PORTEFEUILLE_GUILLAUME[[#This Row],[BONI COMPTABLE]]&lt;&gt;0,1,"")</f>
        <v/>
      </c>
      <c r="AY12" s="190" t="str">
        <f>IF(PORTEFEUILLE_GUILLAUME[[#This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SUM(PORTEFEUILLE_GUILLAUME[[#This Row],[PCR COMPTABLE €]:[MONTANT
RESPONSABLE RELATION CLIENT €]])-PORTEFEUILLE_GUILLAUME[[#This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3" s="188" t="str">
        <f>IF(PORTEFEUILLE_GUILLAUME[[#This Row],[BONI AAC]]&lt;&gt;0,1,"")</f>
        <v/>
      </c>
      <c r="AU13" s="188" t="str">
        <f>IF(PORTEFEUILLE_GUILLAUME[[#This Row],[MALI AAC]]&lt;&gt;0,1,"")</f>
        <v/>
      </c>
      <c r="AV13" s="225">
        <f>IF(AP13&lt;&gt;"",IF((AP13*Paramètres!$H$4)-PORTEFEUILLE_GUILLAUME[[#This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€]]-(DELPHINE!AP3*Paramètres!$H$4),0),0)</f>
        <v>0</v>
      </c>
      <c r="AW13" s="225">
        <f>IF(AP13&lt;&gt;"",IF(((AP13*Paramètres!$H$4)-PORTEFEUILLE_GUILLAUME[[#This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3" s="190" t="str">
        <f>IF(PORTEFEUILLE_GUILLAUME[[#This Row],[BONI COMPTABLE]]&lt;&gt;0,1,"")</f>
        <v/>
      </c>
      <c r="AY13" s="190" t="str">
        <f>IF(PORTEFEUILLE_GUILLAUME[[#This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SUM(PORTEFEUILLE_GUILLAUME[[#This Row],[PCR COMPTABLE €]:[MONTANT
RESPONSABLE RELATION CLIENT €]])-PORTEFEUILLE_GUILLAUME[[#This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4" s="188" t="str">
        <f>IF(PORTEFEUILLE_GUILLAUME[[#This Row],[BONI AAC]]&lt;&gt;0,1,"")</f>
        <v/>
      </c>
      <c r="AU14" s="188" t="str">
        <f>IF(PORTEFEUILLE_GUILLAUME[[#This Row],[MALI AAC]]&lt;&gt;0,1,"")</f>
        <v/>
      </c>
      <c r="AV14" s="225">
        <f>IF(AP14&lt;&gt;"",IF((AP14*Paramètres!$H$4)-PORTEFEUILLE_GUILLAUME[[#This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14" s="225">
        <f>IF(AP14&lt;&gt;"",IF(((AP14*Paramètres!$H$4)-PORTEFEUILLE_GUILLAUME[[#This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4" s="190" t="str">
        <f>IF(PORTEFEUILLE_GUILLAUME[[#This Row],[BONI COMPTABLE]]&lt;&gt;0,1,"")</f>
        <v/>
      </c>
      <c r="AY14" s="190" t="str">
        <f>IF(PORTEFEUILLE_GUILLAUME[[#This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SUM(PORTEFEUILLE_GUILLAUME[[#This Row],[PCR COMPTABLE €]:[MONTANT
RESPONSABLE RELATION CLIENT €]])-PORTEFEUILLE_GUILLAUME[[#This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5" s="188" t="str">
        <f>IF(PORTEFEUILLE_GUILLAUME[[#This Row],[BONI AAC]]&lt;&gt;0,1,"")</f>
        <v/>
      </c>
      <c r="AU15" s="188" t="str">
        <f>IF(PORTEFEUILLE_GUILLAUME[[#This Row],[MALI AAC]]&lt;&gt;0,1,"")</f>
        <v/>
      </c>
      <c r="AV15" s="225">
        <f>IF(AP15&lt;&gt;"",IF((AP15*Paramètres!$H$4)-PORTEFEUILLE_GUILLAUME[[#This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€]]-(DELPHINE!AP4*Paramètres!$H$4),0),0)</f>
        <v>0</v>
      </c>
      <c r="AW15" s="225">
        <f>IF(AP15&lt;&gt;"",IF(((AP15*Paramètres!$H$4)-PORTEFEUILLE_GUILLAUME[[#This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5" s="190" t="str">
        <f>IF(PORTEFEUILLE_GUILLAUME[[#This Row],[BONI COMPTABLE]]&lt;&gt;0,1,"")</f>
        <v/>
      </c>
      <c r="AY15" s="190" t="str">
        <f>IF(PORTEFEUILLE_GUILLAUME[[#This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SUM(PORTEFEUILLE_GUILLAUME[[#This Row],[PCR COMPTABLE €]:[MONTANT
RESPONSABLE RELATION CLIENT €]])-PORTEFEUILLE_GUILLAUME[[#This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6" s="188" t="str">
        <f>IF(PORTEFEUILLE_GUILLAUME[[#This Row],[BONI AAC]]&lt;&gt;0,1,"")</f>
        <v/>
      </c>
      <c r="AU16" s="188" t="str">
        <f>IF(PORTEFEUILLE_GUILLAUME[[#This Row],[MALI AAC]]&lt;&gt;0,1,"")</f>
        <v/>
      </c>
      <c r="AV16" s="225">
        <f>IF(AP16&lt;&gt;"",IF((AP16*Paramètres!$H$4)-PORTEFEUILLE_GUILLAUME[[#This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€]]-(DELPHINE!AP5*Paramètres!$H$4),0),0)</f>
        <v>0</v>
      </c>
      <c r="AW16" s="225">
        <f>IF(AP16&lt;&gt;"",IF(((AP16*Paramètres!$H$4)-PORTEFEUILLE_GUILLAUME[[#This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6" s="190" t="str">
        <f>IF(PORTEFEUILLE_GUILLAUME[[#This Row],[BONI COMPTABLE]]&lt;&gt;0,1,"")</f>
        <v/>
      </c>
      <c r="AY16" s="190" t="str">
        <f>IF(PORTEFEUILLE_GUILLAUME[[#This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SUM(PORTEFEUILLE_GUILLAUME[[#This Row],[PCR COMPTABLE €]:[MONTANT
RESPONSABLE RELATION CLIENT €]])-PORTEFEUILLE_GUILLAUME[[#This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7" s="188" t="str">
        <f>IF(PORTEFEUILLE_GUILLAUME[[#This Row],[BONI AAC]]&lt;&gt;0,1,"")</f>
        <v/>
      </c>
      <c r="AU17" s="188" t="str">
        <f>IF(PORTEFEUILLE_GUILLAUME[[#This Row],[MALI AAC]]&lt;&gt;0,1,"")</f>
        <v/>
      </c>
      <c r="AV17" s="225">
        <f>IF(AP17&lt;&gt;"",IF((AP17*Paramètres!$H$4)-PORTEFEUILLE_GUILLAUME[[#This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€]]-(DELPHINE!AP6*Paramètres!$H$4),0),0)</f>
        <v>0</v>
      </c>
      <c r="AW17" s="225">
        <f>IF(AP17&lt;&gt;"",IF(((AP17*Paramètres!$H$4)-PORTEFEUILLE_GUILLAUME[[#This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7" s="190" t="str">
        <f>IF(PORTEFEUILLE_GUILLAUME[[#This Row],[BONI COMPTABLE]]&lt;&gt;0,1,"")</f>
        <v/>
      </c>
      <c r="AY17" s="190" t="str">
        <f>IF(PORTEFEUILLE_GUILLAUME[[#This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SUM(PORTEFEUILLE_GUILLAUME[[#This Row],[PCR COMPTABLE €]:[MONTANT
RESPONSABLE RELATION CLIENT €]])-PORTEFEUILLE_GUILLAUME[[#This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8" s="188" t="str">
        <f>IF(PORTEFEUILLE_GUILLAUME[[#This Row],[BONI AAC]]&lt;&gt;0,1,"")</f>
        <v/>
      </c>
      <c r="AU18" s="188" t="str">
        <f>IF(PORTEFEUILLE_GUILLAUME[[#This Row],[MALI AAC]]&lt;&gt;0,1,"")</f>
        <v/>
      </c>
      <c r="AV18" s="225">
        <f>IF(AP18&lt;&gt;"",IF((AP18*Paramètres!$H$4)-PORTEFEUILLE_GUILLAUME[[#This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€]]-(DELPHINE!AP7*Paramètres!$H$4),0),0)</f>
        <v>0</v>
      </c>
      <c r="AW18" s="225">
        <f>IF(AP18&lt;&gt;"",IF(((AP18*Paramètres!$H$4)-PORTEFEUILLE_GUILLAUME[[#This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8" s="190" t="str">
        <f>IF(PORTEFEUILLE_GUILLAUME[[#This Row],[BONI COMPTABLE]]&lt;&gt;0,1,"")</f>
        <v/>
      </c>
      <c r="AY18" s="190" t="str">
        <f>IF(PORTEFEUILLE_GUILLAUME[[#This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SUM(PORTEFEUILLE_GUILLAUME[[#This Row],[PCR COMPTABLE €]:[MONTANT
RESPONSABLE RELATION CLIENT €]])-PORTEFEUILLE_GUILLAUME[[#This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9" s="188" t="str">
        <f>IF(PORTEFEUILLE_GUILLAUME[[#This Row],[BONI AAC]]&lt;&gt;0,1,"")</f>
        <v/>
      </c>
      <c r="AU19" s="188" t="str">
        <f>IF(PORTEFEUILLE_GUILLAUME[[#This Row],[MALI AAC]]&lt;&gt;0,1,"")</f>
        <v/>
      </c>
      <c r="AV19" s="225">
        <f>IF(AP19&lt;&gt;"",IF((AP19*Paramètres!$H$4)-PORTEFEUILLE_GUILLAUME[[#This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€]]-(DELPHINE!AP8*Paramètres!$H$4),0),0)</f>
        <v>0</v>
      </c>
      <c r="AW19" s="225">
        <f>IF(AP19&lt;&gt;"",IF(((AP19*Paramètres!$H$4)-PORTEFEUILLE_GUILLAUME[[#This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9" s="190" t="str">
        <f>IF(PORTEFEUILLE_GUILLAUME[[#This Row],[BONI COMPTABLE]]&lt;&gt;0,1,"")</f>
        <v/>
      </c>
      <c r="AY19" s="190" t="str">
        <f>IF(PORTEFEUILLE_GUILLAUME[[#This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SUM(PORTEFEUILLE_GUILLAUME[[#This Row],[PCR COMPTABLE €]:[MONTANT
RESPONSABLE RELATION CLIENT €]])-PORTEFEUILLE_GUILLAUME[[#This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0" s="188" t="str">
        <f>IF(PORTEFEUILLE_GUILLAUME[[#This Row],[BONI AAC]]&lt;&gt;0,1,"")</f>
        <v/>
      </c>
      <c r="AU20" s="188" t="str">
        <f>IF(PORTEFEUILLE_GUILLAUME[[#This Row],[MALI AAC]]&lt;&gt;0,1,"")</f>
        <v/>
      </c>
      <c r="AV20" s="225">
        <f>IF(AP20&lt;&gt;"",IF((AP20*Paramètres!$H$4)-PORTEFEUILLE_GUILLAUME[[#This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€]]-(DELPHINE!AP9*Paramètres!$H$4),0),0)</f>
        <v>0</v>
      </c>
      <c r="AW20" s="225">
        <f>IF(AP20&lt;&gt;"",IF(((AP20*Paramètres!$H$4)-PORTEFEUILLE_GUILLAUME[[#This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0" s="190" t="str">
        <f>IF(PORTEFEUILLE_GUILLAUME[[#This Row],[BONI COMPTABLE]]&lt;&gt;0,1,"")</f>
        <v/>
      </c>
      <c r="AY20" s="190" t="str">
        <f>IF(PORTEFEUILLE_GUILLAUME[[#This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SUM(PORTEFEUILLE_GUILLAUME[[#This Row],[PCR COMPTABLE €]:[MONTANT
RESPONSABLE RELATION CLIENT €]])-PORTEFEUILLE_GUILLAUME[[#This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1" s="188" t="str">
        <f>IF(PORTEFEUILLE_GUILLAUME[[#This Row],[BONI AAC]]&lt;&gt;0,1,"")</f>
        <v/>
      </c>
      <c r="AU21" s="188" t="str">
        <f>IF(PORTEFEUILLE_GUILLAUME[[#This Row],[MALI AAC]]&lt;&gt;0,1,"")</f>
        <v/>
      </c>
      <c r="AV21" s="225">
        <f>IF(AP21&lt;&gt;"",IF((AP21*Paramètres!$H$4)-PORTEFEUILLE_GUILLAUME[[#This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€]]-(DELPHINE!AP10*Paramètres!$H$4),0),0)</f>
        <v>0</v>
      </c>
      <c r="AW21" s="225">
        <f>IF(AP21&lt;&gt;"",IF(((AP21*Paramètres!$H$4)-PORTEFEUILLE_GUILLAUME[[#This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1" s="190" t="str">
        <f>IF(PORTEFEUILLE_GUILLAUME[[#This Row],[BONI COMPTABLE]]&lt;&gt;0,1,"")</f>
        <v/>
      </c>
      <c r="AY21" s="190" t="str">
        <f>IF(PORTEFEUILLE_GUILLAUME[[#This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SUM(PORTEFEUILLE_GUILLAUME[[#This Row],[PCR COMPTABLE €]:[MONTANT
RESPONSABLE RELATION CLIENT €]])-PORTEFEUILLE_GUILLAUME[[#This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2" s="188" t="str">
        <f>IF(PORTEFEUILLE_GUILLAUME[[#This Row],[BONI AAC]]&lt;&gt;0,1,"")</f>
        <v/>
      </c>
      <c r="AU22" s="188" t="str">
        <f>IF(PORTEFEUILLE_GUILLAUME[[#This Row],[MALI AAC]]&lt;&gt;0,1,"")</f>
        <v/>
      </c>
      <c r="AV22" s="225">
        <f>IF(AP22&lt;&gt;"",IF((AP22*Paramètres!$H$4)-PORTEFEUILLE_GUILLAUME[[#This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€]]-(DELPHINE!AP11*Paramètres!$H$4),0),0)</f>
        <v>0</v>
      </c>
      <c r="AW22" s="225">
        <f>IF(AP22&lt;&gt;"",IF(((AP22*Paramètres!$H$4)-PORTEFEUILLE_GUILLAUME[[#This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2" s="190" t="str">
        <f>IF(PORTEFEUILLE_GUILLAUME[[#This Row],[BONI COMPTABLE]]&lt;&gt;0,1,"")</f>
        <v/>
      </c>
      <c r="AY22" s="190" t="str">
        <f>IF(PORTEFEUILLE_GUILLAUME[[#This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SUM(PORTEFEUILLE_GUILLAUME[[#This Row],[PCR COMPTABLE €]:[MONTANT
RESPONSABLE RELATION CLIENT €]])-PORTEFEUILLE_GUILLAUME[[#This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3" s="188" t="str">
        <f>IF(PORTEFEUILLE_GUILLAUME[[#This Row],[BONI AAC]]&lt;&gt;0,1,"")</f>
        <v/>
      </c>
      <c r="AU23" s="188" t="str">
        <f>IF(PORTEFEUILLE_GUILLAUME[[#This Row],[MALI AAC]]&lt;&gt;0,1,"")</f>
        <v/>
      </c>
      <c r="AV23" s="225">
        <f>IF(AP23&lt;&gt;"",IF((AP23*Paramètres!$H$4)-PORTEFEUILLE_GUILLAUME[[#This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€]]-(DELPHINE!AP12*Paramètres!$H$4),0),0)</f>
        <v>0</v>
      </c>
      <c r="AW23" s="225">
        <f>IF(AP23&lt;&gt;"",IF(((AP23*Paramètres!$H$4)-PORTEFEUILLE_GUILLAUME[[#This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3" s="190" t="str">
        <f>IF(PORTEFEUILLE_GUILLAUME[[#This Row],[BONI COMPTABLE]]&lt;&gt;0,1,"")</f>
        <v/>
      </c>
      <c r="AY23" s="190" t="str">
        <f>IF(PORTEFEUILLE_GUILLAUME[[#This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SUM(PORTEFEUILLE_GUILLAUME[[#This Row],[PCR COMPTABLE €]:[MONTANT
RESPONSABLE RELATION CLIENT €]])-PORTEFEUILLE_GUILLAUME[[#This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4" s="188" t="str">
        <f>IF(PORTEFEUILLE_GUILLAUME[[#This Row],[BONI AAC]]&lt;&gt;0,1,"")</f>
        <v/>
      </c>
      <c r="AU24" s="188" t="str">
        <f>IF(PORTEFEUILLE_GUILLAUME[[#This Row],[MALI AAC]]&lt;&gt;0,1,"")</f>
        <v/>
      </c>
      <c r="AV24" s="225">
        <f>IF(AP24&lt;&gt;"",IF((AP24*Paramètres!$H$4)-PORTEFEUILLE_GUILLAUME[[#This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€]]-(DELPHINE!AP13*Paramètres!$H$4),0),0)</f>
        <v>0</v>
      </c>
      <c r="AW24" s="225">
        <f>IF(AP24&lt;&gt;"",IF(((AP24*Paramètres!$H$4)-PORTEFEUILLE_GUILLAUME[[#This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4" s="190" t="str">
        <f>IF(PORTEFEUILLE_GUILLAUME[[#This Row],[BONI COMPTABLE]]&lt;&gt;0,1,"")</f>
        <v/>
      </c>
      <c r="AY24" s="190" t="str">
        <f>IF(PORTEFEUILLE_GUILLAUME[[#This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SUM(PORTEFEUILLE_GUILLAUME[[#This Row],[PCR COMPTABLE €]:[MONTANT
RESPONSABLE RELATION CLIENT €]])-PORTEFEUILLE_GUILLAUME[[#This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5" s="188" t="str">
        <f>IF(PORTEFEUILLE_GUILLAUME[[#This Row],[BONI AAC]]&lt;&gt;0,1,"")</f>
        <v/>
      </c>
      <c r="AU25" s="188" t="str">
        <f>IF(PORTEFEUILLE_GUILLAUME[[#This Row],[MALI AAC]]&lt;&gt;0,1,"")</f>
        <v/>
      </c>
      <c r="AV25" s="225">
        <f>IF(AP25&lt;&gt;"",IF((AP25*Paramètres!$H$4)-PORTEFEUILLE_GUILLAUME[[#This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€]]-(DELPHINE!AP14*Paramètres!$H$4),0),0)</f>
        <v>0</v>
      </c>
      <c r="AW25" s="225">
        <f>IF(AP25&lt;&gt;"",IF(((AP25*Paramètres!$H$4)-PORTEFEUILLE_GUILLAUME[[#This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5" s="190" t="str">
        <f>IF(PORTEFEUILLE_GUILLAUME[[#This Row],[BONI COMPTABLE]]&lt;&gt;0,1,"")</f>
        <v/>
      </c>
      <c r="AY25" s="190" t="str">
        <f>IF(PORTEFEUILLE_GUILLAUME[[#This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SUM(PORTEFEUILLE_GUILLAUME[[#This Row],[PCR COMPTABLE €]:[MONTANT
RESPONSABLE RELATION CLIENT €]])-PORTEFEUILLE_GUILLAUME[[#This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6" s="188" t="str">
        <f>IF(PORTEFEUILLE_GUILLAUME[[#This Row],[BONI AAC]]&lt;&gt;0,1,"")</f>
        <v/>
      </c>
      <c r="AU26" s="188" t="str">
        <f>IF(PORTEFEUILLE_GUILLAUME[[#This Row],[MALI AAC]]&lt;&gt;0,1,"")</f>
        <v/>
      </c>
      <c r="AV26" s="225">
        <f>IF(AP26&lt;&gt;"",IF((AP26*Paramètres!$H$4)-PORTEFEUILLE_GUILLAUME[[#This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€]]-(DELPHINE!AP15*Paramètres!$H$4),0),0)</f>
        <v>0</v>
      </c>
      <c r="AW26" s="225">
        <f>IF(AP26&lt;&gt;"",IF(((AP26*Paramètres!$H$4)-PORTEFEUILLE_GUILLAUME[[#This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6" s="190" t="str">
        <f>IF(PORTEFEUILLE_GUILLAUME[[#This Row],[BONI COMPTABLE]]&lt;&gt;0,1,"")</f>
        <v/>
      </c>
      <c r="AY26" s="190" t="str">
        <f>IF(PORTEFEUILLE_GUILLAUME[[#This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SUM(PORTEFEUILLE_GUILLAUME[[#This Row],[PCR COMPTABLE €]:[MONTANT
RESPONSABLE RELATION CLIENT €]])-PORTEFEUILLE_GUILLAUME[[#This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7" s="188" t="str">
        <f>IF(PORTEFEUILLE_GUILLAUME[[#This Row],[BONI AAC]]&lt;&gt;0,1,"")</f>
        <v/>
      </c>
      <c r="AU27" s="188" t="str">
        <f>IF(PORTEFEUILLE_GUILLAUME[[#This Row],[MALI AAC]]&lt;&gt;0,1,"")</f>
        <v/>
      </c>
      <c r="AV27" s="225">
        <f>IF(AP27&lt;&gt;"",IF((AP27*Paramètres!$H$4)-PORTEFEUILLE_GUILLAUME[[#This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€]]-(DELPHINE!AP16*Paramètres!$H$4),0),0)</f>
        <v>0</v>
      </c>
      <c r="AW27" s="225">
        <f>IF(AP27&lt;&gt;"",IF(((AP27*Paramètres!$H$4)-PORTEFEUILLE_GUILLAUME[[#This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7" s="190" t="str">
        <f>IF(PORTEFEUILLE_GUILLAUME[[#This Row],[BONI COMPTABLE]]&lt;&gt;0,1,"")</f>
        <v/>
      </c>
      <c r="AY27" s="190" t="str">
        <f>IF(PORTEFEUILLE_GUILLAUME[[#This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SUM(PORTEFEUILLE_GUILLAUME[[#This Row],[PCR COMPTABLE €]:[MONTANT
RESPONSABLE RELATION CLIENT €]])-PORTEFEUILLE_GUILLAUME[[#This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8" s="188" t="str">
        <f>IF(PORTEFEUILLE_GUILLAUME[[#This Row],[BONI AAC]]&lt;&gt;0,1,"")</f>
        <v/>
      </c>
      <c r="AU28" s="188" t="str">
        <f>IF(PORTEFEUILLE_GUILLAUME[[#This Row],[MALI AAC]]&lt;&gt;0,1,"")</f>
        <v/>
      </c>
      <c r="AV28" s="225">
        <f>IF(AP28&lt;&gt;"",IF((AP28*Paramètres!$H$4)-PORTEFEUILLE_GUILLAUME[[#This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€]]-(DELPHINE!AP17*Paramètres!$H$4),0),0)</f>
        <v>0</v>
      </c>
      <c r="AW28" s="225">
        <f>IF(AP28&lt;&gt;"",IF(((AP28*Paramètres!$H$4)-PORTEFEUILLE_GUILLAUME[[#This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8" s="190" t="str">
        <f>IF(PORTEFEUILLE_GUILLAUME[[#This Row],[BONI COMPTABLE]]&lt;&gt;0,1,"")</f>
        <v/>
      </c>
      <c r="AY28" s="190" t="str">
        <f>IF(PORTEFEUILLE_GUILLAUME[[#This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SUM(PORTEFEUILLE_GUILLAUME[[#This Row],[PCR COMPTABLE €]:[MONTANT
RESPONSABLE RELATION CLIENT €]])-PORTEFEUILLE_GUILLAUME[[#This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9" s="188" t="str">
        <f>IF(PORTEFEUILLE_GUILLAUME[[#This Row],[BONI AAC]]&lt;&gt;0,1,"")</f>
        <v/>
      </c>
      <c r="AU29" s="188" t="str">
        <f>IF(PORTEFEUILLE_GUILLAUME[[#This Row],[MALI AAC]]&lt;&gt;0,1,"")</f>
        <v/>
      </c>
      <c r="AV29" s="225">
        <f>IF(AP29&lt;&gt;"",IF((AP29*Paramètres!$H$4)-PORTEFEUILLE_GUILLAUME[[#This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€]]-(DELPHINE!AP18*Paramètres!$H$4),0),0)</f>
        <v>0</v>
      </c>
      <c r="AW29" s="225">
        <f>IF(AP29&lt;&gt;"",IF(((AP29*Paramètres!$H$4)-PORTEFEUILLE_GUILLAUME[[#This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9" s="190" t="str">
        <f>IF(PORTEFEUILLE_GUILLAUME[[#This Row],[BONI COMPTABLE]]&lt;&gt;0,1,"")</f>
        <v/>
      </c>
      <c r="AY29" s="190" t="str">
        <f>IF(PORTEFEUILLE_GUILLAUME[[#This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SUM(PORTEFEUILLE_GUILLAUME[[#This Row],[PCR COMPTABLE €]:[MONTANT
RESPONSABLE RELATION CLIENT €]])-PORTEFEUILLE_GUILLAUME[[#This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0" s="188" t="str">
        <f>IF(PORTEFEUILLE_GUILLAUME[[#This Row],[BONI AAC]]&lt;&gt;0,1,"")</f>
        <v/>
      </c>
      <c r="AU30" s="188" t="str">
        <f>IF(PORTEFEUILLE_GUILLAUME[[#This Row],[MALI AAC]]&lt;&gt;0,1,"")</f>
        <v/>
      </c>
      <c r="AV30" s="225">
        <f>IF(AP30&lt;&gt;"",IF((AP30*Paramètres!$H$4)-PORTEFEUILLE_GUILLAUME[[#This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€]]-(DELPHINE!AP19*Paramètres!$H$4),0),0)</f>
        <v>0</v>
      </c>
      <c r="AW30" s="225">
        <f>IF(AP30&lt;&gt;"",IF(((AP30*Paramètres!$H$4)-PORTEFEUILLE_GUILLAUME[[#This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0" s="190" t="str">
        <f>IF(PORTEFEUILLE_GUILLAUME[[#This Row],[BONI COMPTABLE]]&lt;&gt;0,1,"")</f>
        <v/>
      </c>
      <c r="AY30" s="190" t="str">
        <f>IF(PORTEFEUILLE_GUILLAUME[[#This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SUM(PORTEFEUILLE_GUILLAUME[[#This Row],[PCR COMPTABLE €]:[MONTANT
RESPONSABLE RELATION CLIENT €]])-PORTEFEUILLE_GUILLAUME[[#This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1" s="188" t="str">
        <f>IF(PORTEFEUILLE_GUILLAUME[[#This Row],[BONI AAC]]&lt;&gt;0,1,"")</f>
        <v/>
      </c>
      <c r="AU31" s="188" t="str">
        <f>IF(PORTEFEUILLE_GUILLAUME[[#This Row],[MALI AAC]]&lt;&gt;0,1,"")</f>
        <v/>
      </c>
      <c r="AV31" s="225">
        <f>IF(AP31&lt;&gt;"",IF((AP31*Paramètres!$H$4)-PORTEFEUILLE_GUILLAUME[[#This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€]]-(DELPHINE!AP20*Paramètres!$H$4),0),0)</f>
        <v>0</v>
      </c>
      <c r="AW31" s="225">
        <f>IF(AP31&lt;&gt;"",IF(((AP31*Paramètres!$H$4)-PORTEFEUILLE_GUILLAUME[[#This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1" s="190" t="str">
        <f>IF(PORTEFEUILLE_GUILLAUME[[#This Row],[BONI COMPTABLE]]&lt;&gt;0,1,"")</f>
        <v/>
      </c>
      <c r="AY31" s="190" t="str">
        <f>IF(PORTEFEUILLE_GUILLAUME[[#This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SUM(PORTEFEUILLE_GUILLAUME[[#This Row],[PCR COMPTABLE €]:[MONTANT
RESPONSABLE RELATION CLIENT €]])-PORTEFEUILLE_GUILLAUME[[#This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2" s="188" t="str">
        <f>IF(PORTEFEUILLE_GUILLAUME[[#This Row],[BONI AAC]]&lt;&gt;0,1,"")</f>
        <v/>
      </c>
      <c r="AU32" s="188" t="str">
        <f>IF(PORTEFEUILLE_GUILLAUME[[#This Row],[MALI AAC]]&lt;&gt;0,1,"")</f>
        <v/>
      </c>
      <c r="AV32" s="225">
        <f>IF(AP32&lt;&gt;"",IF((AP32*Paramètres!$H$4)-PORTEFEUILLE_GUILLAUME[[#This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€]]-(DELPHINE!AP21*Paramètres!$H$4),0),0)</f>
        <v>0</v>
      </c>
      <c r="AW32" s="225">
        <f>IF(AP32&lt;&gt;"",IF(((AP32*Paramètres!$H$4)-PORTEFEUILLE_GUILLAUME[[#This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2" s="190" t="str">
        <f>IF(PORTEFEUILLE_GUILLAUME[[#This Row],[BONI COMPTABLE]]&lt;&gt;0,1,"")</f>
        <v/>
      </c>
      <c r="AY32" s="190" t="str">
        <f>IF(PORTEFEUILLE_GUILLAUME[[#This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SUM(PORTEFEUILLE_GUILLAUME[[#This Row],[PCR COMPTABLE €]:[MONTANT
RESPONSABLE RELATION CLIENT €]])-PORTEFEUILLE_GUILLAUME[[#This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3" s="188" t="str">
        <f>IF(PORTEFEUILLE_GUILLAUME[[#This Row],[BONI AAC]]&lt;&gt;0,1,"")</f>
        <v/>
      </c>
      <c r="AU33" s="188" t="str">
        <f>IF(PORTEFEUILLE_GUILLAUME[[#This Row],[MALI AAC]]&lt;&gt;0,1,"")</f>
        <v/>
      </c>
      <c r="AV33" s="225">
        <f>IF(AP33&lt;&gt;"",IF((AP33*Paramètres!$H$4)-PORTEFEUILLE_GUILLAUME[[#This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€]]-(DELPHINE!AP22*Paramètres!$H$4),0),0)</f>
        <v>0</v>
      </c>
      <c r="AW33" s="225">
        <f>IF(AP33&lt;&gt;"",IF(((AP33*Paramètres!$H$4)-PORTEFEUILLE_GUILLAUME[[#This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3" s="190" t="str">
        <f>IF(PORTEFEUILLE_GUILLAUME[[#This Row],[BONI COMPTABLE]]&lt;&gt;0,1,"")</f>
        <v/>
      </c>
      <c r="AY33" s="190" t="str">
        <f>IF(PORTEFEUILLE_GUILLAUME[[#This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SUM(PORTEFEUILLE_GUILLAUME[[#This Row],[PCR COMPTABLE €]:[MONTANT
RESPONSABLE RELATION CLIENT €]])-PORTEFEUILLE_GUILLAUME[[#This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4" s="188" t="str">
        <f>IF(PORTEFEUILLE_GUILLAUME[[#This Row],[BONI AAC]]&lt;&gt;0,1,"")</f>
        <v/>
      </c>
      <c r="AU34" s="188" t="str">
        <f>IF(PORTEFEUILLE_GUILLAUME[[#This Row],[MALI AAC]]&lt;&gt;0,1,"")</f>
        <v/>
      </c>
      <c r="AV34" s="225">
        <f>IF(AP34&lt;&gt;"",IF((AP34*Paramètres!$H$4)-PORTEFEUILLE_GUILLAUME[[#This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€]]-(DELPHINE!AP23*Paramètres!$H$4),0),0)</f>
        <v>0</v>
      </c>
      <c r="AW34" s="225">
        <f>IF(AP34&lt;&gt;"",IF(((AP34*Paramètres!$H$4)-PORTEFEUILLE_GUILLAUME[[#This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4" s="190" t="str">
        <f>IF(PORTEFEUILLE_GUILLAUME[[#This Row],[BONI COMPTABLE]]&lt;&gt;0,1,"")</f>
        <v/>
      </c>
      <c r="AY34" s="190" t="str">
        <f>IF(PORTEFEUILLE_GUILLAUME[[#This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SUM(PORTEFEUILLE_GUILLAUME[[#This Row],[PCR COMPTABLE €]:[MONTANT
RESPONSABLE RELATION CLIENT €]])-PORTEFEUILLE_GUILLAUME[[#This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5" s="188" t="str">
        <f>IF(PORTEFEUILLE_GUILLAUME[[#This Row],[BONI AAC]]&lt;&gt;0,1,"")</f>
        <v/>
      </c>
      <c r="AU35" s="188" t="str">
        <f>IF(PORTEFEUILLE_GUILLAUME[[#This Row],[MALI AAC]]&lt;&gt;0,1,"")</f>
        <v/>
      </c>
      <c r="AV35" s="225">
        <f>IF(AP35&lt;&gt;"",IF((AP35*Paramètres!$H$4)-PORTEFEUILLE_GUILLAUME[[#This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€]]-(DELPHINE!AP24*Paramètres!$H$4),0),0)</f>
        <v>0</v>
      </c>
      <c r="AW35" s="225">
        <f>IF(AP35&lt;&gt;"",IF(((AP35*Paramètres!$H$4)-PORTEFEUILLE_GUILLAUME[[#This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5" s="190" t="str">
        <f>IF(PORTEFEUILLE_GUILLAUME[[#This Row],[BONI COMPTABLE]]&lt;&gt;0,1,"")</f>
        <v/>
      </c>
      <c r="AY35" s="190" t="str">
        <f>IF(PORTEFEUILLE_GUILLAUME[[#This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SUM(PORTEFEUILLE_GUILLAUME[[#This Row],[PCR COMPTABLE €]:[MONTANT
RESPONSABLE RELATION CLIENT €]])-PORTEFEUILLE_GUILLAUME[[#This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6" s="188" t="str">
        <f>IF(PORTEFEUILLE_GUILLAUME[[#This Row],[BONI AAC]]&lt;&gt;0,1,"")</f>
        <v/>
      </c>
      <c r="AU36" s="188" t="str">
        <f>IF(PORTEFEUILLE_GUILLAUME[[#This Row],[MALI AAC]]&lt;&gt;0,1,"")</f>
        <v/>
      </c>
      <c r="AV36" s="225">
        <f>IF(AP36&lt;&gt;"",IF((AP36*Paramètres!$H$4)-PORTEFEUILLE_GUILLAUME[[#This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€]]-(DELPHINE!AP25*Paramètres!$H$4),0),0)</f>
        <v>0</v>
      </c>
      <c r="AW36" s="225">
        <f>IF(AP36&lt;&gt;"",IF(((AP36*Paramètres!$H$4)-PORTEFEUILLE_GUILLAUME[[#This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6" s="190" t="str">
        <f>IF(PORTEFEUILLE_GUILLAUME[[#This Row],[BONI COMPTABLE]]&lt;&gt;0,1,"")</f>
        <v/>
      </c>
      <c r="AY36" s="190" t="str">
        <f>IF(PORTEFEUILLE_GUILLAUME[[#This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SUM(PORTEFEUILLE_GUILLAUME[[#This Row],[PCR COMPTABLE €]:[MONTANT
RESPONSABLE RELATION CLIENT €]])-PORTEFEUILLE_GUILLAUME[[#This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7" s="188" t="str">
        <f>IF(PORTEFEUILLE_GUILLAUME[[#This Row],[BONI AAC]]&lt;&gt;0,1,"")</f>
        <v/>
      </c>
      <c r="AU37" s="188" t="str">
        <f>IF(PORTEFEUILLE_GUILLAUME[[#This Row],[MALI AAC]]&lt;&gt;0,1,"")</f>
        <v/>
      </c>
      <c r="AV37" s="225">
        <f>IF(AP37&lt;&gt;"",IF((AP37*Paramètres!$H$4)-PORTEFEUILLE_GUILLAUME[[#This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€]]-(DELPHINE!AP26*Paramètres!$H$4),0),0)</f>
        <v>0</v>
      </c>
      <c r="AW37" s="225">
        <f>IF(AP37&lt;&gt;"",IF(((AP37*Paramètres!$H$4)-PORTEFEUILLE_GUILLAUME[[#This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7" s="190" t="str">
        <f>IF(PORTEFEUILLE_GUILLAUME[[#This Row],[BONI COMPTABLE]]&lt;&gt;0,1,"")</f>
        <v/>
      </c>
      <c r="AY37" s="190" t="str">
        <f>IF(PORTEFEUILLE_GUILLAUME[[#This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SUM(PORTEFEUILLE_GUILLAUME[[#This Row],[PCR COMPTABLE €]:[MONTANT
RESPONSABLE RELATION CLIENT €]])-PORTEFEUILLE_GUILLAUME[[#This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8" s="188" t="str">
        <f>IF(PORTEFEUILLE_GUILLAUME[[#This Row],[BONI AAC]]&lt;&gt;0,1,"")</f>
        <v/>
      </c>
      <c r="AU38" s="188" t="str">
        <f>IF(PORTEFEUILLE_GUILLAUME[[#This Row],[MALI AAC]]&lt;&gt;0,1,"")</f>
        <v/>
      </c>
      <c r="AV38" s="225">
        <f>IF(AP38&lt;&gt;"",IF((AP38*Paramètres!$H$4)-PORTEFEUILLE_GUILLAUME[[#This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€]]-(DELPHINE!AP27*Paramètres!$H$4),0),0)</f>
        <v>0</v>
      </c>
      <c r="AW38" s="225">
        <f>IF(AP38&lt;&gt;"",IF(((AP38*Paramètres!$H$4)-PORTEFEUILLE_GUILLAUME[[#This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8" s="190" t="str">
        <f>IF(PORTEFEUILLE_GUILLAUME[[#This Row],[BONI COMPTABLE]]&lt;&gt;0,1,"")</f>
        <v/>
      </c>
      <c r="AY38" s="190" t="str">
        <f>IF(PORTEFEUILLE_GUILLAUME[[#This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SUM(PORTEFEUILLE_GUILLAUME[[#This Row],[PCR COMPTABLE €]:[MONTANT
RESPONSABLE RELATION CLIENT €]])-PORTEFEUILLE_GUILLAUME[[#This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9" s="188" t="str">
        <f>IF(PORTEFEUILLE_GUILLAUME[[#This Row],[BONI AAC]]&lt;&gt;0,1,"")</f>
        <v/>
      </c>
      <c r="AU39" s="188" t="str">
        <f>IF(PORTEFEUILLE_GUILLAUME[[#This Row],[MALI AAC]]&lt;&gt;0,1,"")</f>
        <v/>
      </c>
      <c r="AV39" s="225">
        <f>IF(AP39&lt;&gt;"",IF((AP39*Paramètres!$H$4)-PORTEFEUILLE_GUILLAUME[[#This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€]]-(DELPHINE!AP28*Paramètres!$H$4),0),0)</f>
        <v>0</v>
      </c>
      <c r="AW39" s="225">
        <f>IF(AP39&lt;&gt;"",IF(((AP39*Paramètres!$H$4)-PORTEFEUILLE_GUILLAUME[[#This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9" s="190" t="str">
        <f>IF(PORTEFEUILLE_GUILLAUME[[#This Row],[BONI COMPTABLE]]&lt;&gt;0,1,"")</f>
        <v/>
      </c>
      <c r="AY39" s="190" t="str">
        <f>IF(PORTEFEUILLE_GUILLAUME[[#This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SUM(PORTEFEUILLE_GUILLAUME[[#This Row],[PCR COMPTABLE €]:[MONTANT
RESPONSABLE RELATION CLIENT €]])-PORTEFEUILLE_GUILLAUME[[#This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0" s="188" t="str">
        <f>IF(PORTEFEUILLE_GUILLAUME[[#This Row],[BONI AAC]]&lt;&gt;0,1,"")</f>
        <v/>
      </c>
      <c r="AU40" s="188" t="str">
        <f>IF(PORTEFEUILLE_GUILLAUME[[#This Row],[MALI AAC]]&lt;&gt;0,1,"")</f>
        <v/>
      </c>
      <c r="AV40" s="225">
        <f>IF(AP40&lt;&gt;"",IF((AP40*Paramètres!$H$4)-PORTEFEUILLE_GUILLAUME[[#This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€]]-(DELPHINE!AP29*Paramètres!$H$4),0),0)</f>
        <v>0</v>
      </c>
      <c r="AW40" s="225">
        <f>IF(AP40&lt;&gt;"",IF(((AP40*Paramètres!$H$4)-PORTEFEUILLE_GUILLAUME[[#This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0" s="190" t="str">
        <f>IF(PORTEFEUILLE_GUILLAUME[[#This Row],[BONI COMPTABLE]]&lt;&gt;0,1,"")</f>
        <v/>
      </c>
      <c r="AY40" s="190" t="str">
        <f>IF(PORTEFEUILLE_GUILLAUME[[#This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SUM(PORTEFEUILLE_GUILLAUME[[#This Row],[PCR COMPTABLE €]:[MONTANT
RESPONSABLE RELATION CLIENT €]])-PORTEFEUILLE_GUILLAUME[[#This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1" s="188" t="str">
        <f>IF(PORTEFEUILLE_GUILLAUME[[#This Row],[BONI AAC]]&lt;&gt;0,1,"")</f>
        <v/>
      </c>
      <c r="AU41" s="188" t="str">
        <f>IF(PORTEFEUILLE_GUILLAUME[[#This Row],[MALI AAC]]&lt;&gt;0,1,"")</f>
        <v/>
      </c>
      <c r="AV41" s="225">
        <f>IF(AP41&lt;&gt;"",IF((AP41*Paramètres!$H$4)-PORTEFEUILLE_GUILLAUME[[#This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€]]-(DELPHINE!AP30*Paramètres!$H$4),0),0)</f>
        <v>0</v>
      </c>
      <c r="AW41" s="225">
        <f>IF(AP41&lt;&gt;"",IF(((AP41*Paramètres!$H$4)-PORTEFEUILLE_GUILLAUME[[#This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1" s="190" t="str">
        <f>IF(PORTEFEUILLE_GUILLAUME[[#This Row],[BONI COMPTABLE]]&lt;&gt;0,1,"")</f>
        <v/>
      </c>
      <c r="AY41" s="190" t="str">
        <f>IF(PORTEFEUILLE_GUILLAUME[[#This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SUM(PORTEFEUILLE_GUILLAUME[[#This Row],[PCR COMPTABLE €]:[MONTANT
RESPONSABLE RELATION CLIENT €]])-PORTEFEUILLE_GUILLAUME[[#This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2" s="188" t="str">
        <f>IF(PORTEFEUILLE_GUILLAUME[[#This Row],[BONI AAC]]&lt;&gt;0,1,"")</f>
        <v/>
      </c>
      <c r="AU42" s="188" t="str">
        <f>IF(PORTEFEUILLE_GUILLAUME[[#This Row],[MALI AAC]]&lt;&gt;0,1,"")</f>
        <v/>
      </c>
      <c r="AV42" s="225">
        <f>IF(AP42&lt;&gt;"",IF((AP42*Paramètres!$H$4)-PORTEFEUILLE_GUILLAUME[[#This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€]]-(DELPHINE!AP31*Paramètres!$H$4),0),0)</f>
        <v>0</v>
      </c>
      <c r="AW42" s="225">
        <f>IF(AP42&lt;&gt;"",IF(((AP42*Paramètres!$H$4)-PORTEFEUILLE_GUILLAUME[[#This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2" s="190" t="str">
        <f>IF(PORTEFEUILLE_GUILLAUME[[#This Row],[BONI COMPTABLE]]&lt;&gt;0,1,"")</f>
        <v/>
      </c>
      <c r="AY42" s="190" t="str">
        <f>IF(PORTEFEUILLE_GUILLAUME[[#This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SUM(PORTEFEUILLE_GUILLAUME[[#This Row],[PCR COMPTABLE €]:[MONTANT
RESPONSABLE RELATION CLIENT €]])-PORTEFEUILLE_GUILLAUME[[#This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3" s="188" t="str">
        <f>IF(PORTEFEUILLE_GUILLAUME[[#This Row],[BONI AAC]]&lt;&gt;0,1,"")</f>
        <v/>
      </c>
      <c r="AU43" s="188" t="str">
        <f>IF(PORTEFEUILLE_GUILLAUME[[#This Row],[MALI AAC]]&lt;&gt;0,1,"")</f>
        <v/>
      </c>
      <c r="AV43" s="225">
        <f>IF(AP43&lt;&gt;"",IF((AP43*Paramètres!$H$4)-PORTEFEUILLE_GUILLAUME[[#This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€]]-(DELPHINE!AP32*Paramètres!$H$4),0),0)</f>
        <v>0</v>
      </c>
      <c r="AW43" s="225">
        <f>IF(AP43&lt;&gt;"",IF(((AP43*Paramètres!$H$4)-PORTEFEUILLE_GUILLAUME[[#This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3" s="190" t="str">
        <f>IF(PORTEFEUILLE_GUILLAUME[[#This Row],[BONI COMPTABLE]]&lt;&gt;0,1,"")</f>
        <v/>
      </c>
      <c r="AY43" s="190" t="str">
        <f>IF(PORTEFEUILLE_GUILLAUME[[#This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SUM(PORTEFEUILLE_GUILLAUME[[#This Row],[PCR COMPTABLE €]:[MONTANT
RESPONSABLE RELATION CLIENT €]])-PORTEFEUILLE_GUILLAUME[[#This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4" s="188" t="str">
        <f>IF(PORTEFEUILLE_GUILLAUME[[#This Row],[BONI AAC]]&lt;&gt;0,1,"")</f>
        <v/>
      </c>
      <c r="AU44" s="188" t="str">
        <f>IF(PORTEFEUILLE_GUILLAUME[[#This Row],[MALI AAC]]&lt;&gt;0,1,"")</f>
        <v/>
      </c>
      <c r="AV44" s="225">
        <f>IF(AP44&lt;&gt;"",IF((AP44*Paramètres!$H$4)-PORTEFEUILLE_GUILLAUME[[#This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€]]-(DELPHINE!AP33*Paramètres!$H$4),0),0)</f>
        <v>0</v>
      </c>
      <c r="AW44" s="225">
        <f>IF(AP44&lt;&gt;"",IF(((AP44*Paramètres!$H$4)-PORTEFEUILLE_GUILLAUME[[#This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4" s="190" t="str">
        <f>IF(PORTEFEUILLE_GUILLAUME[[#This Row],[BONI COMPTABLE]]&lt;&gt;0,1,"")</f>
        <v/>
      </c>
      <c r="AY44" s="190" t="str">
        <f>IF(PORTEFEUILLE_GUILLAUME[[#This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SUM(PORTEFEUILLE_GUILLAUME[[#This Row],[PCR COMPTABLE €]:[MONTANT
RESPONSABLE RELATION CLIENT €]])-PORTEFEUILLE_GUILLAUME[[#This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5" s="188" t="str">
        <f>IF(PORTEFEUILLE_GUILLAUME[[#This Row],[BONI AAC]]&lt;&gt;0,1,"")</f>
        <v/>
      </c>
      <c r="AU45" s="188" t="str">
        <f>IF(PORTEFEUILLE_GUILLAUME[[#This Row],[MALI AAC]]&lt;&gt;0,1,"")</f>
        <v/>
      </c>
      <c r="AV45" s="225">
        <f>IF(AP45&lt;&gt;"",IF((AP45*Paramètres!$H$4)-PORTEFEUILLE_GUILLAUME[[#This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€]]-(DELPHINE!AP34*Paramètres!$H$4),0),0)</f>
        <v>0</v>
      </c>
      <c r="AW45" s="225">
        <f>IF(AP45&lt;&gt;"",IF(((AP45*Paramètres!$H$4)-PORTEFEUILLE_GUILLAUME[[#This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5" s="190" t="str">
        <f>IF(PORTEFEUILLE_GUILLAUME[[#This Row],[BONI COMPTABLE]]&lt;&gt;0,1,"")</f>
        <v/>
      </c>
      <c r="AY45" s="190" t="str">
        <f>IF(PORTEFEUILLE_GUILLAUME[[#This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SUM(PORTEFEUILLE_GUILLAUME[[#This Row],[PCR COMPTABLE €]:[MONTANT
RESPONSABLE RELATION CLIENT €]])-PORTEFEUILLE_GUILLAUME[[#This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6" s="188" t="str">
        <f>IF(PORTEFEUILLE_GUILLAUME[[#This Row],[BONI AAC]]&lt;&gt;0,1,"")</f>
        <v/>
      </c>
      <c r="AU46" s="188" t="str">
        <f>IF(PORTEFEUILLE_GUILLAUME[[#This Row],[MALI AAC]]&lt;&gt;0,1,"")</f>
        <v/>
      </c>
      <c r="AV46" s="225">
        <f>IF(AP46&lt;&gt;"",IF((AP46*Paramètres!$H$4)-PORTEFEUILLE_GUILLAUME[[#This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€]]-(DELPHINE!AP35*Paramètres!$H$4),0),0)</f>
        <v>0</v>
      </c>
      <c r="AW46" s="225">
        <f>IF(AP46&lt;&gt;"",IF(((AP46*Paramètres!$H$4)-PORTEFEUILLE_GUILLAUME[[#This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6" s="190" t="str">
        <f>IF(PORTEFEUILLE_GUILLAUME[[#This Row],[BONI COMPTABLE]]&lt;&gt;0,1,"")</f>
        <v/>
      </c>
      <c r="AY46" s="190" t="str">
        <f>IF(PORTEFEUILLE_GUILLAUME[[#This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SUM(PORTEFEUILLE_GUILLAUME[[#This Row],[PCR COMPTABLE €]:[MONTANT
RESPONSABLE RELATION CLIENT €]])-PORTEFEUILLE_GUILLAUME[[#This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7" s="188" t="str">
        <f>IF(PORTEFEUILLE_GUILLAUME[[#This Row],[BONI AAC]]&lt;&gt;0,1,"")</f>
        <v/>
      </c>
      <c r="AU47" s="188" t="str">
        <f>IF(PORTEFEUILLE_GUILLAUME[[#This Row],[MALI AAC]]&lt;&gt;0,1,"")</f>
        <v/>
      </c>
      <c r="AV47" s="225">
        <f>IF(AP47&lt;&gt;"",IF((AP47*Paramètres!$H$4)-PORTEFEUILLE_GUILLAUME[[#This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€]]-(DELPHINE!AP36*Paramètres!$H$4),0),0)</f>
        <v>0</v>
      </c>
      <c r="AW47" s="225">
        <f>IF(AP47&lt;&gt;"",IF(((AP47*Paramètres!$H$4)-PORTEFEUILLE_GUILLAUME[[#This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7" s="190" t="str">
        <f>IF(PORTEFEUILLE_GUILLAUME[[#This Row],[BONI COMPTABLE]]&lt;&gt;0,1,"")</f>
        <v/>
      </c>
      <c r="AY47" s="190" t="str">
        <f>IF(PORTEFEUILLE_GUILLAUME[[#This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SUM(PORTEFEUILLE_GUILLAUME[[#This Row],[PCR COMPTABLE €]:[MONTANT
RESPONSABLE RELATION CLIENT €]])-PORTEFEUILLE_GUILLAUME[[#This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8" s="188" t="str">
        <f>IF(PORTEFEUILLE_GUILLAUME[[#This Row],[BONI AAC]]&lt;&gt;0,1,"")</f>
        <v/>
      </c>
      <c r="AU48" s="188" t="str">
        <f>IF(PORTEFEUILLE_GUILLAUME[[#This Row],[MALI AAC]]&lt;&gt;0,1,"")</f>
        <v/>
      </c>
      <c r="AV48" s="225">
        <f>IF(AP48&lt;&gt;"",IF((AP48*Paramètres!$H$4)-PORTEFEUILLE_GUILLAUME[[#This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€]]-(DELPHINE!AP37*Paramètres!$H$4),0),0)</f>
        <v>0</v>
      </c>
      <c r="AW48" s="225">
        <f>IF(AP48&lt;&gt;"",IF(((AP48*Paramètres!$H$4)-PORTEFEUILLE_GUILLAUME[[#This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8" s="190" t="str">
        <f>IF(PORTEFEUILLE_GUILLAUME[[#This Row],[BONI COMPTABLE]]&lt;&gt;0,1,"")</f>
        <v/>
      </c>
      <c r="AY48" s="190" t="str">
        <f>IF(PORTEFEUILLE_GUILLAUME[[#This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SUM(PORTEFEUILLE_GUILLAUME[[#This Row],[PCR COMPTABLE €]:[MONTANT
RESPONSABLE RELATION CLIENT €]])-PORTEFEUILLE_GUILLAUME[[#This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9" s="188" t="str">
        <f>IF(PORTEFEUILLE_GUILLAUME[[#This Row],[BONI AAC]]&lt;&gt;0,1,"")</f>
        <v/>
      </c>
      <c r="AU49" s="188" t="str">
        <f>IF(PORTEFEUILLE_GUILLAUME[[#This Row],[MALI AAC]]&lt;&gt;0,1,"")</f>
        <v/>
      </c>
      <c r="AV49" s="225">
        <f>IF(AP49&lt;&gt;"",IF((AP49*Paramètres!$H$4)-PORTEFEUILLE_GUILLAUME[[#This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€]]-(DELPHINE!AP38*Paramètres!$H$4),0),0)</f>
        <v>0</v>
      </c>
      <c r="AW49" s="225">
        <f>IF(AP49&lt;&gt;"",IF(((AP49*Paramètres!$H$4)-PORTEFEUILLE_GUILLAUME[[#This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9" s="190" t="str">
        <f>IF(PORTEFEUILLE_GUILLAUME[[#This Row],[BONI COMPTABLE]]&lt;&gt;0,1,"")</f>
        <v/>
      </c>
      <c r="AY49" s="190" t="str">
        <f>IF(PORTEFEUILLE_GUILLAUME[[#This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SUM(PORTEFEUILLE_GUILLAUME[[#This Row],[PCR COMPTABLE €]:[MONTANT
RESPONSABLE RELATION CLIENT €]])-PORTEFEUILLE_GUILLAUME[[#This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0" s="188" t="str">
        <f>IF(PORTEFEUILLE_GUILLAUME[[#This Row],[BONI AAC]]&lt;&gt;0,1,"")</f>
        <v/>
      </c>
      <c r="AU50" s="188" t="str">
        <f>IF(PORTEFEUILLE_GUILLAUME[[#This Row],[MALI AAC]]&lt;&gt;0,1,"")</f>
        <v/>
      </c>
      <c r="AV50" s="225">
        <f>IF(AP50&lt;&gt;"",IF((AP50*Paramètres!$H$4)-PORTEFEUILLE_GUILLAUME[[#This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€]]-(DELPHINE!AP39*Paramètres!$H$4),0),0)</f>
        <v>0</v>
      </c>
      <c r="AW50" s="225">
        <f>IF(AP50&lt;&gt;"",IF(((AP50*Paramètres!$H$4)-PORTEFEUILLE_GUILLAUME[[#This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0" s="190" t="str">
        <f>IF(PORTEFEUILLE_GUILLAUME[[#This Row],[BONI COMPTABLE]]&lt;&gt;0,1,"")</f>
        <v/>
      </c>
      <c r="AY50" s="190" t="str">
        <f>IF(PORTEFEUILLE_GUILLAUME[[#This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SUM(PORTEFEUILLE_GUILLAUME[[#This Row],[PCR COMPTABLE €]:[MONTANT
RESPONSABLE RELATION CLIENT €]])-PORTEFEUILLE_GUILLAUME[[#This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1" s="188" t="str">
        <f>IF(PORTEFEUILLE_GUILLAUME[[#This Row],[BONI AAC]]&lt;&gt;0,1,"")</f>
        <v/>
      </c>
      <c r="AU51" s="188" t="str">
        <f>IF(PORTEFEUILLE_GUILLAUME[[#This Row],[MALI AAC]]&lt;&gt;0,1,"")</f>
        <v/>
      </c>
      <c r="AV51" s="225">
        <f>IF(AP51&lt;&gt;"",IF((AP51*Paramètres!$H$4)-PORTEFEUILLE_GUILLAUME[[#This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€]]-(DELPHINE!AP40*Paramètres!$H$4),0),0)</f>
        <v>0</v>
      </c>
      <c r="AW51" s="225">
        <f>IF(AP51&lt;&gt;"",IF(((AP51*Paramètres!$H$4)-PORTEFEUILLE_GUILLAUME[[#This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1" s="190" t="str">
        <f>IF(PORTEFEUILLE_GUILLAUME[[#This Row],[BONI COMPTABLE]]&lt;&gt;0,1,"")</f>
        <v/>
      </c>
      <c r="AY51" s="190" t="str">
        <f>IF(PORTEFEUILLE_GUILLAUME[[#This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SUM(PORTEFEUILLE_GUILLAUME[[#This Row],[PCR COMPTABLE €]:[MONTANT
RESPONSABLE RELATION CLIENT €]])-PORTEFEUILLE_GUILLAUME[[#This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2" s="188" t="str">
        <f>IF(PORTEFEUILLE_GUILLAUME[[#This Row],[BONI AAC]]&lt;&gt;0,1,"")</f>
        <v/>
      </c>
      <c r="AU52" s="188" t="str">
        <f>IF(PORTEFEUILLE_GUILLAUME[[#This Row],[MALI AAC]]&lt;&gt;0,1,"")</f>
        <v/>
      </c>
      <c r="AV52" s="225">
        <f>IF(AP52&lt;&gt;"",IF((AP52*Paramètres!$H$4)-PORTEFEUILLE_GUILLAUME[[#This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€]]-(DELPHINE!AP41*Paramètres!$H$4),0),0)</f>
        <v>0</v>
      </c>
      <c r="AW52" s="225">
        <f>IF(AP52&lt;&gt;"",IF(((AP52*Paramètres!$H$4)-PORTEFEUILLE_GUILLAUME[[#This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2" s="190" t="str">
        <f>IF(PORTEFEUILLE_GUILLAUME[[#This Row],[BONI COMPTABLE]]&lt;&gt;0,1,"")</f>
        <v/>
      </c>
      <c r="AY52" s="190" t="str">
        <f>IF(PORTEFEUILLE_GUILLAUME[[#This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SUM(PORTEFEUILLE_GUILLAUME[[#This Row],[PCR COMPTABLE €]:[MONTANT
RESPONSABLE RELATION CLIENT €]])-PORTEFEUILLE_GUILLAUME[[#This Row],[MONTANT TOTAL LETTRE DE MISION €]]</f>
        <v>0</v>
      </c>
      <c r="AI53" s="191"/>
      <c r="AJ53" s="188"/>
      <c r="AK53" s="201"/>
      <c r="AL53" s="201"/>
      <c r="AM53" s="246"/>
      <c r="AN53" s="202"/>
      <c r="AO53" s="202"/>
      <c r="AP53" s="202"/>
      <c r="AQ53" s="202"/>
      <c r="AR5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3" s="188" t="str">
        <f>IF(PORTEFEUILLE_GUILLAUME[[#This Row],[BONI AAC]]&lt;&gt;0,1,"")</f>
        <v/>
      </c>
      <c r="AU53" s="188" t="str">
        <f>IF(PORTEFEUILLE_GUILLAUME[[#This Row],[MALI AAC]]&lt;&gt;0,1,"")</f>
        <v/>
      </c>
      <c r="AV53" s="225">
        <f>IF(AP53&lt;&gt;"",IF((AP53*Paramètres!$H$4)-PORTEFEUILLE_GUILLAUME[[#This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€]]-(DELPHINE!AP42*Paramètres!$H$4),0),0)</f>
        <v>0</v>
      </c>
      <c r="AW53" s="225">
        <f>IF(AP53&lt;&gt;"",IF(((AP53*Paramètres!$H$4)-PORTEFEUILLE_GUILLAUME[[#This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3" s="190" t="str">
        <f>IF(PORTEFEUILLE_GUILLAUME[[#This Row],[BONI COMPTABLE]]&lt;&gt;0,1,"")</f>
        <v/>
      </c>
      <c r="AY53" s="190" t="str">
        <f>IF(PORTEFEUILLE_GUILLAUME[[#This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SUM(PORTEFEUILLE_GUILLAUME[[#This Row],[PCR COMPTABLE €]:[MONTANT
RESPONSABLE RELATION CLIENT €]])-PORTEFEUILLE_GUILLAUME[[#This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4" s="188" t="str">
        <f>IF(PORTEFEUILLE_GUILLAUME[[#This Row],[BONI AAC]]&lt;&gt;0,1,"")</f>
        <v/>
      </c>
      <c r="AU54" s="188" t="str">
        <f>IF(PORTEFEUILLE_GUILLAUME[[#This Row],[MALI AAC]]&lt;&gt;0,1,"")</f>
        <v/>
      </c>
      <c r="AV54" s="225">
        <f>IF(AP54&lt;&gt;"",IF((AP54*Paramètres!$H$4)-PORTEFEUILLE_GUILLAUME[[#This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€]]-(DELPHINE!AP43*Paramètres!$H$4),0),0)</f>
        <v>0</v>
      </c>
      <c r="AW54" s="225">
        <f>IF(AP54&lt;&gt;"",IF(((AP54*Paramètres!$H$4)-PORTEFEUILLE_GUILLAUME[[#This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4" s="190" t="str">
        <f>IF(PORTEFEUILLE_GUILLAUME[[#This Row],[BONI COMPTABLE]]&lt;&gt;0,1,"")</f>
        <v/>
      </c>
      <c r="AY54" s="190" t="str">
        <f>IF(PORTEFEUILLE_GUILLAUME[[#This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SUM(PORTEFEUILLE_GUILLAUME[[#This Row],[PCR COMPTABLE €]:[MONTANT
RESPONSABLE RELATION CLIENT €]])-PORTEFEUILLE_GUILLAUME[[#This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5" s="188" t="str">
        <f>IF(PORTEFEUILLE_GUILLAUME[[#This Row],[BONI AAC]]&lt;&gt;0,1,"")</f>
        <v/>
      </c>
      <c r="AU55" s="188" t="str">
        <f>IF(PORTEFEUILLE_GUILLAUME[[#This Row],[MALI AAC]]&lt;&gt;0,1,"")</f>
        <v/>
      </c>
      <c r="AV55" s="225">
        <f>IF(AP55&lt;&gt;"",IF((AP55*Paramètres!$H$4)-PORTEFEUILLE_GUILLAUME[[#This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€]]-(DELPHINE!AP44*Paramètres!$H$4),0),0)</f>
        <v>0</v>
      </c>
      <c r="AW55" s="225">
        <f>IF(AP55&lt;&gt;"",IF(((AP55*Paramètres!$H$4)-PORTEFEUILLE_GUILLAUME[[#This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5" s="190" t="str">
        <f>IF(PORTEFEUILLE_GUILLAUME[[#This Row],[BONI COMPTABLE]]&lt;&gt;0,1,"")</f>
        <v/>
      </c>
      <c r="AY55" s="190" t="str">
        <f>IF(PORTEFEUILLE_GUILLAUME[[#This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SUM(PORTEFEUILLE_GUILLAUME[[#This Row],[PCR COMPTABLE €]:[MONTANT
RESPONSABLE RELATION CLIENT €]])-PORTEFEUILLE_GUILLAUME[[#This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6" s="188" t="str">
        <f>IF(PORTEFEUILLE_GUILLAUME[[#This Row],[BONI AAC]]&lt;&gt;0,1,"")</f>
        <v/>
      </c>
      <c r="AU56" s="188" t="str">
        <f>IF(PORTEFEUILLE_GUILLAUME[[#This Row],[MALI AAC]]&lt;&gt;0,1,"")</f>
        <v/>
      </c>
      <c r="AV56" s="225">
        <f>IF(AP56&lt;&gt;"",IF((AP56*Paramètres!$H$4)-PORTEFEUILLE_GUILLAUME[[#This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€]]-(DELPHINE!AP45*Paramètres!$H$4),0),0)</f>
        <v>0</v>
      </c>
      <c r="AW56" s="225">
        <f>IF(AP56&lt;&gt;"",IF(((AP56*Paramètres!$H$4)-PORTEFEUILLE_GUILLAUME[[#This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6" s="190" t="str">
        <f>IF(PORTEFEUILLE_GUILLAUME[[#This Row],[BONI COMPTABLE]]&lt;&gt;0,1,"")</f>
        <v/>
      </c>
      <c r="AY56" s="190" t="str">
        <f>IF(PORTEFEUILLE_GUILLAUME[[#This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SUM(PORTEFEUILLE_GUILLAUME[[#This Row],[PCR COMPTABLE €]:[MONTANT
RESPONSABLE RELATION CLIENT €]])-PORTEFEUILLE_GUILLAUME[[#This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7" s="188" t="str">
        <f>IF(PORTEFEUILLE_GUILLAUME[[#This Row],[BONI AAC]]&lt;&gt;0,1,"")</f>
        <v/>
      </c>
      <c r="AU57" s="188" t="str">
        <f>IF(PORTEFEUILLE_GUILLAUME[[#This Row],[MALI AAC]]&lt;&gt;0,1,"")</f>
        <v/>
      </c>
      <c r="AV57" s="225">
        <f>IF(AP57&lt;&gt;"",IF((AP57*Paramètres!$H$4)-PORTEFEUILLE_GUILLAUME[[#This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€]]-(DELPHINE!AP46*Paramètres!$H$4),0),0)</f>
        <v>0</v>
      </c>
      <c r="AW57" s="225">
        <f>IF(AP57&lt;&gt;"",IF(((AP57*Paramètres!$H$4)-PORTEFEUILLE_GUILLAUME[[#This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7" s="190" t="str">
        <f>IF(PORTEFEUILLE_GUILLAUME[[#This Row],[BONI COMPTABLE]]&lt;&gt;0,1,"")</f>
        <v/>
      </c>
      <c r="AY57" s="190" t="str">
        <f>IF(PORTEFEUILLE_GUILLAUME[[#This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SUM(PORTEFEUILLE_GUILLAUME[[#This Row],[PCR COMPTABLE €]:[MONTANT
RESPONSABLE RELATION CLIENT €]])-PORTEFEUILLE_GUILLAUME[[#This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8" s="188" t="str">
        <f>IF(PORTEFEUILLE_GUILLAUME[[#This Row],[BONI AAC]]&lt;&gt;0,1,"")</f>
        <v/>
      </c>
      <c r="AU58" s="188" t="str">
        <f>IF(PORTEFEUILLE_GUILLAUME[[#This Row],[MALI AAC]]&lt;&gt;0,1,"")</f>
        <v/>
      </c>
      <c r="AV58" s="225">
        <f>IF(AP58&lt;&gt;"",IF((AP58*Paramètres!$H$4)-PORTEFEUILLE_GUILLAUME[[#This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€]]-(DELPHINE!AP47*Paramètres!$H$4),0),0)</f>
        <v>0</v>
      </c>
      <c r="AW58" s="225">
        <f>IF(AP58&lt;&gt;"",IF(((AP58*Paramètres!$H$4)-PORTEFEUILLE_GUILLAUME[[#This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8" s="190" t="str">
        <f>IF(PORTEFEUILLE_GUILLAUME[[#This Row],[BONI COMPTABLE]]&lt;&gt;0,1,"")</f>
        <v/>
      </c>
      <c r="AY58" s="190" t="str">
        <f>IF(PORTEFEUILLE_GUILLAUME[[#This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SUM(PORTEFEUILLE_GUILLAUME[[#This Row],[PCR COMPTABLE €]:[MONTANT
RESPONSABLE RELATION CLIENT €]])-PORTEFEUILLE_GUILLAUME[[#This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9" s="188" t="str">
        <f>IF(PORTEFEUILLE_GUILLAUME[[#This Row],[BONI AAC]]&lt;&gt;0,1,"")</f>
        <v/>
      </c>
      <c r="AU59" s="188" t="str">
        <f>IF(PORTEFEUILLE_GUILLAUME[[#This Row],[MALI AAC]]&lt;&gt;0,1,"")</f>
        <v/>
      </c>
      <c r="AV59" s="225">
        <f>IF(AP59&lt;&gt;"",IF((AP59*Paramètres!$H$4)-PORTEFEUILLE_GUILLAUME[[#This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€]]-(DELPHINE!AP48*Paramètres!$H$4),0),0)</f>
        <v>0</v>
      </c>
      <c r="AW59" s="225">
        <f>IF(AP59&lt;&gt;"",IF(((AP59*Paramètres!$H$4)-PORTEFEUILLE_GUILLAUME[[#This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9" s="190" t="str">
        <f>IF(PORTEFEUILLE_GUILLAUME[[#This Row],[BONI COMPTABLE]]&lt;&gt;0,1,"")</f>
        <v/>
      </c>
      <c r="AY59" s="190" t="str">
        <f>IF(PORTEFEUILLE_GUILLAUME[[#This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SUM(PORTEFEUILLE_GUILLAUME[[#This Row],[PCR COMPTABLE €]:[MONTANT
RESPONSABLE RELATION CLIENT €]])-PORTEFEUILLE_GUILLAUME[[#This Row],[MONTANT TOTAL LETTRE DE MISION €]]</f>
        <v>0</v>
      </c>
      <c r="AI60" s="191"/>
      <c r="AJ60" s="188"/>
      <c r="AK60" s="201"/>
      <c r="AL60" s="201"/>
      <c r="AM60" s="246"/>
      <c r="AN60" s="205"/>
      <c r="AO60" s="205"/>
      <c r="AP60" s="205"/>
      <c r="AQ60" s="205"/>
      <c r="AR6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6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60" s="188" t="str">
        <f>IF(PORTEFEUILLE_GUILLAUME[[#This Row],[BONI AAC]]&lt;&gt;0,1,"")</f>
        <v/>
      </c>
      <c r="AU60" s="188" t="str">
        <f>IF(PORTEFEUILLE_GUILLAUME[[#This Row],[MALI AAC]]&lt;&gt;0,1,"")</f>
        <v/>
      </c>
      <c r="AV60" s="225">
        <f>IF(AP60&lt;&gt;"",IF((AP60*Paramètres!$H$4)-PORTEFEUILLE_GUILLAUME[[#This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€]]-(DELPHINE!AP49*Paramètres!$H$4),0),0)</f>
        <v>0</v>
      </c>
      <c r="AW60" s="225">
        <f>IF(AP60&lt;&gt;"",IF(((AP60*Paramètres!$H$4)-PORTEFEUILLE_GUILLAUME[[#This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€]])&gt;0,(AP60*Paramètres!$H$4)-PORTEFEUILLE_GUILLAUME[[#This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60" s="190" t="str">
        <f>IF(PORTEFEUILLE_GUILLAUME[[#This Row],[BONI COMPTABLE]]&lt;&gt;0,1,"")</f>
        <v/>
      </c>
      <c r="AY60" s="190" t="str">
        <f>IF(PORTEFEUILLE_GUILLAUME[[#This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80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81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81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82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83" t="s">
        <v>123</v>
      </c>
      <c r="C69" s="283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4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81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81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82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83" t="s">
        <v>123</v>
      </c>
      <c r="C75" s="283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4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81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81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82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83" t="s">
        <v>123</v>
      </c>
      <c r="C81" s="283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5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6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6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6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6" t="s">
        <v>123</v>
      </c>
      <c r="C88" s="286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7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6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6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6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6" t="s">
        <v>123</v>
      </c>
      <c r="C94" s="286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6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6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6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6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6" t="s">
        <v>123</v>
      </c>
      <c r="C100" s="286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80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81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81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82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83" t="s">
        <v>123</v>
      </c>
      <c r="C108" s="283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4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81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81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82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83" t="s">
        <v>123</v>
      </c>
      <c r="C114" s="283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4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81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81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82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83" t="s">
        <v>123</v>
      </c>
      <c r="C120" s="283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25" priority="2">
      <formula>AND(P3&lt;&gt;"",P3&lt;&gt;"OUI")</formula>
    </cfRule>
  </conditionalFormatting>
  <conditionalFormatting sqref="AN3:AO60 S3:AH60">
    <cfRule type="expression" dxfId="24" priority="1" stopIfTrue="1">
      <formula>$AH3&lt;&gt;0</formula>
    </cfRule>
  </conditionalFormatting>
  <conditionalFormatting sqref="A3:E60">
    <cfRule type="expression" dxfId="23" priority="3" stopIfTrue="1">
      <formula>AND($I3&lt;&gt;"",AND($J3="",AND($BA3="",$BB3="")))</formula>
    </cfRule>
    <cfRule type="expression" dxfId="22" priority="4" stopIfTrue="1">
      <formula>AND($J3&lt;&gt;"",AND($BA3="",$BB3=""))</formula>
    </cfRule>
    <cfRule type="expression" dxfId="21" priority="5" stopIfTrue="1">
      <formula>AND($BA3&lt;&gt;"",$BB3="")</formula>
    </cfRule>
    <cfRule type="expression" dxfId="20" priority="6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N183"/>
  <sheetViews>
    <sheetView zoomScale="85" zoomScaleNormal="85" workbookViewId="0">
      <pane xSplit="5" ySplit="2" topLeftCell="F4" activePane="bottomRight" state="frozen"/>
      <selection activeCell="F22" sqref="F22"/>
      <selection pane="topRight" activeCell="F22" sqref="F22"/>
      <selection pane="bottomLeft" activeCell="F22" sqref="F22"/>
      <selection pane="bottomRight" activeCell="B19" sqref="B19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228</v>
      </c>
      <c r="AM2" s="237" t="s">
        <v>229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140</v>
      </c>
      <c r="B3" s="170">
        <v>860000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SUM(PORTEFEUILLE_SEBASTIEN[[#This Row],[PCR COMPTABLE €]:[MONTANT
RESPONSABLE RELATION CLIENT €]])-PORTEFEUILLE_SEBASTIEN[[#This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400</v>
      </c>
      <c r="AT3" s="188" t="str">
        <f>IF(PORTEFEUILLE_SEBASTIEN[[#This Row],[BONI AAC]]&lt;&gt;0,1,"")</f>
        <v/>
      </c>
      <c r="AU3" s="188">
        <f>IF(PORTEFEUILLE_SEBASTIEN[[#This Row],[MALI AAC]]&lt;&gt;0,1,"")</f>
        <v>1</v>
      </c>
      <c r="AV3" s="225">
        <f>IF(AP3&lt;&gt;"",IF((AP3*Paramètres!$H$4)-PORTEFEUILLE_SEBASTIEN[[#This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3" s="225">
        <f>IF(AP3&lt;&gt;"",IF(((AP3*Paramètres!$H$4)-PORTEFEUILLE_SEBASTIEN[[#This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" s="190" t="str">
        <f>IF(PORTEFEUILLE_SEBASTIEN[[#This Row],[BONI COMPTABLE]]&lt;&gt;0,1,"")</f>
        <v/>
      </c>
      <c r="AY3" s="190" t="str">
        <f>IF(PORTEFEUILLE_SEBASTIEN[[#This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140</v>
      </c>
      <c r="B4" s="170">
        <v>860001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SUM(PORTEFEUILLE_SEBASTIEN[[#This Row],[PCR COMPTABLE €]:[MONTANT
RESPONSABLE RELATION CLIENT €]])-PORTEFEUILLE_SEBASTIEN[[#This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1000</v>
      </c>
      <c r="AT4" s="188" t="str">
        <f>IF(PORTEFEUILLE_SEBASTIEN[[#This Row],[BONI AAC]]&lt;&gt;0,1,"")</f>
        <v/>
      </c>
      <c r="AU4" s="188">
        <f>IF(PORTEFEUILLE_SEBASTIEN[[#This Row],[MALI AAC]]&lt;&gt;0,1,"")</f>
        <v>1</v>
      </c>
      <c r="AV4" s="225">
        <f>IF(AP4&lt;&gt;"",IF((AP4*Paramètres!$H$4)-PORTEFEUILLE_SEBASTIEN[[#This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4" s="225">
        <f>IF(AP4&lt;&gt;"",IF(((AP4*Paramètres!$H$4)-PORTEFEUILLE_SEBASTIEN[[#This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3000</v>
      </c>
      <c r="AX4" s="190" t="str">
        <f>IF(PORTEFEUILLE_SEBASTIEN[[#This Row],[BONI COMPTABLE]]&lt;&gt;0,1,"")</f>
        <v/>
      </c>
      <c r="AY4" s="190">
        <f>IF(PORTEFEUILLE_SEBASTIEN[[#This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140</v>
      </c>
      <c r="B5" s="170">
        <v>86000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SUM(PORTEFEUILLE_SEBASTIEN[[#This Row],[PCR COMPTABLE €]:[MONTANT
RESPONSABLE RELATION CLIENT €]])-PORTEFEUILLE_SEBASTIEN[[#This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2200</v>
      </c>
      <c r="AT5" s="188" t="str">
        <f>IF(PORTEFEUILLE_SEBASTIEN[[#This Row],[BONI AAC]]&lt;&gt;0,1,"")</f>
        <v/>
      </c>
      <c r="AU5" s="188">
        <f>IF(PORTEFEUILLE_SEBASTIEN[[#This Row],[MALI AAC]]&lt;&gt;0,1,"")</f>
        <v>1</v>
      </c>
      <c r="AV5" s="225">
        <f>IF(AP5&lt;&gt;"",IF((AP5*Paramètres!$H$4)-PORTEFEUILLE_SEBASTIEN[[#This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5" s="225">
        <f>IF(AP5&lt;&gt;"",IF(((AP5*Paramètres!$H$4)-PORTEFEUILLE_SEBASTIEN[[#This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4150</v>
      </c>
      <c r="AX5" s="190" t="str">
        <f>IF(PORTEFEUILLE_SEBASTIEN[[#This Row],[BONI COMPTABLE]]&lt;&gt;0,1,"")</f>
        <v/>
      </c>
      <c r="AY5" s="190">
        <f>IF(PORTEFEUILLE_SEBASTIEN[[#This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SUM(PORTEFEUILLE_SEBASTIEN[[#This Row],[PCR COMPTABLE €]:[MONTANT
RESPONSABLE RELATION CLIENT €]])-PORTEFEUILLE_SEBASTIEN[[#This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6" s="188" t="str">
        <f>IF(PORTEFEUILLE_SEBASTIEN[[#This Row],[BONI AAC]]&lt;&gt;0,1,"")</f>
        <v/>
      </c>
      <c r="AU6" s="188" t="str">
        <f>IF(PORTEFEUILLE_SEBASTIEN[[#This Row],[MALI AAC]]&lt;&gt;0,1,"")</f>
        <v/>
      </c>
      <c r="AV6" s="225">
        <f>IF(AP6&lt;&gt;"",IF((AP6*Paramètres!$H$4)-PORTEFEUILLE_SEBASTIEN[[#This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6" s="225">
        <f>IF(AP6&lt;&gt;"",IF(((AP6*Paramètres!$H$4)-PORTEFEUILLE_SEBASTIEN[[#This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6" s="190" t="str">
        <f>IF(PORTEFEUILLE_SEBASTIEN[[#This Row],[BONI COMPTABLE]]&lt;&gt;0,1,"")</f>
        <v/>
      </c>
      <c r="AY6" s="190" t="str">
        <f>IF(PORTEFEUILLE_SEBASTIEN[[#This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SUM(PORTEFEUILLE_SEBASTIEN[[#This Row],[PCR COMPTABLE €]:[MONTANT
RESPONSABLE RELATION CLIENT €]])-PORTEFEUILLE_SEBASTIEN[[#This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7" s="188" t="str">
        <f>IF(PORTEFEUILLE_SEBASTIEN[[#This Row],[BONI AAC]]&lt;&gt;0,1,"")</f>
        <v/>
      </c>
      <c r="AU7" s="188" t="str">
        <f>IF(PORTEFEUILLE_SEBASTIEN[[#This Row],[MALI AAC]]&lt;&gt;0,1,"")</f>
        <v/>
      </c>
      <c r="AV7" s="225">
        <f>IF(AP7&lt;&gt;"",IF((AP7*Paramètres!$H$4)-PORTEFEUILLE_SEBASTIEN[[#This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7" s="225">
        <f>IF(AP7&lt;&gt;"",IF(((AP7*Paramètres!$H$4)-PORTEFEUILLE_SEBASTIEN[[#This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7" s="190" t="str">
        <f>IF(PORTEFEUILLE_SEBASTIEN[[#This Row],[BONI COMPTABLE]]&lt;&gt;0,1,"")</f>
        <v/>
      </c>
      <c r="AY7" s="190" t="str">
        <f>IF(PORTEFEUILLE_SEBASTIEN[[#This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SUM(PORTEFEUILLE_SEBASTIEN[[#This Row],[PCR COMPTABLE €]:[MONTANT
RESPONSABLE RELATION CLIENT €]])-PORTEFEUILLE_SEBASTIEN[[#This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8" s="188" t="str">
        <f>IF(PORTEFEUILLE_SEBASTIEN[[#This Row],[BONI AAC]]&lt;&gt;0,1,"")</f>
        <v/>
      </c>
      <c r="AU8" s="188" t="str">
        <f>IF(PORTEFEUILLE_SEBASTIEN[[#This Row],[MALI AAC]]&lt;&gt;0,1,"")</f>
        <v/>
      </c>
      <c r="AV8" s="225">
        <f>IF(AP8&lt;&gt;"",IF((AP8*Paramètres!$H$4)-PORTEFEUILLE_SEBASTIEN[[#This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8" s="225">
        <f>IF(AP8&lt;&gt;"",IF(((AP8*Paramètres!$H$4)-PORTEFEUILLE_SEBASTIEN[[#This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8" s="190" t="str">
        <f>IF(PORTEFEUILLE_SEBASTIEN[[#This Row],[BONI COMPTABLE]]&lt;&gt;0,1,"")</f>
        <v/>
      </c>
      <c r="AY8" s="190" t="str">
        <f>IF(PORTEFEUILLE_SEBASTIEN[[#This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SUM(PORTEFEUILLE_SEBASTIEN[[#This Row],[PCR COMPTABLE €]:[MONTANT
RESPONSABLE RELATION CLIENT €]])-PORTEFEUILLE_SEBASTIEN[[#This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9" s="188" t="str">
        <f>IF(PORTEFEUILLE_SEBASTIEN[[#This Row],[BONI AAC]]&lt;&gt;0,1,"")</f>
        <v/>
      </c>
      <c r="AU9" s="188" t="str">
        <f>IF(PORTEFEUILLE_SEBASTIEN[[#This Row],[MALI AAC]]&lt;&gt;0,1,"")</f>
        <v/>
      </c>
      <c r="AV9" s="225">
        <f>IF(AP9&lt;&gt;"",IF((AP9*Paramètres!$H$4)-PORTEFEUILLE_SEBASTIEN[[#This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9" s="225">
        <f>IF(AP9&lt;&gt;"",IF(((AP9*Paramètres!$H$4)-PORTEFEUILLE_SEBASTIEN[[#This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9" s="190" t="str">
        <f>IF(PORTEFEUILLE_SEBASTIEN[[#This Row],[BONI COMPTABLE]]&lt;&gt;0,1,"")</f>
        <v/>
      </c>
      <c r="AY9" s="190" t="str">
        <f>IF(PORTEFEUILLE_SEBASTIEN[[#This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SUM(PORTEFEUILLE_SEBASTIEN[[#This Row],[PCR COMPTABLE €]:[MONTANT
RESPONSABLE RELATION CLIENT €]])-PORTEFEUILLE_SEBASTIEN[[#This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0" s="188" t="str">
        <f>IF(PORTEFEUILLE_SEBASTIEN[[#This Row],[BONI AAC]]&lt;&gt;0,1,"")</f>
        <v/>
      </c>
      <c r="AU10" s="188" t="str">
        <f>IF(PORTEFEUILLE_SEBASTIEN[[#This Row],[MALI AAC]]&lt;&gt;0,1,"")</f>
        <v/>
      </c>
      <c r="AV10" s="225">
        <f>IF(AP10&lt;&gt;"",IF((AP10*Paramètres!$H$4)-PORTEFEUILLE_SEBASTIEN[[#This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10" s="225">
        <f>IF(AP10&lt;&gt;"",IF(((AP10*Paramètres!$H$4)-PORTEFEUILLE_SEBASTIEN[[#This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0" s="190" t="str">
        <f>IF(PORTEFEUILLE_SEBASTIEN[[#This Row],[BONI COMPTABLE]]&lt;&gt;0,1,"")</f>
        <v/>
      </c>
      <c r="AY10" s="190" t="str">
        <f>IF(PORTEFEUILLE_SEBASTIEN[[#This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SUM(PORTEFEUILLE_SEBASTIEN[[#This Row],[PCR COMPTABLE €]:[MONTANT
RESPONSABLE RELATION CLIENT €]])-PORTEFEUILLE_SEBASTIEN[[#This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1" s="188" t="str">
        <f>IF(PORTEFEUILLE_SEBASTIEN[[#This Row],[BONI AAC]]&lt;&gt;0,1,"")</f>
        <v/>
      </c>
      <c r="AU11" s="188" t="str">
        <f>IF(PORTEFEUILLE_SEBASTIEN[[#This Row],[MALI AAC]]&lt;&gt;0,1,"")</f>
        <v/>
      </c>
      <c r="AV11" s="225">
        <f>IF(AP11&lt;&gt;"",IF((AP11*Paramètres!$H$4)-PORTEFEUILLE_SEBASTIEN[[#This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11" s="225">
        <f>IF(AP11&lt;&gt;"",IF(((AP11*Paramètres!$H$4)-PORTEFEUILLE_SEBASTIEN[[#This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1" s="190" t="str">
        <f>IF(PORTEFEUILLE_SEBASTIEN[[#This Row],[BONI COMPTABLE]]&lt;&gt;0,1,"")</f>
        <v/>
      </c>
      <c r="AY11" s="190" t="str">
        <f>IF(PORTEFEUILLE_SEBASTIEN[[#This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SUM(PORTEFEUILLE_SEBASTIEN[[#This Row],[PCR COMPTABLE €]:[MONTANT
RESPONSABLE RELATION CLIENT €]])-PORTEFEUILLE_SEBASTIEN[[#This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2" s="188" t="str">
        <f>IF(PORTEFEUILLE_SEBASTIEN[[#This Row],[BONI AAC]]&lt;&gt;0,1,"")</f>
        <v/>
      </c>
      <c r="AU12" s="188" t="str">
        <f>IF(PORTEFEUILLE_SEBASTIEN[[#This Row],[MALI AAC]]&lt;&gt;0,1,"")</f>
        <v/>
      </c>
      <c r="AV12" s="225">
        <f>IF(AP12&lt;&gt;"",IF((AP12*Paramètres!$H$4)-PORTEFEUILLE_SEBASTIEN[[#This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12" s="225">
        <f>IF(AP12&lt;&gt;"",IF(((AP12*Paramètres!$H$4)-PORTEFEUILLE_SEBASTIEN[[#This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2" s="190" t="str">
        <f>IF(PORTEFEUILLE_SEBASTIEN[[#This Row],[BONI COMPTABLE]]&lt;&gt;0,1,"")</f>
        <v/>
      </c>
      <c r="AY12" s="190" t="str">
        <f>IF(PORTEFEUILLE_SEBASTIEN[[#This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SUM(PORTEFEUILLE_SEBASTIEN[[#This Row],[PCR COMPTABLE €]:[MONTANT
RESPONSABLE RELATION CLIENT €]])-PORTEFEUILLE_SEBASTIEN[[#This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3" s="188" t="str">
        <f>IF(PORTEFEUILLE_SEBASTIEN[[#This Row],[BONI AAC]]&lt;&gt;0,1,"")</f>
        <v/>
      </c>
      <c r="AU13" s="188" t="str">
        <f>IF(PORTEFEUILLE_SEBASTIEN[[#This Row],[MALI AAC]]&lt;&gt;0,1,"")</f>
        <v/>
      </c>
      <c r="AV13" s="225">
        <f>IF(AP13&lt;&gt;"",IF((AP13*Paramètres!$H$4)-PORTEFEUILLE_SEBASTIEN[[#This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€]]-(DELPHINE!AP3*Paramètres!$H$4),0),0)</f>
        <v>0</v>
      </c>
      <c r="AW13" s="225">
        <f>IF(AP13&lt;&gt;"",IF(((AP13*Paramètres!$H$4)-PORTEFEUILLE_SEBASTIEN[[#This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3" s="190" t="str">
        <f>IF(PORTEFEUILLE_SEBASTIEN[[#This Row],[BONI COMPTABLE]]&lt;&gt;0,1,"")</f>
        <v/>
      </c>
      <c r="AY13" s="190" t="str">
        <f>IF(PORTEFEUILLE_SEBASTIEN[[#This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SUM(PORTEFEUILLE_SEBASTIEN[[#This Row],[PCR COMPTABLE €]:[MONTANT
RESPONSABLE RELATION CLIENT €]])-PORTEFEUILLE_SEBASTIEN[[#This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4" s="188" t="str">
        <f>IF(PORTEFEUILLE_SEBASTIEN[[#This Row],[BONI AAC]]&lt;&gt;0,1,"")</f>
        <v/>
      </c>
      <c r="AU14" s="188" t="str">
        <f>IF(PORTEFEUILLE_SEBASTIEN[[#This Row],[MALI AAC]]&lt;&gt;0,1,"")</f>
        <v/>
      </c>
      <c r="AV14" s="225">
        <f>IF(AP14&lt;&gt;"",IF((AP14*Paramètres!$H$4)-PORTEFEUILLE_SEBASTIEN[[#This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14" s="225">
        <f>IF(AP14&lt;&gt;"",IF(((AP14*Paramètres!$H$4)-PORTEFEUILLE_SEBASTIEN[[#This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4" s="190" t="str">
        <f>IF(PORTEFEUILLE_SEBASTIEN[[#This Row],[BONI COMPTABLE]]&lt;&gt;0,1,"")</f>
        <v/>
      </c>
      <c r="AY14" s="190" t="str">
        <f>IF(PORTEFEUILLE_SEBASTIEN[[#This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SUM(PORTEFEUILLE_SEBASTIEN[[#This Row],[PCR COMPTABLE €]:[MONTANT
RESPONSABLE RELATION CLIENT €]])-PORTEFEUILLE_SEBASTIEN[[#This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5" s="188" t="str">
        <f>IF(PORTEFEUILLE_SEBASTIEN[[#This Row],[BONI AAC]]&lt;&gt;0,1,"")</f>
        <v/>
      </c>
      <c r="AU15" s="188" t="str">
        <f>IF(PORTEFEUILLE_SEBASTIEN[[#This Row],[MALI AAC]]&lt;&gt;0,1,"")</f>
        <v/>
      </c>
      <c r="AV15" s="225">
        <f>IF(AP15&lt;&gt;"",IF((AP15*Paramètres!$H$4)-PORTEFEUILLE_SEBASTIEN[[#This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€]]-(DELPHINE!AP4*Paramètres!$H$4),0),0)</f>
        <v>0</v>
      </c>
      <c r="AW15" s="225">
        <f>IF(AP15&lt;&gt;"",IF(((AP15*Paramètres!$H$4)-PORTEFEUILLE_SEBASTIEN[[#This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5" s="190" t="str">
        <f>IF(PORTEFEUILLE_SEBASTIEN[[#This Row],[BONI COMPTABLE]]&lt;&gt;0,1,"")</f>
        <v/>
      </c>
      <c r="AY15" s="190" t="str">
        <f>IF(PORTEFEUILLE_SEBASTIEN[[#This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SUM(PORTEFEUILLE_SEBASTIEN[[#This Row],[PCR COMPTABLE €]:[MONTANT
RESPONSABLE RELATION CLIENT €]])-PORTEFEUILLE_SEBASTIEN[[#This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6" s="188" t="str">
        <f>IF(PORTEFEUILLE_SEBASTIEN[[#This Row],[BONI AAC]]&lt;&gt;0,1,"")</f>
        <v/>
      </c>
      <c r="AU16" s="188" t="str">
        <f>IF(PORTEFEUILLE_SEBASTIEN[[#This Row],[MALI AAC]]&lt;&gt;0,1,"")</f>
        <v/>
      </c>
      <c r="AV16" s="225">
        <f>IF(AP16&lt;&gt;"",IF((AP16*Paramètres!$H$4)-PORTEFEUILLE_SEBASTIEN[[#This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€]]-(DELPHINE!AP5*Paramètres!$H$4),0),0)</f>
        <v>0</v>
      </c>
      <c r="AW16" s="225">
        <f>IF(AP16&lt;&gt;"",IF(((AP16*Paramètres!$H$4)-PORTEFEUILLE_SEBASTIEN[[#This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6" s="190" t="str">
        <f>IF(PORTEFEUILLE_SEBASTIEN[[#This Row],[BONI COMPTABLE]]&lt;&gt;0,1,"")</f>
        <v/>
      </c>
      <c r="AY16" s="190" t="str">
        <f>IF(PORTEFEUILLE_SEBASTIEN[[#This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SUM(PORTEFEUILLE_SEBASTIEN[[#This Row],[PCR COMPTABLE €]:[MONTANT
RESPONSABLE RELATION CLIENT €]])-PORTEFEUILLE_SEBASTIEN[[#This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7" s="188" t="str">
        <f>IF(PORTEFEUILLE_SEBASTIEN[[#This Row],[BONI AAC]]&lt;&gt;0,1,"")</f>
        <v/>
      </c>
      <c r="AU17" s="188" t="str">
        <f>IF(PORTEFEUILLE_SEBASTIEN[[#This Row],[MALI AAC]]&lt;&gt;0,1,"")</f>
        <v/>
      </c>
      <c r="AV17" s="225">
        <f>IF(AP17&lt;&gt;"",IF((AP17*Paramètres!$H$4)-PORTEFEUILLE_SEBASTIEN[[#This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€]]-(DELPHINE!AP6*Paramètres!$H$4),0),0)</f>
        <v>0</v>
      </c>
      <c r="AW17" s="225">
        <f>IF(AP17&lt;&gt;"",IF(((AP17*Paramètres!$H$4)-PORTEFEUILLE_SEBASTIEN[[#This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7" s="190" t="str">
        <f>IF(PORTEFEUILLE_SEBASTIEN[[#This Row],[BONI COMPTABLE]]&lt;&gt;0,1,"")</f>
        <v/>
      </c>
      <c r="AY17" s="190" t="str">
        <f>IF(PORTEFEUILLE_SEBASTIEN[[#This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SUM(PORTEFEUILLE_SEBASTIEN[[#This Row],[PCR COMPTABLE €]:[MONTANT
RESPONSABLE RELATION CLIENT €]])-PORTEFEUILLE_SEBASTIEN[[#This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8" s="188" t="str">
        <f>IF(PORTEFEUILLE_SEBASTIEN[[#This Row],[BONI AAC]]&lt;&gt;0,1,"")</f>
        <v/>
      </c>
      <c r="AU18" s="188" t="str">
        <f>IF(PORTEFEUILLE_SEBASTIEN[[#This Row],[MALI AAC]]&lt;&gt;0,1,"")</f>
        <v/>
      </c>
      <c r="AV18" s="225">
        <f>IF(AP18&lt;&gt;"",IF((AP18*Paramètres!$H$4)-PORTEFEUILLE_SEBASTIEN[[#This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€]]-(DELPHINE!AP7*Paramètres!$H$4),0),0)</f>
        <v>0</v>
      </c>
      <c r="AW18" s="225">
        <f>IF(AP18&lt;&gt;"",IF(((AP18*Paramètres!$H$4)-PORTEFEUILLE_SEBASTIEN[[#This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8" s="190" t="str">
        <f>IF(PORTEFEUILLE_SEBASTIEN[[#This Row],[BONI COMPTABLE]]&lt;&gt;0,1,"")</f>
        <v/>
      </c>
      <c r="AY18" s="190" t="str">
        <f>IF(PORTEFEUILLE_SEBASTIEN[[#This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SUM(PORTEFEUILLE_SEBASTIEN[[#This Row],[PCR COMPTABLE €]:[MONTANT
RESPONSABLE RELATION CLIENT €]])-PORTEFEUILLE_SEBASTIEN[[#This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9" s="188" t="str">
        <f>IF(PORTEFEUILLE_SEBASTIEN[[#This Row],[BONI AAC]]&lt;&gt;0,1,"")</f>
        <v/>
      </c>
      <c r="AU19" s="188" t="str">
        <f>IF(PORTEFEUILLE_SEBASTIEN[[#This Row],[MALI AAC]]&lt;&gt;0,1,"")</f>
        <v/>
      </c>
      <c r="AV19" s="225">
        <f>IF(AP19&lt;&gt;"",IF((AP19*Paramètres!$H$4)-PORTEFEUILLE_SEBASTIEN[[#This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€]]-(DELPHINE!AP8*Paramètres!$H$4),0),0)</f>
        <v>0</v>
      </c>
      <c r="AW19" s="225">
        <f>IF(AP19&lt;&gt;"",IF(((AP19*Paramètres!$H$4)-PORTEFEUILLE_SEBASTIEN[[#This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9" s="190" t="str">
        <f>IF(PORTEFEUILLE_SEBASTIEN[[#This Row],[BONI COMPTABLE]]&lt;&gt;0,1,"")</f>
        <v/>
      </c>
      <c r="AY19" s="190" t="str">
        <f>IF(PORTEFEUILLE_SEBASTIEN[[#This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SUM(PORTEFEUILLE_SEBASTIEN[[#This Row],[PCR COMPTABLE €]:[MONTANT
RESPONSABLE RELATION CLIENT €]])-PORTEFEUILLE_SEBASTIEN[[#This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0" s="188" t="str">
        <f>IF(PORTEFEUILLE_SEBASTIEN[[#This Row],[BONI AAC]]&lt;&gt;0,1,"")</f>
        <v/>
      </c>
      <c r="AU20" s="188" t="str">
        <f>IF(PORTEFEUILLE_SEBASTIEN[[#This Row],[MALI AAC]]&lt;&gt;0,1,"")</f>
        <v/>
      </c>
      <c r="AV20" s="225">
        <f>IF(AP20&lt;&gt;"",IF((AP20*Paramètres!$H$4)-PORTEFEUILLE_SEBASTIEN[[#This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€]]-(DELPHINE!AP9*Paramètres!$H$4),0),0)</f>
        <v>0</v>
      </c>
      <c r="AW20" s="225">
        <f>IF(AP20&lt;&gt;"",IF(((AP20*Paramètres!$H$4)-PORTEFEUILLE_SEBASTIEN[[#This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0" s="190" t="str">
        <f>IF(PORTEFEUILLE_SEBASTIEN[[#This Row],[BONI COMPTABLE]]&lt;&gt;0,1,"")</f>
        <v/>
      </c>
      <c r="AY20" s="190" t="str">
        <f>IF(PORTEFEUILLE_SEBASTIEN[[#This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SUM(PORTEFEUILLE_SEBASTIEN[[#This Row],[PCR COMPTABLE €]:[MONTANT
RESPONSABLE RELATION CLIENT €]])-PORTEFEUILLE_SEBASTIEN[[#This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1" s="188" t="str">
        <f>IF(PORTEFEUILLE_SEBASTIEN[[#This Row],[BONI AAC]]&lt;&gt;0,1,"")</f>
        <v/>
      </c>
      <c r="AU21" s="188" t="str">
        <f>IF(PORTEFEUILLE_SEBASTIEN[[#This Row],[MALI AAC]]&lt;&gt;0,1,"")</f>
        <v/>
      </c>
      <c r="AV21" s="225">
        <f>IF(AP21&lt;&gt;"",IF((AP21*Paramètres!$H$4)-PORTEFEUILLE_SEBASTIEN[[#This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€]]-(DELPHINE!AP10*Paramètres!$H$4),0),0)</f>
        <v>0</v>
      </c>
      <c r="AW21" s="225">
        <f>IF(AP21&lt;&gt;"",IF(((AP21*Paramètres!$H$4)-PORTEFEUILLE_SEBASTIEN[[#This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1" s="190" t="str">
        <f>IF(PORTEFEUILLE_SEBASTIEN[[#This Row],[BONI COMPTABLE]]&lt;&gt;0,1,"")</f>
        <v/>
      </c>
      <c r="AY21" s="190" t="str">
        <f>IF(PORTEFEUILLE_SEBASTIEN[[#This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SUM(PORTEFEUILLE_SEBASTIEN[[#This Row],[PCR COMPTABLE €]:[MONTANT
RESPONSABLE RELATION CLIENT €]])-PORTEFEUILLE_SEBASTIEN[[#This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2" s="188" t="str">
        <f>IF(PORTEFEUILLE_SEBASTIEN[[#This Row],[BONI AAC]]&lt;&gt;0,1,"")</f>
        <v/>
      </c>
      <c r="AU22" s="188" t="str">
        <f>IF(PORTEFEUILLE_SEBASTIEN[[#This Row],[MALI AAC]]&lt;&gt;0,1,"")</f>
        <v/>
      </c>
      <c r="AV22" s="225">
        <f>IF(AP22&lt;&gt;"",IF((AP22*Paramètres!$H$4)-PORTEFEUILLE_SEBASTIEN[[#This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€]]-(DELPHINE!AP11*Paramètres!$H$4),0),0)</f>
        <v>0</v>
      </c>
      <c r="AW22" s="225">
        <f>IF(AP22&lt;&gt;"",IF(((AP22*Paramètres!$H$4)-PORTEFEUILLE_SEBASTIEN[[#This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2" s="190" t="str">
        <f>IF(PORTEFEUILLE_SEBASTIEN[[#This Row],[BONI COMPTABLE]]&lt;&gt;0,1,"")</f>
        <v/>
      </c>
      <c r="AY22" s="190" t="str">
        <f>IF(PORTEFEUILLE_SEBASTIEN[[#This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SUM(PORTEFEUILLE_SEBASTIEN[[#This Row],[PCR COMPTABLE €]:[MONTANT
RESPONSABLE RELATION CLIENT €]])-PORTEFEUILLE_SEBASTIEN[[#This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3" s="188" t="str">
        <f>IF(PORTEFEUILLE_SEBASTIEN[[#This Row],[BONI AAC]]&lt;&gt;0,1,"")</f>
        <v/>
      </c>
      <c r="AU23" s="188" t="str">
        <f>IF(PORTEFEUILLE_SEBASTIEN[[#This Row],[MALI AAC]]&lt;&gt;0,1,"")</f>
        <v/>
      </c>
      <c r="AV23" s="225">
        <f>IF(AP23&lt;&gt;"",IF((AP23*Paramètres!$H$4)-PORTEFEUILLE_SEBASTIEN[[#This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€]]-(DELPHINE!AP12*Paramètres!$H$4),0),0)</f>
        <v>0</v>
      </c>
      <c r="AW23" s="225">
        <f>IF(AP23&lt;&gt;"",IF(((AP23*Paramètres!$H$4)-PORTEFEUILLE_SEBASTIEN[[#This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3" s="190" t="str">
        <f>IF(PORTEFEUILLE_SEBASTIEN[[#This Row],[BONI COMPTABLE]]&lt;&gt;0,1,"")</f>
        <v/>
      </c>
      <c r="AY23" s="190" t="str">
        <f>IF(PORTEFEUILLE_SEBASTIEN[[#This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SUM(PORTEFEUILLE_SEBASTIEN[[#This Row],[PCR COMPTABLE €]:[MONTANT
RESPONSABLE RELATION CLIENT €]])-PORTEFEUILLE_SEBASTIEN[[#This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4" s="188" t="str">
        <f>IF(PORTEFEUILLE_SEBASTIEN[[#This Row],[BONI AAC]]&lt;&gt;0,1,"")</f>
        <v/>
      </c>
      <c r="AU24" s="188" t="str">
        <f>IF(PORTEFEUILLE_SEBASTIEN[[#This Row],[MALI AAC]]&lt;&gt;0,1,"")</f>
        <v/>
      </c>
      <c r="AV24" s="225">
        <f>IF(AP24&lt;&gt;"",IF((AP24*Paramètres!$H$4)-PORTEFEUILLE_SEBASTIEN[[#This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€]]-(DELPHINE!AP13*Paramètres!$H$4),0),0)</f>
        <v>0</v>
      </c>
      <c r="AW24" s="225">
        <f>IF(AP24&lt;&gt;"",IF(((AP24*Paramètres!$H$4)-PORTEFEUILLE_SEBASTIEN[[#This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4" s="190" t="str">
        <f>IF(PORTEFEUILLE_SEBASTIEN[[#This Row],[BONI COMPTABLE]]&lt;&gt;0,1,"")</f>
        <v/>
      </c>
      <c r="AY24" s="190" t="str">
        <f>IF(PORTEFEUILLE_SEBASTIEN[[#This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SUM(PORTEFEUILLE_SEBASTIEN[[#This Row],[PCR COMPTABLE €]:[MONTANT
RESPONSABLE RELATION CLIENT €]])-PORTEFEUILLE_SEBASTIEN[[#This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5" s="188" t="str">
        <f>IF(PORTEFEUILLE_SEBASTIEN[[#This Row],[BONI AAC]]&lt;&gt;0,1,"")</f>
        <v/>
      </c>
      <c r="AU25" s="188" t="str">
        <f>IF(PORTEFEUILLE_SEBASTIEN[[#This Row],[MALI AAC]]&lt;&gt;0,1,"")</f>
        <v/>
      </c>
      <c r="AV25" s="225">
        <f>IF(AP25&lt;&gt;"",IF((AP25*Paramètres!$H$4)-PORTEFEUILLE_SEBASTIEN[[#This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€]]-(DELPHINE!AP14*Paramètres!$H$4),0),0)</f>
        <v>0</v>
      </c>
      <c r="AW25" s="225">
        <f>IF(AP25&lt;&gt;"",IF(((AP25*Paramètres!$H$4)-PORTEFEUILLE_SEBASTIEN[[#This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5" s="190" t="str">
        <f>IF(PORTEFEUILLE_SEBASTIEN[[#This Row],[BONI COMPTABLE]]&lt;&gt;0,1,"")</f>
        <v/>
      </c>
      <c r="AY25" s="190" t="str">
        <f>IF(PORTEFEUILLE_SEBASTIEN[[#This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SUM(PORTEFEUILLE_SEBASTIEN[[#This Row],[PCR COMPTABLE €]:[MONTANT
RESPONSABLE RELATION CLIENT €]])-PORTEFEUILLE_SEBASTIEN[[#This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6" s="188" t="str">
        <f>IF(PORTEFEUILLE_SEBASTIEN[[#This Row],[BONI AAC]]&lt;&gt;0,1,"")</f>
        <v/>
      </c>
      <c r="AU26" s="188" t="str">
        <f>IF(PORTEFEUILLE_SEBASTIEN[[#This Row],[MALI AAC]]&lt;&gt;0,1,"")</f>
        <v/>
      </c>
      <c r="AV26" s="225">
        <f>IF(AP26&lt;&gt;"",IF((AP26*Paramètres!$H$4)-PORTEFEUILLE_SEBASTIEN[[#This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€]]-(DELPHINE!AP15*Paramètres!$H$4),0),0)</f>
        <v>0</v>
      </c>
      <c r="AW26" s="225">
        <f>IF(AP26&lt;&gt;"",IF(((AP26*Paramètres!$H$4)-PORTEFEUILLE_SEBASTIEN[[#This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6" s="190" t="str">
        <f>IF(PORTEFEUILLE_SEBASTIEN[[#This Row],[BONI COMPTABLE]]&lt;&gt;0,1,"")</f>
        <v/>
      </c>
      <c r="AY26" s="190" t="str">
        <f>IF(PORTEFEUILLE_SEBASTIEN[[#This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SUM(PORTEFEUILLE_SEBASTIEN[[#This Row],[PCR COMPTABLE €]:[MONTANT
RESPONSABLE RELATION CLIENT €]])-PORTEFEUILLE_SEBASTIEN[[#This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7" s="188" t="str">
        <f>IF(PORTEFEUILLE_SEBASTIEN[[#This Row],[BONI AAC]]&lt;&gt;0,1,"")</f>
        <v/>
      </c>
      <c r="AU27" s="188" t="str">
        <f>IF(PORTEFEUILLE_SEBASTIEN[[#This Row],[MALI AAC]]&lt;&gt;0,1,"")</f>
        <v/>
      </c>
      <c r="AV27" s="225">
        <f>IF(AP27&lt;&gt;"",IF((AP27*Paramètres!$H$4)-PORTEFEUILLE_SEBASTIEN[[#This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€]]-(DELPHINE!AP16*Paramètres!$H$4),0),0)</f>
        <v>0</v>
      </c>
      <c r="AW27" s="225">
        <f>IF(AP27&lt;&gt;"",IF(((AP27*Paramètres!$H$4)-PORTEFEUILLE_SEBASTIEN[[#This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7" s="190" t="str">
        <f>IF(PORTEFEUILLE_SEBASTIEN[[#This Row],[BONI COMPTABLE]]&lt;&gt;0,1,"")</f>
        <v/>
      </c>
      <c r="AY27" s="190" t="str">
        <f>IF(PORTEFEUILLE_SEBASTIEN[[#This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SUM(PORTEFEUILLE_SEBASTIEN[[#This Row],[PCR COMPTABLE €]:[MONTANT
RESPONSABLE RELATION CLIENT €]])-PORTEFEUILLE_SEBASTIEN[[#This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8" s="188" t="str">
        <f>IF(PORTEFEUILLE_SEBASTIEN[[#This Row],[BONI AAC]]&lt;&gt;0,1,"")</f>
        <v/>
      </c>
      <c r="AU28" s="188" t="str">
        <f>IF(PORTEFEUILLE_SEBASTIEN[[#This Row],[MALI AAC]]&lt;&gt;0,1,"")</f>
        <v/>
      </c>
      <c r="AV28" s="225">
        <f>IF(AP28&lt;&gt;"",IF((AP28*Paramètres!$H$4)-PORTEFEUILLE_SEBASTIEN[[#This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€]]-(DELPHINE!AP17*Paramètres!$H$4),0),0)</f>
        <v>0</v>
      </c>
      <c r="AW28" s="225">
        <f>IF(AP28&lt;&gt;"",IF(((AP28*Paramètres!$H$4)-PORTEFEUILLE_SEBASTIEN[[#This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8" s="190" t="str">
        <f>IF(PORTEFEUILLE_SEBASTIEN[[#This Row],[BONI COMPTABLE]]&lt;&gt;0,1,"")</f>
        <v/>
      </c>
      <c r="AY28" s="190" t="str">
        <f>IF(PORTEFEUILLE_SEBASTIEN[[#This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SUM(PORTEFEUILLE_SEBASTIEN[[#This Row],[PCR COMPTABLE €]:[MONTANT
RESPONSABLE RELATION CLIENT €]])-PORTEFEUILLE_SEBASTIEN[[#This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9" s="188" t="str">
        <f>IF(PORTEFEUILLE_SEBASTIEN[[#This Row],[BONI AAC]]&lt;&gt;0,1,"")</f>
        <v/>
      </c>
      <c r="AU29" s="188" t="str">
        <f>IF(PORTEFEUILLE_SEBASTIEN[[#This Row],[MALI AAC]]&lt;&gt;0,1,"")</f>
        <v/>
      </c>
      <c r="AV29" s="225">
        <f>IF(AP29&lt;&gt;"",IF((AP29*Paramètres!$H$4)-PORTEFEUILLE_SEBASTIEN[[#This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€]]-(DELPHINE!AP18*Paramètres!$H$4),0),0)</f>
        <v>0</v>
      </c>
      <c r="AW29" s="225">
        <f>IF(AP29&lt;&gt;"",IF(((AP29*Paramètres!$H$4)-PORTEFEUILLE_SEBASTIEN[[#This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9" s="190" t="str">
        <f>IF(PORTEFEUILLE_SEBASTIEN[[#This Row],[BONI COMPTABLE]]&lt;&gt;0,1,"")</f>
        <v/>
      </c>
      <c r="AY29" s="190" t="str">
        <f>IF(PORTEFEUILLE_SEBASTIEN[[#This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SUM(PORTEFEUILLE_SEBASTIEN[[#This Row],[PCR COMPTABLE €]:[MONTANT
RESPONSABLE RELATION CLIENT €]])-PORTEFEUILLE_SEBASTIEN[[#This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0" s="188" t="str">
        <f>IF(PORTEFEUILLE_SEBASTIEN[[#This Row],[BONI AAC]]&lt;&gt;0,1,"")</f>
        <v/>
      </c>
      <c r="AU30" s="188" t="str">
        <f>IF(PORTEFEUILLE_SEBASTIEN[[#This Row],[MALI AAC]]&lt;&gt;0,1,"")</f>
        <v/>
      </c>
      <c r="AV30" s="225">
        <f>IF(AP30&lt;&gt;"",IF((AP30*Paramètres!$H$4)-PORTEFEUILLE_SEBASTIEN[[#This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€]]-(DELPHINE!AP19*Paramètres!$H$4),0),0)</f>
        <v>0</v>
      </c>
      <c r="AW30" s="225">
        <f>IF(AP30&lt;&gt;"",IF(((AP30*Paramètres!$H$4)-PORTEFEUILLE_SEBASTIEN[[#This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0" s="190" t="str">
        <f>IF(PORTEFEUILLE_SEBASTIEN[[#This Row],[BONI COMPTABLE]]&lt;&gt;0,1,"")</f>
        <v/>
      </c>
      <c r="AY30" s="190" t="str">
        <f>IF(PORTEFEUILLE_SEBASTIEN[[#This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SUM(PORTEFEUILLE_SEBASTIEN[[#This Row],[PCR COMPTABLE €]:[MONTANT
RESPONSABLE RELATION CLIENT €]])-PORTEFEUILLE_SEBASTIEN[[#This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1" s="188" t="str">
        <f>IF(PORTEFEUILLE_SEBASTIEN[[#This Row],[BONI AAC]]&lt;&gt;0,1,"")</f>
        <v/>
      </c>
      <c r="AU31" s="188" t="str">
        <f>IF(PORTEFEUILLE_SEBASTIEN[[#This Row],[MALI AAC]]&lt;&gt;0,1,"")</f>
        <v/>
      </c>
      <c r="AV31" s="225">
        <f>IF(AP31&lt;&gt;"",IF((AP31*Paramètres!$H$4)-PORTEFEUILLE_SEBASTIEN[[#This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€]]-(DELPHINE!AP20*Paramètres!$H$4),0),0)</f>
        <v>0</v>
      </c>
      <c r="AW31" s="225">
        <f>IF(AP31&lt;&gt;"",IF(((AP31*Paramètres!$H$4)-PORTEFEUILLE_SEBASTIEN[[#This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1" s="190" t="str">
        <f>IF(PORTEFEUILLE_SEBASTIEN[[#This Row],[BONI COMPTABLE]]&lt;&gt;0,1,"")</f>
        <v/>
      </c>
      <c r="AY31" s="190" t="str">
        <f>IF(PORTEFEUILLE_SEBASTIEN[[#This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SUM(PORTEFEUILLE_SEBASTIEN[[#This Row],[PCR COMPTABLE €]:[MONTANT
RESPONSABLE RELATION CLIENT €]])-PORTEFEUILLE_SEBASTIEN[[#This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2" s="188" t="str">
        <f>IF(PORTEFEUILLE_SEBASTIEN[[#This Row],[BONI AAC]]&lt;&gt;0,1,"")</f>
        <v/>
      </c>
      <c r="AU32" s="188" t="str">
        <f>IF(PORTEFEUILLE_SEBASTIEN[[#This Row],[MALI AAC]]&lt;&gt;0,1,"")</f>
        <v/>
      </c>
      <c r="AV32" s="225">
        <f>IF(AP32&lt;&gt;"",IF((AP32*Paramètres!$H$4)-PORTEFEUILLE_SEBASTIEN[[#This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€]]-(DELPHINE!AP21*Paramètres!$H$4),0),0)</f>
        <v>0</v>
      </c>
      <c r="AW32" s="225">
        <f>IF(AP32&lt;&gt;"",IF(((AP32*Paramètres!$H$4)-PORTEFEUILLE_SEBASTIEN[[#This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2" s="190" t="str">
        <f>IF(PORTEFEUILLE_SEBASTIEN[[#This Row],[BONI COMPTABLE]]&lt;&gt;0,1,"")</f>
        <v/>
      </c>
      <c r="AY32" s="190" t="str">
        <f>IF(PORTEFEUILLE_SEBASTIEN[[#This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SUM(PORTEFEUILLE_SEBASTIEN[[#This Row],[PCR COMPTABLE €]:[MONTANT
RESPONSABLE RELATION CLIENT €]])-PORTEFEUILLE_SEBASTIEN[[#This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3" s="188" t="str">
        <f>IF(PORTEFEUILLE_SEBASTIEN[[#This Row],[BONI AAC]]&lt;&gt;0,1,"")</f>
        <v/>
      </c>
      <c r="AU33" s="188" t="str">
        <f>IF(PORTEFEUILLE_SEBASTIEN[[#This Row],[MALI AAC]]&lt;&gt;0,1,"")</f>
        <v/>
      </c>
      <c r="AV33" s="225">
        <f>IF(AP33&lt;&gt;"",IF((AP33*Paramètres!$H$4)-PORTEFEUILLE_SEBASTIEN[[#This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€]]-(DELPHINE!AP22*Paramètres!$H$4),0),0)</f>
        <v>0</v>
      </c>
      <c r="AW33" s="225">
        <f>IF(AP33&lt;&gt;"",IF(((AP33*Paramètres!$H$4)-PORTEFEUILLE_SEBASTIEN[[#This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3" s="190" t="str">
        <f>IF(PORTEFEUILLE_SEBASTIEN[[#This Row],[BONI COMPTABLE]]&lt;&gt;0,1,"")</f>
        <v/>
      </c>
      <c r="AY33" s="190" t="str">
        <f>IF(PORTEFEUILLE_SEBASTIEN[[#This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SUM(PORTEFEUILLE_SEBASTIEN[[#This Row],[PCR COMPTABLE €]:[MONTANT
RESPONSABLE RELATION CLIENT €]])-PORTEFEUILLE_SEBASTIEN[[#This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4" s="188" t="str">
        <f>IF(PORTEFEUILLE_SEBASTIEN[[#This Row],[BONI AAC]]&lt;&gt;0,1,"")</f>
        <v/>
      </c>
      <c r="AU34" s="188" t="str">
        <f>IF(PORTEFEUILLE_SEBASTIEN[[#This Row],[MALI AAC]]&lt;&gt;0,1,"")</f>
        <v/>
      </c>
      <c r="AV34" s="225">
        <f>IF(AP34&lt;&gt;"",IF((AP34*Paramètres!$H$4)-PORTEFEUILLE_SEBASTIEN[[#This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€]]-(DELPHINE!AP23*Paramètres!$H$4),0),0)</f>
        <v>0</v>
      </c>
      <c r="AW34" s="225">
        <f>IF(AP34&lt;&gt;"",IF(((AP34*Paramètres!$H$4)-PORTEFEUILLE_SEBASTIEN[[#This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4" s="190" t="str">
        <f>IF(PORTEFEUILLE_SEBASTIEN[[#This Row],[BONI COMPTABLE]]&lt;&gt;0,1,"")</f>
        <v/>
      </c>
      <c r="AY34" s="190" t="str">
        <f>IF(PORTEFEUILLE_SEBASTIEN[[#This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SUM(PORTEFEUILLE_SEBASTIEN[[#This Row],[PCR COMPTABLE €]:[MONTANT
RESPONSABLE RELATION CLIENT €]])-PORTEFEUILLE_SEBASTIEN[[#This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5" s="188" t="str">
        <f>IF(PORTEFEUILLE_SEBASTIEN[[#This Row],[BONI AAC]]&lt;&gt;0,1,"")</f>
        <v/>
      </c>
      <c r="AU35" s="188" t="str">
        <f>IF(PORTEFEUILLE_SEBASTIEN[[#This Row],[MALI AAC]]&lt;&gt;0,1,"")</f>
        <v/>
      </c>
      <c r="AV35" s="225">
        <f>IF(AP35&lt;&gt;"",IF((AP35*Paramètres!$H$4)-PORTEFEUILLE_SEBASTIEN[[#This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€]]-(DELPHINE!AP24*Paramètres!$H$4),0),0)</f>
        <v>0</v>
      </c>
      <c r="AW35" s="225">
        <f>IF(AP35&lt;&gt;"",IF(((AP35*Paramètres!$H$4)-PORTEFEUILLE_SEBASTIEN[[#This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5" s="190" t="str">
        <f>IF(PORTEFEUILLE_SEBASTIEN[[#This Row],[BONI COMPTABLE]]&lt;&gt;0,1,"")</f>
        <v/>
      </c>
      <c r="AY35" s="190" t="str">
        <f>IF(PORTEFEUILLE_SEBASTIEN[[#This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SUM(PORTEFEUILLE_SEBASTIEN[[#This Row],[PCR COMPTABLE €]:[MONTANT
RESPONSABLE RELATION CLIENT €]])-PORTEFEUILLE_SEBASTIEN[[#This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6" s="188" t="str">
        <f>IF(PORTEFEUILLE_SEBASTIEN[[#This Row],[BONI AAC]]&lt;&gt;0,1,"")</f>
        <v/>
      </c>
      <c r="AU36" s="188" t="str">
        <f>IF(PORTEFEUILLE_SEBASTIEN[[#This Row],[MALI AAC]]&lt;&gt;0,1,"")</f>
        <v/>
      </c>
      <c r="AV36" s="225">
        <f>IF(AP36&lt;&gt;"",IF((AP36*Paramètres!$H$4)-PORTEFEUILLE_SEBASTIEN[[#This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€]]-(DELPHINE!AP25*Paramètres!$H$4),0),0)</f>
        <v>0</v>
      </c>
      <c r="AW36" s="225">
        <f>IF(AP36&lt;&gt;"",IF(((AP36*Paramètres!$H$4)-PORTEFEUILLE_SEBASTIEN[[#This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6" s="190" t="str">
        <f>IF(PORTEFEUILLE_SEBASTIEN[[#This Row],[BONI COMPTABLE]]&lt;&gt;0,1,"")</f>
        <v/>
      </c>
      <c r="AY36" s="190" t="str">
        <f>IF(PORTEFEUILLE_SEBASTIEN[[#This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SUM(PORTEFEUILLE_SEBASTIEN[[#This Row],[PCR COMPTABLE €]:[MONTANT
RESPONSABLE RELATION CLIENT €]])-PORTEFEUILLE_SEBASTIEN[[#This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7" s="188" t="str">
        <f>IF(PORTEFEUILLE_SEBASTIEN[[#This Row],[BONI AAC]]&lt;&gt;0,1,"")</f>
        <v/>
      </c>
      <c r="AU37" s="188" t="str">
        <f>IF(PORTEFEUILLE_SEBASTIEN[[#This Row],[MALI AAC]]&lt;&gt;0,1,"")</f>
        <v/>
      </c>
      <c r="AV37" s="225">
        <f>IF(AP37&lt;&gt;"",IF((AP37*Paramètres!$H$4)-PORTEFEUILLE_SEBASTIEN[[#This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€]]-(DELPHINE!AP26*Paramètres!$H$4),0),0)</f>
        <v>0</v>
      </c>
      <c r="AW37" s="225">
        <f>IF(AP37&lt;&gt;"",IF(((AP37*Paramètres!$H$4)-PORTEFEUILLE_SEBASTIEN[[#This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7" s="190" t="str">
        <f>IF(PORTEFEUILLE_SEBASTIEN[[#This Row],[BONI COMPTABLE]]&lt;&gt;0,1,"")</f>
        <v/>
      </c>
      <c r="AY37" s="190" t="str">
        <f>IF(PORTEFEUILLE_SEBASTIEN[[#This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SUM(PORTEFEUILLE_SEBASTIEN[[#This Row],[PCR COMPTABLE €]:[MONTANT
RESPONSABLE RELATION CLIENT €]])-PORTEFEUILLE_SEBASTIEN[[#This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8" s="188" t="str">
        <f>IF(PORTEFEUILLE_SEBASTIEN[[#This Row],[BONI AAC]]&lt;&gt;0,1,"")</f>
        <v/>
      </c>
      <c r="AU38" s="188" t="str">
        <f>IF(PORTEFEUILLE_SEBASTIEN[[#This Row],[MALI AAC]]&lt;&gt;0,1,"")</f>
        <v/>
      </c>
      <c r="AV38" s="225">
        <f>IF(AP38&lt;&gt;"",IF((AP38*Paramètres!$H$4)-PORTEFEUILLE_SEBASTIEN[[#This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€]]-(DELPHINE!AP27*Paramètres!$H$4),0),0)</f>
        <v>0</v>
      </c>
      <c r="AW38" s="225">
        <f>IF(AP38&lt;&gt;"",IF(((AP38*Paramètres!$H$4)-PORTEFEUILLE_SEBASTIEN[[#This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8" s="190" t="str">
        <f>IF(PORTEFEUILLE_SEBASTIEN[[#This Row],[BONI COMPTABLE]]&lt;&gt;0,1,"")</f>
        <v/>
      </c>
      <c r="AY38" s="190" t="str">
        <f>IF(PORTEFEUILLE_SEBASTIEN[[#This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SUM(PORTEFEUILLE_SEBASTIEN[[#This Row],[PCR COMPTABLE €]:[MONTANT
RESPONSABLE RELATION CLIENT €]])-PORTEFEUILLE_SEBASTIEN[[#This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9" s="188" t="str">
        <f>IF(PORTEFEUILLE_SEBASTIEN[[#This Row],[BONI AAC]]&lt;&gt;0,1,"")</f>
        <v/>
      </c>
      <c r="AU39" s="188" t="str">
        <f>IF(PORTEFEUILLE_SEBASTIEN[[#This Row],[MALI AAC]]&lt;&gt;0,1,"")</f>
        <v/>
      </c>
      <c r="AV39" s="225">
        <f>IF(AP39&lt;&gt;"",IF((AP39*Paramètres!$H$4)-PORTEFEUILLE_SEBASTIEN[[#This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€]]-(DELPHINE!AP28*Paramètres!$H$4),0),0)</f>
        <v>0</v>
      </c>
      <c r="AW39" s="225">
        <f>IF(AP39&lt;&gt;"",IF(((AP39*Paramètres!$H$4)-PORTEFEUILLE_SEBASTIEN[[#This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9" s="190" t="str">
        <f>IF(PORTEFEUILLE_SEBASTIEN[[#This Row],[BONI COMPTABLE]]&lt;&gt;0,1,"")</f>
        <v/>
      </c>
      <c r="AY39" s="190" t="str">
        <f>IF(PORTEFEUILLE_SEBASTIEN[[#This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SUM(PORTEFEUILLE_SEBASTIEN[[#This Row],[PCR COMPTABLE €]:[MONTANT
RESPONSABLE RELATION CLIENT €]])-PORTEFEUILLE_SEBASTIEN[[#This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0" s="188" t="str">
        <f>IF(PORTEFEUILLE_SEBASTIEN[[#This Row],[BONI AAC]]&lt;&gt;0,1,"")</f>
        <v/>
      </c>
      <c r="AU40" s="188" t="str">
        <f>IF(PORTEFEUILLE_SEBASTIEN[[#This Row],[MALI AAC]]&lt;&gt;0,1,"")</f>
        <v/>
      </c>
      <c r="AV40" s="225">
        <f>IF(AP40&lt;&gt;"",IF((AP40*Paramètres!$H$4)-PORTEFEUILLE_SEBASTIEN[[#This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€]]-(DELPHINE!AP29*Paramètres!$H$4),0),0)</f>
        <v>0</v>
      </c>
      <c r="AW40" s="225">
        <f>IF(AP40&lt;&gt;"",IF(((AP40*Paramètres!$H$4)-PORTEFEUILLE_SEBASTIEN[[#This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0" s="190" t="str">
        <f>IF(PORTEFEUILLE_SEBASTIEN[[#This Row],[BONI COMPTABLE]]&lt;&gt;0,1,"")</f>
        <v/>
      </c>
      <c r="AY40" s="190" t="str">
        <f>IF(PORTEFEUILLE_SEBASTIEN[[#This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SUM(PORTEFEUILLE_SEBASTIEN[[#This Row],[PCR COMPTABLE €]:[MONTANT
RESPONSABLE RELATION CLIENT €]])-PORTEFEUILLE_SEBASTIEN[[#This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1" s="188" t="str">
        <f>IF(PORTEFEUILLE_SEBASTIEN[[#This Row],[BONI AAC]]&lt;&gt;0,1,"")</f>
        <v/>
      </c>
      <c r="AU41" s="188" t="str">
        <f>IF(PORTEFEUILLE_SEBASTIEN[[#This Row],[MALI AAC]]&lt;&gt;0,1,"")</f>
        <v/>
      </c>
      <c r="AV41" s="225">
        <f>IF(AP41&lt;&gt;"",IF((AP41*Paramètres!$H$4)-PORTEFEUILLE_SEBASTIEN[[#This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€]]-(DELPHINE!AP30*Paramètres!$H$4),0),0)</f>
        <v>0</v>
      </c>
      <c r="AW41" s="225">
        <f>IF(AP41&lt;&gt;"",IF(((AP41*Paramètres!$H$4)-PORTEFEUILLE_SEBASTIEN[[#This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1" s="190" t="str">
        <f>IF(PORTEFEUILLE_SEBASTIEN[[#This Row],[BONI COMPTABLE]]&lt;&gt;0,1,"")</f>
        <v/>
      </c>
      <c r="AY41" s="190" t="str">
        <f>IF(PORTEFEUILLE_SEBASTIEN[[#This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SUM(PORTEFEUILLE_SEBASTIEN[[#This Row],[PCR COMPTABLE €]:[MONTANT
RESPONSABLE RELATION CLIENT €]])-PORTEFEUILLE_SEBASTIEN[[#This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2" s="188" t="str">
        <f>IF(PORTEFEUILLE_SEBASTIEN[[#This Row],[BONI AAC]]&lt;&gt;0,1,"")</f>
        <v/>
      </c>
      <c r="AU42" s="188" t="str">
        <f>IF(PORTEFEUILLE_SEBASTIEN[[#This Row],[MALI AAC]]&lt;&gt;0,1,"")</f>
        <v/>
      </c>
      <c r="AV42" s="225">
        <f>IF(AP42&lt;&gt;"",IF((AP42*Paramètres!$H$4)-PORTEFEUILLE_SEBASTIEN[[#This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€]]-(DELPHINE!AP31*Paramètres!$H$4),0),0)</f>
        <v>0</v>
      </c>
      <c r="AW42" s="225">
        <f>IF(AP42&lt;&gt;"",IF(((AP42*Paramètres!$H$4)-PORTEFEUILLE_SEBASTIEN[[#This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2" s="190" t="str">
        <f>IF(PORTEFEUILLE_SEBASTIEN[[#This Row],[BONI COMPTABLE]]&lt;&gt;0,1,"")</f>
        <v/>
      </c>
      <c r="AY42" s="190" t="str">
        <f>IF(PORTEFEUILLE_SEBASTIEN[[#This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SUM(PORTEFEUILLE_SEBASTIEN[[#This Row],[PCR COMPTABLE €]:[MONTANT
RESPONSABLE RELATION CLIENT €]])-PORTEFEUILLE_SEBASTIEN[[#This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3" s="188" t="str">
        <f>IF(PORTEFEUILLE_SEBASTIEN[[#This Row],[BONI AAC]]&lt;&gt;0,1,"")</f>
        <v/>
      </c>
      <c r="AU43" s="188" t="str">
        <f>IF(PORTEFEUILLE_SEBASTIEN[[#This Row],[MALI AAC]]&lt;&gt;0,1,"")</f>
        <v/>
      </c>
      <c r="AV43" s="225">
        <f>IF(AP43&lt;&gt;"",IF((AP43*Paramètres!$H$4)-PORTEFEUILLE_SEBASTIEN[[#This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€]]-(DELPHINE!AP32*Paramètres!$H$4),0),0)</f>
        <v>0</v>
      </c>
      <c r="AW43" s="225">
        <f>IF(AP43&lt;&gt;"",IF(((AP43*Paramètres!$H$4)-PORTEFEUILLE_SEBASTIEN[[#This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3" s="190" t="str">
        <f>IF(PORTEFEUILLE_SEBASTIEN[[#This Row],[BONI COMPTABLE]]&lt;&gt;0,1,"")</f>
        <v/>
      </c>
      <c r="AY43" s="190" t="str">
        <f>IF(PORTEFEUILLE_SEBASTIEN[[#This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SUM(PORTEFEUILLE_SEBASTIEN[[#This Row],[PCR COMPTABLE €]:[MONTANT
RESPONSABLE RELATION CLIENT €]])-PORTEFEUILLE_SEBASTIEN[[#This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4" s="188" t="str">
        <f>IF(PORTEFEUILLE_SEBASTIEN[[#This Row],[BONI AAC]]&lt;&gt;0,1,"")</f>
        <v/>
      </c>
      <c r="AU44" s="188" t="str">
        <f>IF(PORTEFEUILLE_SEBASTIEN[[#This Row],[MALI AAC]]&lt;&gt;0,1,"")</f>
        <v/>
      </c>
      <c r="AV44" s="225">
        <f>IF(AP44&lt;&gt;"",IF((AP44*Paramètres!$H$4)-PORTEFEUILLE_SEBASTIEN[[#This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€]]-(DELPHINE!AP33*Paramètres!$H$4),0),0)</f>
        <v>0</v>
      </c>
      <c r="AW44" s="225">
        <f>IF(AP44&lt;&gt;"",IF(((AP44*Paramètres!$H$4)-PORTEFEUILLE_SEBASTIEN[[#This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4" s="190" t="str">
        <f>IF(PORTEFEUILLE_SEBASTIEN[[#This Row],[BONI COMPTABLE]]&lt;&gt;0,1,"")</f>
        <v/>
      </c>
      <c r="AY44" s="190" t="str">
        <f>IF(PORTEFEUILLE_SEBASTIEN[[#This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SUM(PORTEFEUILLE_SEBASTIEN[[#This Row],[PCR COMPTABLE €]:[MONTANT
RESPONSABLE RELATION CLIENT €]])-PORTEFEUILLE_SEBASTIEN[[#This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5" s="188" t="str">
        <f>IF(PORTEFEUILLE_SEBASTIEN[[#This Row],[BONI AAC]]&lt;&gt;0,1,"")</f>
        <v/>
      </c>
      <c r="AU45" s="188" t="str">
        <f>IF(PORTEFEUILLE_SEBASTIEN[[#This Row],[MALI AAC]]&lt;&gt;0,1,"")</f>
        <v/>
      </c>
      <c r="AV45" s="225">
        <f>IF(AP45&lt;&gt;"",IF((AP45*Paramètres!$H$4)-PORTEFEUILLE_SEBASTIEN[[#This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€]]-(DELPHINE!AP34*Paramètres!$H$4),0),0)</f>
        <v>0</v>
      </c>
      <c r="AW45" s="225">
        <f>IF(AP45&lt;&gt;"",IF(((AP45*Paramètres!$H$4)-PORTEFEUILLE_SEBASTIEN[[#This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5" s="190" t="str">
        <f>IF(PORTEFEUILLE_SEBASTIEN[[#This Row],[BONI COMPTABLE]]&lt;&gt;0,1,"")</f>
        <v/>
      </c>
      <c r="AY45" s="190" t="str">
        <f>IF(PORTEFEUILLE_SEBASTIEN[[#This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SUM(PORTEFEUILLE_SEBASTIEN[[#This Row],[PCR COMPTABLE €]:[MONTANT
RESPONSABLE RELATION CLIENT €]])-PORTEFEUILLE_SEBASTIEN[[#This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6" s="188" t="str">
        <f>IF(PORTEFEUILLE_SEBASTIEN[[#This Row],[BONI AAC]]&lt;&gt;0,1,"")</f>
        <v/>
      </c>
      <c r="AU46" s="188" t="str">
        <f>IF(PORTEFEUILLE_SEBASTIEN[[#This Row],[MALI AAC]]&lt;&gt;0,1,"")</f>
        <v/>
      </c>
      <c r="AV46" s="225">
        <f>IF(AP46&lt;&gt;"",IF((AP46*Paramètres!$H$4)-PORTEFEUILLE_SEBASTIEN[[#This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€]]-(DELPHINE!AP35*Paramètres!$H$4),0),0)</f>
        <v>0</v>
      </c>
      <c r="AW46" s="225">
        <f>IF(AP46&lt;&gt;"",IF(((AP46*Paramètres!$H$4)-PORTEFEUILLE_SEBASTIEN[[#This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6" s="190" t="str">
        <f>IF(PORTEFEUILLE_SEBASTIEN[[#This Row],[BONI COMPTABLE]]&lt;&gt;0,1,"")</f>
        <v/>
      </c>
      <c r="AY46" s="190" t="str">
        <f>IF(PORTEFEUILLE_SEBASTIEN[[#This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SUM(PORTEFEUILLE_SEBASTIEN[[#This Row],[PCR COMPTABLE €]:[MONTANT
RESPONSABLE RELATION CLIENT €]])-PORTEFEUILLE_SEBASTIEN[[#This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7" s="188" t="str">
        <f>IF(PORTEFEUILLE_SEBASTIEN[[#This Row],[BONI AAC]]&lt;&gt;0,1,"")</f>
        <v/>
      </c>
      <c r="AU47" s="188" t="str">
        <f>IF(PORTEFEUILLE_SEBASTIEN[[#This Row],[MALI AAC]]&lt;&gt;0,1,"")</f>
        <v/>
      </c>
      <c r="AV47" s="225">
        <f>IF(AP47&lt;&gt;"",IF((AP47*Paramètres!$H$4)-PORTEFEUILLE_SEBASTIEN[[#This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€]]-(DELPHINE!AP36*Paramètres!$H$4),0),0)</f>
        <v>0</v>
      </c>
      <c r="AW47" s="225">
        <f>IF(AP47&lt;&gt;"",IF(((AP47*Paramètres!$H$4)-PORTEFEUILLE_SEBASTIEN[[#This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7" s="190" t="str">
        <f>IF(PORTEFEUILLE_SEBASTIEN[[#This Row],[BONI COMPTABLE]]&lt;&gt;0,1,"")</f>
        <v/>
      </c>
      <c r="AY47" s="190" t="str">
        <f>IF(PORTEFEUILLE_SEBASTIEN[[#This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SUM(PORTEFEUILLE_SEBASTIEN[[#This Row],[PCR COMPTABLE €]:[MONTANT
RESPONSABLE RELATION CLIENT €]])-PORTEFEUILLE_SEBASTIEN[[#This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8" s="188" t="str">
        <f>IF(PORTEFEUILLE_SEBASTIEN[[#This Row],[BONI AAC]]&lt;&gt;0,1,"")</f>
        <v/>
      </c>
      <c r="AU48" s="188" t="str">
        <f>IF(PORTEFEUILLE_SEBASTIEN[[#This Row],[MALI AAC]]&lt;&gt;0,1,"")</f>
        <v/>
      </c>
      <c r="AV48" s="225">
        <f>IF(AP48&lt;&gt;"",IF((AP48*Paramètres!$H$4)-PORTEFEUILLE_SEBASTIEN[[#This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€]]-(DELPHINE!AP37*Paramètres!$H$4),0),0)</f>
        <v>0</v>
      </c>
      <c r="AW48" s="225">
        <f>IF(AP48&lt;&gt;"",IF(((AP48*Paramètres!$H$4)-PORTEFEUILLE_SEBASTIEN[[#This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8" s="190" t="str">
        <f>IF(PORTEFEUILLE_SEBASTIEN[[#This Row],[BONI COMPTABLE]]&lt;&gt;0,1,"")</f>
        <v/>
      </c>
      <c r="AY48" s="190" t="str">
        <f>IF(PORTEFEUILLE_SEBASTIEN[[#This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SUM(PORTEFEUILLE_SEBASTIEN[[#This Row],[PCR COMPTABLE €]:[MONTANT
RESPONSABLE RELATION CLIENT €]])-PORTEFEUILLE_SEBASTIEN[[#This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9" s="188" t="str">
        <f>IF(PORTEFEUILLE_SEBASTIEN[[#This Row],[BONI AAC]]&lt;&gt;0,1,"")</f>
        <v/>
      </c>
      <c r="AU49" s="188" t="str">
        <f>IF(PORTEFEUILLE_SEBASTIEN[[#This Row],[MALI AAC]]&lt;&gt;0,1,"")</f>
        <v/>
      </c>
      <c r="AV49" s="225">
        <f>IF(AP49&lt;&gt;"",IF((AP49*Paramètres!$H$4)-PORTEFEUILLE_SEBASTIEN[[#This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€]]-(DELPHINE!AP38*Paramètres!$H$4),0),0)</f>
        <v>0</v>
      </c>
      <c r="AW49" s="225">
        <f>IF(AP49&lt;&gt;"",IF(((AP49*Paramètres!$H$4)-PORTEFEUILLE_SEBASTIEN[[#This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9" s="190" t="str">
        <f>IF(PORTEFEUILLE_SEBASTIEN[[#This Row],[BONI COMPTABLE]]&lt;&gt;0,1,"")</f>
        <v/>
      </c>
      <c r="AY49" s="190" t="str">
        <f>IF(PORTEFEUILLE_SEBASTIEN[[#This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SUM(PORTEFEUILLE_SEBASTIEN[[#This Row],[PCR COMPTABLE €]:[MONTANT
RESPONSABLE RELATION CLIENT €]])-PORTEFEUILLE_SEBASTIEN[[#This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0" s="188" t="str">
        <f>IF(PORTEFEUILLE_SEBASTIEN[[#This Row],[BONI AAC]]&lt;&gt;0,1,"")</f>
        <v/>
      </c>
      <c r="AU50" s="188" t="str">
        <f>IF(PORTEFEUILLE_SEBASTIEN[[#This Row],[MALI AAC]]&lt;&gt;0,1,"")</f>
        <v/>
      </c>
      <c r="AV50" s="225">
        <f>IF(AP50&lt;&gt;"",IF((AP50*Paramètres!$H$4)-PORTEFEUILLE_SEBASTIEN[[#This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€]]-(DELPHINE!AP39*Paramètres!$H$4),0),0)</f>
        <v>0</v>
      </c>
      <c r="AW50" s="225">
        <f>IF(AP50&lt;&gt;"",IF(((AP50*Paramètres!$H$4)-PORTEFEUILLE_SEBASTIEN[[#This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0" s="190" t="str">
        <f>IF(PORTEFEUILLE_SEBASTIEN[[#This Row],[BONI COMPTABLE]]&lt;&gt;0,1,"")</f>
        <v/>
      </c>
      <c r="AY50" s="190" t="str">
        <f>IF(PORTEFEUILLE_SEBASTIEN[[#This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SUM(PORTEFEUILLE_SEBASTIEN[[#This Row],[PCR COMPTABLE €]:[MONTANT
RESPONSABLE RELATION CLIENT €]])-PORTEFEUILLE_SEBASTIEN[[#This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1" s="188" t="str">
        <f>IF(PORTEFEUILLE_SEBASTIEN[[#This Row],[BONI AAC]]&lt;&gt;0,1,"")</f>
        <v/>
      </c>
      <c r="AU51" s="188" t="str">
        <f>IF(PORTEFEUILLE_SEBASTIEN[[#This Row],[MALI AAC]]&lt;&gt;0,1,"")</f>
        <v/>
      </c>
      <c r="AV51" s="225">
        <f>IF(AP51&lt;&gt;"",IF((AP51*Paramètres!$H$4)-PORTEFEUILLE_SEBASTIEN[[#This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€]]-(DELPHINE!AP40*Paramètres!$H$4),0),0)</f>
        <v>0</v>
      </c>
      <c r="AW51" s="225">
        <f>IF(AP51&lt;&gt;"",IF(((AP51*Paramètres!$H$4)-PORTEFEUILLE_SEBASTIEN[[#This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1" s="190" t="str">
        <f>IF(PORTEFEUILLE_SEBASTIEN[[#This Row],[BONI COMPTABLE]]&lt;&gt;0,1,"")</f>
        <v/>
      </c>
      <c r="AY51" s="190" t="str">
        <f>IF(PORTEFEUILLE_SEBASTIEN[[#This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SUM(PORTEFEUILLE_SEBASTIEN[[#This Row],[PCR COMPTABLE €]:[MONTANT
RESPONSABLE RELATION CLIENT €]])-PORTEFEUILLE_SEBASTIEN[[#This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2" s="188" t="str">
        <f>IF(PORTEFEUILLE_SEBASTIEN[[#This Row],[BONI AAC]]&lt;&gt;0,1,"")</f>
        <v/>
      </c>
      <c r="AU52" s="188" t="str">
        <f>IF(PORTEFEUILLE_SEBASTIEN[[#This Row],[MALI AAC]]&lt;&gt;0,1,"")</f>
        <v/>
      </c>
      <c r="AV52" s="225">
        <f>IF(AP52&lt;&gt;"",IF((AP52*Paramètres!$H$4)-PORTEFEUILLE_SEBASTIEN[[#This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€]]-(DELPHINE!AP41*Paramètres!$H$4),0),0)</f>
        <v>0</v>
      </c>
      <c r="AW52" s="225">
        <f>IF(AP52&lt;&gt;"",IF(((AP52*Paramètres!$H$4)-PORTEFEUILLE_SEBASTIEN[[#This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2" s="190" t="str">
        <f>IF(PORTEFEUILLE_SEBASTIEN[[#This Row],[BONI COMPTABLE]]&lt;&gt;0,1,"")</f>
        <v/>
      </c>
      <c r="AY52" s="190" t="str">
        <f>IF(PORTEFEUILLE_SEBASTIEN[[#This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SUM(PORTEFEUILLE_SEBASTIEN[[#This Row],[PCR COMPTABLE €]:[MONTANT
RESPONSABLE RELATION CLIENT €]])-PORTEFEUILLE_SEBASTIEN[[#This Row],[MONTANT TOTAL LETTRE DE MISION €]]</f>
        <v>0</v>
      </c>
      <c r="AI53" s="191"/>
      <c r="AJ53" s="188"/>
      <c r="AK53" s="201"/>
      <c r="AL53" s="201"/>
      <c r="AM53" s="246"/>
      <c r="AN53" s="202"/>
      <c r="AO53" s="202"/>
      <c r="AP53" s="202"/>
      <c r="AQ53" s="202"/>
      <c r="AR5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3" s="188" t="str">
        <f>IF(PORTEFEUILLE_SEBASTIEN[[#This Row],[BONI AAC]]&lt;&gt;0,1,"")</f>
        <v/>
      </c>
      <c r="AU53" s="188" t="str">
        <f>IF(PORTEFEUILLE_SEBASTIEN[[#This Row],[MALI AAC]]&lt;&gt;0,1,"")</f>
        <v/>
      </c>
      <c r="AV53" s="225">
        <f>IF(AP53&lt;&gt;"",IF((AP53*Paramètres!$H$4)-PORTEFEUILLE_SEBASTIEN[[#This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€]]-(DELPHINE!AP42*Paramètres!$H$4),0),0)</f>
        <v>0</v>
      </c>
      <c r="AW53" s="225">
        <f>IF(AP53&lt;&gt;"",IF(((AP53*Paramètres!$H$4)-PORTEFEUILLE_SEBASTIEN[[#This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3" s="190" t="str">
        <f>IF(PORTEFEUILLE_SEBASTIEN[[#This Row],[BONI COMPTABLE]]&lt;&gt;0,1,"")</f>
        <v/>
      </c>
      <c r="AY53" s="190" t="str">
        <f>IF(PORTEFEUILLE_SEBASTIEN[[#This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SUM(PORTEFEUILLE_SEBASTIEN[[#This Row],[PCR COMPTABLE €]:[MONTANT
RESPONSABLE RELATION CLIENT €]])-PORTEFEUILLE_SEBASTIEN[[#This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4" s="188" t="str">
        <f>IF(PORTEFEUILLE_SEBASTIEN[[#This Row],[BONI AAC]]&lt;&gt;0,1,"")</f>
        <v/>
      </c>
      <c r="AU54" s="188" t="str">
        <f>IF(PORTEFEUILLE_SEBASTIEN[[#This Row],[MALI AAC]]&lt;&gt;0,1,"")</f>
        <v/>
      </c>
      <c r="AV54" s="225">
        <f>IF(AP54&lt;&gt;"",IF((AP54*Paramètres!$H$4)-PORTEFEUILLE_SEBASTIEN[[#This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€]]-(DELPHINE!AP43*Paramètres!$H$4),0),0)</f>
        <v>0</v>
      </c>
      <c r="AW54" s="225">
        <f>IF(AP54&lt;&gt;"",IF(((AP54*Paramètres!$H$4)-PORTEFEUILLE_SEBASTIEN[[#This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4" s="190" t="str">
        <f>IF(PORTEFEUILLE_SEBASTIEN[[#This Row],[BONI COMPTABLE]]&lt;&gt;0,1,"")</f>
        <v/>
      </c>
      <c r="AY54" s="190" t="str">
        <f>IF(PORTEFEUILLE_SEBASTIEN[[#This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SUM(PORTEFEUILLE_SEBASTIEN[[#This Row],[PCR COMPTABLE €]:[MONTANT
RESPONSABLE RELATION CLIENT €]])-PORTEFEUILLE_SEBASTIEN[[#This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5" s="188" t="str">
        <f>IF(PORTEFEUILLE_SEBASTIEN[[#This Row],[BONI AAC]]&lt;&gt;0,1,"")</f>
        <v/>
      </c>
      <c r="AU55" s="188" t="str">
        <f>IF(PORTEFEUILLE_SEBASTIEN[[#This Row],[MALI AAC]]&lt;&gt;0,1,"")</f>
        <v/>
      </c>
      <c r="AV55" s="225">
        <f>IF(AP55&lt;&gt;"",IF((AP55*Paramètres!$H$4)-PORTEFEUILLE_SEBASTIEN[[#This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€]]-(DELPHINE!AP44*Paramètres!$H$4),0),0)</f>
        <v>0</v>
      </c>
      <c r="AW55" s="225">
        <f>IF(AP55&lt;&gt;"",IF(((AP55*Paramètres!$H$4)-PORTEFEUILLE_SEBASTIEN[[#This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5" s="190" t="str">
        <f>IF(PORTEFEUILLE_SEBASTIEN[[#This Row],[BONI COMPTABLE]]&lt;&gt;0,1,"")</f>
        <v/>
      </c>
      <c r="AY55" s="190" t="str">
        <f>IF(PORTEFEUILLE_SEBASTIEN[[#This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SUM(PORTEFEUILLE_SEBASTIEN[[#This Row],[PCR COMPTABLE €]:[MONTANT
RESPONSABLE RELATION CLIENT €]])-PORTEFEUILLE_SEBASTIEN[[#This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6" s="188" t="str">
        <f>IF(PORTEFEUILLE_SEBASTIEN[[#This Row],[BONI AAC]]&lt;&gt;0,1,"")</f>
        <v/>
      </c>
      <c r="AU56" s="188" t="str">
        <f>IF(PORTEFEUILLE_SEBASTIEN[[#This Row],[MALI AAC]]&lt;&gt;0,1,"")</f>
        <v/>
      </c>
      <c r="AV56" s="225">
        <f>IF(AP56&lt;&gt;"",IF((AP56*Paramètres!$H$4)-PORTEFEUILLE_SEBASTIEN[[#This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€]]-(DELPHINE!AP45*Paramètres!$H$4),0),0)</f>
        <v>0</v>
      </c>
      <c r="AW56" s="225">
        <f>IF(AP56&lt;&gt;"",IF(((AP56*Paramètres!$H$4)-PORTEFEUILLE_SEBASTIEN[[#This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6" s="190" t="str">
        <f>IF(PORTEFEUILLE_SEBASTIEN[[#This Row],[BONI COMPTABLE]]&lt;&gt;0,1,"")</f>
        <v/>
      </c>
      <c r="AY56" s="190" t="str">
        <f>IF(PORTEFEUILLE_SEBASTIEN[[#This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SUM(PORTEFEUILLE_SEBASTIEN[[#This Row],[PCR COMPTABLE €]:[MONTANT
RESPONSABLE RELATION CLIENT €]])-PORTEFEUILLE_SEBASTIEN[[#This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7" s="188" t="str">
        <f>IF(PORTEFEUILLE_SEBASTIEN[[#This Row],[BONI AAC]]&lt;&gt;0,1,"")</f>
        <v/>
      </c>
      <c r="AU57" s="188" t="str">
        <f>IF(PORTEFEUILLE_SEBASTIEN[[#This Row],[MALI AAC]]&lt;&gt;0,1,"")</f>
        <v/>
      </c>
      <c r="AV57" s="225">
        <f>IF(AP57&lt;&gt;"",IF((AP57*Paramètres!$H$4)-PORTEFEUILLE_SEBASTIEN[[#This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€]]-(DELPHINE!AP46*Paramètres!$H$4),0),0)</f>
        <v>0</v>
      </c>
      <c r="AW57" s="225">
        <f>IF(AP57&lt;&gt;"",IF(((AP57*Paramètres!$H$4)-PORTEFEUILLE_SEBASTIEN[[#This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7" s="190" t="str">
        <f>IF(PORTEFEUILLE_SEBASTIEN[[#This Row],[BONI COMPTABLE]]&lt;&gt;0,1,"")</f>
        <v/>
      </c>
      <c r="AY57" s="190" t="str">
        <f>IF(PORTEFEUILLE_SEBASTIEN[[#This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SUM(PORTEFEUILLE_SEBASTIEN[[#This Row],[PCR COMPTABLE €]:[MONTANT
RESPONSABLE RELATION CLIENT €]])-PORTEFEUILLE_SEBASTIEN[[#This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8" s="188" t="str">
        <f>IF(PORTEFEUILLE_SEBASTIEN[[#This Row],[BONI AAC]]&lt;&gt;0,1,"")</f>
        <v/>
      </c>
      <c r="AU58" s="188" t="str">
        <f>IF(PORTEFEUILLE_SEBASTIEN[[#This Row],[MALI AAC]]&lt;&gt;0,1,"")</f>
        <v/>
      </c>
      <c r="AV58" s="225">
        <f>IF(AP58&lt;&gt;"",IF((AP58*Paramètres!$H$4)-PORTEFEUILLE_SEBASTIEN[[#This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€]]-(DELPHINE!AP47*Paramètres!$H$4),0),0)</f>
        <v>0</v>
      </c>
      <c r="AW58" s="225">
        <f>IF(AP58&lt;&gt;"",IF(((AP58*Paramètres!$H$4)-PORTEFEUILLE_SEBASTIEN[[#This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8" s="190" t="str">
        <f>IF(PORTEFEUILLE_SEBASTIEN[[#This Row],[BONI COMPTABLE]]&lt;&gt;0,1,"")</f>
        <v/>
      </c>
      <c r="AY58" s="190" t="str">
        <f>IF(PORTEFEUILLE_SEBASTIEN[[#This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SUM(PORTEFEUILLE_SEBASTIEN[[#This Row],[PCR COMPTABLE €]:[MONTANT
RESPONSABLE RELATION CLIENT €]])-PORTEFEUILLE_SEBASTIEN[[#This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9" s="188" t="str">
        <f>IF(PORTEFEUILLE_SEBASTIEN[[#This Row],[BONI AAC]]&lt;&gt;0,1,"")</f>
        <v/>
      </c>
      <c r="AU59" s="188" t="str">
        <f>IF(PORTEFEUILLE_SEBASTIEN[[#This Row],[MALI AAC]]&lt;&gt;0,1,"")</f>
        <v/>
      </c>
      <c r="AV59" s="225">
        <f>IF(AP59&lt;&gt;"",IF((AP59*Paramètres!$H$4)-PORTEFEUILLE_SEBASTIEN[[#This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€]]-(DELPHINE!AP48*Paramètres!$H$4),0),0)</f>
        <v>0</v>
      </c>
      <c r="AW59" s="225">
        <f>IF(AP59&lt;&gt;"",IF(((AP59*Paramètres!$H$4)-PORTEFEUILLE_SEBASTIEN[[#This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9" s="190" t="str">
        <f>IF(PORTEFEUILLE_SEBASTIEN[[#This Row],[BONI COMPTABLE]]&lt;&gt;0,1,"")</f>
        <v/>
      </c>
      <c r="AY59" s="190" t="str">
        <f>IF(PORTEFEUILLE_SEBASTIEN[[#This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SUM(PORTEFEUILLE_SEBASTIEN[[#This Row],[PCR COMPTABLE €]:[MONTANT
RESPONSABLE RELATION CLIENT €]])-PORTEFEUILLE_SEBASTIEN[[#This Row],[MONTANT TOTAL LETTRE DE MISION €]]</f>
        <v>0</v>
      </c>
      <c r="AI60" s="191"/>
      <c r="AJ60" s="188"/>
      <c r="AK60" s="201"/>
      <c r="AL60" s="201"/>
      <c r="AM60" s="246"/>
      <c r="AN60" s="205"/>
      <c r="AO60" s="205"/>
      <c r="AP60" s="205"/>
      <c r="AQ60" s="205"/>
      <c r="AR6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6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60" s="188" t="str">
        <f>IF(PORTEFEUILLE_SEBASTIEN[[#This Row],[BONI AAC]]&lt;&gt;0,1,"")</f>
        <v/>
      </c>
      <c r="AU60" s="188" t="str">
        <f>IF(PORTEFEUILLE_SEBASTIEN[[#This Row],[MALI AAC]]&lt;&gt;0,1,"")</f>
        <v/>
      </c>
      <c r="AV60" s="225">
        <f>IF(AP60&lt;&gt;"",IF((AP60*Paramètres!$H$4)-PORTEFEUILLE_SEBASTIEN[[#This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€]]-(DELPHINE!AP49*Paramètres!$H$4),0),0)</f>
        <v>0</v>
      </c>
      <c r="AW60" s="225">
        <f>IF(AP60&lt;&gt;"",IF(((AP60*Paramètres!$H$4)-PORTEFEUILLE_SEBASTIEN[[#This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€]])&gt;0,(AP60*Paramètres!$H$4)-PORTEFEUILLE_SEBASTIEN[[#This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60" s="190" t="str">
        <f>IF(PORTEFEUILLE_SEBASTIEN[[#This Row],[BONI COMPTABLE]]&lt;&gt;0,1,"")</f>
        <v/>
      </c>
      <c r="AY60" s="190" t="str">
        <f>IF(PORTEFEUILLE_SEBASTIEN[[#This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80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81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81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82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83" t="s">
        <v>123</v>
      </c>
      <c r="C69" s="283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4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81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81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82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83" t="s">
        <v>123</v>
      </c>
      <c r="C75" s="283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4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81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81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82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83" t="s">
        <v>123</v>
      </c>
      <c r="C81" s="283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5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6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6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6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6" t="s">
        <v>123</v>
      </c>
      <c r="C88" s="286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7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6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6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6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6" t="s">
        <v>123</v>
      </c>
      <c r="C94" s="286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6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6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6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6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6" t="s">
        <v>123</v>
      </c>
      <c r="C100" s="286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80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81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81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82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83" t="s">
        <v>123</v>
      </c>
      <c r="C108" s="283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4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81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81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82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83" t="s">
        <v>123</v>
      </c>
      <c r="C114" s="283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4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81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81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82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83" t="s">
        <v>123</v>
      </c>
      <c r="C120" s="283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19" priority="2">
      <formula>AND(P3&lt;&gt;"",P3&lt;&gt;"OUI")</formula>
    </cfRule>
  </conditionalFormatting>
  <conditionalFormatting sqref="AN3:AO60 S3:AH60">
    <cfRule type="expression" dxfId="18" priority="1" stopIfTrue="1">
      <formula>$AH3&lt;&gt;0</formula>
    </cfRule>
  </conditionalFormatting>
  <conditionalFormatting sqref="A3:E60">
    <cfRule type="expression" dxfId="17" priority="3" stopIfTrue="1">
      <formula>AND($I3&lt;&gt;"",AND($J3="",AND($BA3="",$BB3="")))</formula>
    </cfRule>
    <cfRule type="expression" dxfId="16" priority="4" stopIfTrue="1">
      <formula>AND($J3&lt;&gt;"",AND($BA3="",$BB3=""))</formula>
    </cfRule>
    <cfRule type="expression" dxfId="15" priority="5" stopIfTrue="1">
      <formula>AND($BA3&lt;&gt;"",$BB3="")</formula>
    </cfRule>
    <cfRule type="expression" dxfId="14" priority="6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N180"/>
  <sheetViews>
    <sheetView zoomScale="85" zoomScaleNormal="85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A17" sqref="A17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231</v>
      </c>
      <c r="B2" s="234" t="s">
        <v>232</v>
      </c>
      <c r="C2" s="235" t="s">
        <v>233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228</v>
      </c>
      <c r="AM2" s="237" t="s">
        <v>229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72"/>
      <c r="B3" s="170"/>
      <c r="C3" s="165"/>
      <c r="D3" s="171"/>
      <c r="E3" s="189"/>
      <c r="F3" s="188"/>
      <c r="G3" s="189"/>
      <c r="H3" s="189"/>
      <c r="I3" s="189" t="s">
        <v>230</v>
      </c>
      <c r="J3" s="189" t="s">
        <v>230</v>
      </c>
      <c r="K3" s="190" t="str">
        <f t="shared" ref="K3:K57" si="0">IF(I3="","",MONTH(I3))</f>
        <v/>
      </c>
      <c r="L3" s="190" t="str">
        <f t="shared" ref="L3:L57" si="1">IF(I3="","",DAYS360(E3,I3))</f>
        <v/>
      </c>
      <c r="M3" s="188" t="s">
        <v>230</v>
      </c>
      <c r="N3" s="188" t="s">
        <v>230</v>
      </c>
      <c r="O3" s="188" t="s">
        <v>230</v>
      </c>
      <c r="P3" s="188" t="s">
        <v>230</v>
      </c>
      <c r="Q3" s="188" t="s">
        <v>230</v>
      </c>
      <c r="R3" s="188" t="s">
        <v>230</v>
      </c>
      <c r="S3" s="213"/>
      <c r="T3" s="207"/>
      <c r="U3" s="219"/>
      <c r="V3" s="219"/>
      <c r="W3" s="219"/>
      <c r="X3" s="219"/>
      <c r="Y3" s="219"/>
      <c r="Z3" s="219"/>
      <c r="AA3" s="219"/>
      <c r="AB3" s="219"/>
      <c r="AC3" s="219"/>
      <c r="AD3" s="219"/>
      <c r="AE3" s="219"/>
      <c r="AF3" s="219"/>
      <c r="AG3" s="219"/>
      <c r="AH3" s="225">
        <f>SUM(PORTEFEUILLE_AUTRE_COMPTABLE[[#This Row],[PCR COMPTABLE €]:[MONTANT
RESPONSABLE RELATION CLIENT €]])-PORTEFEUILLE_AUTRE_COMPTABLE[[#This Row],[MONTANT TOTAL LETTRE DE MISION €]]</f>
        <v>0</v>
      </c>
      <c r="AI3" s="191"/>
      <c r="AJ3" s="188"/>
      <c r="AK3" s="188"/>
      <c r="AL3" s="188"/>
      <c r="AM3" s="188"/>
      <c r="AN3" s="188"/>
      <c r="AO3" s="188" t="s">
        <v>230</v>
      </c>
      <c r="AP3" s="188" t="s">
        <v>230</v>
      </c>
      <c r="AQ3" s="188" t="s">
        <v>230</v>
      </c>
      <c r="AR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" s="188" t="str">
        <f>IF(PORTEFEUILLE_AUTRE_COMPTABLE[[#This Row],[BONI AAC]]&lt;&gt;0,1,"")</f>
        <v/>
      </c>
      <c r="AU3" s="188" t="str">
        <f>IF(PORTEFEUILLE_AUTRE_COMPTABLE[[#This Row],[MALI AAC]]&lt;&gt;0,1,"")</f>
        <v/>
      </c>
      <c r="AV3" s="225">
        <f>IF(AP3&lt;&gt;"",IF((AP3*Paramètres!$H$4)-PORTEFEUILLE_AUTRE_COMPTABLE[[#This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€]]-(DELPHINE!#REF!*Paramètres!$H$4),0),0)</f>
        <v>0</v>
      </c>
      <c r="AW3" s="225">
        <f>IF(AP3&lt;&gt;"",IF(((AP3*Paramètres!$H$4)-PORTEFEUILLE_AUTRE_COMPTABLE[[#This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" s="190" t="str">
        <f>IF(PORTEFEUILLE_AUTRE_COMPTABLE[[#This Row],[BONI COMPTABLE]]&lt;&gt;0,1,"")</f>
        <v/>
      </c>
      <c r="AY3" s="190" t="str">
        <f>IF(PORTEFEUILLE_AUTRE_COMPTABLE[[#This Row],[MALI COMPTABLE]]&lt;&gt;0,1,"")</f>
        <v/>
      </c>
      <c r="AZ3" s="188" t="s">
        <v>230</v>
      </c>
      <c r="BA3" s="188" t="s">
        <v>230</v>
      </c>
      <c r="BB3" s="188" t="s">
        <v>230</v>
      </c>
      <c r="BC3" s="188" t="s">
        <v>230</v>
      </c>
      <c r="BD3" s="188" t="s">
        <v>230</v>
      </c>
      <c r="BE3" s="188" t="s">
        <v>230</v>
      </c>
      <c r="BF3" s="188"/>
      <c r="BG3" s="192"/>
      <c r="BH3" s="194"/>
      <c r="BI3" s="194"/>
      <c r="BJ3" s="195"/>
      <c r="BK3" s="194"/>
    </row>
    <row r="4" spans="1:78" x14ac:dyDescent="0.25">
      <c r="A4" s="172"/>
      <c r="B4" s="173"/>
      <c r="C4" s="165"/>
      <c r="D4" s="171"/>
      <c r="E4" s="189"/>
      <c r="F4" s="188"/>
      <c r="G4" s="189"/>
      <c r="H4" s="189"/>
      <c r="I4" s="189"/>
      <c r="J4" s="189"/>
      <c r="K4" s="190" t="str">
        <f t="shared" si="0"/>
        <v/>
      </c>
      <c r="L4" s="190" t="str">
        <f t="shared" si="1"/>
        <v/>
      </c>
      <c r="M4" s="188"/>
      <c r="N4" s="188"/>
      <c r="O4" s="188"/>
      <c r="P4" s="188"/>
      <c r="Q4" s="188"/>
      <c r="R4" s="188"/>
      <c r="S4" s="213"/>
      <c r="T4" s="207"/>
      <c r="U4" s="219"/>
      <c r="V4" s="219"/>
      <c r="W4" s="219"/>
      <c r="X4" s="219"/>
      <c r="Y4" s="219"/>
      <c r="Z4" s="219"/>
      <c r="AA4" s="219"/>
      <c r="AB4" s="219"/>
      <c r="AC4" s="219"/>
      <c r="AD4" s="219"/>
      <c r="AE4" s="219"/>
      <c r="AF4" s="219"/>
      <c r="AG4" s="219"/>
      <c r="AH4" s="225">
        <f>SUM(PORTEFEUILLE_AUTRE_COMPTABLE[[#This Row],[PCR COMPTABLE €]:[MONTANT
RESPONSABLE RELATION CLIENT €]])-PORTEFEUILLE_AUTRE_COMPTABLE[[#This Row],[MONTANT TOTAL LETTRE DE MISION €]]</f>
        <v>0</v>
      </c>
      <c r="AI4" s="191"/>
      <c r="AJ4" s="188"/>
      <c r="AK4" s="188"/>
      <c r="AL4" s="188"/>
      <c r="AM4" s="188"/>
      <c r="AN4" s="188"/>
      <c r="AO4" s="188"/>
      <c r="AP4" s="188"/>
      <c r="AQ4" s="188"/>
      <c r="AR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" s="188" t="str">
        <f>IF(PORTEFEUILLE_AUTRE_COMPTABLE[[#This Row],[BONI AAC]]&lt;&gt;0,1,"")</f>
        <v/>
      </c>
      <c r="AU4" s="188" t="str">
        <f>IF(PORTEFEUILLE_AUTRE_COMPTABLE[[#This Row],[MALI AAC]]&lt;&gt;0,1,"")</f>
        <v/>
      </c>
      <c r="AV4" s="225">
        <f>IF(AP4&lt;&gt;"",IF((AP4*Paramètres!$H$4)-PORTEFEUILLE_AUTRE_COMPTABLE[[#This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€]]-(DELPHINE!#REF!*Paramètres!$H$4),0),0)</f>
        <v>0</v>
      </c>
      <c r="AW4" s="225">
        <f>IF(AP4&lt;&gt;"",IF(((AP4*Paramètres!$H$4)-PORTEFEUILLE_AUTRE_COMPTABLE[[#This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" s="190" t="str">
        <f>IF(PORTEFEUILLE_AUTRE_COMPTABLE[[#This Row],[BONI COMPTABLE]]&lt;&gt;0,1,"")</f>
        <v/>
      </c>
      <c r="AY4" s="190" t="str">
        <f>IF(PORTEFEUILLE_AUTRE_COMPTABLE[[#This Row],[MALI COMPTABLE]]&lt;&gt;0,1,"")</f>
        <v/>
      </c>
      <c r="AZ4" s="188"/>
      <c r="BA4" s="188"/>
      <c r="BB4" s="188"/>
      <c r="BC4" s="188"/>
      <c r="BD4" s="196"/>
      <c r="BE4" s="196"/>
      <c r="BF4" s="196"/>
      <c r="BG4" s="192"/>
      <c r="BH4" s="194"/>
      <c r="BI4" s="194"/>
      <c r="BJ4" s="195"/>
      <c r="BK4" s="194"/>
    </row>
    <row r="5" spans="1:78" x14ac:dyDescent="0.25">
      <c r="A5" s="172"/>
      <c r="B5" s="170"/>
      <c r="C5" s="165"/>
      <c r="D5" s="171"/>
      <c r="E5" s="189"/>
      <c r="F5" s="188"/>
      <c r="G5" s="189"/>
      <c r="H5" s="189"/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/>
      <c r="T5" s="207"/>
      <c r="U5" s="219"/>
      <c r="V5" s="219"/>
      <c r="W5" s="219"/>
      <c r="X5" s="219"/>
      <c r="Y5" s="219"/>
      <c r="Z5" s="219"/>
      <c r="AA5" s="219"/>
      <c r="AB5" s="219"/>
      <c r="AC5" s="219"/>
      <c r="AD5" s="219"/>
      <c r="AE5" s="219"/>
      <c r="AF5" s="219"/>
      <c r="AG5" s="219"/>
      <c r="AH5" s="225">
        <f>SUM(PORTEFEUILLE_AUTRE_COMPTABLE[[#This Row],[PCR COMPTABLE €]:[MONTANT
RESPONSABLE RELATION CLIENT €]])-PORTEFEUILLE_AUTRE_COMPTABLE[[#This Row],[MONTANT TOTAL LETTRE DE MISION €]]</f>
        <v>0</v>
      </c>
      <c r="AI5" s="191"/>
      <c r="AJ5" s="188"/>
      <c r="AK5" s="188"/>
      <c r="AL5" s="188"/>
      <c r="AM5" s="188"/>
      <c r="AN5" s="188"/>
      <c r="AO5" s="188"/>
      <c r="AP5" s="188"/>
      <c r="AQ5" s="188"/>
      <c r="AR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" s="188" t="str">
        <f>IF(PORTEFEUILLE_AUTRE_COMPTABLE[[#This Row],[BONI AAC]]&lt;&gt;0,1,"")</f>
        <v/>
      </c>
      <c r="AU5" s="188" t="str">
        <f>IF(PORTEFEUILLE_AUTRE_COMPTABLE[[#This Row],[MALI AAC]]&lt;&gt;0,1,"")</f>
        <v/>
      </c>
      <c r="AV5" s="225">
        <f>IF(AP5&lt;&gt;"",IF((AP5*Paramètres!$H$4)-PORTEFEUILLE_AUTRE_COMPTABLE[[#This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€]]-(DELPHINE!#REF!*Paramètres!$H$4),0),0)</f>
        <v>0</v>
      </c>
      <c r="AW5" s="225">
        <f>IF(AP5&lt;&gt;"",IF(((AP5*Paramètres!$H$4)-PORTEFEUILLE_AUTRE_COMPTABLE[[#This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" s="190" t="str">
        <f>IF(PORTEFEUILLE_AUTRE_COMPTABLE[[#This Row],[BONI COMPTABLE]]&lt;&gt;0,1,"")</f>
        <v/>
      </c>
      <c r="AY5" s="190" t="str">
        <f>IF(PORTEFEUILLE_AUTRE_COMPTABLE[[#This Row],[MALI COMPTABLE]]&lt;&gt;0,1,"")</f>
        <v/>
      </c>
      <c r="AZ5" s="188"/>
      <c r="BA5" s="188"/>
      <c r="BB5" s="188"/>
      <c r="BC5" s="188"/>
      <c r="BD5" s="188"/>
      <c r="BE5" s="188"/>
      <c r="BF5" s="188"/>
      <c r="BG5" s="192"/>
      <c r="BH5" s="194"/>
      <c r="BI5" s="194"/>
      <c r="BJ5" s="195"/>
      <c r="BK5" s="194"/>
    </row>
    <row r="6" spans="1:78" x14ac:dyDescent="0.25">
      <c r="A6" s="172"/>
      <c r="B6" s="170"/>
      <c r="C6" s="165"/>
      <c r="D6" s="171"/>
      <c r="E6" s="189"/>
      <c r="F6" s="188"/>
      <c r="G6" s="188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4"/>
      <c r="T6" s="208"/>
      <c r="U6" s="220"/>
      <c r="V6" s="220"/>
      <c r="W6" s="220"/>
      <c r="X6" s="220"/>
      <c r="Y6" s="220"/>
      <c r="Z6" s="220"/>
      <c r="AA6" s="220"/>
      <c r="AB6" s="220"/>
      <c r="AC6" s="220"/>
      <c r="AD6" s="220"/>
      <c r="AE6" s="220"/>
      <c r="AF6" s="220"/>
      <c r="AG6" s="219"/>
      <c r="AH6" s="225">
        <f>SUM(PORTEFEUILLE_AUTRE_COMPTABLE[[#This Row],[PCR COMPTABLE €]:[MONTANT
RESPONSABLE RELATION CLIENT €]])-PORTEFEUILLE_AUTRE_COMPTABLE[[#This Row],[MONTANT TOTAL LETTRE DE MISION €]]</f>
        <v>0</v>
      </c>
      <c r="AI6" s="191"/>
      <c r="AJ6" s="188"/>
      <c r="AK6" s="188"/>
      <c r="AL6" s="188"/>
      <c r="AM6" s="188"/>
      <c r="AN6" s="196"/>
      <c r="AO6" s="196"/>
      <c r="AP6" s="196"/>
      <c r="AQ6" s="196"/>
      <c r="AR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6" s="188" t="str">
        <f>IF(PORTEFEUILLE_AUTRE_COMPTABLE[[#This Row],[BONI AAC]]&lt;&gt;0,1,"")</f>
        <v/>
      </c>
      <c r="AU6" s="188" t="str">
        <f>IF(PORTEFEUILLE_AUTRE_COMPTABLE[[#This Row],[MALI AAC]]&lt;&gt;0,1,"")</f>
        <v/>
      </c>
      <c r="AV6" s="225">
        <f>IF(AP6&lt;&gt;"",IF((AP6*Paramètres!$H$4)-PORTEFEUILLE_AUTRE_COMPTABLE[[#This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€]]-(DELPHINE!#REF!*Paramètres!$H$4),0),0)</f>
        <v>0</v>
      </c>
      <c r="AW6" s="225">
        <f>IF(AP6&lt;&gt;"",IF(((AP6*Paramètres!$H$4)-PORTEFEUILLE_AUTRE_COMPTABLE[[#This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6" s="190" t="str">
        <f>IF(PORTEFEUILLE_AUTRE_COMPTABLE[[#This Row],[BONI COMPTABLE]]&lt;&gt;0,1,"")</f>
        <v/>
      </c>
      <c r="AY6" s="190" t="str">
        <f>IF(PORTEFEUILLE_AUTRE_COMPTABLE[[#This Row],[MALI COMPTABLE]]&lt;&gt;0,1,"")</f>
        <v/>
      </c>
      <c r="AZ6" s="196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0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SUM(PORTEFEUILLE_AUTRE_COMPTABLE[[#This Row],[PCR COMPTABLE €]:[MONTANT
RESPONSABLE RELATION CLIENT €]])-PORTEFEUILLE_AUTRE_COMPTABLE[[#This Row],[MONTANT TOTAL LETTRE DE MISION €]]</f>
        <v>0</v>
      </c>
      <c r="AI7" s="191"/>
      <c r="AJ7" s="188"/>
      <c r="AK7" s="188"/>
      <c r="AL7" s="188"/>
      <c r="AM7" s="188"/>
      <c r="AN7" s="188"/>
      <c r="AO7" s="188"/>
      <c r="AP7" s="188"/>
      <c r="AQ7" s="188"/>
      <c r="AR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7" s="188" t="str">
        <f>IF(PORTEFEUILLE_AUTRE_COMPTABLE[[#This Row],[BONI AAC]]&lt;&gt;0,1,"")</f>
        <v/>
      </c>
      <c r="AU7" s="188" t="str">
        <f>IF(PORTEFEUILLE_AUTRE_COMPTABLE[[#This Row],[MALI AAC]]&lt;&gt;0,1,"")</f>
        <v/>
      </c>
      <c r="AV7" s="225">
        <f>IF(AP7&lt;&gt;"",IF((AP7*Paramètres!$H$4)-PORTEFEUILLE_AUTRE_COMPTABLE[[#This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€]]-(DELPHINE!#REF!*Paramètres!$H$4),0),0)</f>
        <v>0</v>
      </c>
      <c r="AW7" s="225">
        <f>IF(AP7&lt;&gt;"",IF(((AP7*Paramètres!$H$4)-PORTEFEUILLE_AUTRE_COMPTABLE[[#This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7" s="190" t="str">
        <f>IF(PORTEFEUILLE_AUTRE_COMPTABLE[[#This Row],[BONI COMPTABLE]]&lt;&gt;0,1,"")</f>
        <v/>
      </c>
      <c r="AY7" s="190" t="str">
        <f>IF(PORTEFEUILLE_AUTRE_COMPTABLE[[#This Row],[MALI COMPTABLE]]&lt;&gt;0,1,"")</f>
        <v/>
      </c>
      <c r="AZ7" s="188"/>
      <c r="BA7" s="188"/>
      <c r="BB7" s="188"/>
      <c r="BC7" s="188"/>
      <c r="BD7" s="188"/>
      <c r="BE7" s="188"/>
      <c r="BF7" s="188"/>
      <c r="BG7" s="192"/>
      <c r="BH7" s="194"/>
      <c r="BI7" s="194"/>
      <c r="BJ7" s="195"/>
      <c r="BK7" s="194"/>
    </row>
    <row r="8" spans="1:78" x14ac:dyDescent="0.25">
      <c r="A8" s="172"/>
      <c r="B8" s="173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SUM(PORTEFEUILLE_AUTRE_COMPTABLE[[#This Row],[PCR COMPTABLE €]:[MONTANT
RESPONSABLE RELATION CLIENT €]])-PORTEFEUILLE_AUTRE_COMPTABLE[[#This Row],[MONTANT TOTAL LETTRE DE MISION €]]</f>
        <v>0</v>
      </c>
      <c r="AI8" s="191"/>
      <c r="AJ8" s="188"/>
      <c r="AK8" s="188"/>
      <c r="AL8" s="188"/>
      <c r="AM8" s="188"/>
      <c r="AN8" s="188"/>
      <c r="AO8" s="188"/>
      <c r="AP8" s="188"/>
      <c r="AQ8" s="188"/>
      <c r="AR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8" s="188" t="str">
        <f>IF(PORTEFEUILLE_AUTRE_COMPTABLE[[#This Row],[BONI AAC]]&lt;&gt;0,1,"")</f>
        <v/>
      </c>
      <c r="AU8" s="188" t="str">
        <f>IF(PORTEFEUILLE_AUTRE_COMPTABLE[[#This Row],[MALI AAC]]&lt;&gt;0,1,"")</f>
        <v/>
      </c>
      <c r="AV8" s="225">
        <f>IF(AP8&lt;&gt;"",IF((AP8*Paramètres!$H$4)-PORTEFEUILLE_AUTRE_COMPTABLE[[#This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€]]-(DELPHINE!#REF!*Paramètres!$H$4),0),0)</f>
        <v>0</v>
      </c>
      <c r="AW8" s="225">
        <f>IF(AP8&lt;&gt;"",IF(((AP8*Paramètres!$H$4)-PORTEFEUILLE_AUTRE_COMPTABLE[[#This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8" s="190" t="str">
        <f>IF(PORTEFEUILLE_AUTRE_COMPTABLE[[#This Row],[BONI COMPTABLE]]&lt;&gt;0,1,"")</f>
        <v/>
      </c>
      <c r="AY8" s="190" t="str">
        <f>IF(PORTEFEUILLE_AUTRE_COMPTABLE[[#This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9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3"/>
      <c r="T9" s="207"/>
      <c r="U9" s="219"/>
      <c r="V9" s="219"/>
      <c r="W9" s="219"/>
      <c r="X9" s="219"/>
      <c r="Y9" s="219"/>
      <c r="Z9" s="219"/>
      <c r="AA9" s="219"/>
      <c r="AB9" s="219"/>
      <c r="AC9" s="219"/>
      <c r="AD9" s="219"/>
      <c r="AE9" s="219"/>
      <c r="AF9" s="219"/>
      <c r="AG9" s="219"/>
      <c r="AH9" s="225">
        <f>SUM(PORTEFEUILLE_AUTRE_COMPTABLE[[#This Row],[PCR COMPTABLE €]:[MONTANT
RESPONSABLE RELATION CLIENT €]])-PORTEFEUILLE_AUTRE_COMPTABLE[[#This Row],[MONTANT TOTAL LETTRE DE MISION €]]</f>
        <v>0</v>
      </c>
      <c r="AI9" s="191"/>
      <c r="AJ9" s="188"/>
      <c r="AK9" s="188"/>
      <c r="AL9" s="188"/>
      <c r="AM9" s="188"/>
      <c r="AN9" s="188"/>
      <c r="AO9" s="188"/>
      <c r="AP9" s="188"/>
      <c r="AQ9" s="188"/>
      <c r="AR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9" s="188" t="str">
        <f>IF(PORTEFEUILLE_AUTRE_COMPTABLE[[#This Row],[BONI AAC]]&lt;&gt;0,1,"")</f>
        <v/>
      </c>
      <c r="AU9" s="188" t="str">
        <f>IF(PORTEFEUILLE_AUTRE_COMPTABLE[[#This Row],[MALI AAC]]&lt;&gt;0,1,"")</f>
        <v/>
      </c>
      <c r="AV9" s="225">
        <f>IF(AP9&lt;&gt;"",IF((AP9*Paramètres!$H$4)-PORTEFEUILLE_AUTRE_COMPTABLE[[#This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€]]-(DELPHINE!#REF!*Paramètres!$H$4),0),0)</f>
        <v>0</v>
      </c>
      <c r="AW9" s="225">
        <f>IF(AP9&lt;&gt;"",IF(((AP9*Paramètres!$H$4)-PORTEFEUILLE_AUTRE_COMPTABLE[[#This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9" s="190" t="str">
        <f>IF(PORTEFEUILLE_AUTRE_COMPTABLE[[#This Row],[BONI COMPTABLE]]&lt;&gt;0,1,"")</f>
        <v/>
      </c>
      <c r="AY9" s="190" t="str">
        <f>IF(PORTEFEUILLE_AUTRE_COMPTABLE[[#This Row],[MALI COMPTABLE]]&lt;&gt;0,1,"")</f>
        <v/>
      </c>
      <c r="AZ9" s="188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SUM(PORTEFEUILLE_AUTRE_COMPTABLE[[#This Row],[PCR COMPTABLE €]:[MONTANT
RESPONSABLE RELATION CLIENT €]])-PORTEFEUILLE_AUTRE_COMPTABLE[[#This Row],[MONTANT TOTAL LETTRE DE MISION €]]</f>
        <v>0</v>
      </c>
      <c r="AI10" s="191"/>
      <c r="AJ10" s="188"/>
      <c r="AK10" s="188"/>
      <c r="AL10" s="188"/>
      <c r="AM10" s="188"/>
      <c r="AN10" s="188"/>
      <c r="AO10" s="188"/>
      <c r="AP10" s="188"/>
      <c r="AQ10" s="188"/>
      <c r="AR1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0" s="188" t="str">
        <f>IF(PORTEFEUILLE_AUTRE_COMPTABLE[[#This Row],[BONI AAC]]&lt;&gt;0,1,"")</f>
        <v/>
      </c>
      <c r="AU10" s="188" t="str">
        <f>IF(PORTEFEUILLE_AUTRE_COMPTABLE[[#This Row],[MALI AAC]]&lt;&gt;0,1,"")</f>
        <v/>
      </c>
      <c r="AV10" s="225">
        <f>IF(AP10&lt;&gt;"",IF((AP10*Paramètres!$H$4)-PORTEFEUILLE_AUTRE_COMPTABLE[[#This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€]]-(DELPHINE!AP3*Paramètres!$H$4),0),0)</f>
        <v>0</v>
      </c>
      <c r="AW10" s="225">
        <f>IF(AP10&lt;&gt;"",IF(((AP10*Paramètres!$H$4)-PORTEFEUILLE_AUTRE_COMPTABLE[[#This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0" s="190" t="str">
        <f>IF(PORTEFEUILLE_AUTRE_COMPTABLE[[#This Row],[BONI COMPTABLE]]&lt;&gt;0,1,"")</f>
        <v/>
      </c>
      <c r="AY10" s="190" t="str">
        <f>IF(PORTEFEUILLE_AUTRE_COMPTABLE[[#This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0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SUM(PORTEFEUILLE_AUTRE_COMPTABLE[[#This Row],[PCR COMPTABLE €]:[MONTANT
RESPONSABLE RELATION CLIENT €]])-PORTEFEUILLE_AUTRE_COMPTABLE[[#This Row],[MONTANT TOTAL LETTRE DE MISION €]]</f>
        <v>0</v>
      </c>
      <c r="AI11" s="191"/>
      <c r="AJ11" s="188"/>
      <c r="AK11" s="188"/>
      <c r="AL11" s="188"/>
      <c r="AM11" s="188"/>
      <c r="AN11" s="188"/>
      <c r="AO11" s="188"/>
      <c r="AP11" s="188"/>
      <c r="AQ11" s="188"/>
      <c r="AR1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1" s="188" t="str">
        <f>IF(PORTEFEUILLE_AUTRE_COMPTABLE[[#This Row],[BONI AAC]]&lt;&gt;0,1,"")</f>
        <v/>
      </c>
      <c r="AU11" s="188" t="str">
        <f>IF(PORTEFEUILLE_AUTRE_COMPTABLE[[#This Row],[MALI AAC]]&lt;&gt;0,1,"")</f>
        <v/>
      </c>
      <c r="AV11" s="225">
        <f>IF(AP11&lt;&gt;"",IF((AP11*Paramètres!$H$4)-PORTEFEUILLE_AUTRE_COMPTABLE[[#This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€]]-(DELPHINE!#REF!*Paramètres!$H$4),0),0)</f>
        <v>0</v>
      </c>
      <c r="AW11" s="225">
        <f>IF(AP11&lt;&gt;"",IF(((AP11*Paramètres!$H$4)-PORTEFEUILLE_AUTRE_COMPTABLE[[#This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1" s="190" t="str">
        <f>IF(PORTEFEUILLE_AUTRE_COMPTABLE[[#This Row],[BONI COMPTABLE]]&lt;&gt;0,1,"")</f>
        <v/>
      </c>
      <c r="AY11" s="190" t="str">
        <f>IF(PORTEFEUILLE_AUTRE_COMPTABLE[[#This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70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SUM(PORTEFEUILLE_AUTRE_COMPTABLE[[#This Row],[PCR COMPTABLE €]:[MONTANT
RESPONSABLE RELATION CLIENT €]])-PORTEFEUILLE_AUTRE_COMPTABLE[[#This Row],[MONTANT TOTAL LETTRE DE MISION €]]</f>
        <v>0</v>
      </c>
      <c r="AI12" s="191"/>
      <c r="AJ12" s="188"/>
      <c r="AK12" s="188"/>
      <c r="AL12" s="188"/>
      <c r="AM12" s="188"/>
      <c r="AN12" s="188"/>
      <c r="AO12" s="188"/>
      <c r="AP12" s="188"/>
      <c r="AQ12" s="188"/>
      <c r="AR1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2" s="188" t="str">
        <f>IF(PORTEFEUILLE_AUTRE_COMPTABLE[[#This Row],[BONI AAC]]&lt;&gt;0,1,"")</f>
        <v/>
      </c>
      <c r="AU12" s="188" t="str">
        <f>IF(PORTEFEUILLE_AUTRE_COMPTABLE[[#This Row],[MALI AAC]]&lt;&gt;0,1,"")</f>
        <v/>
      </c>
      <c r="AV12" s="225">
        <f>IF(AP12&lt;&gt;"",IF((AP12*Paramètres!$H$4)-PORTEFEUILLE_AUTRE_COMPTABLE[[#This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€]]-(DELPHINE!AP4*Paramètres!$H$4),0),0)</f>
        <v>0</v>
      </c>
      <c r="AW12" s="225">
        <f>IF(AP12&lt;&gt;"",IF(((AP12*Paramètres!$H$4)-PORTEFEUILLE_AUTRE_COMPTABLE[[#This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2" s="190" t="str">
        <f>IF(PORTEFEUILLE_AUTRE_COMPTABLE[[#This Row],[BONI COMPTABLE]]&lt;&gt;0,1,"")</f>
        <v/>
      </c>
      <c r="AY12" s="190" t="str">
        <f>IF(PORTEFEUILLE_AUTRE_COMPTABLE[[#This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74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SUM(PORTEFEUILLE_AUTRE_COMPTABLE[[#This Row],[PCR COMPTABLE €]:[MONTANT
RESPONSABLE RELATION CLIENT €]])-PORTEFEUILLE_AUTRE_COMPTABLE[[#This Row],[MONTANT TOTAL LETTRE DE MISION €]]</f>
        <v>0</v>
      </c>
      <c r="AI13" s="191"/>
      <c r="AJ13" s="188"/>
      <c r="AK13" s="188"/>
      <c r="AL13" s="188"/>
      <c r="AM13" s="188"/>
      <c r="AN13" s="188"/>
      <c r="AO13" s="188"/>
      <c r="AP13" s="188"/>
      <c r="AQ13" s="188"/>
      <c r="AR1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3" s="188" t="str">
        <f>IF(PORTEFEUILLE_AUTRE_COMPTABLE[[#This Row],[BONI AAC]]&lt;&gt;0,1,"")</f>
        <v/>
      </c>
      <c r="AU13" s="188" t="str">
        <f>IF(PORTEFEUILLE_AUTRE_COMPTABLE[[#This Row],[MALI AAC]]&lt;&gt;0,1,"")</f>
        <v/>
      </c>
      <c r="AV13" s="225">
        <f>IF(AP13&lt;&gt;"",IF((AP13*Paramètres!$H$4)-PORTEFEUILLE_AUTRE_COMPTABLE[[#This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€]]-(DELPHINE!AP5*Paramètres!$H$4),0),0)</f>
        <v>0</v>
      </c>
      <c r="AW13" s="225">
        <f>IF(AP13&lt;&gt;"",IF(((AP13*Paramètres!$H$4)-PORTEFEUILLE_AUTRE_COMPTABLE[[#This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3" s="190" t="str">
        <f>IF(PORTEFEUILLE_AUTRE_COMPTABLE[[#This Row],[BONI COMPTABLE]]&lt;&gt;0,1,"")</f>
        <v/>
      </c>
      <c r="AY13" s="190" t="str">
        <f>IF(PORTEFEUILLE_AUTRE_COMPTABLE[[#This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7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SUM(PORTEFEUILLE_AUTRE_COMPTABLE[[#This Row],[PCR COMPTABLE €]:[MONTANT
RESPONSABLE RELATION CLIENT €]])-PORTEFEUILLE_AUTRE_COMPTABLE[[#This Row],[MONTANT TOTAL LETTRE DE MISION €]]</f>
        <v>0</v>
      </c>
      <c r="AI14" s="191"/>
      <c r="AJ14" s="188"/>
      <c r="AK14" s="188"/>
      <c r="AL14" s="188"/>
      <c r="AM14" s="188"/>
      <c r="AN14" s="188"/>
      <c r="AO14" s="188"/>
      <c r="AP14" s="188"/>
      <c r="AQ14" s="188"/>
      <c r="AR1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4" s="188" t="str">
        <f>IF(PORTEFEUILLE_AUTRE_COMPTABLE[[#This Row],[BONI AAC]]&lt;&gt;0,1,"")</f>
        <v/>
      </c>
      <c r="AU14" s="188" t="str">
        <f>IF(PORTEFEUILLE_AUTRE_COMPTABLE[[#This Row],[MALI AAC]]&lt;&gt;0,1,"")</f>
        <v/>
      </c>
      <c r="AV14" s="225">
        <f>IF(AP14&lt;&gt;"",IF((AP14*Paramètres!$H$4)-PORTEFEUILLE_AUTRE_COMPTABLE[[#This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€]]-(DELPHINE!AP6*Paramètres!$H$4),0),0)</f>
        <v>0</v>
      </c>
      <c r="AW14" s="225">
        <f>IF(AP14&lt;&gt;"",IF(((AP14*Paramètres!$H$4)-PORTEFEUILLE_AUTRE_COMPTABLE[[#This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4" s="190" t="str">
        <f>IF(PORTEFEUILLE_AUTRE_COMPTABLE[[#This Row],[BONI COMPTABLE]]&lt;&gt;0,1,"")</f>
        <v/>
      </c>
      <c r="AY14" s="190" t="str">
        <f>IF(PORTEFEUILLE_AUTRE_COMPTABLE[[#This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s="241" customFormat="1" x14ac:dyDescent="0.25">
      <c r="A15" s="172"/>
      <c r="B15" s="170"/>
      <c r="C15" s="165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SUM(PORTEFEUILLE_AUTRE_COMPTABLE[[#This Row],[PCR COMPTABLE €]:[MONTANT
RESPONSABLE RELATION CLIENT €]])-PORTEFEUILLE_AUTRE_COMPTABLE[[#This Row],[MONTANT TOTAL LETTRE DE MISION €]]</f>
        <v>0</v>
      </c>
      <c r="AI15" s="191"/>
      <c r="AJ15" s="188"/>
      <c r="AK15" s="188"/>
      <c r="AL15" s="188"/>
      <c r="AM15" s="188"/>
      <c r="AN15" s="188"/>
      <c r="AO15" s="188"/>
      <c r="AP15" s="188"/>
      <c r="AQ15" s="188"/>
      <c r="AR1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5" s="188" t="str">
        <f>IF(PORTEFEUILLE_AUTRE_COMPTABLE[[#This Row],[BONI AAC]]&lt;&gt;0,1,"")</f>
        <v/>
      </c>
      <c r="AU15" s="188" t="str">
        <f>IF(PORTEFEUILLE_AUTRE_COMPTABLE[[#This Row],[MALI AAC]]&lt;&gt;0,1,"")</f>
        <v/>
      </c>
      <c r="AV15" s="225">
        <f>IF(AP15&lt;&gt;"",IF((AP15*Paramètres!$H$4)-PORTEFEUILLE_AUTRE_COMPTABLE[[#This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€]]-(DELPHINE!AP7*Paramètres!$H$4),0),0)</f>
        <v>0</v>
      </c>
      <c r="AW15" s="225">
        <f>IF(AP15&lt;&gt;"",IF(((AP15*Paramètres!$H$4)-PORTEFEUILLE_AUTRE_COMPTABLE[[#This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5" s="190" t="str">
        <f>IF(PORTEFEUILLE_AUTRE_COMPTABLE[[#This Row],[BONI COMPTABLE]]&lt;&gt;0,1,"")</f>
        <v/>
      </c>
      <c r="AY15" s="190" t="str">
        <f>IF(PORTEFEUILLE_AUTRE_COMPTABLE[[#This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65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SUM(PORTEFEUILLE_AUTRE_COMPTABLE[[#This Row],[PCR COMPTABLE €]:[MONTANT
RESPONSABLE RELATION CLIENT €]])-PORTEFEUILLE_AUTRE_COMPTABLE[[#This Row],[MONTANT TOTAL LETTRE DE MISION €]]</f>
        <v>0</v>
      </c>
      <c r="AI16" s="191"/>
      <c r="AJ16" s="188"/>
      <c r="AK16" s="188"/>
      <c r="AL16" s="188"/>
      <c r="AM16" s="188"/>
      <c r="AN16" s="188"/>
      <c r="AO16" s="188"/>
      <c r="AP16" s="188"/>
      <c r="AQ16" s="188"/>
      <c r="AR1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6" s="188" t="str">
        <f>IF(PORTEFEUILLE_AUTRE_COMPTABLE[[#This Row],[BONI AAC]]&lt;&gt;0,1,"")</f>
        <v/>
      </c>
      <c r="AU16" s="188" t="str">
        <f>IF(PORTEFEUILLE_AUTRE_COMPTABLE[[#This Row],[MALI AAC]]&lt;&gt;0,1,"")</f>
        <v/>
      </c>
      <c r="AV16" s="225">
        <f>IF(AP16&lt;&gt;"",IF((AP16*Paramètres!$H$4)-PORTEFEUILLE_AUTRE_COMPTABLE[[#This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€]]-(DELPHINE!AP8*Paramètres!$H$4),0),0)</f>
        <v>0</v>
      </c>
      <c r="AW16" s="225">
        <f>IF(AP16&lt;&gt;"",IF(((AP16*Paramètres!$H$4)-PORTEFEUILLE_AUTRE_COMPTABLE[[#This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6" s="190" t="str">
        <f>IF(PORTEFEUILLE_AUTRE_COMPTABLE[[#This Row],[BONI COMPTABLE]]&lt;&gt;0,1,"")</f>
        <v/>
      </c>
      <c r="AY16" s="190" t="str">
        <f>IF(PORTEFEUILLE_AUTRE_COMPTABLE[[#This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65"/>
      <c r="D17" s="171"/>
      <c r="E17" s="189"/>
      <c r="F17" s="188"/>
      <c r="G17" s="188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4"/>
      <c r="T17" s="208"/>
      <c r="U17" s="220"/>
      <c r="V17" s="220"/>
      <c r="W17" s="220"/>
      <c r="X17" s="220"/>
      <c r="Y17" s="220"/>
      <c r="Z17" s="220"/>
      <c r="AA17" s="220"/>
      <c r="AB17" s="220"/>
      <c r="AC17" s="220"/>
      <c r="AD17" s="220"/>
      <c r="AE17" s="220"/>
      <c r="AF17" s="220"/>
      <c r="AG17" s="219"/>
      <c r="AH17" s="225">
        <f>SUM(PORTEFEUILLE_AUTRE_COMPTABLE[[#This Row],[PCR COMPTABLE €]:[MONTANT
RESPONSABLE RELATION CLIENT €]])-PORTEFEUILLE_AUTRE_COMPTABLE[[#This Row],[MONTANT TOTAL LETTRE DE MISION €]]</f>
        <v>0</v>
      </c>
      <c r="AI17" s="191"/>
      <c r="AJ17" s="188"/>
      <c r="AK17" s="188"/>
      <c r="AL17" s="188"/>
      <c r="AM17" s="188"/>
      <c r="AN17" s="196"/>
      <c r="AO17" s="196"/>
      <c r="AP17" s="196"/>
      <c r="AQ17" s="196"/>
      <c r="AR1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7" s="188" t="str">
        <f>IF(PORTEFEUILLE_AUTRE_COMPTABLE[[#This Row],[BONI AAC]]&lt;&gt;0,1,"")</f>
        <v/>
      </c>
      <c r="AU17" s="188" t="str">
        <f>IF(PORTEFEUILLE_AUTRE_COMPTABLE[[#This Row],[MALI AAC]]&lt;&gt;0,1,"")</f>
        <v/>
      </c>
      <c r="AV17" s="225">
        <f>IF(AP17&lt;&gt;"",IF((AP17*Paramètres!$H$4)-PORTEFEUILLE_AUTRE_COMPTABLE[[#This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€]]-(DELPHINE!AP9*Paramètres!$H$4),0),0)</f>
        <v>0</v>
      </c>
      <c r="AW17" s="225">
        <f>IF(AP17&lt;&gt;"",IF(((AP17*Paramètres!$H$4)-PORTEFEUILLE_AUTRE_COMPTABLE[[#This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7" s="190" t="str">
        <f>IF(PORTEFEUILLE_AUTRE_COMPTABLE[[#This Row],[BONI COMPTABLE]]&lt;&gt;0,1,"")</f>
        <v/>
      </c>
      <c r="AY17" s="190" t="str">
        <f>IF(PORTEFEUILLE_AUTRE_COMPTABLE[[#This Row],[MALI COMPTABLE]]&lt;&gt;0,1,"")</f>
        <v/>
      </c>
      <c r="AZ17" s="196"/>
      <c r="BA17" s="188"/>
      <c r="BB17" s="188"/>
      <c r="BC17" s="188"/>
      <c r="BD17" s="196"/>
      <c r="BE17" s="196"/>
      <c r="BF17" s="196"/>
      <c r="BG17" s="192"/>
      <c r="BH17" s="194"/>
      <c r="BI17" s="194"/>
      <c r="BJ17" s="195"/>
      <c r="BK17" s="194"/>
    </row>
    <row r="18" spans="1:63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SUM(PORTEFEUILLE_AUTRE_COMPTABLE[[#This Row],[PCR COMPTABLE €]:[MONTANT
RESPONSABLE RELATION CLIENT €]])-PORTEFEUILLE_AUTRE_COMPTABLE[[#This Row],[MONTANT TOTAL LETTRE DE MISION €]]</f>
        <v>0</v>
      </c>
      <c r="AI18" s="191"/>
      <c r="AJ18" s="188"/>
      <c r="AK18" s="188"/>
      <c r="AL18" s="188"/>
      <c r="AM18" s="188"/>
      <c r="AN18" s="188"/>
      <c r="AO18" s="188"/>
      <c r="AP18" s="188"/>
      <c r="AQ18" s="188"/>
      <c r="AR1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8" s="188" t="str">
        <f>IF(PORTEFEUILLE_AUTRE_COMPTABLE[[#This Row],[BONI AAC]]&lt;&gt;0,1,"")</f>
        <v/>
      </c>
      <c r="AU18" s="188" t="str">
        <f>IF(PORTEFEUILLE_AUTRE_COMPTABLE[[#This Row],[MALI AAC]]&lt;&gt;0,1,"")</f>
        <v/>
      </c>
      <c r="AV18" s="225">
        <f>IF(AP18&lt;&gt;"",IF((AP18*Paramètres!$H$4)-PORTEFEUILLE_AUTRE_COMPTABLE[[#This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€]]-(DELPHINE!AP10*Paramètres!$H$4),0),0)</f>
        <v>0</v>
      </c>
      <c r="AW18" s="225">
        <f>IF(AP18&lt;&gt;"",IF(((AP18*Paramètres!$H$4)-PORTEFEUILLE_AUTRE_COMPTABLE[[#This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8" s="190" t="str">
        <f>IF(PORTEFEUILLE_AUTRE_COMPTABLE[[#This Row],[BONI COMPTABLE]]&lt;&gt;0,1,"")</f>
        <v/>
      </c>
      <c r="AY18" s="190" t="str">
        <f>IF(PORTEFEUILLE_AUTRE_COMPTABLE[[#This Row],[MALI COMPTABLE]]&lt;&gt;0,1,"")</f>
        <v/>
      </c>
      <c r="AZ18" s="188"/>
      <c r="BA18" s="188"/>
      <c r="BB18" s="188"/>
      <c r="BC18" s="188"/>
      <c r="BD18" s="196"/>
      <c r="BE18" s="196"/>
      <c r="BF18" s="196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5"/>
      <c r="T19" s="209"/>
      <c r="U19" s="221"/>
      <c r="V19" s="221"/>
      <c r="W19" s="221"/>
      <c r="X19" s="221"/>
      <c r="Y19" s="221"/>
      <c r="Z19" s="221"/>
      <c r="AA19" s="221"/>
      <c r="AB19" s="221"/>
      <c r="AC19" s="221"/>
      <c r="AD19" s="221"/>
      <c r="AE19" s="221"/>
      <c r="AF19" s="221"/>
      <c r="AG19" s="219"/>
      <c r="AH19" s="225">
        <f>SUM(PORTEFEUILLE_AUTRE_COMPTABLE[[#This Row],[PCR COMPTABLE €]:[MONTANT
RESPONSABLE RELATION CLIENT €]])-PORTEFEUILLE_AUTRE_COMPTABLE[[#This Row],[MONTANT TOTAL LETTRE DE MISION €]]</f>
        <v>0</v>
      </c>
      <c r="AI19" s="191"/>
      <c r="AJ19" s="188"/>
      <c r="AK19" s="188"/>
      <c r="AL19" s="188"/>
      <c r="AM19" s="188"/>
      <c r="AN19" s="197"/>
      <c r="AO19" s="197"/>
      <c r="AP19" s="197"/>
      <c r="AQ19" s="197"/>
      <c r="AR1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9" s="188" t="str">
        <f>IF(PORTEFEUILLE_AUTRE_COMPTABLE[[#This Row],[BONI AAC]]&lt;&gt;0,1,"")</f>
        <v/>
      </c>
      <c r="AU19" s="188" t="str">
        <f>IF(PORTEFEUILLE_AUTRE_COMPTABLE[[#This Row],[MALI AAC]]&lt;&gt;0,1,"")</f>
        <v/>
      </c>
      <c r="AV19" s="225">
        <f>IF(AP19&lt;&gt;"",IF((AP19*Paramètres!$H$4)-PORTEFEUILLE_AUTRE_COMPTABLE[[#This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€]]-(DELPHINE!AP11*Paramètres!$H$4),0),0)</f>
        <v>0</v>
      </c>
      <c r="AW19" s="225">
        <f>IF(AP19&lt;&gt;"",IF(((AP19*Paramètres!$H$4)-PORTEFEUILLE_AUTRE_COMPTABLE[[#This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9" s="190" t="str">
        <f>IF(PORTEFEUILLE_AUTRE_COMPTABLE[[#This Row],[BONI COMPTABLE]]&lt;&gt;0,1,"")</f>
        <v/>
      </c>
      <c r="AY19" s="190" t="str">
        <f>IF(PORTEFEUILLE_AUTRE_COMPTABLE[[#This Row],[MALI COMPTABLE]]&lt;&gt;0,1,"")</f>
        <v/>
      </c>
      <c r="AZ19" s="188"/>
      <c r="BA19" s="188"/>
      <c r="BB19" s="188"/>
      <c r="BC19" s="188"/>
      <c r="BD19" s="196"/>
      <c r="BE19" s="196"/>
      <c r="BF19" s="196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9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3"/>
      <c r="T20" s="207"/>
      <c r="U20" s="219"/>
      <c r="V20" s="219"/>
      <c r="W20" s="219"/>
      <c r="X20" s="219"/>
      <c r="Y20" s="219"/>
      <c r="Z20" s="219"/>
      <c r="AA20" s="219"/>
      <c r="AB20" s="219"/>
      <c r="AC20" s="219"/>
      <c r="AD20" s="219"/>
      <c r="AE20" s="219"/>
      <c r="AF20" s="219"/>
      <c r="AG20" s="219"/>
      <c r="AH20" s="225">
        <f>SUM(PORTEFEUILLE_AUTRE_COMPTABLE[[#This Row],[PCR COMPTABLE €]:[MONTANT
RESPONSABLE RELATION CLIENT €]])-PORTEFEUILLE_AUTRE_COMPTABLE[[#This Row],[MONTANT TOTAL LETTRE DE MISION €]]</f>
        <v>0</v>
      </c>
      <c r="AI20" s="191"/>
      <c r="AJ20" s="188"/>
      <c r="AK20" s="188"/>
      <c r="AL20" s="188"/>
      <c r="AM20" s="188"/>
      <c r="AN20" s="188"/>
      <c r="AO20" s="188"/>
      <c r="AP20" s="188"/>
      <c r="AQ20" s="188"/>
      <c r="AR2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0" s="188" t="str">
        <f>IF(PORTEFEUILLE_AUTRE_COMPTABLE[[#This Row],[BONI AAC]]&lt;&gt;0,1,"")</f>
        <v/>
      </c>
      <c r="AU20" s="188" t="str">
        <f>IF(PORTEFEUILLE_AUTRE_COMPTABLE[[#This Row],[MALI AAC]]&lt;&gt;0,1,"")</f>
        <v/>
      </c>
      <c r="AV20" s="225">
        <f>IF(AP20&lt;&gt;"",IF((AP20*Paramètres!$H$4)-PORTEFEUILLE_AUTRE_COMPTABLE[[#This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€]]-(DELPHINE!AP12*Paramètres!$H$4),0),0)</f>
        <v>0</v>
      </c>
      <c r="AW20" s="225">
        <f>IF(AP20&lt;&gt;"",IF(((AP20*Paramètres!$H$4)-PORTEFEUILLE_AUTRE_COMPTABLE[[#This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0" s="190" t="str">
        <f>IF(PORTEFEUILLE_AUTRE_COMPTABLE[[#This Row],[BONI COMPTABLE]]&lt;&gt;0,1,"")</f>
        <v/>
      </c>
      <c r="AY20" s="190" t="str">
        <f>IF(PORTEFEUILLE_AUTRE_COMPTABLE[[#This Row],[MALI COMPTABLE]]&lt;&gt;0,1,"")</f>
        <v/>
      </c>
      <c r="AZ20" s="188"/>
      <c r="BA20" s="188"/>
      <c r="BB20" s="188"/>
      <c r="BC20" s="188"/>
      <c r="BD20" s="188"/>
      <c r="BE20" s="188"/>
      <c r="BF20" s="188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8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4"/>
      <c r="T21" s="208"/>
      <c r="U21" s="220"/>
      <c r="V21" s="220"/>
      <c r="W21" s="220"/>
      <c r="X21" s="220"/>
      <c r="Y21" s="220"/>
      <c r="Z21" s="220"/>
      <c r="AA21" s="220"/>
      <c r="AB21" s="220"/>
      <c r="AC21" s="220"/>
      <c r="AD21" s="220"/>
      <c r="AE21" s="220"/>
      <c r="AF21" s="220"/>
      <c r="AG21" s="219"/>
      <c r="AH21" s="225">
        <f>SUM(PORTEFEUILLE_AUTRE_COMPTABLE[[#This Row],[PCR COMPTABLE €]:[MONTANT
RESPONSABLE RELATION CLIENT €]])-PORTEFEUILLE_AUTRE_COMPTABLE[[#This Row],[MONTANT TOTAL LETTRE DE MISION €]]</f>
        <v>0</v>
      </c>
      <c r="AI21" s="191"/>
      <c r="AJ21" s="188"/>
      <c r="AK21" s="188"/>
      <c r="AL21" s="188"/>
      <c r="AM21" s="188"/>
      <c r="AN21" s="196"/>
      <c r="AO21" s="196"/>
      <c r="AP21" s="196"/>
      <c r="AQ21" s="196"/>
      <c r="AR2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1" s="188" t="str">
        <f>IF(PORTEFEUILLE_AUTRE_COMPTABLE[[#This Row],[BONI AAC]]&lt;&gt;0,1,"")</f>
        <v/>
      </c>
      <c r="AU21" s="188" t="str">
        <f>IF(PORTEFEUILLE_AUTRE_COMPTABLE[[#This Row],[MALI AAC]]&lt;&gt;0,1,"")</f>
        <v/>
      </c>
      <c r="AV21" s="225">
        <f>IF(AP21&lt;&gt;"",IF((AP21*Paramètres!$H$4)-PORTEFEUILLE_AUTRE_COMPTABLE[[#This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€]]-(DELPHINE!AP13*Paramètres!$H$4),0),0)</f>
        <v>0</v>
      </c>
      <c r="AW21" s="225">
        <f>IF(AP21&lt;&gt;"",IF(((AP21*Paramètres!$H$4)-PORTEFEUILLE_AUTRE_COMPTABLE[[#This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1" s="190" t="str">
        <f>IF(PORTEFEUILLE_AUTRE_COMPTABLE[[#This Row],[BONI COMPTABLE]]&lt;&gt;0,1,"")</f>
        <v/>
      </c>
      <c r="AY21" s="190" t="str">
        <f>IF(PORTEFEUILLE_AUTRE_COMPTABLE[[#This Row],[MALI COMPTABLE]]&lt;&gt;0,1,"")</f>
        <v/>
      </c>
      <c r="AZ21" s="196"/>
      <c r="BA21" s="188"/>
      <c r="BB21" s="188"/>
      <c r="BC21" s="188"/>
      <c r="BD21" s="188"/>
      <c r="BE21" s="188"/>
      <c r="BF21" s="188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8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4"/>
      <c r="T22" s="208"/>
      <c r="U22" s="220"/>
      <c r="V22" s="220"/>
      <c r="W22" s="220"/>
      <c r="X22" s="220"/>
      <c r="Y22" s="220"/>
      <c r="Z22" s="220"/>
      <c r="AA22" s="220"/>
      <c r="AB22" s="220"/>
      <c r="AC22" s="220"/>
      <c r="AD22" s="220"/>
      <c r="AE22" s="220"/>
      <c r="AF22" s="220"/>
      <c r="AG22" s="219"/>
      <c r="AH22" s="225">
        <f>SUM(PORTEFEUILLE_AUTRE_COMPTABLE[[#This Row],[PCR COMPTABLE €]:[MONTANT
RESPONSABLE RELATION CLIENT €]])-PORTEFEUILLE_AUTRE_COMPTABLE[[#This Row],[MONTANT TOTAL LETTRE DE MISION €]]</f>
        <v>0</v>
      </c>
      <c r="AI22" s="191"/>
      <c r="AJ22" s="188"/>
      <c r="AK22" s="188"/>
      <c r="AL22" s="188"/>
      <c r="AM22" s="188"/>
      <c r="AN22" s="196"/>
      <c r="AO22" s="196"/>
      <c r="AP22" s="196"/>
      <c r="AQ22" s="196"/>
      <c r="AR2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2" s="188" t="str">
        <f>IF(PORTEFEUILLE_AUTRE_COMPTABLE[[#This Row],[BONI AAC]]&lt;&gt;0,1,"")</f>
        <v/>
      </c>
      <c r="AU22" s="188" t="str">
        <f>IF(PORTEFEUILLE_AUTRE_COMPTABLE[[#This Row],[MALI AAC]]&lt;&gt;0,1,"")</f>
        <v/>
      </c>
      <c r="AV22" s="225">
        <f>IF(AP22&lt;&gt;"",IF((AP22*Paramètres!$H$4)-PORTEFEUILLE_AUTRE_COMPTABLE[[#This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€]]-(DELPHINE!AP14*Paramètres!$H$4),0),0)</f>
        <v>0</v>
      </c>
      <c r="AW22" s="225">
        <f>IF(AP22&lt;&gt;"",IF(((AP22*Paramètres!$H$4)-PORTEFEUILLE_AUTRE_COMPTABLE[[#This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2" s="190" t="str">
        <f>IF(PORTEFEUILLE_AUTRE_COMPTABLE[[#This Row],[BONI COMPTABLE]]&lt;&gt;0,1,"")</f>
        <v/>
      </c>
      <c r="AY22" s="190" t="str">
        <f>IF(PORTEFEUILLE_AUTRE_COMPTABLE[[#This Row],[MALI COMPTABLE]]&lt;&gt;0,1,"")</f>
        <v/>
      </c>
      <c r="AZ22" s="196"/>
      <c r="BA22" s="188"/>
      <c r="BB22" s="188"/>
      <c r="BC22" s="188"/>
      <c r="BD22" s="188"/>
      <c r="BE22" s="188"/>
      <c r="BF22" s="188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8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4"/>
      <c r="T23" s="208"/>
      <c r="U23" s="220"/>
      <c r="V23" s="220"/>
      <c r="W23" s="220"/>
      <c r="X23" s="220"/>
      <c r="Y23" s="220"/>
      <c r="Z23" s="220"/>
      <c r="AA23" s="220"/>
      <c r="AB23" s="220"/>
      <c r="AC23" s="220"/>
      <c r="AD23" s="220"/>
      <c r="AE23" s="220"/>
      <c r="AF23" s="220"/>
      <c r="AG23" s="219"/>
      <c r="AH23" s="225">
        <f>SUM(PORTEFEUILLE_AUTRE_COMPTABLE[[#This Row],[PCR COMPTABLE €]:[MONTANT
RESPONSABLE RELATION CLIENT €]])-PORTEFEUILLE_AUTRE_COMPTABLE[[#This Row],[MONTANT TOTAL LETTRE DE MISION €]]</f>
        <v>0</v>
      </c>
      <c r="AI23" s="191"/>
      <c r="AJ23" s="188"/>
      <c r="AK23" s="188"/>
      <c r="AL23" s="188"/>
      <c r="AM23" s="188"/>
      <c r="AN23" s="196"/>
      <c r="AO23" s="196"/>
      <c r="AP23" s="196"/>
      <c r="AQ23" s="196"/>
      <c r="AR2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3" s="188" t="str">
        <f>IF(PORTEFEUILLE_AUTRE_COMPTABLE[[#This Row],[BONI AAC]]&lt;&gt;0,1,"")</f>
        <v/>
      </c>
      <c r="AU23" s="188" t="str">
        <f>IF(PORTEFEUILLE_AUTRE_COMPTABLE[[#This Row],[MALI AAC]]&lt;&gt;0,1,"")</f>
        <v/>
      </c>
      <c r="AV23" s="225">
        <f>IF(AP23&lt;&gt;"",IF((AP23*Paramètres!$H$4)-PORTEFEUILLE_AUTRE_COMPTABLE[[#This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€]]-(DELPHINE!AP15*Paramètres!$H$4),0),0)</f>
        <v>0</v>
      </c>
      <c r="AW23" s="225">
        <f>IF(AP23&lt;&gt;"",IF(((AP23*Paramètres!$H$4)-PORTEFEUILLE_AUTRE_COMPTABLE[[#This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3" s="190" t="str">
        <f>IF(PORTEFEUILLE_AUTRE_COMPTABLE[[#This Row],[BONI COMPTABLE]]&lt;&gt;0,1,"")</f>
        <v/>
      </c>
      <c r="AY23" s="190" t="str">
        <f>IF(PORTEFEUILLE_AUTRE_COMPTABLE[[#This Row],[MALI COMPTABLE]]&lt;&gt;0,1,"")</f>
        <v/>
      </c>
      <c r="AZ23" s="196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SUM(PORTEFEUILLE_AUTRE_COMPTABLE[[#This Row],[PCR COMPTABLE €]:[MONTANT
RESPONSABLE RELATION CLIENT €]])-PORTEFEUILLE_AUTRE_COMPTABLE[[#This Row],[MONTANT TOTAL LETTRE DE MISION €]]</f>
        <v>0</v>
      </c>
      <c r="AI24" s="191"/>
      <c r="AJ24" s="188"/>
      <c r="AK24" s="188"/>
      <c r="AL24" s="188"/>
      <c r="AM24" s="188"/>
      <c r="AN24" s="196"/>
      <c r="AO24" s="196"/>
      <c r="AP24" s="196"/>
      <c r="AQ24" s="196"/>
      <c r="AR2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4" s="188" t="str">
        <f>IF(PORTEFEUILLE_AUTRE_COMPTABLE[[#This Row],[BONI AAC]]&lt;&gt;0,1,"")</f>
        <v/>
      </c>
      <c r="AU24" s="188" t="str">
        <f>IF(PORTEFEUILLE_AUTRE_COMPTABLE[[#This Row],[MALI AAC]]&lt;&gt;0,1,"")</f>
        <v/>
      </c>
      <c r="AV24" s="225">
        <f>IF(AP24&lt;&gt;"",IF((AP24*Paramètres!$H$4)-PORTEFEUILLE_AUTRE_COMPTABLE[[#This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€]]-(DELPHINE!AP16*Paramètres!$H$4),0),0)</f>
        <v>0</v>
      </c>
      <c r="AW24" s="225">
        <f>IF(AP24&lt;&gt;"",IF(((AP24*Paramètres!$H$4)-PORTEFEUILLE_AUTRE_COMPTABLE[[#This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4" s="190" t="str">
        <f>IF(PORTEFEUILLE_AUTRE_COMPTABLE[[#This Row],[BONI COMPTABLE]]&lt;&gt;0,1,"")</f>
        <v/>
      </c>
      <c r="AY24" s="190" t="str">
        <f>IF(PORTEFEUILLE_AUTRE_COMPTABLE[[#This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s="90" customFormat="1" x14ac:dyDescent="0.25">
      <c r="A25" s="176"/>
      <c r="B25" s="170"/>
      <c r="C25" s="165"/>
      <c r="D25" s="171"/>
      <c r="E25" s="189"/>
      <c r="F25" s="188"/>
      <c r="G25" s="189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3"/>
      <c r="T25" s="207"/>
      <c r="U25" s="219"/>
      <c r="V25" s="219"/>
      <c r="W25" s="219"/>
      <c r="X25" s="219"/>
      <c r="Y25" s="219"/>
      <c r="Z25" s="219"/>
      <c r="AA25" s="219"/>
      <c r="AB25" s="219"/>
      <c r="AC25" s="219"/>
      <c r="AD25" s="219"/>
      <c r="AE25" s="219"/>
      <c r="AF25" s="219"/>
      <c r="AG25" s="219"/>
      <c r="AH25" s="225">
        <f>SUM(PORTEFEUILLE_AUTRE_COMPTABLE[[#This Row],[PCR COMPTABLE €]:[MONTANT
RESPONSABLE RELATION CLIENT €]])-PORTEFEUILLE_AUTRE_COMPTABLE[[#This Row],[MONTANT TOTAL LETTRE DE MISION €]]</f>
        <v>0</v>
      </c>
      <c r="AI25" s="191"/>
      <c r="AJ25" s="188"/>
      <c r="AK25" s="188"/>
      <c r="AL25" s="188"/>
      <c r="AM25" s="188"/>
      <c r="AN25" s="188"/>
      <c r="AO25" s="188"/>
      <c r="AP25" s="188"/>
      <c r="AQ25" s="188"/>
      <c r="AR2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5" s="188" t="str">
        <f>IF(PORTEFEUILLE_AUTRE_COMPTABLE[[#This Row],[BONI AAC]]&lt;&gt;0,1,"")</f>
        <v/>
      </c>
      <c r="AU25" s="188" t="str">
        <f>IF(PORTEFEUILLE_AUTRE_COMPTABLE[[#This Row],[MALI AAC]]&lt;&gt;0,1,"")</f>
        <v/>
      </c>
      <c r="AV25" s="225">
        <f>IF(AP25&lt;&gt;"",IF((AP25*Paramètres!$H$4)-PORTEFEUILLE_AUTRE_COMPTABLE[[#This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€]]-(DELPHINE!AP17*Paramètres!$H$4),0),0)</f>
        <v>0</v>
      </c>
      <c r="AW25" s="225">
        <f>IF(AP25&lt;&gt;"",IF(((AP25*Paramètres!$H$4)-PORTEFEUILLE_AUTRE_COMPTABLE[[#This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5" s="190" t="str">
        <f>IF(PORTEFEUILLE_AUTRE_COMPTABLE[[#This Row],[BONI COMPTABLE]]&lt;&gt;0,1,"")</f>
        <v/>
      </c>
      <c r="AY25" s="190" t="str">
        <f>IF(PORTEFEUILLE_AUTRE_COMPTABLE[[#This Row],[MALI COMPTABLE]]&lt;&gt;0,1,"")</f>
        <v/>
      </c>
      <c r="AZ25" s="188"/>
      <c r="BA25" s="188"/>
      <c r="BB25" s="188"/>
      <c r="BC25" s="188"/>
      <c r="BD25" s="196"/>
      <c r="BE25" s="196"/>
      <c r="BF25" s="196"/>
      <c r="BG25" s="192"/>
      <c r="BH25" s="196"/>
      <c r="BI25" s="196"/>
      <c r="BJ25" s="198"/>
      <c r="BK25" s="196"/>
    </row>
    <row r="26" spans="1:63" x14ac:dyDescent="0.25">
      <c r="A26" s="172"/>
      <c r="B26" s="170"/>
      <c r="C26" s="165"/>
      <c r="D26" s="171"/>
      <c r="E26" s="189"/>
      <c r="F26" s="188"/>
      <c r="G26" s="189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3"/>
      <c r="T26" s="207"/>
      <c r="U26" s="219"/>
      <c r="V26" s="219"/>
      <c r="W26" s="219"/>
      <c r="X26" s="219"/>
      <c r="Y26" s="219"/>
      <c r="Z26" s="219"/>
      <c r="AA26" s="219"/>
      <c r="AB26" s="219"/>
      <c r="AC26" s="219"/>
      <c r="AD26" s="219"/>
      <c r="AE26" s="219"/>
      <c r="AF26" s="219"/>
      <c r="AG26" s="219"/>
      <c r="AH26" s="225">
        <f>SUM(PORTEFEUILLE_AUTRE_COMPTABLE[[#This Row],[PCR COMPTABLE €]:[MONTANT
RESPONSABLE RELATION CLIENT €]])-PORTEFEUILLE_AUTRE_COMPTABLE[[#This Row],[MONTANT TOTAL LETTRE DE MISION €]]</f>
        <v>0</v>
      </c>
      <c r="AI26" s="191"/>
      <c r="AJ26" s="188"/>
      <c r="AK26" s="188"/>
      <c r="AL26" s="188"/>
      <c r="AM26" s="188"/>
      <c r="AN26" s="188"/>
      <c r="AO26" s="188"/>
      <c r="AP26" s="188"/>
      <c r="AQ26" s="188"/>
      <c r="AR2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6" s="188" t="str">
        <f>IF(PORTEFEUILLE_AUTRE_COMPTABLE[[#This Row],[BONI AAC]]&lt;&gt;0,1,"")</f>
        <v/>
      </c>
      <c r="AU26" s="188" t="str">
        <f>IF(PORTEFEUILLE_AUTRE_COMPTABLE[[#This Row],[MALI AAC]]&lt;&gt;0,1,"")</f>
        <v/>
      </c>
      <c r="AV26" s="225">
        <f>IF(AP26&lt;&gt;"",IF((AP26*Paramètres!$H$4)-PORTEFEUILLE_AUTRE_COMPTABLE[[#This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€]]-(DELPHINE!AP18*Paramètres!$H$4),0),0)</f>
        <v>0</v>
      </c>
      <c r="AW26" s="225">
        <f>IF(AP26&lt;&gt;"",IF(((AP26*Paramètres!$H$4)-PORTEFEUILLE_AUTRE_COMPTABLE[[#This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6" s="190" t="str">
        <f>IF(PORTEFEUILLE_AUTRE_COMPTABLE[[#This Row],[BONI COMPTABLE]]&lt;&gt;0,1,"")</f>
        <v/>
      </c>
      <c r="AY26" s="190" t="str">
        <f>IF(PORTEFEUILLE_AUTRE_COMPTABLE[[#This Row],[MALI COMPTABLE]]&lt;&gt;0,1,"")</f>
        <v/>
      </c>
      <c r="AZ26" s="188"/>
      <c r="BA26" s="188"/>
      <c r="BB26" s="188"/>
      <c r="BC26" s="188"/>
      <c r="BD26" s="196"/>
      <c r="BE26" s="196"/>
      <c r="BF26" s="196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9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3"/>
      <c r="T27" s="207"/>
      <c r="U27" s="219"/>
      <c r="V27" s="219"/>
      <c r="W27" s="219"/>
      <c r="X27" s="219"/>
      <c r="Y27" s="219"/>
      <c r="Z27" s="219"/>
      <c r="AA27" s="219"/>
      <c r="AB27" s="219"/>
      <c r="AC27" s="219"/>
      <c r="AD27" s="219"/>
      <c r="AE27" s="219"/>
      <c r="AF27" s="219"/>
      <c r="AG27" s="219"/>
      <c r="AH27" s="225">
        <f>SUM(PORTEFEUILLE_AUTRE_COMPTABLE[[#This Row],[PCR COMPTABLE €]:[MONTANT
RESPONSABLE RELATION CLIENT €]])-PORTEFEUILLE_AUTRE_COMPTABLE[[#This Row],[MONTANT TOTAL LETTRE DE MISION €]]</f>
        <v>0</v>
      </c>
      <c r="AI27" s="191"/>
      <c r="AJ27" s="188"/>
      <c r="AK27" s="188"/>
      <c r="AL27" s="188"/>
      <c r="AM27" s="188"/>
      <c r="AN27" s="188"/>
      <c r="AO27" s="188"/>
      <c r="AP27" s="188"/>
      <c r="AQ27" s="188"/>
      <c r="AR2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7" s="188" t="str">
        <f>IF(PORTEFEUILLE_AUTRE_COMPTABLE[[#This Row],[BONI AAC]]&lt;&gt;0,1,"")</f>
        <v/>
      </c>
      <c r="AU27" s="188" t="str">
        <f>IF(PORTEFEUILLE_AUTRE_COMPTABLE[[#This Row],[MALI AAC]]&lt;&gt;0,1,"")</f>
        <v/>
      </c>
      <c r="AV27" s="225">
        <f>IF(AP27&lt;&gt;"",IF((AP27*Paramètres!$H$4)-PORTEFEUILLE_AUTRE_COMPTABLE[[#This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€]]-(DELPHINE!AP19*Paramètres!$H$4),0),0)</f>
        <v>0</v>
      </c>
      <c r="AW27" s="225">
        <f>IF(AP27&lt;&gt;"",IF(((AP27*Paramètres!$H$4)-PORTEFEUILLE_AUTRE_COMPTABLE[[#This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7" s="190" t="str">
        <f>IF(PORTEFEUILLE_AUTRE_COMPTABLE[[#This Row],[BONI COMPTABLE]]&lt;&gt;0,1,"")</f>
        <v/>
      </c>
      <c r="AY27" s="190" t="str">
        <f>IF(PORTEFEUILLE_AUTRE_COMPTABLE[[#This Row],[MALI COMPTABLE]]&lt;&gt;0,1,"")</f>
        <v/>
      </c>
      <c r="AZ27" s="188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x14ac:dyDescent="0.25">
      <c r="A28" s="172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SUM(PORTEFEUILLE_AUTRE_COMPTABLE[[#This Row],[PCR COMPTABLE €]:[MONTANT
RESPONSABLE RELATION CLIENT €]])-PORTEFEUILLE_AUTRE_COMPTABLE[[#This Row],[MONTANT TOTAL LETTRE DE MISION €]]</f>
        <v>0</v>
      </c>
      <c r="AI28" s="191"/>
      <c r="AJ28" s="188"/>
      <c r="AK28" s="188"/>
      <c r="AL28" s="188"/>
      <c r="AM28" s="188"/>
      <c r="AN28" s="188"/>
      <c r="AO28" s="188"/>
      <c r="AP28" s="188"/>
      <c r="AQ28" s="188"/>
      <c r="AR2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8" s="188" t="str">
        <f>IF(PORTEFEUILLE_AUTRE_COMPTABLE[[#This Row],[BONI AAC]]&lt;&gt;0,1,"")</f>
        <v/>
      </c>
      <c r="AU28" s="188" t="str">
        <f>IF(PORTEFEUILLE_AUTRE_COMPTABLE[[#This Row],[MALI AAC]]&lt;&gt;0,1,"")</f>
        <v/>
      </c>
      <c r="AV28" s="225">
        <f>IF(AP28&lt;&gt;"",IF((AP28*Paramètres!$H$4)-PORTEFEUILLE_AUTRE_COMPTABLE[[#This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€]]-(DELPHINE!AP20*Paramètres!$H$4),0),0)</f>
        <v>0</v>
      </c>
      <c r="AW28" s="225">
        <f>IF(AP28&lt;&gt;"",IF(((AP28*Paramètres!$H$4)-PORTEFEUILLE_AUTRE_COMPTABLE[[#This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8" s="190" t="str">
        <f>IF(PORTEFEUILLE_AUTRE_COMPTABLE[[#This Row],[BONI COMPTABLE]]&lt;&gt;0,1,"")</f>
        <v/>
      </c>
      <c r="AY28" s="190" t="str">
        <f>IF(PORTEFEUILLE_AUTRE_COMPTABLE[[#This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4"/>
      <c r="BI28" s="194"/>
      <c r="BJ28" s="195"/>
      <c r="BK28" s="194"/>
    </row>
    <row r="29" spans="1:63" x14ac:dyDescent="0.25">
      <c r="A29" s="172"/>
      <c r="B29" s="177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SUM(PORTEFEUILLE_AUTRE_COMPTABLE[[#This Row],[PCR COMPTABLE €]:[MONTANT
RESPONSABLE RELATION CLIENT €]])-PORTEFEUILLE_AUTRE_COMPTABLE[[#This Row],[MONTANT TOTAL LETTRE DE MISION €]]</f>
        <v>0</v>
      </c>
      <c r="AI29" s="191"/>
      <c r="AJ29" s="188"/>
      <c r="AK29" s="188"/>
      <c r="AL29" s="188"/>
      <c r="AM29" s="188"/>
      <c r="AN29" s="188"/>
      <c r="AO29" s="188"/>
      <c r="AP29" s="188"/>
      <c r="AQ29" s="188"/>
      <c r="AR2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9" s="188" t="str">
        <f>IF(PORTEFEUILLE_AUTRE_COMPTABLE[[#This Row],[BONI AAC]]&lt;&gt;0,1,"")</f>
        <v/>
      </c>
      <c r="AU29" s="188" t="str">
        <f>IF(PORTEFEUILLE_AUTRE_COMPTABLE[[#This Row],[MALI AAC]]&lt;&gt;0,1,"")</f>
        <v/>
      </c>
      <c r="AV29" s="225">
        <f>IF(AP29&lt;&gt;"",IF((AP29*Paramètres!$H$4)-PORTEFEUILLE_AUTRE_COMPTABLE[[#This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€]]-(DELPHINE!AP21*Paramètres!$H$4),0),0)</f>
        <v>0</v>
      </c>
      <c r="AW29" s="225">
        <f>IF(AP29&lt;&gt;"",IF(((AP29*Paramètres!$H$4)-PORTEFEUILLE_AUTRE_COMPTABLE[[#This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9" s="190" t="str">
        <f>IF(PORTEFEUILLE_AUTRE_COMPTABLE[[#This Row],[BONI COMPTABLE]]&lt;&gt;0,1,"")</f>
        <v/>
      </c>
      <c r="AY29" s="190" t="str">
        <f>IF(PORTEFEUILLE_AUTRE_COMPTABLE[[#This Row],[MALI COMPTABLE]]&lt;&gt;0,1,"")</f>
        <v/>
      </c>
      <c r="AZ29" s="188"/>
      <c r="BA29" s="188"/>
      <c r="BB29" s="188"/>
      <c r="BC29" s="188"/>
      <c r="BD29" s="188"/>
      <c r="BE29" s="188"/>
      <c r="BF29" s="188"/>
      <c r="BG29" s="192"/>
      <c r="BH29" s="194"/>
      <c r="BI29" s="194"/>
      <c r="BJ29" s="195"/>
      <c r="BK29" s="194"/>
    </row>
    <row r="30" spans="1:63" x14ac:dyDescent="0.25">
      <c r="A30" s="172"/>
      <c r="B30" s="177"/>
      <c r="C30" s="165"/>
      <c r="D30" s="171"/>
      <c r="E30" s="189"/>
      <c r="F30" s="188"/>
      <c r="G30" s="188"/>
      <c r="H30" s="189"/>
      <c r="I30" s="188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4"/>
      <c r="T30" s="208"/>
      <c r="U30" s="220"/>
      <c r="V30" s="220"/>
      <c r="W30" s="220"/>
      <c r="X30" s="220"/>
      <c r="Y30" s="220"/>
      <c r="Z30" s="220"/>
      <c r="AA30" s="220"/>
      <c r="AB30" s="220"/>
      <c r="AC30" s="220"/>
      <c r="AD30" s="220"/>
      <c r="AE30" s="220"/>
      <c r="AF30" s="220"/>
      <c r="AG30" s="219"/>
      <c r="AH30" s="225">
        <f>SUM(PORTEFEUILLE_AUTRE_COMPTABLE[[#This Row],[PCR COMPTABLE €]:[MONTANT
RESPONSABLE RELATION CLIENT €]])-PORTEFEUILLE_AUTRE_COMPTABLE[[#This Row],[MONTANT TOTAL LETTRE DE MISION €]]</f>
        <v>0</v>
      </c>
      <c r="AI30" s="191"/>
      <c r="AJ30" s="188"/>
      <c r="AK30" s="188"/>
      <c r="AL30" s="188"/>
      <c r="AM30" s="188"/>
      <c r="AN30" s="196"/>
      <c r="AO30" s="196"/>
      <c r="AP30" s="196"/>
      <c r="AQ30" s="196"/>
      <c r="AR3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0" s="188" t="str">
        <f>IF(PORTEFEUILLE_AUTRE_COMPTABLE[[#This Row],[BONI AAC]]&lt;&gt;0,1,"")</f>
        <v/>
      </c>
      <c r="AU30" s="188" t="str">
        <f>IF(PORTEFEUILLE_AUTRE_COMPTABLE[[#This Row],[MALI AAC]]&lt;&gt;0,1,"")</f>
        <v/>
      </c>
      <c r="AV30" s="225">
        <f>IF(AP30&lt;&gt;"",IF((AP30*Paramètres!$H$4)-PORTEFEUILLE_AUTRE_COMPTABLE[[#This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€]]-(DELPHINE!AP22*Paramètres!$H$4),0),0)</f>
        <v>0</v>
      </c>
      <c r="AW30" s="225">
        <f>IF(AP30&lt;&gt;"",IF(((AP30*Paramètres!$H$4)-PORTEFEUILLE_AUTRE_COMPTABLE[[#This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0" s="190" t="str">
        <f>IF(PORTEFEUILLE_AUTRE_COMPTABLE[[#This Row],[BONI COMPTABLE]]&lt;&gt;0,1,"")</f>
        <v/>
      </c>
      <c r="AY30" s="190" t="str">
        <f>IF(PORTEFEUILLE_AUTRE_COMPTABLE[[#This Row],[MALI COMPTABLE]]&lt;&gt;0,1,"")</f>
        <v/>
      </c>
      <c r="AZ30" s="196"/>
      <c r="BA30" s="188"/>
      <c r="BB30" s="188"/>
      <c r="BC30" s="188"/>
      <c r="BD30" s="196"/>
      <c r="BE30" s="196"/>
      <c r="BF30" s="196"/>
      <c r="BG30" s="192"/>
      <c r="BH30" s="194"/>
      <c r="BI30" s="194"/>
      <c r="BJ30" s="195"/>
      <c r="BK30" s="194"/>
    </row>
    <row r="31" spans="1:63" x14ac:dyDescent="0.25">
      <c r="A31" s="172"/>
      <c r="B31" s="177"/>
      <c r="C31" s="165"/>
      <c r="D31" s="171"/>
      <c r="E31" s="189"/>
      <c r="F31" s="188"/>
      <c r="G31" s="188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4"/>
      <c r="T31" s="208"/>
      <c r="U31" s="220"/>
      <c r="V31" s="220"/>
      <c r="W31" s="220"/>
      <c r="X31" s="220"/>
      <c r="Y31" s="220"/>
      <c r="Z31" s="220"/>
      <c r="AA31" s="220"/>
      <c r="AB31" s="220"/>
      <c r="AC31" s="220"/>
      <c r="AD31" s="220"/>
      <c r="AE31" s="220"/>
      <c r="AF31" s="220"/>
      <c r="AG31" s="219"/>
      <c r="AH31" s="225">
        <f>SUM(PORTEFEUILLE_AUTRE_COMPTABLE[[#This Row],[PCR COMPTABLE €]:[MONTANT
RESPONSABLE RELATION CLIENT €]])-PORTEFEUILLE_AUTRE_COMPTABLE[[#This Row],[MONTANT TOTAL LETTRE DE MISION €]]</f>
        <v>0</v>
      </c>
      <c r="AI31" s="191"/>
      <c r="AJ31" s="188"/>
      <c r="AK31" s="188"/>
      <c r="AL31" s="188"/>
      <c r="AM31" s="188"/>
      <c r="AN31" s="196"/>
      <c r="AO31" s="196"/>
      <c r="AP31" s="196"/>
      <c r="AQ31" s="196"/>
      <c r="AR3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1" s="188" t="str">
        <f>IF(PORTEFEUILLE_AUTRE_COMPTABLE[[#This Row],[BONI AAC]]&lt;&gt;0,1,"")</f>
        <v/>
      </c>
      <c r="AU31" s="188" t="str">
        <f>IF(PORTEFEUILLE_AUTRE_COMPTABLE[[#This Row],[MALI AAC]]&lt;&gt;0,1,"")</f>
        <v/>
      </c>
      <c r="AV31" s="225">
        <f>IF(AP31&lt;&gt;"",IF((AP31*Paramètres!$H$4)-PORTEFEUILLE_AUTRE_COMPTABLE[[#This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€]]-(DELPHINE!AP23*Paramètres!$H$4),0),0)</f>
        <v>0</v>
      </c>
      <c r="AW31" s="225">
        <f>IF(AP31&lt;&gt;"",IF(((AP31*Paramètres!$H$4)-PORTEFEUILLE_AUTRE_COMPTABLE[[#This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1" s="190" t="str">
        <f>IF(PORTEFEUILLE_AUTRE_COMPTABLE[[#This Row],[BONI COMPTABLE]]&lt;&gt;0,1,"")</f>
        <v/>
      </c>
      <c r="AY31" s="190" t="str">
        <f>IF(PORTEFEUILLE_AUTRE_COMPTABLE[[#This Row],[MALI COMPTABLE]]&lt;&gt;0,1,"")</f>
        <v/>
      </c>
      <c r="AZ31" s="196"/>
      <c r="BA31" s="188"/>
      <c r="BB31" s="188"/>
      <c r="BC31" s="188"/>
      <c r="BD31" s="188"/>
      <c r="BE31" s="188"/>
      <c r="BF31" s="188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SUM(PORTEFEUILLE_AUTRE_COMPTABLE[[#This Row],[PCR COMPTABLE €]:[MONTANT
RESPONSABLE RELATION CLIENT €]])-PORTEFEUILLE_AUTRE_COMPTABLE[[#This Row],[MONTANT TOTAL LETTRE DE MISION €]]</f>
        <v>0</v>
      </c>
      <c r="AI32" s="191"/>
      <c r="AJ32" s="188"/>
      <c r="AK32" s="188"/>
      <c r="AL32" s="188"/>
      <c r="AM32" s="188"/>
      <c r="AN32" s="188"/>
      <c r="AO32" s="188"/>
      <c r="AP32" s="188"/>
      <c r="AQ32" s="188"/>
      <c r="AR3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2" s="188" t="str">
        <f>IF(PORTEFEUILLE_AUTRE_COMPTABLE[[#This Row],[BONI AAC]]&lt;&gt;0,1,"")</f>
        <v/>
      </c>
      <c r="AU32" s="188" t="str">
        <f>IF(PORTEFEUILLE_AUTRE_COMPTABLE[[#This Row],[MALI AAC]]&lt;&gt;0,1,"")</f>
        <v/>
      </c>
      <c r="AV32" s="225">
        <f>IF(AP32&lt;&gt;"",IF((AP32*Paramètres!$H$4)-PORTEFEUILLE_AUTRE_COMPTABLE[[#This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€]]-(DELPHINE!AP24*Paramètres!$H$4),0),0)</f>
        <v>0</v>
      </c>
      <c r="AW32" s="225">
        <f>IF(AP32&lt;&gt;"",IF(((AP32*Paramètres!$H$4)-PORTEFEUILLE_AUTRE_COMPTABLE[[#This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2" s="190" t="str">
        <f>IF(PORTEFEUILLE_AUTRE_COMPTABLE[[#This Row],[BONI COMPTABLE]]&lt;&gt;0,1,"")</f>
        <v/>
      </c>
      <c r="AY32" s="190" t="str">
        <f>IF(PORTEFEUILLE_AUTRE_COMPTABLE[[#This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8"/>
      <c r="C33" s="165"/>
      <c r="D33" s="171"/>
      <c r="E33" s="189"/>
      <c r="F33" s="188"/>
      <c r="G33" s="189"/>
      <c r="H33" s="189"/>
      <c r="I33" s="189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3"/>
      <c r="T33" s="207"/>
      <c r="U33" s="219"/>
      <c r="V33" s="219"/>
      <c r="W33" s="219"/>
      <c r="X33" s="219"/>
      <c r="Y33" s="219"/>
      <c r="Z33" s="219"/>
      <c r="AA33" s="219"/>
      <c r="AB33" s="219"/>
      <c r="AC33" s="219"/>
      <c r="AD33" s="219"/>
      <c r="AE33" s="219"/>
      <c r="AF33" s="219"/>
      <c r="AG33" s="219"/>
      <c r="AH33" s="225">
        <f>SUM(PORTEFEUILLE_AUTRE_COMPTABLE[[#This Row],[PCR COMPTABLE €]:[MONTANT
RESPONSABLE RELATION CLIENT €]])-PORTEFEUILLE_AUTRE_COMPTABLE[[#This Row],[MONTANT TOTAL LETTRE DE MISION €]]</f>
        <v>0</v>
      </c>
      <c r="AI33" s="191"/>
      <c r="AJ33" s="188"/>
      <c r="AK33" s="188"/>
      <c r="AL33" s="188"/>
      <c r="AM33" s="188"/>
      <c r="AN33" s="188"/>
      <c r="AO33" s="188"/>
      <c r="AP33" s="188"/>
      <c r="AQ33" s="188"/>
      <c r="AR3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3" s="188" t="str">
        <f>IF(PORTEFEUILLE_AUTRE_COMPTABLE[[#This Row],[BONI AAC]]&lt;&gt;0,1,"")</f>
        <v/>
      </c>
      <c r="AU33" s="188" t="str">
        <f>IF(PORTEFEUILLE_AUTRE_COMPTABLE[[#This Row],[MALI AAC]]&lt;&gt;0,1,"")</f>
        <v/>
      </c>
      <c r="AV33" s="225">
        <f>IF(AP33&lt;&gt;"",IF((AP33*Paramètres!$H$4)-PORTEFEUILLE_AUTRE_COMPTABLE[[#This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€]]-(DELPHINE!AP25*Paramètres!$H$4),0),0)</f>
        <v>0</v>
      </c>
      <c r="AW33" s="225">
        <f>IF(AP33&lt;&gt;"",IF(((AP33*Paramètres!$H$4)-PORTEFEUILLE_AUTRE_COMPTABLE[[#This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3" s="190" t="str">
        <f>IF(PORTEFEUILLE_AUTRE_COMPTABLE[[#This Row],[BONI COMPTABLE]]&lt;&gt;0,1,"")</f>
        <v/>
      </c>
      <c r="AY33" s="190" t="str">
        <f>IF(PORTEFEUILLE_AUTRE_COMPTABLE[[#This Row],[MALI COMPTABLE]]&lt;&gt;0,1,"")</f>
        <v/>
      </c>
      <c r="AZ33" s="188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8"/>
      <c r="C34" s="165"/>
      <c r="D34" s="171"/>
      <c r="E34" s="189"/>
      <c r="F34" s="188"/>
      <c r="G34" s="189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3"/>
      <c r="T34" s="207"/>
      <c r="U34" s="219"/>
      <c r="V34" s="219"/>
      <c r="W34" s="219"/>
      <c r="X34" s="219"/>
      <c r="Y34" s="219"/>
      <c r="Z34" s="219"/>
      <c r="AA34" s="219"/>
      <c r="AB34" s="219"/>
      <c r="AC34" s="219"/>
      <c r="AD34" s="219"/>
      <c r="AE34" s="219"/>
      <c r="AF34" s="219"/>
      <c r="AG34" s="219"/>
      <c r="AH34" s="225">
        <f>SUM(PORTEFEUILLE_AUTRE_COMPTABLE[[#This Row],[PCR COMPTABLE €]:[MONTANT
RESPONSABLE RELATION CLIENT €]])-PORTEFEUILLE_AUTRE_COMPTABLE[[#This Row],[MONTANT TOTAL LETTRE DE MISION €]]</f>
        <v>0</v>
      </c>
      <c r="AI34" s="191"/>
      <c r="AJ34" s="188"/>
      <c r="AK34" s="188"/>
      <c r="AL34" s="188"/>
      <c r="AM34" s="188"/>
      <c r="AN34" s="188"/>
      <c r="AO34" s="188"/>
      <c r="AP34" s="188"/>
      <c r="AQ34" s="188"/>
      <c r="AR3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4" s="188" t="str">
        <f>IF(PORTEFEUILLE_AUTRE_COMPTABLE[[#This Row],[BONI AAC]]&lt;&gt;0,1,"")</f>
        <v/>
      </c>
      <c r="AU34" s="188" t="str">
        <f>IF(PORTEFEUILLE_AUTRE_COMPTABLE[[#This Row],[MALI AAC]]&lt;&gt;0,1,"")</f>
        <v/>
      </c>
      <c r="AV34" s="225">
        <f>IF(AP34&lt;&gt;"",IF((AP34*Paramètres!$H$4)-PORTEFEUILLE_AUTRE_COMPTABLE[[#This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€]]-(DELPHINE!AP26*Paramètres!$H$4),0),0)</f>
        <v>0</v>
      </c>
      <c r="AW34" s="225">
        <f>IF(AP34&lt;&gt;"",IF(((AP34*Paramètres!$H$4)-PORTEFEUILLE_AUTRE_COMPTABLE[[#This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4" s="190" t="str">
        <f>IF(PORTEFEUILLE_AUTRE_COMPTABLE[[#This Row],[BONI COMPTABLE]]&lt;&gt;0,1,"")</f>
        <v/>
      </c>
      <c r="AY34" s="190" t="str">
        <f>IF(PORTEFEUILLE_AUTRE_COMPTABLE[[#This Row],[MALI COMPTABLE]]&lt;&gt;0,1,"")</f>
        <v/>
      </c>
      <c r="AZ34" s="188"/>
      <c r="BA34" s="188"/>
      <c r="BB34" s="188"/>
      <c r="BC34" s="188"/>
      <c r="BD34" s="196"/>
      <c r="BE34" s="196"/>
      <c r="BF34" s="196"/>
      <c r="BG34" s="192"/>
      <c r="BH34" s="194"/>
      <c r="BI34" s="194"/>
      <c r="BJ34" s="195"/>
      <c r="BK34" s="194"/>
    </row>
    <row r="35" spans="1:63" x14ac:dyDescent="0.25">
      <c r="A35" s="172"/>
      <c r="B35" s="179"/>
      <c r="C35" s="165"/>
      <c r="D35" s="171"/>
      <c r="E35" s="189"/>
      <c r="F35" s="188"/>
      <c r="G35" s="188"/>
      <c r="H35" s="189"/>
      <c r="I35" s="189"/>
      <c r="J35" s="19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SUM(PORTEFEUILLE_AUTRE_COMPTABLE[[#This Row],[PCR COMPTABLE €]:[MONTANT
RESPONSABLE RELATION CLIENT €]])-PORTEFEUILLE_AUTRE_COMPTABLE[[#This Row],[MONTANT TOTAL LETTRE DE MISION €]]</f>
        <v>0</v>
      </c>
      <c r="AI35" s="191"/>
      <c r="AJ35" s="188"/>
      <c r="AK35" s="188"/>
      <c r="AL35" s="188"/>
      <c r="AM35" s="188"/>
      <c r="AN35" s="188"/>
      <c r="AO35" s="188"/>
      <c r="AP35" s="188"/>
      <c r="AQ35" s="188"/>
      <c r="AR3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5" s="188" t="str">
        <f>IF(PORTEFEUILLE_AUTRE_COMPTABLE[[#This Row],[BONI AAC]]&lt;&gt;0,1,"")</f>
        <v/>
      </c>
      <c r="AU35" s="188" t="str">
        <f>IF(PORTEFEUILLE_AUTRE_COMPTABLE[[#This Row],[MALI AAC]]&lt;&gt;0,1,"")</f>
        <v/>
      </c>
      <c r="AV35" s="225">
        <f>IF(AP35&lt;&gt;"",IF((AP35*Paramètres!$H$4)-PORTEFEUILLE_AUTRE_COMPTABLE[[#This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€]]-(DELPHINE!AP27*Paramètres!$H$4),0),0)</f>
        <v>0</v>
      </c>
      <c r="AW35" s="225">
        <f>IF(AP35&lt;&gt;"",IF(((AP35*Paramètres!$H$4)-PORTEFEUILLE_AUTRE_COMPTABLE[[#This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5" s="190" t="str">
        <f>IF(PORTEFEUILLE_AUTRE_COMPTABLE[[#This Row],[BONI COMPTABLE]]&lt;&gt;0,1,"")</f>
        <v/>
      </c>
      <c r="AY35" s="190" t="str">
        <f>IF(PORTEFEUILLE_AUTRE_COMPTABLE[[#This Row],[MALI COMPTABLE]]&lt;&gt;0,1,"")</f>
        <v/>
      </c>
      <c r="AZ35" s="188"/>
      <c r="BA35" s="188"/>
      <c r="BB35" s="188"/>
      <c r="BC35" s="188"/>
      <c r="BD35" s="196"/>
      <c r="BE35" s="196"/>
      <c r="BF35" s="196"/>
      <c r="BG35" s="192"/>
      <c r="BH35" s="194"/>
      <c r="BI35" s="194"/>
      <c r="BJ35" s="195"/>
      <c r="BK35" s="194"/>
    </row>
    <row r="36" spans="1:63" x14ac:dyDescent="0.25">
      <c r="A36" s="172"/>
      <c r="B36" s="180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SUM(PORTEFEUILLE_AUTRE_COMPTABLE[[#This Row],[PCR COMPTABLE €]:[MONTANT
RESPONSABLE RELATION CLIENT €]])-PORTEFEUILLE_AUTRE_COMPTABLE[[#This Row],[MONTANT TOTAL LETTRE DE MISION €]]</f>
        <v>0</v>
      </c>
      <c r="AI36" s="191"/>
      <c r="AJ36" s="188"/>
      <c r="AK36" s="188"/>
      <c r="AL36" s="188"/>
      <c r="AM36" s="188"/>
      <c r="AN36" s="188"/>
      <c r="AO36" s="188"/>
      <c r="AP36" s="188"/>
      <c r="AQ36" s="188"/>
      <c r="AR3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6" s="188" t="str">
        <f>IF(PORTEFEUILLE_AUTRE_COMPTABLE[[#This Row],[BONI AAC]]&lt;&gt;0,1,"")</f>
        <v/>
      </c>
      <c r="AU36" s="188" t="str">
        <f>IF(PORTEFEUILLE_AUTRE_COMPTABLE[[#This Row],[MALI AAC]]&lt;&gt;0,1,"")</f>
        <v/>
      </c>
      <c r="AV36" s="225">
        <f>IF(AP36&lt;&gt;"",IF((AP36*Paramètres!$H$4)-PORTEFEUILLE_AUTRE_COMPTABLE[[#This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€]]-(DELPHINE!AP28*Paramètres!$H$4),0),0)</f>
        <v>0</v>
      </c>
      <c r="AW36" s="225">
        <f>IF(AP36&lt;&gt;"",IF(((AP36*Paramètres!$H$4)-PORTEFEUILLE_AUTRE_COMPTABLE[[#This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6" s="190" t="str">
        <f>IF(PORTEFEUILLE_AUTRE_COMPTABLE[[#This Row],[BONI COMPTABLE]]&lt;&gt;0,1,"")</f>
        <v/>
      </c>
      <c r="AY36" s="190" t="str">
        <f>IF(PORTEFEUILLE_AUTRE_COMPTABLE[[#This Row],[MALI COMPTABLE]]&lt;&gt;0,1,"")</f>
        <v/>
      </c>
      <c r="AZ36" s="188"/>
      <c r="BA36" s="188"/>
      <c r="BB36" s="188"/>
      <c r="BC36" s="188"/>
      <c r="BD36" s="188"/>
      <c r="BE36" s="188"/>
      <c r="BF36" s="188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SUM(PORTEFEUILLE_AUTRE_COMPTABLE[[#This Row],[PCR COMPTABLE €]:[MONTANT
RESPONSABLE RELATION CLIENT €]])-PORTEFEUILLE_AUTRE_COMPTABLE[[#This Row],[MONTANT TOTAL LETTRE DE MISION €]]</f>
        <v>0</v>
      </c>
      <c r="AI37" s="191"/>
      <c r="AJ37" s="188"/>
      <c r="AK37" s="188"/>
      <c r="AL37" s="188"/>
      <c r="AM37" s="188"/>
      <c r="AN37" s="188"/>
      <c r="AO37" s="188"/>
      <c r="AP37" s="188"/>
      <c r="AQ37" s="188"/>
      <c r="AR3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7" s="188" t="str">
        <f>IF(PORTEFEUILLE_AUTRE_COMPTABLE[[#This Row],[BONI AAC]]&lt;&gt;0,1,"")</f>
        <v/>
      </c>
      <c r="AU37" s="188" t="str">
        <f>IF(PORTEFEUILLE_AUTRE_COMPTABLE[[#This Row],[MALI AAC]]&lt;&gt;0,1,"")</f>
        <v/>
      </c>
      <c r="AV37" s="225">
        <f>IF(AP37&lt;&gt;"",IF((AP37*Paramètres!$H$4)-PORTEFEUILLE_AUTRE_COMPTABLE[[#This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€]]-(DELPHINE!AP29*Paramètres!$H$4),0),0)</f>
        <v>0</v>
      </c>
      <c r="AW37" s="225">
        <f>IF(AP37&lt;&gt;"",IF(((AP37*Paramètres!$H$4)-PORTEFEUILLE_AUTRE_COMPTABLE[[#This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7" s="190" t="str">
        <f>IF(PORTEFEUILLE_AUTRE_COMPTABLE[[#This Row],[BONI COMPTABLE]]&lt;&gt;0,1,"")</f>
        <v/>
      </c>
      <c r="AY37" s="190" t="str">
        <f>IF(PORTEFEUILLE_AUTRE_COMPTABLE[[#This Row],[MALI COMPTABLE]]&lt;&gt;0,1,"")</f>
        <v/>
      </c>
      <c r="AZ37" s="188"/>
      <c r="BA37" s="188"/>
      <c r="BB37" s="188"/>
      <c r="BC37" s="188"/>
      <c r="BD37" s="188"/>
      <c r="BE37" s="188"/>
      <c r="BF37" s="188"/>
      <c r="BG37" s="192"/>
      <c r="BH37" s="194"/>
      <c r="BI37" s="194"/>
      <c r="BJ37" s="195"/>
      <c r="BK37" s="194"/>
    </row>
    <row r="38" spans="1:63" x14ac:dyDescent="0.25">
      <c r="A38" s="172"/>
      <c r="B38" s="178"/>
      <c r="C38" s="165"/>
      <c r="D38" s="171"/>
      <c r="E38" s="189"/>
      <c r="F38" s="188"/>
      <c r="G38" s="188"/>
      <c r="H38" s="189"/>
      <c r="I38" s="189"/>
      <c r="J38" s="18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4"/>
      <c r="T38" s="208"/>
      <c r="U38" s="220"/>
      <c r="V38" s="220"/>
      <c r="W38" s="220"/>
      <c r="X38" s="220"/>
      <c r="Y38" s="220"/>
      <c r="Z38" s="220"/>
      <c r="AA38" s="220"/>
      <c r="AB38" s="220"/>
      <c r="AC38" s="220"/>
      <c r="AD38" s="220"/>
      <c r="AE38" s="220"/>
      <c r="AF38" s="220"/>
      <c r="AG38" s="219"/>
      <c r="AH38" s="225">
        <f>SUM(PORTEFEUILLE_AUTRE_COMPTABLE[[#This Row],[PCR COMPTABLE €]:[MONTANT
RESPONSABLE RELATION CLIENT €]])-PORTEFEUILLE_AUTRE_COMPTABLE[[#This Row],[MONTANT TOTAL LETTRE DE MISION €]]</f>
        <v>0</v>
      </c>
      <c r="AI38" s="191"/>
      <c r="AJ38" s="188"/>
      <c r="AK38" s="188"/>
      <c r="AL38" s="188"/>
      <c r="AM38" s="188"/>
      <c r="AN38" s="196"/>
      <c r="AO38" s="196"/>
      <c r="AP38" s="196"/>
      <c r="AQ38" s="196"/>
      <c r="AR3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8" s="188" t="str">
        <f>IF(PORTEFEUILLE_AUTRE_COMPTABLE[[#This Row],[BONI AAC]]&lt;&gt;0,1,"")</f>
        <v/>
      </c>
      <c r="AU38" s="188" t="str">
        <f>IF(PORTEFEUILLE_AUTRE_COMPTABLE[[#This Row],[MALI AAC]]&lt;&gt;0,1,"")</f>
        <v/>
      </c>
      <c r="AV38" s="225">
        <f>IF(AP38&lt;&gt;"",IF((AP38*Paramètres!$H$4)-PORTEFEUILLE_AUTRE_COMPTABLE[[#This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€]]-(DELPHINE!AP30*Paramètres!$H$4),0),0)</f>
        <v>0</v>
      </c>
      <c r="AW38" s="225">
        <f>IF(AP38&lt;&gt;"",IF(((AP38*Paramètres!$H$4)-PORTEFEUILLE_AUTRE_COMPTABLE[[#This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8" s="190" t="str">
        <f>IF(PORTEFEUILLE_AUTRE_COMPTABLE[[#This Row],[BONI COMPTABLE]]&lt;&gt;0,1,"")</f>
        <v/>
      </c>
      <c r="AY38" s="190" t="str">
        <f>IF(PORTEFEUILLE_AUTRE_COMPTABLE[[#This Row],[MALI COMPTABLE]]&lt;&gt;0,1,"")</f>
        <v/>
      </c>
      <c r="AZ38" s="196"/>
      <c r="BA38" s="188"/>
      <c r="BB38" s="188"/>
      <c r="BC38" s="188"/>
      <c r="BD38" s="188"/>
      <c r="BE38" s="188"/>
      <c r="BF38" s="188"/>
      <c r="BG38" s="192"/>
      <c r="BH38" s="194"/>
      <c r="BI38" s="194"/>
      <c r="BJ38" s="195"/>
      <c r="BK38" s="194"/>
    </row>
    <row r="39" spans="1:63" x14ac:dyDescent="0.25">
      <c r="A39" s="172"/>
      <c r="B39" s="178"/>
      <c r="C39" s="165"/>
      <c r="D39" s="171"/>
      <c r="E39" s="189"/>
      <c r="F39" s="188"/>
      <c r="G39" s="188"/>
      <c r="H39" s="189"/>
      <c r="I39" s="188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4"/>
      <c r="T39" s="208"/>
      <c r="U39" s="220"/>
      <c r="V39" s="220"/>
      <c r="W39" s="220"/>
      <c r="X39" s="220"/>
      <c r="Y39" s="220"/>
      <c r="Z39" s="220"/>
      <c r="AA39" s="220"/>
      <c r="AB39" s="220"/>
      <c r="AC39" s="220"/>
      <c r="AD39" s="220"/>
      <c r="AE39" s="220"/>
      <c r="AF39" s="220"/>
      <c r="AG39" s="219"/>
      <c r="AH39" s="225">
        <f>SUM(PORTEFEUILLE_AUTRE_COMPTABLE[[#This Row],[PCR COMPTABLE €]:[MONTANT
RESPONSABLE RELATION CLIENT €]])-PORTEFEUILLE_AUTRE_COMPTABLE[[#This Row],[MONTANT TOTAL LETTRE DE MISION €]]</f>
        <v>0</v>
      </c>
      <c r="AI39" s="191"/>
      <c r="AJ39" s="188"/>
      <c r="AK39" s="188"/>
      <c r="AL39" s="188"/>
      <c r="AM39" s="188"/>
      <c r="AN39" s="196"/>
      <c r="AO39" s="196"/>
      <c r="AP39" s="196"/>
      <c r="AQ39" s="196"/>
      <c r="AR3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9" s="188" t="str">
        <f>IF(PORTEFEUILLE_AUTRE_COMPTABLE[[#This Row],[BONI AAC]]&lt;&gt;0,1,"")</f>
        <v/>
      </c>
      <c r="AU39" s="188" t="str">
        <f>IF(PORTEFEUILLE_AUTRE_COMPTABLE[[#This Row],[MALI AAC]]&lt;&gt;0,1,"")</f>
        <v/>
      </c>
      <c r="AV39" s="225">
        <f>IF(AP39&lt;&gt;"",IF((AP39*Paramètres!$H$4)-PORTEFEUILLE_AUTRE_COMPTABLE[[#This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€]]-(DELPHINE!AP31*Paramètres!$H$4),0),0)</f>
        <v>0</v>
      </c>
      <c r="AW39" s="225">
        <f>IF(AP39&lt;&gt;"",IF(((AP39*Paramètres!$H$4)-PORTEFEUILLE_AUTRE_COMPTABLE[[#This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9" s="190" t="str">
        <f>IF(PORTEFEUILLE_AUTRE_COMPTABLE[[#This Row],[BONI COMPTABLE]]&lt;&gt;0,1,"")</f>
        <v/>
      </c>
      <c r="AY39" s="190" t="str">
        <f>IF(PORTEFEUILLE_AUTRE_COMPTABLE[[#This Row],[MALI COMPTABLE]]&lt;&gt;0,1,"")</f>
        <v/>
      </c>
      <c r="AZ39" s="196"/>
      <c r="BA39" s="188"/>
      <c r="BB39" s="188"/>
      <c r="BC39" s="188"/>
      <c r="BD39" s="196"/>
      <c r="BE39" s="196"/>
      <c r="BF39" s="196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SUM(PORTEFEUILLE_AUTRE_COMPTABLE[[#This Row],[PCR COMPTABLE €]:[MONTANT
RESPONSABLE RELATION CLIENT €]])-PORTEFEUILLE_AUTRE_COMPTABLE[[#This Row],[MONTANT TOTAL LETTRE DE MISION €]]</f>
        <v>0</v>
      </c>
      <c r="AI40" s="191"/>
      <c r="AJ40" s="188"/>
      <c r="AK40" s="188"/>
      <c r="AL40" s="188"/>
      <c r="AM40" s="188"/>
      <c r="AN40" s="188"/>
      <c r="AO40" s="188"/>
      <c r="AP40" s="188"/>
      <c r="AQ40" s="188"/>
      <c r="AR4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0" s="188" t="str">
        <f>IF(PORTEFEUILLE_AUTRE_COMPTABLE[[#This Row],[BONI AAC]]&lt;&gt;0,1,"")</f>
        <v/>
      </c>
      <c r="AU40" s="188" t="str">
        <f>IF(PORTEFEUILLE_AUTRE_COMPTABLE[[#This Row],[MALI AAC]]&lt;&gt;0,1,"")</f>
        <v/>
      </c>
      <c r="AV40" s="225">
        <f>IF(AP40&lt;&gt;"",IF((AP40*Paramètres!$H$4)-PORTEFEUILLE_AUTRE_COMPTABLE[[#This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€]]-(DELPHINE!AP32*Paramètres!$H$4),0),0)</f>
        <v>0</v>
      </c>
      <c r="AW40" s="225">
        <f>IF(AP40&lt;&gt;"",IF(((AP40*Paramètres!$H$4)-PORTEFEUILLE_AUTRE_COMPTABLE[[#This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0" s="190" t="str">
        <f>IF(PORTEFEUILLE_AUTRE_COMPTABLE[[#This Row],[BONI COMPTABLE]]&lt;&gt;0,1,"")</f>
        <v/>
      </c>
      <c r="AY40" s="190" t="str">
        <f>IF(PORTEFEUILLE_AUTRE_COMPTABLE[[#This Row],[MALI COMPTABLE]]&lt;&gt;0,1,"")</f>
        <v/>
      </c>
      <c r="AZ40" s="188"/>
      <c r="BA40" s="188"/>
      <c r="BB40" s="188"/>
      <c r="BC40" s="188"/>
      <c r="BD40" s="196"/>
      <c r="BE40" s="196"/>
      <c r="BF40" s="196"/>
      <c r="BG40" s="192"/>
      <c r="BH40" s="194"/>
      <c r="BI40" s="194"/>
      <c r="BJ40" s="195"/>
      <c r="BK40" s="194"/>
    </row>
    <row r="41" spans="1:63" s="241" customFormat="1" x14ac:dyDescent="0.25">
      <c r="A41" s="172"/>
      <c r="B41" s="181"/>
      <c r="C41" s="165"/>
      <c r="D41" s="165"/>
      <c r="E41" s="189"/>
      <c r="F41" s="188"/>
      <c r="G41" s="189"/>
      <c r="H41" s="189"/>
      <c r="I41" s="189"/>
      <c r="J41" s="19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3"/>
      <c r="T41" s="207"/>
      <c r="U41" s="219"/>
      <c r="V41" s="219"/>
      <c r="W41" s="219"/>
      <c r="X41" s="219"/>
      <c r="Y41" s="219"/>
      <c r="Z41" s="219"/>
      <c r="AA41" s="219"/>
      <c r="AB41" s="219"/>
      <c r="AC41" s="219"/>
      <c r="AD41" s="219"/>
      <c r="AE41" s="219"/>
      <c r="AF41" s="219"/>
      <c r="AG41" s="219"/>
      <c r="AH41" s="225">
        <f>SUM(PORTEFEUILLE_AUTRE_COMPTABLE[[#This Row],[PCR COMPTABLE €]:[MONTANT
RESPONSABLE RELATION CLIENT €]])-PORTEFEUILLE_AUTRE_COMPTABLE[[#This Row],[MONTANT TOTAL LETTRE DE MISION €]]</f>
        <v>0</v>
      </c>
      <c r="AI41" s="191"/>
      <c r="AJ41" s="188"/>
      <c r="AK41" s="188"/>
      <c r="AL41" s="188"/>
      <c r="AM41" s="188"/>
      <c r="AN41" s="188"/>
      <c r="AO41" s="188"/>
      <c r="AP41" s="188"/>
      <c r="AQ41" s="188"/>
      <c r="AR4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1" s="188" t="str">
        <f>IF(PORTEFEUILLE_AUTRE_COMPTABLE[[#This Row],[BONI AAC]]&lt;&gt;0,1,"")</f>
        <v/>
      </c>
      <c r="AU41" s="188" t="str">
        <f>IF(PORTEFEUILLE_AUTRE_COMPTABLE[[#This Row],[MALI AAC]]&lt;&gt;0,1,"")</f>
        <v/>
      </c>
      <c r="AV41" s="225">
        <f>IF(AP41&lt;&gt;"",IF((AP41*Paramètres!$H$4)-PORTEFEUILLE_AUTRE_COMPTABLE[[#This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€]]-(DELPHINE!AP33*Paramètres!$H$4),0),0)</f>
        <v>0</v>
      </c>
      <c r="AW41" s="225">
        <f>IF(AP41&lt;&gt;"",IF(((AP41*Paramètres!$H$4)-PORTEFEUILLE_AUTRE_COMPTABLE[[#This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1" s="190" t="str">
        <f>IF(PORTEFEUILLE_AUTRE_COMPTABLE[[#This Row],[BONI COMPTABLE]]&lt;&gt;0,1,"")</f>
        <v/>
      </c>
      <c r="AY41" s="190" t="str">
        <f>IF(PORTEFEUILLE_AUTRE_COMPTABLE[[#This Row],[MALI COMPTABLE]]&lt;&gt;0,1,"")</f>
        <v/>
      </c>
      <c r="AZ41" s="188"/>
      <c r="BA41" s="188"/>
      <c r="BB41" s="188"/>
      <c r="BC41" s="188"/>
      <c r="BD41" s="196"/>
      <c r="BE41" s="196"/>
      <c r="BF41" s="196"/>
      <c r="BG41" s="192"/>
      <c r="BH41" s="194"/>
      <c r="BI41" s="194"/>
      <c r="BJ41" s="195"/>
      <c r="BK41" s="194"/>
    </row>
    <row r="42" spans="1:63" x14ac:dyDescent="0.25">
      <c r="A42" s="172"/>
      <c r="B42" s="181"/>
      <c r="C42" s="165"/>
      <c r="D42" s="165"/>
      <c r="E42" s="189"/>
      <c r="F42" s="188"/>
      <c r="G42" s="189"/>
      <c r="H42" s="189"/>
      <c r="I42" s="189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3"/>
      <c r="T42" s="207"/>
      <c r="U42" s="219"/>
      <c r="V42" s="219"/>
      <c r="W42" s="219"/>
      <c r="X42" s="219"/>
      <c r="Y42" s="219"/>
      <c r="Z42" s="219"/>
      <c r="AA42" s="219"/>
      <c r="AB42" s="219"/>
      <c r="AC42" s="219"/>
      <c r="AD42" s="219"/>
      <c r="AE42" s="219"/>
      <c r="AF42" s="219"/>
      <c r="AG42" s="219"/>
      <c r="AH42" s="225">
        <f>SUM(PORTEFEUILLE_AUTRE_COMPTABLE[[#This Row],[PCR COMPTABLE €]:[MONTANT
RESPONSABLE RELATION CLIENT €]])-PORTEFEUILLE_AUTRE_COMPTABLE[[#This Row],[MONTANT TOTAL LETTRE DE MISION €]]</f>
        <v>0</v>
      </c>
      <c r="AI42" s="191"/>
      <c r="AJ42" s="188"/>
      <c r="AK42" s="188"/>
      <c r="AL42" s="188"/>
      <c r="AM42" s="188"/>
      <c r="AN42" s="188"/>
      <c r="AO42" s="188"/>
      <c r="AP42" s="188"/>
      <c r="AQ42" s="188"/>
      <c r="AR4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2" s="188" t="str">
        <f>IF(PORTEFEUILLE_AUTRE_COMPTABLE[[#This Row],[BONI AAC]]&lt;&gt;0,1,"")</f>
        <v/>
      </c>
      <c r="AU42" s="188" t="str">
        <f>IF(PORTEFEUILLE_AUTRE_COMPTABLE[[#This Row],[MALI AAC]]&lt;&gt;0,1,"")</f>
        <v/>
      </c>
      <c r="AV42" s="225">
        <f>IF(AP42&lt;&gt;"",IF((AP42*Paramètres!$H$4)-PORTEFEUILLE_AUTRE_COMPTABLE[[#This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€]]-(DELPHINE!AP34*Paramètres!$H$4),0),0)</f>
        <v>0</v>
      </c>
      <c r="AW42" s="225">
        <f>IF(AP42&lt;&gt;"",IF(((AP42*Paramètres!$H$4)-PORTEFEUILLE_AUTRE_COMPTABLE[[#This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2" s="190" t="str">
        <f>IF(PORTEFEUILLE_AUTRE_COMPTABLE[[#This Row],[BONI COMPTABLE]]&lt;&gt;0,1,"")</f>
        <v/>
      </c>
      <c r="AY42" s="190" t="str">
        <f>IF(PORTEFEUILLE_AUTRE_COMPTABLE[[#This Row],[MALI COMPTABLE]]&lt;&gt;0,1,"")</f>
        <v/>
      </c>
      <c r="AZ42" s="188"/>
      <c r="BA42" s="188"/>
      <c r="BB42" s="188"/>
      <c r="BC42" s="188"/>
      <c r="BD42" s="188"/>
      <c r="BE42" s="188"/>
      <c r="BF42" s="188"/>
      <c r="BG42" s="192"/>
      <c r="BH42" s="194"/>
      <c r="BI42" s="194"/>
      <c r="BJ42" s="195"/>
      <c r="BK42" s="194"/>
    </row>
    <row r="43" spans="1:63" x14ac:dyDescent="0.25">
      <c r="A43" s="172"/>
      <c r="B43" s="181"/>
      <c r="C43" s="165"/>
      <c r="D43" s="171"/>
      <c r="E43" s="189"/>
      <c r="F43" s="188"/>
      <c r="G43" s="188"/>
      <c r="H43" s="189"/>
      <c r="I43" s="188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4"/>
      <c r="T43" s="208"/>
      <c r="U43" s="220"/>
      <c r="V43" s="220"/>
      <c r="W43" s="220"/>
      <c r="X43" s="220"/>
      <c r="Y43" s="220"/>
      <c r="Z43" s="220"/>
      <c r="AA43" s="220"/>
      <c r="AB43" s="220"/>
      <c r="AC43" s="220"/>
      <c r="AD43" s="220"/>
      <c r="AE43" s="220"/>
      <c r="AF43" s="220"/>
      <c r="AG43" s="219"/>
      <c r="AH43" s="225">
        <f>SUM(PORTEFEUILLE_AUTRE_COMPTABLE[[#This Row],[PCR COMPTABLE €]:[MONTANT
RESPONSABLE RELATION CLIENT €]])-PORTEFEUILLE_AUTRE_COMPTABLE[[#This Row],[MONTANT TOTAL LETTRE DE MISION €]]</f>
        <v>0</v>
      </c>
      <c r="AI43" s="191"/>
      <c r="AJ43" s="188"/>
      <c r="AK43" s="188"/>
      <c r="AL43" s="188"/>
      <c r="AM43" s="188"/>
      <c r="AN43" s="196"/>
      <c r="AO43" s="196"/>
      <c r="AP43" s="196"/>
      <c r="AQ43" s="196"/>
      <c r="AR4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3" s="188" t="str">
        <f>IF(PORTEFEUILLE_AUTRE_COMPTABLE[[#This Row],[BONI AAC]]&lt;&gt;0,1,"")</f>
        <v/>
      </c>
      <c r="AU43" s="188" t="str">
        <f>IF(PORTEFEUILLE_AUTRE_COMPTABLE[[#This Row],[MALI AAC]]&lt;&gt;0,1,"")</f>
        <v/>
      </c>
      <c r="AV43" s="225">
        <f>IF(AP43&lt;&gt;"",IF((AP43*Paramètres!$H$4)-PORTEFEUILLE_AUTRE_COMPTABLE[[#This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€]]-(DELPHINE!AP35*Paramètres!$H$4),0),0)</f>
        <v>0</v>
      </c>
      <c r="AW43" s="225">
        <f>IF(AP43&lt;&gt;"",IF(((AP43*Paramètres!$H$4)-PORTEFEUILLE_AUTRE_COMPTABLE[[#This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3" s="190" t="str">
        <f>IF(PORTEFEUILLE_AUTRE_COMPTABLE[[#This Row],[BONI COMPTABLE]]&lt;&gt;0,1,"")</f>
        <v/>
      </c>
      <c r="AY43" s="190" t="str">
        <f>IF(PORTEFEUILLE_AUTRE_COMPTABLE[[#This Row],[MALI COMPTABLE]]&lt;&gt;0,1,"")</f>
        <v/>
      </c>
      <c r="AZ43" s="196"/>
      <c r="BA43" s="188"/>
      <c r="BB43" s="188"/>
      <c r="BC43" s="188"/>
      <c r="BD43" s="188"/>
      <c r="BE43" s="188"/>
      <c r="BF43" s="188"/>
      <c r="BG43" s="192"/>
      <c r="BH43" s="194"/>
      <c r="BI43" s="194"/>
      <c r="BJ43" s="195"/>
      <c r="BK43" s="194"/>
    </row>
    <row r="44" spans="1:63" x14ac:dyDescent="0.25">
      <c r="A44" s="172"/>
      <c r="B44" s="181"/>
      <c r="C44" s="165"/>
      <c r="D44" s="171"/>
      <c r="E44" s="189"/>
      <c r="F44" s="188"/>
      <c r="G44" s="189"/>
      <c r="H44" s="189"/>
      <c r="I44" s="189"/>
      <c r="J44" s="18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SUM(PORTEFEUILLE_AUTRE_COMPTABLE[[#This Row],[PCR COMPTABLE €]:[MONTANT
RESPONSABLE RELATION CLIENT €]])-PORTEFEUILLE_AUTRE_COMPTABLE[[#This Row],[MONTANT TOTAL LETTRE DE MISION €]]</f>
        <v>0</v>
      </c>
      <c r="AI44" s="191"/>
      <c r="AJ44" s="188"/>
      <c r="AK44" s="188"/>
      <c r="AL44" s="188"/>
      <c r="AM44" s="188"/>
      <c r="AN44" s="188"/>
      <c r="AO44" s="188"/>
      <c r="AP44" s="188"/>
      <c r="AQ44" s="188"/>
      <c r="AR4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4" s="188" t="str">
        <f>IF(PORTEFEUILLE_AUTRE_COMPTABLE[[#This Row],[BONI AAC]]&lt;&gt;0,1,"")</f>
        <v/>
      </c>
      <c r="AU44" s="188" t="str">
        <f>IF(PORTEFEUILLE_AUTRE_COMPTABLE[[#This Row],[MALI AAC]]&lt;&gt;0,1,"")</f>
        <v/>
      </c>
      <c r="AV44" s="225">
        <f>IF(AP44&lt;&gt;"",IF((AP44*Paramètres!$H$4)-PORTEFEUILLE_AUTRE_COMPTABLE[[#This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€]]-(DELPHINE!AP36*Paramètres!$H$4),0),0)</f>
        <v>0</v>
      </c>
      <c r="AW44" s="225">
        <f>IF(AP44&lt;&gt;"",IF(((AP44*Paramètres!$H$4)-PORTEFEUILLE_AUTRE_COMPTABLE[[#This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4" s="190" t="str">
        <f>IF(PORTEFEUILLE_AUTRE_COMPTABLE[[#This Row],[BONI COMPTABLE]]&lt;&gt;0,1,"")</f>
        <v/>
      </c>
      <c r="AY44" s="190" t="str">
        <f>IF(PORTEFEUILLE_AUTRE_COMPTABLE[[#This Row],[MALI COMPTABLE]]&lt;&gt;0,1,"")</f>
        <v/>
      </c>
      <c r="AZ44" s="188"/>
      <c r="BA44" s="188"/>
      <c r="BB44" s="188"/>
      <c r="BC44" s="188"/>
      <c r="BD44" s="188"/>
      <c r="BE44" s="188"/>
      <c r="BF44" s="188"/>
      <c r="BG44" s="192"/>
      <c r="BH44" s="194"/>
      <c r="BI44" s="194"/>
      <c r="BJ44" s="195"/>
      <c r="BK44" s="194"/>
    </row>
    <row r="45" spans="1:63" x14ac:dyDescent="0.25">
      <c r="A45" s="172"/>
      <c r="B45" s="180"/>
      <c r="C45" s="165"/>
      <c r="D45" s="171"/>
      <c r="E45" s="189"/>
      <c r="F45" s="188"/>
      <c r="G45" s="188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4"/>
      <c r="T45" s="208"/>
      <c r="U45" s="220"/>
      <c r="V45" s="220"/>
      <c r="W45" s="220"/>
      <c r="X45" s="220"/>
      <c r="Y45" s="220"/>
      <c r="Z45" s="220"/>
      <c r="AA45" s="220"/>
      <c r="AB45" s="220"/>
      <c r="AC45" s="220"/>
      <c r="AD45" s="220"/>
      <c r="AE45" s="220"/>
      <c r="AF45" s="220"/>
      <c r="AG45" s="219"/>
      <c r="AH45" s="225">
        <f>SUM(PORTEFEUILLE_AUTRE_COMPTABLE[[#This Row],[PCR COMPTABLE €]:[MONTANT
RESPONSABLE RELATION CLIENT €]])-PORTEFEUILLE_AUTRE_COMPTABLE[[#This Row],[MONTANT TOTAL LETTRE DE MISION €]]</f>
        <v>0</v>
      </c>
      <c r="AI45" s="191"/>
      <c r="AJ45" s="188"/>
      <c r="AK45" s="188"/>
      <c r="AL45" s="188"/>
      <c r="AM45" s="188"/>
      <c r="AN45" s="196"/>
      <c r="AO45" s="196"/>
      <c r="AP45" s="196"/>
      <c r="AQ45" s="196"/>
      <c r="AR4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5" s="188" t="str">
        <f>IF(PORTEFEUILLE_AUTRE_COMPTABLE[[#This Row],[BONI AAC]]&lt;&gt;0,1,"")</f>
        <v/>
      </c>
      <c r="AU45" s="188" t="str">
        <f>IF(PORTEFEUILLE_AUTRE_COMPTABLE[[#This Row],[MALI AAC]]&lt;&gt;0,1,"")</f>
        <v/>
      </c>
      <c r="AV45" s="225">
        <f>IF(AP45&lt;&gt;"",IF((AP45*Paramètres!$H$4)-PORTEFEUILLE_AUTRE_COMPTABLE[[#This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€]]-(DELPHINE!AP37*Paramètres!$H$4),0),0)</f>
        <v>0</v>
      </c>
      <c r="AW45" s="225">
        <f>IF(AP45&lt;&gt;"",IF(((AP45*Paramètres!$H$4)-PORTEFEUILLE_AUTRE_COMPTABLE[[#This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5" s="190" t="str">
        <f>IF(PORTEFEUILLE_AUTRE_COMPTABLE[[#This Row],[BONI COMPTABLE]]&lt;&gt;0,1,"")</f>
        <v/>
      </c>
      <c r="AY45" s="190" t="str">
        <f>IF(PORTEFEUILLE_AUTRE_COMPTABLE[[#This Row],[MALI COMPTABLE]]&lt;&gt;0,1,"")</f>
        <v/>
      </c>
      <c r="AZ45" s="196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0"/>
      <c r="C46" s="165"/>
      <c r="D46" s="171"/>
      <c r="E46" s="189"/>
      <c r="F46" s="188"/>
      <c r="G46" s="189"/>
      <c r="H46" s="189"/>
      <c r="I46" s="189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3"/>
      <c r="T46" s="207"/>
      <c r="U46" s="219"/>
      <c r="V46" s="219"/>
      <c r="W46" s="219"/>
      <c r="X46" s="219"/>
      <c r="Y46" s="219"/>
      <c r="Z46" s="219"/>
      <c r="AA46" s="219"/>
      <c r="AB46" s="219"/>
      <c r="AC46" s="219"/>
      <c r="AD46" s="219"/>
      <c r="AE46" s="219"/>
      <c r="AF46" s="219"/>
      <c r="AG46" s="219"/>
      <c r="AH46" s="225">
        <f>SUM(PORTEFEUILLE_AUTRE_COMPTABLE[[#This Row],[PCR COMPTABLE €]:[MONTANT
RESPONSABLE RELATION CLIENT €]])-PORTEFEUILLE_AUTRE_COMPTABLE[[#This Row],[MONTANT TOTAL LETTRE DE MISION €]]</f>
        <v>0</v>
      </c>
      <c r="AI46" s="191"/>
      <c r="AJ46" s="188"/>
      <c r="AK46" s="188"/>
      <c r="AL46" s="188"/>
      <c r="AM46" s="188"/>
      <c r="AN46" s="188"/>
      <c r="AO46" s="188"/>
      <c r="AP46" s="188"/>
      <c r="AQ46" s="188"/>
      <c r="AR4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6" s="188" t="str">
        <f>IF(PORTEFEUILLE_AUTRE_COMPTABLE[[#This Row],[BONI AAC]]&lt;&gt;0,1,"")</f>
        <v/>
      </c>
      <c r="AU46" s="188" t="str">
        <f>IF(PORTEFEUILLE_AUTRE_COMPTABLE[[#This Row],[MALI AAC]]&lt;&gt;0,1,"")</f>
        <v/>
      </c>
      <c r="AV46" s="225">
        <f>IF(AP46&lt;&gt;"",IF((AP46*Paramètres!$H$4)-PORTEFEUILLE_AUTRE_COMPTABLE[[#This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€]]-(DELPHINE!AP38*Paramètres!$H$4),0),0)</f>
        <v>0</v>
      </c>
      <c r="AW46" s="225">
        <f>IF(AP46&lt;&gt;"",IF(((AP46*Paramètres!$H$4)-PORTEFEUILLE_AUTRE_COMPTABLE[[#This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6" s="190" t="str">
        <f>IF(PORTEFEUILLE_AUTRE_COMPTABLE[[#This Row],[BONI COMPTABLE]]&lt;&gt;0,1,"")</f>
        <v/>
      </c>
      <c r="AY46" s="190" t="str">
        <f>IF(PORTEFEUILLE_AUTRE_COMPTABLE[[#This Row],[MALI COMPTABLE]]&lt;&gt;0,1,"")</f>
        <v/>
      </c>
      <c r="AZ46" s="188"/>
      <c r="BA46" s="188"/>
      <c r="BB46" s="188"/>
      <c r="BC46" s="188"/>
      <c r="BD46" s="196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70"/>
      <c r="C47" s="165"/>
      <c r="D47" s="171"/>
      <c r="E47" s="189"/>
      <c r="F47" s="188"/>
      <c r="G47" s="188"/>
      <c r="H47" s="189"/>
      <c r="I47" s="188"/>
      <c r="J47" s="188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4"/>
      <c r="T47" s="208"/>
      <c r="U47" s="220"/>
      <c r="V47" s="220"/>
      <c r="W47" s="220"/>
      <c r="X47" s="220"/>
      <c r="Y47" s="220"/>
      <c r="Z47" s="220"/>
      <c r="AA47" s="220"/>
      <c r="AB47" s="220"/>
      <c r="AC47" s="220"/>
      <c r="AD47" s="220"/>
      <c r="AE47" s="220"/>
      <c r="AF47" s="220"/>
      <c r="AG47" s="219"/>
      <c r="AH47" s="225">
        <f>SUM(PORTEFEUILLE_AUTRE_COMPTABLE[[#This Row],[PCR COMPTABLE €]:[MONTANT
RESPONSABLE RELATION CLIENT €]])-PORTEFEUILLE_AUTRE_COMPTABLE[[#This Row],[MONTANT TOTAL LETTRE DE MISION €]]</f>
        <v>0</v>
      </c>
      <c r="AI47" s="191"/>
      <c r="AJ47" s="188"/>
      <c r="AK47" s="188"/>
      <c r="AL47" s="188"/>
      <c r="AM47" s="188"/>
      <c r="AN47" s="196"/>
      <c r="AO47" s="196"/>
      <c r="AP47" s="196"/>
      <c r="AQ47" s="196"/>
      <c r="AR4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7" s="188" t="str">
        <f>IF(PORTEFEUILLE_AUTRE_COMPTABLE[[#This Row],[BONI AAC]]&lt;&gt;0,1,"")</f>
        <v/>
      </c>
      <c r="AU47" s="188" t="str">
        <f>IF(PORTEFEUILLE_AUTRE_COMPTABLE[[#This Row],[MALI AAC]]&lt;&gt;0,1,"")</f>
        <v/>
      </c>
      <c r="AV47" s="225">
        <f>IF(AP47&lt;&gt;"",IF((AP47*Paramètres!$H$4)-PORTEFEUILLE_AUTRE_COMPTABLE[[#This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€]]-(DELPHINE!AP39*Paramètres!$H$4),0),0)</f>
        <v>0</v>
      </c>
      <c r="AW47" s="225">
        <f>IF(AP47&lt;&gt;"",IF(((AP47*Paramètres!$H$4)-PORTEFEUILLE_AUTRE_COMPTABLE[[#This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7" s="190" t="str">
        <f>IF(PORTEFEUILLE_AUTRE_COMPTABLE[[#This Row],[BONI COMPTABLE]]&lt;&gt;0,1,"")</f>
        <v/>
      </c>
      <c r="AY47" s="190" t="str">
        <f>IF(PORTEFEUILLE_AUTRE_COMPTABLE[[#This Row],[MALI COMPTABLE]]&lt;&gt;0,1,"")</f>
        <v/>
      </c>
      <c r="AZ47" s="196"/>
      <c r="BA47" s="188"/>
      <c r="BB47" s="188"/>
      <c r="BC47" s="188"/>
      <c r="BD47" s="196"/>
      <c r="BE47" s="196"/>
      <c r="BF47" s="196"/>
      <c r="BG47" s="192"/>
      <c r="BH47" s="194"/>
      <c r="BI47" s="194"/>
      <c r="BJ47" s="195"/>
      <c r="BK47" s="194"/>
    </row>
    <row r="48" spans="1:63" x14ac:dyDescent="0.25">
      <c r="A48" s="172"/>
      <c r="B48" s="170"/>
      <c r="C48" s="165"/>
      <c r="D48" s="171"/>
      <c r="E48" s="189"/>
      <c r="F48" s="188"/>
      <c r="G48" s="188"/>
      <c r="H48" s="189"/>
      <c r="I48" s="188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SUM(PORTEFEUILLE_AUTRE_COMPTABLE[[#This Row],[PCR COMPTABLE €]:[MONTANT
RESPONSABLE RELATION CLIENT €]])-PORTEFEUILLE_AUTRE_COMPTABLE[[#This Row],[MONTANT TOTAL LETTRE DE MISION €]]</f>
        <v>0</v>
      </c>
      <c r="AI48" s="191"/>
      <c r="AJ48" s="188"/>
      <c r="AK48" s="188"/>
      <c r="AL48" s="188"/>
      <c r="AM48" s="188"/>
      <c r="AN48" s="196"/>
      <c r="AO48" s="196"/>
      <c r="AP48" s="196"/>
      <c r="AQ48" s="196"/>
      <c r="AR4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8" s="188" t="str">
        <f>IF(PORTEFEUILLE_AUTRE_COMPTABLE[[#This Row],[BONI AAC]]&lt;&gt;0,1,"")</f>
        <v/>
      </c>
      <c r="AU48" s="188" t="str">
        <f>IF(PORTEFEUILLE_AUTRE_COMPTABLE[[#This Row],[MALI AAC]]&lt;&gt;0,1,"")</f>
        <v/>
      </c>
      <c r="AV48" s="225">
        <f>IF(AP48&lt;&gt;"",IF((AP48*Paramètres!$H$4)-PORTEFEUILLE_AUTRE_COMPTABLE[[#This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€]]-(DELPHINE!AP40*Paramètres!$H$4),0),0)</f>
        <v>0</v>
      </c>
      <c r="AW48" s="225">
        <f>IF(AP48&lt;&gt;"",IF(((AP48*Paramètres!$H$4)-PORTEFEUILLE_AUTRE_COMPTABLE[[#This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8" s="190" t="str">
        <f>IF(PORTEFEUILLE_AUTRE_COMPTABLE[[#This Row],[BONI COMPTABLE]]&lt;&gt;0,1,"")</f>
        <v/>
      </c>
      <c r="AY48" s="190" t="str">
        <f>IF(PORTEFEUILLE_AUTRE_COMPTABLE[[#This Row],[MALI COMPTABLE]]&lt;&gt;0,1,"")</f>
        <v/>
      </c>
      <c r="AZ48" s="196"/>
      <c r="BA48" s="188"/>
      <c r="BB48" s="188"/>
      <c r="BC48" s="188"/>
      <c r="BD48" s="196"/>
      <c r="BE48" s="196"/>
      <c r="BF48" s="196"/>
      <c r="BG48" s="192"/>
      <c r="BH48" s="194"/>
      <c r="BI48" s="194"/>
      <c r="BJ48" s="195"/>
      <c r="BK48" s="194"/>
    </row>
    <row r="49" spans="1:63" x14ac:dyDescent="0.25">
      <c r="A49" s="172"/>
      <c r="B49" s="170"/>
      <c r="C49" s="165"/>
      <c r="D49" s="171"/>
      <c r="E49" s="189"/>
      <c r="F49" s="188"/>
      <c r="G49" s="188"/>
      <c r="H49" s="189"/>
      <c r="I49" s="188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4"/>
      <c r="T49" s="208"/>
      <c r="U49" s="220"/>
      <c r="V49" s="220"/>
      <c r="W49" s="220"/>
      <c r="X49" s="220"/>
      <c r="Y49" s="220"/>
      <c r="Z49" s="220"/>
      <c r="AA49" s="220"/>
      <c r="AB49" s="220"/>
      <c r="AC49" s="220"/>
      <c r="AD49" s="220"/>
      <c r="AE49" s="220"/>
      <c r="AF49" s="220"/>
      <c r="AG49" s="219"/>
      <c r="AH49" s="225">
        <f>SUM(PORTEFEUILLE_AUTRE_COMPTABLE[[#This Row],[PCR COMPTABLE €]:[MONTANT
RESPONSABLE RELATION CLIENT €]])-PORTEFEUILLE_AUTRE_COMPTABLE[[#This Row],[MONTANT TOTAL LETTRE DE MISION €]]</f>
        <v>0</v>
      </c>
      <c r="AI49" s="191"/>
      <c r="AJ49" s="188"/>
      <c r="AK49" s="188"/>
      <c r="AL49" s="188"/>
      <c r="AM49" s="188"/>
      <c r="AN49" s="196"/>
      <c r="AO49" s="196"/>
      <c r="AP49" s="196"/>
      <c r="AQ49" s="196"/>
      <c r="AR4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9" s="188" t="str">
        <f>IF(PORTEFEUILLE_AUTRE_COMPTABLE[[#This Row],[BONI AAC]]&lt;&gt;0,1,"")</f>
        <v/>
      </c>
      <c r="AU49" s="188" t="str">
        <f>IF(PORTEFEUILLE_AUTRE_COMPTABLE[[#This Row],[MALI AAC]]&lt;&gt;0,1,"")</f>
        <v/>
      </c>
      <c r="AV49" s="225">
        <f>IF(AP49&lt;&gt;"",IF((AP49*Paramètres!$H$4)-PORTEFEUILLE_AUTRE_COMPTABLE[[#This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€]]-(DELPHINE!AP41*Paramètres!$H$4),0),0)</f>
        <v>0</v>
      </c>
      <c r="AW49" s="225">
        <f>IF(AP49&lt;&gt;"",IF(((AP49*Paramètres!$H$4)-PORTEFEUILLE_AUTRE_COMPTABLE[[#This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9" s="190" t="str">
        <f>IF(PORTEFEUILLE_AUTRE_COMPTABLE[[#This Row],[BONI COMPTABLE]]&lt;&gt;0,1,"")</f>
        <v/>
      </c>
      <c r="AY49" s="190" t="str">
        <f>IF(PORTEFEUILLE_AUTRE_COMPTABLE[[#This Row],[MALI COMPTABLE]]&lt;&gt;0,1,"")</f>
        <v/>
      </c>
      <c r="AZ49" s="196"/>
      <c r="BA49" s="188"/>
      <c r="BB49" s="188"/>
      <c r="BC49" s="188"/>
      <c r="BD49" s="196"/>
      <c r="BE49" s="196"/>
      <c r="BF49" s="196"/>
      <c r="BG49" s="192"/>
      <c r="BH49" s="194"/>
      <c r="BI49" s="194"/>
      <c r="BJ49" s="195"/>
      <c r="BK49" s="194"/>
    </row>
    <row r="50" spans="1:63" x14ac:dyDescent="0.25">
      <c r="A50" s="172"/>
      <c r="B50" s="182"/>
      <c r="C50" s="183"/>
      <c r="D50" s="184"/>
      <c r="E50" s="200"/>
      <c r="F50" s="201"/>
      <c r="G50" s="201"/>
      <c r="H50" s="189"/>
      <c r="I50" s="201"/>
      <c r="J50" s="201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6"/>
      <c r="T50" s="210"/>
      <c r="U50" s="222"/>
      <c r="V50" s="222"/>
      <c r="W50" s="222"/>
      <c r="X50" s="222"/>
      <c r="Y50" s="222"/>
      <c r="Z50" s="222"/>
      <c r="AA50" s="222"/>
      <c r="AB50" s="222"/>
      <c r="AC50" s="222"/>
      <c r="AD50" s="222"/>
      <c r="AE50" s="222"/>
      <c r="AF50" s="222"/>
      <c r="AG50" s="219"/>
      <c r="AH50" s="225">
        <f>SUM(PORTEFEUILLE_AUTRE_COMPTABLE[[#This Row],[PCR COMPTABLE €]:[MONTANT
RESPONSABLE RELATION CLIENT €]])-PORTEFEUILLE_AUTRE_COMPTABLE[[#This Row],[MONTANT TOTAL LETTRE DE MISION €]]</f>
        <v>0</v>
      </c>
      <c r="AI50" s="191"/>
      <c r="AJ50" s="188"/>
      <c r="AK50" s="201"/>
      <c r="AL50" s="201"/>
      <c r="AM50" s="201"/>
      <c r="AN50" s="202"/>
      <c r="AO50" s="202"/>
      <c r="AP50" s="202"/>
      <c r="AQ50" s="202"/>
      <c r="AR5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0" s="188" t="str">
        <f>IF(PORTEFEUILLE_AUTRE_COMPTABLE[[#This Row],[BONI AAC]]&lt;&gt;0,1,"")</f>
        <v/>
      </c>
      <c r="AU50" s="188" t="str">
        <f>IF(PORTEFEUILLE_AUTRE_COMPTABLE[[#This Row],[MALI AAC]]&lt;&gt;0,1,"")</f>
        <v/>
      </c>
      <c r="AV50" s="225">
        <f>IF(AP50&lt;&gt;"",IF((AP50*Paramètres!$H$4)-PORTEFEUILLE_AUTRE_COMPTABLE[[#This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€]]-(DELPHINE!AP42*Paramètres!$H$4),0),0)</f>
        <v>0</v>
      </c>
      <c r="AW50" s="225">
        <f>IF(AP50&lt;&gt;"",IF(((AP50*Paramètres!$H$4)-PORTEFEUILLE_AUTRE_COMPTABLE[[#This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0" s="190" t="str">
        <f>IF(PORTEFEUILLE_AUTRE_COMPTABLE[[#This Row],[BONI COMPTABLE]]&lt;&gt;0,1,"")</f>
        <v/>
      </c>
      <c r="AY50" s="190" t="str">
        <f>IF(PORTEFEUILLE_AUTRE_COMPTABLE[[#This Row],[MALI COMPTABLE]]&lt;&gt;0,1,"")</f>
        <v/>
      </c>
      <c r="AZ50" s="202"/>
      <c r="BA50" s="188"/>
      <c r="BB50" s="188"/>
      <c r="BC50" s="188"/>
      <c r="BD50" s="202"/>
      <c r="BE50" s="202"/>
      <c r="BF50" s="202"/>
      <c r="BG50" s="192"/>
      <c r="BH50" s="194"/>
      <c r="BI50" s="194"/>
      <c r="BJ50" s="195"/>
      <c r="BK50" s="194"/>
    </row>
    <row r="51" spans="1:63" x14ac:dyDescent="0.25">
      <c r="A51" s="172"/>
      <c r="B51" s="185"/>
      <c r="C51" s="172"/>
      <c r="D51" s="172"/>
      <c r="E51" s="203"/>
      <c r="F51" s="194"/>
      <c r="G51" s="194"/>
      <c r="H51" s="189"/>
      <c r="I51" s="194"/>
      <c r="J51" s="194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7"/>
      <c r="T51" s="211"/>
      <c r="U51" s="223"/>
      <c r="V51" s="223"/>
      <c r="W51" s="223"/>
      <c r="X51" s="223"/>
      <c r="Y51" s="223"/>
      <c r="Z51" s="223"/>
      <c r="AA51" s="223"/>
      <c r="AB51" s="223"/>
      <c r="AC51" s="223"/>
      <c r="AD51" s="223"/>
      <c r="AE51" s="223"/>
      <c r="AF51" s="223"/>
      <c r="AG51" s="219"/>
      <c r="AH51" s="225">
        <f>SUM(PORTEFEUILLE_AUTRE_COMPTABLE[[#This Row],[PCR COMPTABLE €]:[MONTANT
RESPONSABLE RELATION CLIENT €]])-PORTEFEUILLE_AUTRE_COMPTABLE[[#This Row],[MONTANT TOTAL LETTRE DE MISION €]]</f>
        <v>0</v>
      </c>
      <c r="AI51" s="191"/>
      <c r="AJ51" s="188"/>
      <c r="AK51" s="188"/>
      <c r="AL51" s="188"/>
      <c r="AM51" s="188"/>
      <c r="AN51" s="194"/>
      <c r="AO51" s="194"/>
      <c r="AP51" s="194"/>
      <c r="AQ51" s="194"/>
      <c r="AR5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1" s="188" t="str">
        <f>IF(PORTEFEUILLE_AUTRE_COMPTABLE[[#This Row],[BONI AAC]]&lt;&gt;0,1,"")</f>
        <v/>
      </c>
      <c r="AU51" s="188" t="str">
        <f>IF(PORTEFEUILLE_AUTRE_COMPTABLE[[#This Row],[MALI AAC]]&lt;&gt;0,1,"")</f>
        <v/>
      </c>
      <c r="AV51" s="225">
        <f>IF(AP51&lt;&gt;"",IF((AP51*Paramètres!$H$4)-PORTEFEUILLE_AUTRE_COMPTABLE[[#This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€]]-(DELPHINE!AP43*Paramètres!$H$4),0),0)</f>
        <v>0</v>
      </c>
      <c r="AW51" s="225">
        <f>IF(AP51&lt;&gt;"",IF(((AP51*Paramètres!$H$4)-PORTEFEUILLE_AUTRE_COMPTABLE[[#This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1" s="190" t="str">
        <f>IF(PORTEFEUILLE_AUTRE_COMPTABLE[[#This Row],[BONI COMPTABLE]]&lt;&gt;0,1,"")</f>
        <v/>
      </c>
      <c r="AY51" s="190" t="str">
        <f>IF(PORTEFEUILLE_AUTRE_COMPTABLE[[#This Row],[MALI COMPTABLE]]&lt;&gt;0,1,"")</f>
        <v/>
      </c>
      <c r="AZ51" s="194"/>
      <c r="BA51" s="188"/>
      <c r="BB51" s="188"/>
      <c r="BC51" s="188"/>
      <c r="BD51" s="194"/>
      <c r="BE51" s="194"/>
      <c r="BF51" s="194"/>
      <c r="BG51" s="192"/>
      <c r="BH51" s="194"/>
      <c r="BI51" s="194"/>
      <c r="BJ51" s="195"/>
      <c r="BK51" s="194"/>
    </row>
    <row r="52" spans="1:63" x14ac:dyDescent="0.25">
      <c r="A52" s="172"/>
      <c r="B52" s="185"/>
      <c r="C52" s="172"/>
      <c r="D52" s="172"/>
      <c r="E52" s="203"/>
      <c r="F52" s="194"/>
      <c r="G52" s="194"/>
      <c r="H52" s="189"/>
      <c r="I52" s="194"/>
      <c r="J52" s="194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7"/>
      <c r="T52" s="211"/>
      <c r="U52" s="223"/>
      <c r="V52" s="223"/>
      <c r="W52" s="223"/>
      <c r="X52" s="223"/>
      <c r="Y52" s="223"/>
      <c r="Z52" s="223"/>
      <c r="AA52" s="223"/>
      <c r="AB52" s="223"/>
      <c r="AC52" s="223"/>
      <c r="AD52" s="223"/>
      <c r="AE52" s="223"/>
      <c r="AF52" s="223"/>
      <c r="AG52" s="219"/>
      <c r="AH52" s="225">
        <f>SUM(PORTEFEUILLE_AUTRE_COMPTABLE[[#This Row],[PCR COMPTABLE €]:[MONTANT
RESPONSABLE RELATION CLIENT €]])-PORTEFEUILLE_AUTRE_COMPTABLE[[#This Row],[MONTANT TOTAL LETTRE DE MISION €]]</f>
        <v>0</v>
      </c>
      <c r="AI52" s="191"/>
      <c r="AJ52" s="188"/>
      <c r="AK52" s="188"/>
      <c r="AL52" s="188"/>
      <c r="AM52" s="188"/>
      <c r="AN52" s="194"/>
      <c r="AO52" s="194"/>
      <c r="AP52" s="194"/>
      <c r="AQ52" s="194"/>
      <c r="AR5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2" s="188" t="str">
        <f>IF(PORTEFEUILLE_AUTRE_COMPTABLE[[#This Row],[BONI AAC]]&lt;&gt;0,1,"")</f>
        <v/>
      </c>
      <c r="AU52" s="188" t="str">
        <f>IF(PORTEFEUILLE_AUTRE_COMPTABLE[[#This Row],[MALI AAC]]&lt;&gt;0,1,"")</f>
        <v/>
      </c>
      <c r="AV52" s="225">
        <f>IF(AP52&lt;&gt;"",IF((AP52*Paramètres!$H$4)-PORTEFEUILLE_AUTRE_COMPTABLE[[#This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€]]-(DELPHINE!AP44*Paramètres!$H$4),0),0)</f>
        <v>0</v>
      </c>
      <c r="AW52" s="225">
        <f>IF(AP52&lt;&gt;"",IF(((AP52*Paramètres!$H$4)-PORTEFEUILLE_AUTRE_COMPTABLE[[#This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2" s="190" t="str">
        <f>IF(PORTEFEUILLE_AUTRE_COMPTABLE[[#This Row],[BONI COMPTABLE]]&lt;&gt;0,1,"")</f>
        <v/>
      </c>
      <c r="AY52" s="190" t="str">
        <f>IF(PORTEFEUILLE_AUTRE_COMPTABLE[[#This Row],[MALI COMPTABLE]]&lt;&gt;0,1,"")</f>
        <v/>
      </c>
      <c r="AZ52" s="194"/>
      <c r="BA52" s="188"/>
      <c r="BB52" s="188"/>
      <c r="BC52" s="188"/>
      <c r="BD52" s="194"/>
      <c r="BE52" s="194"/>
      <c r="BF52" s="194"/>
      <c r="BG52" s="192"/>
      <c r="BH52" s="194"/>
      <c r="BI52" s="194"/>
      <c r="BJ52" s="195"/>
      <c r="BK52" s="194"/>
    </row>
    <row r="53" spans="1:63" x14ac:dyDescent="0.25">
      <c r="A53" s="172"/>
      <c r="B53" s="185"/>
      <c r="C53" s="172"/>
      <c r="D53" s="172"/>
      <c r="E53" s="203"/>
      <c r="F53" s="194"/>
      <c r="G53" s="194"/>
      <c r="H53" s="189"/>
      <c r="I53" s="194"/>
      <c r="J53" s="194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7"/>
      <c r="T53" s="211"/>
      <c r="U53" s="223"/>
      <c r="V53" s="223"/>
      <c r="W53" s="223"/>
      <c r="X53" s="223"/>
      <c r="Y53" s="223"/>
      <c r="Z53" s="223"/>
      <c r="AA53" s="223"/>
      <c r="AB53" s="223"/>
      <c r="AC53" s="223"/>
      <c r="AD53" s="223"/>
      <c r="AE53" s="223"/>
      <c r="AF53" s="223"/>
      <c r="AG53" s="219"/>
      <c r="AH53" s="225">
        <f>SUM(PORTEFEUILLE_AUTRE_COMPTABLE[[#This Row],[PCR COMPTABLE €]:[MONTANT
RESPONSABLE RELATION CLIENT €]])-PORTEFEUILLE_AUTRE_COMPTABLE[[#This Row],[MONTANT TOTAL LETTRE DE MISION €]]</f>
        <v>0</v>
      </c>
      <c r="AI53" s="191"/>
      <c r="AJ53" s="188"/>
      <c r="AK53" s="188"/>
      <c r="AL53" s="188"/>
      <c r="AM53" s="188"/>
      <c r="AN53" s="194"/>
      <c r="AO53" s="194"/>
      <c r="AP53" s="194"/>
      <c r="AQ53" s="194"/>
      <c r="AR5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3" s="188" t="str">
        <f>IF(PORTEFEUILLE_AUTRE_COMPTABLE[[#This Row],[BONI AAC]]&lt;&gt;0,1,"")</f>
        <v/>
      </c>
      <c r="AU53" s="188" t="str">
        <f>IF(PORTEFEUILLE_AUTRE_COMPTABLE[[#This Row],[MALI AAC]]&lt;&gt;0,1,"")</f>
        <v/>
      </c>
      <c r="AV53" s="225">
        <f>IF(AP53&lt;&gt;"",IF((AP53*Paramètres!$H$4)-PORTEFEUILLE_AUTRE_COMPTABLE[[#This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€]]-(DELPHINE!AP45*Paramètres!$H$4),0),0)</f>
        <v>0</v>
      </c>
      <c r="AW53" s="225">
        <f>IF(AP53&lt;&gt;"",IF(((AP53*Paramètres!$H$4)-PORTEFEUILLE_AUTRE_COMPTABLE[[#This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3" s="190" t="str">
        <f>IF(PORTEFEUILLE_AUTRE_COMPTABLE[[#This Row],[BONI COMPTABLE]]&lt;&gt;0,1,"")</f>
        <v/>
      </c>
      <c r="AY53" s="190" t="str">
        <f>IF(PORTEFEUILLE_AUTRE_COMPTABLE[[#This Row],[MALI COMPTABLE]]&lt;&gt;0,1,"")</f>
        <v/>
      </c>
      <c r="AZ53" s="194"/>
      <c r="BA53" s="188"/>
      <c r="BB53" s="188"/>
      <c r="BC53" s="188"/>
      <c r="BD53" s="194"/>
      <c r="BE53" s="194"/>
      <c r="BF53" s="194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SUM(PORTEFEUILLE_AUTRE_COMPTABLE[[#This Row],[PCR COMPTABLE €]:[MONTANT
RESPONSABLE RELATION CLIENT €]])-PORTEFEUILLE_AUTRE_COMPTABLE[[#This Row],[MONTANT TOTAL LETTRE DE MISION €]]</f>
        <v>0</v>
      </c>
      <c r="AI54" s="191"/>
      <c r="AJ54" s="188"/>
      <c r="AK54" s="188"/>
      <c r="AL54" s="188"/>
      <c r="AM54" s="188"/>
      <c r="AN54" s="194"/>
      <c r="AO54" s="194"/>
      <c r="AP54" s="194"/>
      <c r="AQ54" s="194"/>
      <c r="AR5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4" s="188" t="str">
        <f>IF(PORTEFEUILLE_AUTRE_COMPTABLE[[#This Row],[BONI AAC]]&lt;&gt;0,1,"")</f>
        <v/>
      </c>
      <c r="AU54" s="188" t="str">
        <f>IF(PORTEFEUILLE_AUTRE_COMPTABLE[[#This Row],[MALI AAC]]&lt;&gt;0,1,"")</f>
        <v/>
      </c>
      <c r="AV54" s="225">
        <f>IF(AP54&lt;&gt;"",IF((AP54*Paramètres!$H$4)-PORTEFEUILLE_AUTRE_COMPTABLE[[#This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€]]-(DELPHINE!AP46*Paramètres!$H$4),0),0)</f>
        <v>0</v>
      </c>
      <c r="AW54" s="225">
        <f>IF(AP54&lt;&gt;"",IF(((AP54*Paramètres!$H$4)-PORTEFEUILLE_AUTRE_COMPTABLE[[#This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4" s="190" t="str">
        <f>IF(PORTEFEUILLE_AUTRE_COMPTABLE[[#This Row],[BONI COMPTABLE]]&lt;&gt;0,1,"")</f>
        <v/>
      </c>
      <c r="AY54" s="190" t="str">
        <f>IF(PORTEFEUILLE_AUTRE_COMPTABLE[[#This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79"/>
      <c r="C55" s="176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SUM(PORTEFEUILLE_AUTRE_COMPTABLE[[#This Row],[PCR COMPTABLE €]:[MONTANT
RESPONSABLE RELATION CLIENT €]])-PORTEFEUILLE_AUTRE_COMPTABLE[[#This Row],[MONTANT TOTAL LETTRE DE MISION €]]</f>
        <v>0</v>
      </c>
      <c r="AI55" s="191"/>
      <c r="AJ55" s="188"/>
      <c r="AK55" s="188"/>
      <c r="AL55" s="188"/>
      <c r="AM55" s="188"/>
      <c r="AN55" s="194"/>
      <c r="AO55" s="194"/>
      <c r="AP55" s="194"/>
      <c r="AQ55" s="194"/>
      <c r="AR5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5" s="188" t="str">
        <f>IF(PORTEFEUILLE_AUTRE_COMPTABLE[[#This Row],[BONI AAC]]&lt;&gt;0,1,"")</f>
        <v/>
      </c>
      <c r="AU55" s="188" t="str">
        <f>IF(PORTEFEUILLE_AUTRE_COMPTABLE[[#This Row],[MALI AAC]]&lt;&gt;0,1,"")</f>
        <v/>
      </c>
      <c r="AV55" s="225">
        <f>IF(AP55&lt;&gt;"",IF((AP55*Paramètres!$H$4)-PORTEFEUILLE_AUTRE_COMPTABLE[[#This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€]]-(DELPHINE!AP47*Paramètres!$H$4),0),0)</f>
        <v>0</v>
      </c>
      <c r="AW55" s="225">
        <f>IF(AP55&lt;&gt;"",IF(((AP55*Paramètres!$H$4)-PORTEFEUILLE_AUTRE_COMPTABLE[[#This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5" s="190" t="str">
        <f>IF(PORTEFEUILLE_AUTRE_COMPTABLE[[#This Row],[BONI COMPTABLE]]&lt;&gt;0,1,"")</f>
        <v/>
      </c>
      <c r="AY55" s="190" t="str">
        <f>IF(PORTEFEUILLE_AUTRE_COMPTABLE[[#This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79"/>
      <c r="C56" s="176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SUM(PORTEFEUILLE_AUTRE_COMPTABLE[[#This Row],[PCR COMPTABLE €]:[MONTANT
RESPONSABLE RELATION CLIENT €]])-PORTEFEUILLE_AUTRE_COMPTABLE[[#This Row],[MONTANT TOTAL LETTRE DE MISION €]]</f>
        <v>0</v>
      </c>
      <c r="AI56" s="191"/>
      <c r="AJ56" s="188"/>
      <c r="AK56" s="188"/>
      <c r="AL56" s="188"/>
      <c r="AM56" s="188"/>
      <c r="AN56" s="194"/>
      <c r="AO56" s="194"/>
      <c r="AP56" s="194"/>
      <c r="AQ56" s="194"/>
      <c r="AR5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6" s="188" t="str">
        <f>IF(PORTEFEUILLE_AUTRE_COMPTABLE[[#This Row],[BONI AAC]]&lt;&gt;0,1,"")</f>
        <v/>
      </c>
      <c r="AU56" s="188" t="str">
        <f>IF(PORTEFEUILLE_AUTRE_COMPTABLE[[#This Row],[MALI AAC]]&lt;&gt;0,1,"")</f>
        <v/>
      </c>
      <c r="AV56" s="225">
        <f>IF(AP56&lt;&gt;"",IF((AP56*Paramètres!$H$4)-PORTEFEUILLE_AUTRE_COMPTABLE[[#This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€]]-(DELPHINE!AP48*Paramètres!$H$4),0),0)</f>
        <v>0</v>
      </c>
      <c r="AW56" s="225">
        <f>IF(AP56&lt;&gt;"",IF(((AP56*Paramètres!$H$4)-PORTEFEUILLE_AUTRE_COMPTABLE[[#This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6" s="190" t="str">
        <f>IF(PORTEFEUILLE_AUTRE_COMPTABLE[[#This Row],[BONI COMPTABLE]]&lt;&gt;0,1,"")</f>
        <v/>
      </c>
      <c r="AY56" s="190" t="str">
        <f>IF(PORTEFEUILLE_AUTRE_COMPTABLE[[#This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86"/>
      <c r="B57" s="187"/>
      <c r="C57" s="186"/>
      <c r="D57" s="186"/>
      <c r="E57" s="204"/>
      <c r="F57" s="205"/>
      <c r="G57" s="205"/>
      <c r="H57" s="189"/>
      <c r="I57" s="205"/>
      <c r="J57" s="205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8"/>
      <c r="T57" s="212"/>
      <c r="U57" s="224"/>
      <c r="V57" s="224"/>
      <c r="W57" s="224"/>
      <c r="X57" s="224"/>
      <c r="Y57" s="224"/>
      <c r="Z57" s="224"/>
      <c r="AA57" s="224"/>
      <c r="AB57" s="224"/>
      <c r="AC57" s="224"/>
      <c r="AD57" s="224"/>
      <c r="AE57" s="224"/>
      <c r="AF57" s="224"/>
      <c r="AG57" s="219"/>
      <c r="AH57" s="225">
        <f>SUM(PORTEFEUILLE_AUTRE_COMPTABLE[[#This Row],[PCR COMPTABLE €]:[MONTANT
RESPONSABLE RELATION CLIENT €]])-PORTEFEUILLE_AUTRE_COMPTABLE[[#This Row],[MONTANT TOTAL LETTRE DE MISION €]]</f>
        <v>0</v>
      </c>
      <c r="AI57" s="191"/>
      <c r="AJ57" s="188"/>
      <c r="AK57" s="201"/>
      <c r="AL57" s="201"/>
      <c r="AM57" s="201"/>
      <c r="AN57" s="205"/>
      <c r="AO57" s="205"/>
      <c r="AP57" s="205"/>
      <c r="AQ57" s="205"/>
      <c r="AR5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7" s="188" t="str">
        <f>IF(PORTEFEUILLE_AUTRE_COMPTABLE[[#This Row],[BONI AAC]]&lt;&gt;0,1,"")</f>
        <v/>
      </c>
      <c r="AU57" s="188" t="str">
        <f>IF(PORTEFEUILLE_AUTRE_COMPTABLE[[#This Row],[MALI AAC]]&lt;&gt;0,1,"")</f>
        <v/>
      </c>
      <c r="AV57" s="225">
        <f>IF(AP57&lt;&gt;"",IF((AP57*Paramètres!$H$4)-PORTEFEUILLE_AUTRE_COMPTABLE[[#This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€]]-(DELPHINE!AP49*Paramètres!$H$4),0),0)</f>
        <v>0</v>
      </c>
      <c r="AW57" s="225">
        <f>IF(AP57&lt;&gt;"",IF(((AP57*Paramètres!$H$4)-PORTEFEUILLE_AUTRE_COMPTABLE[[#This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7" s="190" t="str">
        <f>IF(PORTEFEUILLE_AUTRE_COMPTABLE[[#This Row],[BONI COMPTABLE]]&lt;&gt;0,1,"")</f>
        <v/>
      </c>
      <c r="AY57" s="190" t="str">
        <f>IF(PORTEFEUILLE_AUTRE_COMPTABLE[[#This Row],[MALI COMPTABLE]]&lt;&gt;0,1,"")</f>
        <v/>
      </c>
      <c r="AZ57" s="205"/>
      <c r="BA57" s="188"/>
      <c r="BB57" s="188"/>
      <c r="BC57" s="188"/>
      <c r="BD57" s="205"/>
      <c r="BE57" s="205"/>
      <c r="BF57" s="205"/>
      <c r="BG57" s="192"/>
      <c r="BH57" s="205"/>
      <c r="BI57" s="205"/>
      <c r="BJ57" s="206"/>
      <c r="BK57" s="205"/>
    </row>
    <row r="60" spans="1:63" x14ac:dyDescent="0.25">
      <c r="B60" s="89" t="s">
        <v>120</v>
      </c>
    </row>
    <row r="62" spans="1:63" x14ac:dyDescent="0.25">
      <c r="B62" s="280" t="s">
        <v>120</v>
      </c>
      <c r="C62" s="122"/>
      <c r="D62" s="122"/>
      <c r="E62" s="125" t="s">
        <v>112</v>
      </c>
      <c r="F62" s="121" t="s">
        <v>115</v>
      </c>
      <c r="G62" s="126" t="s">
        <v>118</v>
      </c>
      <c r="H62" s="127" t="s">
        <v>116</v>
      </c>
      <c r="I62" s="127" t="s">
        <v>136</v>
      </c>
      <c r="J62" s="128" t="s">
        <v>125</v>
      </c>
      <c r="K62" s="128" t="s">
        <v>110</v>
      </c>
      <c r="L62" s="128" t="s">
        <v>119</v>
      </c>
      <c r="M62" s="128" t="s">
        <v>126</v>
      </c>
      <c r="N62" s="128" t="s">
        <v>127</v>
      </c>
      <c r="O62" s="128" t="s">
        <v>128</v>
      </c>
      <c r="P62" s="128" t="s">
        <v>129</v>
      </c>
      <c r="Q62" s="128" t="s">
        <v>130</v>
      </c>
      <c r="R62" s="128" t="s">
        <v>137</v>
      </c>
      <c r="S62" s="128"/>
      <c r="T62" s="121"/>
      <c r="U62" s="164"/>
      <c r="V62" s="164"/>
      <c r="W62" s="164"/>
      <c r="X62" s="164"/>
      <c r="Y62" s="164"/>
      <c r="Z62" s="164"/>
      <c r="AA62" s="164"/>
      <c r="AB62" s="164"/>
      <c r="AC62" s="164"/>
      <c r="AE62" s="164"/>
      <c r="AF62" s="164"/>
      <c r="AG62" s="164"/>
      <c r="AH62" s="164"/>
      <c r="AI62" s="164"/>
      <c r="AJ62" s="164"/>
      <c r="AK62" s="164"/>
      <c r="AL62" s="164"/>
      <c r="AM62" s="164"/>
      <c r="AN62" s="164"/>
      <c r="AO62" s="164"/>
      <c r="AP62" s="164"/>
      <c r="AQ62" s="164"/>
      <c r="AR62" s="164"/>
      <c r="AS62" s="164"/>
      <c r="AT62" s="164"/>
      <c r="AU62" s="164"/>
      <c r="AV62" s="164"/>
      <c r="AW62" s="164"/>
      <c r="AX62" s="164"/>
      <c r="AY62" s="164"/>
      <c r="AZ62" s="164"/>
    </row>
    <row r="63" spans="1:63" x14ac:dyDescent="0.25">
      <c r="B63" s="281"/>
      <c r="C63" s="120" t="s">
        <v>109</v>
      </c>
      <c r="D63" s="122">
        <f>COUNTIF($D$3:$D$57,"ACS")</f>
        <v>0</v>
      </c>
      <c r="E63" s="129">
        <f>+COUNTIF($F$3:$F$57,"SARL")</f>
        <v>0</v>
      </c>
      <c r="F63" s="121">
        <f>+COUNTIF($F$3:$F$57,"EURL")</f>
        <v>0</v>
      </c>
      <c r="G63" s="124">
        <f>COUNTIFS($F$3:$F$57,"SAS",$D$3:$D$57,"ACS")</f>
        <v>0</v>
      </c>
      <c r="H63" s="122">
        <f>COUNTIFS($F$3:$F$57,"INDIVIDUEL",$D$3:$D$57,"ACS")</f>
        <v>0</v>
      </c>
      <c r="I63" s="122">
        <f>COUNTIF($F$3:$F$57,"ASSOCIATION")</f>
        <v>0</v>
      </c>
      <c r="J63" s="122"/>
      <c r="K63" s="122">
        <f>COUNTIF($F$3:$F$57,"SNC")</f>
        <v>0</v>
      </c>
      <c r="L63" s="122">
        <f>+COUNTIF($F$3:$F$57,"SCI")</f>
        <v>0</v>
      </c>
      <c r="M63" s="130"/>
      <c r="N63" s="131"/>
      <c r="O63" s="132"/>
      <c r="P63" s="122">
        <f>+COUNTIF($F$3:$F$57,"GROUPEMENT")</f>
        <v>0</v>
      </c>
      <c r="Q63" s="121">
        <f>COUNTIF($F$3:$F$57,"EIRL")</f>
        <v>0</v>
      </c>
      <c r="R63" s="121">
        <f>COUNTIF($F$3:$F$57,"AUTRE")</f>
        <v>0</v>
      </c>
      <c r="S63" s="121"/>
      <c r="T63" s="122">
        <f>+SUM(E63:P63)</f>
        <v>0</v>
      </c>
      <c r="U63" s="164"/>
      <c r="V63" s="164"/>
      <c r="W63" s="164"/>
      <c r="X63" s="164"/>
      <c r="Y63" s="164"/>
      <c r="Z63" s="164"/>
      <c r="AA63" s="164"/>
      <c r="AB63" s="164"/>
      <c r="AC63" s="164"/>
      <c r="AE63" s="164"/>
      <c r="AF63" s="164"/>
      <c r="AG63" s="164"/>
      <c r="AH63" s="164"/>
      <c r="AI63" s="164"/>
      <c r="AJ63" s="164"/>
      <c r="AK63" s="164"/>
      <c r="AL63" s="164"/>
      <c r="AM63" s="164"/>
      <c r="AN63" s="164"/>
      <c r="AO63" s="164"/>
      <c r="AP63" s="164"/>
      <c r="AQ63" s="164"/>
      <c r="AR63" s="164"/>
      <c r="AS63" s="164"/>
      <c r="AT63" s="164"/>
      <c r="AU63" s="164"/>
      <c r="AV63" s="164"/>
      <c r="AW63" s="164"/>
      <c r="AX63" s="164"/>
      <c r="AY63" s="164"/>
      <c r="AZ63" s="164"/>
    </row>
    <row r="64" spans="1:63" x14ac:dyDescent="0.25">
      <c r="B64" s="281"/>
      <c r="C64" s="120" t="s">
        <v>121</v>
      </c>
      <c r="D64" s="122">
        <f>COUNTIF($D$3:$D$57,"BNC")</f>
        <v>0</v>
      </c>
      <c r="E64" s="133"/>
      <c r="F64" s="121"/>
      <c r="G64" s="134"/>
      <c r="H64" s="135"/>
      <c r="I64" s="132"/>
      <c r="J64" s="122">
        <f>+COUNTIF($F$3:$F$57,"PROFESSION LIBERALE")</f>
        <v>0</v>
      </c>
      <c r="K64" s="122"/>
      <c r="L64" s="122"/>
      <c r="M64" s="122"/>
      <c r="N64" s="122"/>
      <c r="O64" s="122"/>
      <c r="P64" s="122"/>
      <c r="Q64" s="121"/>
      <c r="R64" s="121"/>
      <c r="S64" s="121"/>
      <c r="T64" s="122">
        <f>+SUM(E64:P64)</f>
        <v>0</v>
      </c>
      <c r="U64" s="164"/>
      <c r="V64" s="164"/>
      <c r="W64" s="164"/>
      <c r="X64" s="164"/>
      <c r="Y64" s="164"/>
      <c r="Z64" s="164"/>
      <c r="AA64" s="164"/>
      <c r="AB64" s="164"/>
      <c r="AC64" s="164"/>
      <c r="AE64" s="164"/>
      <c r="AF64" s="164"/>
      <c r="AG64" s="164"/>
      <c r="AH64" s="164"/>
      <c r="AI64" s="164"/>
      <c r="AJ64" s="164"/>
      <c r="AK64" s="164"/>
      <c r="AL64" s="164"/>
      <c r="AM64" s="164"/>
      <c r="AN64" s="164"/>
      <c r="AO64" s="164"/>
      <c r="AP64" s="164"/>
      <c r="AQ64" s="164"/>
      <c r="AR64" s="164"/>
      <c r="AS64" s="164"/>
      <c r="AT64" s="164"/>
      <c r="AU64" s="164"/>
      <c r="AV64" s="164"/>
      <c r="AW64" s="164"/>
      <c r="AX64" s="164"/>
      <c r="AY64" s="164"/>
      <c r="AZ64" s="164"/>
    </row>
    <row r="65" spans="2:52" x14ac:dyDescent="0.25">
      <c r="B65" s="282"/>
      <c r="C65" s="122" t="s">
        <v>122</v>
      </c>
      <c r="D65" s="122">
        <f>COUNTIF($D$3:$D$57,"AGRI")</f>
        <v>0</v>
      </c>
      <c r="E65" s="129"/>
      <c r="F65" s="121"/>
      <c r="G65" s="124">
        <f>COUNTIFS($F$3:$F$57,"SAS",$D$3:$D$57,"AGRI")</f>
        <v>0</v>
      </c>
      <c r="H65" s="122">
        <f>COUNTIFS($F$3:$F$57,"INDIVIDUEL",$D$3:$D$57,"AGRI")</f>
        <v>0</v>
      </c>
      <c r="I65" s="122"/>
      <c r="J65" s="122"/>
      <c r="K65" s="122"/>
      <c r="L65" s="122"/>
      <c r="M65" s="122">
        <f>COUNTIF($F$3:$F$59,"EARL")</f>
        <v>0</v>
      </c>
      <c r="N65" s="122">
        <f>COUNTIF($F$3:$F$59,"ETA")</f>
        <v>0</v>
      </c>
      <c r="O65" s="122">
        <f>COUNTIF($F$3:$F$59,"SCEA")</f>
        <v>0</v>
      </c>
      <c r="P65" s="122"/>
      <c r="Q65" s="121"/>
      <c r="R65" s="121"/>
      <c r="S65" s="121"/>
      <c r="T65" s="122">
        <f>+SUM(E65:P65)</f>
        <v>0</v>
      </c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83" t="s">
        <v>123</v>
      </c>
      <c r="C66" s="283"/>
      <c r="D66" s="122">
        <f>+SUM(D63:D65)</f>
        <v>0</v>
      </c>
      <c r="E66" s="129">
        <f>+SUM(E63:E65)</f>
        <v>0</v>
      </c>
      <c r="F66" s="129">
        <f t="shared" ref="F66:R66" si="2">+SUM(F63:F65)</f>
        <v>0</v>
      </c>
      <c r="G66" s="129">
        <f t="shared" si="2"/>
        <v>0</v>
      </c>
      <c r="H66" s="129">
        <f t="shared" si="2"/>
        <v>0</v>
      </c>
      <c r="I66" s="129">
        <f t="shared" si="2"/>
        <v>0</v>
      </c>
      <c r="J66" s="129">
        <f t="shared" si="2"/>
        <v>0</v>
      </c>
      <c r="K66" s="129">
        <f t="shared" si="2"/>
        <v>0</v>
      </c>
      <c r="L66" s="129">
        <f t="shared" si="2"/>
        <v>0</v>
      </c>
      <c r="M66" s="129">
        <f t="shared" si="2"/>
        <v>0</v>
      </c>
      <c r="N66" s="129">
        <f t="shared" si="2"/>
        <v>0</v>
      </c>
      <c r="O66" s="129">
        <f t="shared" si="2"/>
        <v>0</v>
      </c>
      <c r="P66" s="129">
        <f t="shared" si="2"/>
        <v>0</v>
      </c>
      <c r="Q66" s="129">
        <f t="shared" si="2"/>
        <v>0</v>
      </c>
      <c r="R66" s="129">
        <f t="shared" si="2"/>
        <v>0</v>
      </c>
      <c r="S66" s="129"/>
      <c r="T66" s="122">
        <f>+SUM(T63:T65)</f>
        <v>0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90"/>
      <c r="C67" s="90"/>
      <c r="D67" s="90"/>
      <c r="E67" s="90"/>
      <c r="G67" s="90"/>
      <c r="H67" s="90"/>
      <c r="I67" s="90"/>
      <c r="J67" s="90"/>
      <c r="K67" s="90"/>
      <c r="L67" s="90"/>
      <c r="M67" s="90"/>
      <c r="N67" s="90"/>
      <c r="O67" s="90"/>
      <c r="P67" s="90"/>
      <c r="T67" s="90"/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84">
        <v>44196</v>
      </c>
      <c r="C68" s="122"/>
      <c r="D68" s="122"/>
      <c r="E68" s="125" t="str">
        <f t="shared" ref="E68:R68" si="3">E62</f>
        <v>SARL</v>
      </c>
      <c r="F68" s="122" t="str">
        <f t="shared" si="3"/>
        <v>EURL</v>
      </c>
      <c r="G68" s="126" t="str">
        <f t="shared" si="3"/>
        <v>SAS</v>
      </c>
      <c r="H68" s="127" t="str">
        <f t="shared" si="3"/>
        <v>INDIVIDUEL</v>
      </c>
      <c r="I68" s="127" t="str">
        <f t="shared" si="3"/>
        <v>ASSOCIATION</v>
      </c>
      <c r="J68" s="128" t="str">
        <f t="shared" si="3"/>
        <v>PROFESSION LIBERALE</v>
      </c>
      <c r="K68" s="128" t="str">
        <f t="shared" si="3"/>
        <v>SNC</v>
      </c>
      <c r="L68" s="128" t="str">
        <f t="shared" si="3"/>
        <v>SCI</v>
      </c>
      <c r="M68" s="128" t="str">
        <f t="shared" si="3"/>
        <v>EARL</v>
      </c>
      <c r="N68" s="128" t="str">
        <f t="shared" si="3"/>
        <v>ETA</v>
      </c>
      <c r="O68" s="128" t="str">
        <f t="shared" si="3"/>
        <v>SCEA</v>
      </c>
      <c r="P68" s="128" t="str">
        <f t="shared" si="3"/>
        <v>GROUPEMENT</v>
      </c>
      <c r="Q68" s="122" t="str">
        <f t="shared" si="3"/>
        <v>EIRL</v>
      </c>
      <c r="R68" s="122" t="str">
        <f t="shared" si="3"/>
        <v>AUTRES</v>
      </c>
      <c r="S68" s="122"/>
      <c r="T68" s="128" t="s">
        <v>86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81"/>
      <c r="C69" s="120" t="s">
        <v>109</v>
      </c>
      <c r="D69" s="122">
        <f>COUNTIFS($E$3:$E$57,DATE(Paramètres!A4,Paramètres!D15,Paramètres!C15),$D$3:$D$57,"ACS")</f>
        <v>0</v>
      </c>
      <c r="E69" s="129">
        <f>COUNTIFS($E$3:$E$57,DATE(Paramètres!A4,Paramètres!D15,Paramètres!C15),$F$3:$F$57,"SARL")</f>
        <v>0</v>
      </c>
      <c r="F69" s="122">
        <f>+COUNTIFS($E$3:$E$57,DATE(Paramètres!A4,Paramètres!D15,Paramètres!C15),$F$3:$F$57,"EURL")</f>
        <v>0</v>
      </c>
      <c r="G69" s="124">
        <f>COUNTIFS($E$3:$E$57,DATE(Paramètres!A4,Paramètres!D15,Paramètres!C15),$F$3:$F$57,"SAS",$D$3:$D$57,"ACS")</f>
        <v>0</v>
      </c>
      <c r="H69" s="122">
        <f>COUNTIFS($E$3:$E$57,DATE(Paramètres!A4,Paramètres!D15,Paramètres!C15),$F$3:$F$57,"INDIVIDUEL",$D$3:$D$57,"ACS")</f>
        <v>0</v>
      </c>
      <c r="I69" s="122">
        <f>+COUNTIFS($E$3:$E$57,DATE(Paramètres!A4,Paramètres!D15,Paramètres!C15),$F$3:$F$57,"ASSOCIATION")</f>
        <v>0</v>
      </c>
      <c r="J69" s="122"/>
      <c r="K69" s="122">
        <f>COUNTIFS($E$3:$E$57,DATE(Paramètres!A4,Paramètres!D15,Paramètres!C15),$F$3:$F$57,"SNC")</f>
        <v>0</v>
      </c>
      <c r="L69" s="122">
        <f>COUNTIFS($E$3:$E$57,DATE(Paramètres!A4,Paramètres!D15,Paramètres!C15),$F$3:$F$57,"SCI")</f>
        <v>0</v>
      </c>
      <c r="M69" s="130"/>
      <c r="N69" s="131"/>
      <c r="O69" s="132"/>
      <c r="P69" s="122">
        <f>COUNTIFS($E$3:$E$57,DATE(Paramètres!A4,Paramètres!D15,Paramètres!C15),$F$3:$F$57,"GROUPEMENT")</f>
        <v>0</v>
      </c>
      <c r="Q69" s="122">
        <f>+COUNTIFS($E$3:$E$57,DATE(Paramètres!A4,Paramètres!D15,Paramètres!C15),$F$3:$F$57,"EIRL")</f>
        <v>0</v>
      </c>
      <c r="R69" s="122">
        <f>+COUNTIFS($E$3:$E$57,DATE(Paramètres!B4,Paramètres!E15,Paramètres!D15),$F$3:$F$57,"AUTRES")</f>
        <v>0</v>
      </c>
      <c r="S69" s="122"/>
      <c r="T69" s="122">
        <f>+SUM(E69:P69)</f>
        <v>0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281"/>
      <c r="C70" s="120" t="s">
        <v>121</v>
      </c>
      <c r="D70" s="122">
        <f>COUNTIFS($E$3:$E$57,DATE(Paramètres!A4,Paramètres!D15,Paramètres!C15),$D$3:$D$57,"BNC")</f>
        <v>0</v>
      </c>
      <c r="E70" s="133"/>
      <c r="F70" s="122"/>
      <c r="G70" s="134"/>
      <c r="H70" s="135"/>
      <c r="I70" s="132"/>
      <c r="J70" s="122">
        <f>COUNTIFS($E$3:$E$57,DATE(Paramètres!A4,Paramètres!D15,Paramètres!C15),$D$3:$D$57,"BNC")</f>
        <v>0</v>
      </c>
      <c r="K70" s="130"/>
      <c r="L70" s="131"/>
      <c r="M70" s="131"/>
      <c r="N70" s="131"/>
      <c r="O70" s="131"/>
      <c r="P70" s="132"/>
      <c r="Q70" s="122"/>
      <c r="R70" s="122"/>
      <c r="S70" s="122"/>
      <c r="T70" s="122">
        <f>+SUM(E70:P70)</f>
        <v>0</v>
      </c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2"/>
      <c r="C71" s="122" t="s">
        <v>122</v>
      </c>
      <c r="D71" s="122">
        <f>COUNTIFS($E$3:$E$57,DATE(Paramètres!A4,Paramètres!D15,Paramètres!C15),$D$3:$D$57,"AGRI")</f>
        <v>0</v>
      </c>
      <c r="E71" s="133"/>
      <c r="F71" s="122"/>
      <c r="G71" s="134">
        <f>COUNTIFS($E$3:$E$57,DATE(Paramètres!A4,Paramètres!D15,Paramètres!C15),$F$3:$F$57,"SAS",$D$3:$D$57,"AGRI")</f>
        <v>0</v>
      </c>
      <c r="H71" s="122">
        <f>COUNTIFS($E$3:$E$57,DATE(Paramètres!A4,Paramètres!D15,Paramètres!C15),$F$3:$F$57,"INDIVIDUEL",$D$3:$D$57,"AGRI")</f>
        <v>0</v>
      </c>
      <c r="I71" s="136"/>
      <c r="J71" s="131"/>
      <c r="K71" s="131"/>
      <c r="L71" s="132"/>
      <c r="M71" s="122">
        <f>COUNTIFS($E$3:$E$57,DATE(Paramètres!A4,Paramètres!D15,Paramètres!C15),$F$3:$F$57,"EARL")</f>
        <v>0</v>
      </c>
      <c r="N71" s="122">
        <f>COUNTIFS($E$3:$E$57,DATE(Paramètres!A4,Paramètres!D15,Paramètres!C15),$F$3:$F$57,"ETA")</f>
        <v>0</v>
      </c>
      <c r="O71" s="122">
        <f>COUNTIFS($E$3:$E$57,DATE(Paramètres!A4,Paramètres!D15,Paramètres!C15),$F$3:$F$57,"SCEA")</f>
        <v>0</v>
      </c>
      <c r="P71" s="122"/>
      <c r="Q71" s="122"/>
      <c r="R71" s="122"/>
      <c r="S71" s="122"/>
      <c r="T71" s="122">
        <f>+SUM(E71:P71)</f>
        <v>0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83" t="s">
        <v>123</v>
      </c>
      <c r="C72" s="283"/>
      <c r="D72" s="122">
        <f>+SUM(D69:D71)</f>
        <v>0</v>
      </c>
      <c r="E72" s="129">
        <f>+SUM(E69:E71)</f>
        <v>0</v>
      </c>
      <c r="F72" s="129">
        <f>+SUM(F69:F71)</f>
        <v>0</v>
      </c>
      <c r="G72" s="124">
        <f>+SUM(G69:G71)</f>
        <v>0</v>
      </c>
      <c r="H72" s="122">
        <f>+SUM(H69:H71)</f>
        <v>0</v>
      </c>
      <c r="I72" s="122">
        <f t="shared" ref="I72:R72" si="4">+SUM(I69:I71)</f>
        <v>0</v>
      </c>
      <c r="J72" s="122">
        <f t="shared" si="4"/>
        <v>0</v>
      </c>
      <c r="K72" s="122">
        <f t="shared" si="4"/>
        <v>0</v>
      </c>
      <c r="L72" s="122">
        <f t="shared" si="4"/>
        <v>0</v>
      </c>
      <c r="M72" s="122">
        <f t="shared" si="4"/>
        <v>0</v>
      </c>
      <c r="N72" s="122">
        <f t="shared" si="4"/>
        <v>0</v>
      </c>
      <c r="O72" s="122">
        <f t="shared" si="4"/>
        <v>0</v>
      </c>
      <c r="P72" s="122">
        <f t="shared" si="4"/>
        <v>0</v>
      </c>
      <c r="Q72" s="122">
        <f t="shared" si="4"/>
        <v>0</v>
      </c>
      <c r="R72" s="122">
        <f t="shared" si="4"/>
        <v>0</v>
      </c>
      <c r="S72" s="122"/>
      <c r="T72" s="122">
        <f>+SUM(E72:R72)</f>
        <v>0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90"/>
      <c r="C73" s="90"/>
      <c r="D73" s="90"/>
      <c r="E73" s="90"/>
      <c r="G73" s="90"/>
      <c r="H73" s="90"/>
      <c r="I73" s="90"/>
      <c r="J73" s="90"/>
      <c r="K73" s="90"/>
      <c r="L73" s="90"/>
      <c r="M73" s="90"/>
      <c r="N73" s="90"/>
      <c r="O73" s="90"/>
      <c r="P73" s="90"/>
      <c r="T73" s="90"/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84" t="s">
        <v>40</v>
      </c>
      <c r="C74" s="122"/>
      <c r="D74" s="122"/>
      <c r="E74" s="125" t="s">
        <v>112</v>
      </c>
      <c r="F74" s="121" t="s">
        <v>115</v>
      </c>
      <c r="G74" s="126" t="s">
        <v>118</v>
      </c>
      <c r="H74" s="127" t="s">
        <v>116</v>
      </c>
      <c r="I74" s="127" t="s">
        <v>124</v>
      </c>
      <c r="J74" s="128" t="s">
        <v>125</v>
      </c>
      <c r="K74" s="128" t="s">
        <v>110</v>
      </c>
      <c r="L74" s="128" t="s">
        <v>119</v>
      </c>
      <c r="M74" s="128" t="s">
        <v>126</v>
      </c>
      <c r="N74" s="128" t="s">
        <v>127</v>
      </c>
      <c r="O74" s="128" t="s">
        <v>128</v>
      </c>
      <c r="P74" s="128" t="s">
        <v>129</v>
      </c>
      <c r="Q74" s="128" t="s">
        <v>130</v>
      </c>
      <c r="R74" s="128" t="s">
        <v>131</v>
      </c>
      <c r="S74" s="128"/>
      <c r="T74" s="128" t="s">
        <v>86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81"/>
      <c r="C75" s="120" t="s">
        <v>109</v>
      </c>
      <c r="D75" s="122">
        <f>+D63-D69</f>
        <v>0</v>
      </c>
      <c r="E75" s="122">
        <f>+E63-E69</f>
        <v>0</v>
      </c>
      <c r="F75" s="122">
        <f t="shared" ref="F75:R75" si="5">+F63-F69</f>
        <v>0</v>
      </c>
      <c r="G75" s="122">
        <f t="shared" si="5"/>
        <v>0</v>
      </c>
      <c r="H75" s="122">
        <f t="shared" si="5"/>
        <v>0</v>
      </c>
      <c r="I75" s="122">
        <f t="shared" si="5"/>
        <v>0</v>
      </c>
      <c r="J75" s="122">
        <f t="shared" si="5"/>
        <v>0</v>
      </c>
      <c r="K75" s="122">
        <f t="shared" si="5"/>
        <v>0</v>
      </c>
      <c r="L75" s="122">
        <f t="shared" si="5"/>
        <v>0</v>
      </c>
      <c r="M75" s="122">
        <f t="shared" si="5"/>
        <v>0</v>
      </c>
      <c r="N75" s="122">
        <f t="shared" si="5"/>
        <v>0</v>
      </c>
      <c r="O75" s="122">
        <f t="shared" si="5"/>
        <v>0</v>
      </c>
      <c r="P75" s="122">
        <f t="shared" si="5"/>
        <v>0</v>
      </c>
      <c r="Q75" s="122">
        <f t="shared" si="5"/>
        <v>0</v>
      </c>
      <c r="R75" s="122">
        <f t="shared" si="5"/>
        <v>0</v>
      </c>
      <c r="S75" s="122"/>
      <c r="T75" s="122">
        <f>+SUM(E75:P75)</f>
        <v>0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281"/>
      <c r="C76" s="120" t="s">
        <v>121</v>
      </c>
      <c r="D76" s="122">
        <f>+D64-D70</f>
        <v>0</v>
      </c>
      <c r="E76" s="122">
        <f t="shared" ref="E76:R78" si="6">+E64-E70</f>
        <v>0</v>
      </c>
      <c r="F76" s="122">
        <f t="shared" si="6"/>
        <v>0</v>
      </c>
      <c r="G76" s="122">
        <f t="shared" si="6"/>
        <v>0</v>
      </c>
      <c r="H76" s="122">
        <f t="shared" si="6"/>
        <v>0</v>
      </c>
      <c r="I76" s="122">
        <f t="shared" si="6"/>
        <v>0</v>
      </c>
      <c r="J76" s="122">
        <f t="shared" si="6"/>
        <v>0</v>
      </c>
      <c r="K76" s="122">
        <f t="shared" si="6"/>
        <v>0</v>
      </c>
      <c r="L76" s="122">
        <f t="shared" si="6"/>
        <v>0</v>
      </c>
      <c r="M76" s="122">
        <f t="shared" si="6"/>
        <v>0</v>
      </c>
      <c r="N76" s="122">
        <f t="shared" si="6"/>
        <v>0</v>
      </c>
      <c r="O76" s="122">
        <f t="shared" si="6"/>
        <v>0</v>
      </c>
      <c r="P76" s="122">
        <f t="shared" si="6"/>
        <v>0</v>
      </c>
      <c r="Q76" s="122">
        <f t="shared" si="6"/>
        <v>0</v>
      </c>
      <c r="R76" s="122">
        <f t="shared" si="6"/>
        <v>0</v>
      </c>
      <c r="S76" s="122"/>
      <c r="T76" s="122">
        <f>+SUM(E76:P76)</f>
        <v>0</v>
      </c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2"/>
      <c r="C77" s="122" t="s">
        <v>122</v>
      </c>
      <c r="D77" s="122">
        <f>+D65-D71</f>
        <v>0</v>
      </c>
      <c r="E77" s="122">
        <f t="shared" si="6"/>
        <v>0</v>
      </c>
      <c r="F77" s="122">
        <f t="shared" si="6"/>
        <v>0</v>
      </c>
      <c r="G77" s="122">
        <f t="shared" si="6"/>
        <v>0</v>
      </c>
      <c r="H77" s="122">
        <f t="shared" si="6"/>
        <v>0</v>
      </c>
      <c r="I77" s="122">
        <f t="shared" si="6"/>
        <v>0</v>
      </c>
      <c r="J77" s="122">
        <f t="shared" si="6"/>
        <v>0</v>
      </c>
      <c r="K77" s="122">
        <f t="shared" si="6"/>
        <v>0</v>
      </c>
      <c r="L77" s="122">
        <f t="shared" si="6"/>
        <v>0</v>
      </c>
      <c r="M77" s="122">
        <f t="shared" si="6"/>
        <v>0</v>
      </c>
      <c r="N77" s="122">
        <f t="shared" si="6"/>
        <v>0</v>
      </c>
      <c r="O77" s="122">
        <f t="shared" si="6"/>
        <v>0</v>
      </c>
      <c r="P77" s="122">
        <f t="shared" si="6"/>
        <v>0</v>
      </c>
      <c r="Q77" s="122">
        <f t="shared" si="6"/>
        <v>0</v>
      </c>
      <c r="R77" s="122">
        <f t="shared" si="6"/>
        <v>0</v>
      </c>
      <c r="S77" s="122"/>
      <c r="T77" s="122">
        <f>+SUM(E77:P77)</f>
        <v>0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83" t="s">
        <v>123</v>
      </c>
      <c r="C78" s="283"/>
      <c r="D78" s="122">
        <f>+D66-D72</f>
        <v>0</v>
      </c>
      <c r="E78" s="122">
        <f t="shared" si="6"/>
        <v>0</v>
      </c>
      <c r="F78" s="122">
        <f t="shared" si="6"/>
        <v>0</v>
      </c>
      <c r="G78" s="122">
        <f t="shared" si="6"/>
        <v>0</v>
      </c>
      <c r="H78" s="122">
        <f t="shared" si="6"/>
        <v>0</v>
      </c>
      <c r="I78" s="122">
        <f t="shared" si="6"/>
        <v>0</v>
      </c>
      <c r="J78" s="122">
        <f t="shared" si="6"/>
        <v>0</v>
      </c>
      <c r="K78" s="122">
        <f t="shared" si="6"/>
        <v>0</v>
      </c>
      <c r="L78" s="122">
        <f t="shared" si="6"/>
        <v>0</v>
      </c>
      <c r="M78" s="122">
        <f t="shared" si="6"/>
        <v>0</v>
      </c>
      <c r="N78" s="122">
        <f t="shared" si="6"/>
        <v>0</v>
      </c>
      <c r="O78" s="122">
        <f t="shared" si="6"/>
        <v>0</v>
      </c>
      <c r="P78" s="122">
        <f t="shared" si="6"/>
        <v>0</v>
      </c>
      <c r="Q78" s="122">
        <f t="shared" si="6"/>
        <v>0</v>
      </c>
      <c r="R78" s="122">
        <f t="shared" si="6"/>
        <v>0</v>
      </c>
      <c r="S78" s="122"/>
      <c r="T78" s="122">
        <f>+SUM(T75:T77)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137" t="s">
        <v>132</v>
      </c>
      <c r="C80" s="137"/>
      <c r="D80" s="137"/>
      <c r="E80" s="137"/>
      <c r="F80" s="137"/>
      <c r="G80" s="137"/>
      <c r="H80" s="137"/>
      <c r="I80" s="137"/>
      <c r="J80" s="137"/>
      <c r="K80" s="137"/>
      <c r="L80" s="137"/>
      <c r="M80" s="137"/>
      <c r="N80" s="137"/>
      <c r="O80" s="137"/>
      <c r="P80" s="137"/>
      <c r="Q80" s="137"/>
      <c r="R80" s="138"/>
      <c r="S80" s="139"/>
      <c r="T80" s="137"/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85" t="s">
        <v>120</v>
      </c>
      <c r="C81" s="138"/>
      <c r="D81" s="138"/>
      <c r="E81" s="140" t="str">
        <f t="shared" ref="E81:R81" si="7">E62</f>
        <v>SARL</v>
      </c>
      <c r="F81" s="138" t="str">
        <f t="shared" si="7"/>
        <v>EURL</v>
      </c>
      <c r="G81" s="141" t="str">
        <f t="shared" si="7"/>
        <v>SAS</v>
      </c>
      <c r="H81" s="142" t="str">
        <f t="shared" si="7"/>
        <v>INDIVIDUEL</v>
      </c>
      <c r="I81" s="142" t="str">
        <f t="shared" si="7"/>
        <v>ASSOCIATION</v>
      </c>
      <c r="J81" s="240" t="str">
        <f t="shared" si="7"/>
        <v>PROFESSION LIBERALE</v>
      </c>
      <c r="K81" s="240" t="str">
        <f t="shared" si="7"/>
        <v>SNC</v>
      </c>
      <c r="L81" s="240" t="str">
        <f t="shared" si="7"/>
        <v>SCI</v>
      </c>
      <c r="M81" s="240" t="str">
        <f t="shared" si="7"/>
        <v>EARL</v>
      </c>
      <c r="N81" s="240" t="str">
        <f t="shared" si="7"/>
        <v>ETA</v>
      </c>
      <c r="O81" s="240" t="str">
        <f t="shared" si="7"/>
        <v>SCEA</v>
      </c>
      <c r="P81" s="240" t="str">
        <f t="shared" si="7"/>
        <v>GROUPEMENT</v>
      </c>
      <c r="Q81" s="240" t="str">
        <f t="shared" si="7"/>
        <v>EIRL</v>
      </c>
      <c r="R81" s="240" t="str">
        <f t="shared" si="7"/>
        <v>AUTRES</v>
      </c>
      <c r="S81" s="144"/>
      <c r="T81" s="145" t="s">
        <v>86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B82" s="286"/>
      <c r="C82" s="146" t="s">
        <v>109</v>
      </c>
      <c r="D82" s="138">
        <f>COUNTIFS($I$3:$I$57,"&lt;&gt;",$D$3:$D$57,"ACS")</f>
        <v>0</v>
      </c>
      <c r="E82" s="147">
        <f>+COUNTIFS($I$3:$I$57,"&lt;&gt;",$F$3:$F$57,"SARL")</f>
        <v>0</v>
      </c>
      <c r="F82" s="138">
        <f>+COUNTIFS($I3:$I57,"&lt;&gt;",$F$3:$F$57,"EURL")</f>
        <v>0</v>
      </c>
      <c r="G82" s="148">
        <f>COUNTIFS($I$3:$I$57,"&lt;&gt;",$F$3:$F$57,"SAS",$D$3:$D$57,"ACS")</f>
        <v>0</v>
      </c>
      <c r="H82" s="138">
        <f>COUNTIFS($I$3:$I$57,"&lt;&gt;",$F$3:$F$57,"INDIVIDUEL",$D$3:$D$57,"ACS")</f>
        <v>0</v>
      </c>
      <c r="I82" s="138">
        <f>COUNTIFS($I$3:$I$57,"&lt;&gt;",$F$3:$F$57,"ASSOCIATION")</f>
        <v>0</v>
      </c>
      <c r="J82" s="138"/>
      <c r="K82" s="138">
        <f>COUNTIFS($I$3:$I$57,"&lt;&gt;",$F$3:$F$57,"SNC")</f>
        <v>0</v>
      </c>
      <c r="L82" s="138">
        <f>COUNTIFS($I$3:$I$57,"&lt;&gt;",$F$3:$F$57,"SCI")</f>
        <v>0</v>
      </c>
      <c r="M82" s="149"/>
      <c r="N82" s="150"/>
      <c r="O82" s="151"/>
      <c r="P82" s="138">
        <f>COUNTIFS($I$3:$I$57,"&lt;&gt;",$F$3:$F$57,"GROUPEMENT")</f>
        <v>0</v>
      </c>
      <c r="Q82" s="152">
        <f>COUNTIFS($I$3:$I$57,"&lt;&gt;",$F$3:$F$57,"EIRL")</f>
        <v>0</v>
      </c>
      <c r="R82" s="138">
        <f>COUNTIFS($I$3:$I$57,"&lt;&gt;",$F$3:$F$57,"AUTRES")</f>
        <v>0</v>
      </c>
      <c r="S82" s="148"/>
      <c r="T82" s="148">
        <f>+SUM(E82:P82)</f>
        <v>0</v>
      </c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286"/>
      <c r="C83" s="146" t="s">
        <v>121</v>
      </c>
      <c r="D83" s="138">
        <f>COUNTIFS($I$3:$I$57,"&lt;&gt;",$D$3:$D$57,"BNC")</f>
        <v>0</v>
      </c>
      <c r="E83" s="153"/>
      <c r="F83" s="138"/>
      <c r="G83" s="154"/>
      <c r="H83" s="155"/>
      <c r="I83" s="151"/>
      <c r="J83" s="138">
        <f>COUNTIFS($I$3:$I$57,"&lt;&gt;",$D$3:$D$57,"BNC")</f>
        <v>0</v>
      </c>
      <c r="K83" s="138"/>
      <c r="L83" s="138"/>
      <c r="M83" s="138"/>
      <c r="N83" s="138"/>
      <c r="O83" s="138"/>
      <c r="P83" s="138"/>
      <c r="Q83" s="152"/>
      <c r="R83" s="138"/>
      <c r="S83" s="148"/>
      <c r="T83" s="148">
        <f>+SUM(E83:P83)</f>
        <v>0</v>
      </c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6"/>
      <c r="C84" s="138" t="s">
        <v>122</v>
      </c>
      <c r="D84" s="138">
        <f>COUNTIFS($I$3:$I$57,"&lt;&gt;",$D$3:$D$57,"AGRI")</f>
        <v>0</v>
      </c>
      <c r="E84" s="152"/>
      <c r="F84" s="138"/>
      <c r="G84" s="148">
        <f>COUNTIFS($I$3:$I$57,"&lt;&gt;",$F$3:$F$57,"SAS",$D$3:$D$57,"AGRI")</f>
        <v>0</v>
      </c>
      <c r="H84" s="138">
        <f>COUNTIFS($F$3:$F$57,"INDIVIDUEL",$D$3:$D$57,"AGRI",$I3:$I$57,"&lt;&gt;")</f>
        <v>0</v>
      </c>
      <c r="I84" s="138"/>
      <c r="J84" s="138"/>
      <c r="K84" s="138"/>
      <c r="L84" s="138"/>
      <c r="M84" s="138" t="e">
        <f>COUNTIFS($I$3:$I$57,"&lt;&gt;",$F$3:$F$59,"EARL")</f>
        <v>#VALUE!</v>
      </c>
      <c r="N84" s="138" t="e">
        <f>COUNTIFS($I$3:$I$57,"&lt;&gt;",$F$3:$F$59,"ETA")</f>
        <v>#VALUE!</v>
      </c>
      <c r="O84" s="138" t="e">
        <f>COUNTIFS($I$3:$I$57,"&lt;&gt;",$F$3:$F$59,"SCEA")</f>
        <v>#VALUE!</v>
      </c>
      <c r="P84" s="138"/>
      <c r="Q84" s="152"/>
      <c r="R84" s="138"/>
      <c r="S84" s="148"/>
      <c r="T84" s="148" t="e">
        <f>+SUM(E84:P84)</f>
        <v>#VALUE!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6" t="s">
        <v>123</v>
      </c>
      <c r="C85" s="286"/>
      <c r="D85" s="138">
        <f t="shared" ref="D85:R85" si="8">+SUM(D82:D84)</f>
        <v>0</v>
      </c>
      <c r="E85" s="152">
        <f t="shared" si="8"/>
        <v>0</v>
      </c>
      <c r="F85" s="152">
        <f t="shared" si="8"/>
        <v>0</v>
      </c>
      <c r="G85" s="152">
        <f t="shared" si="8"/>
        <v>0</v>
      </c>
      <c r="H85" s="152">
        <f t="shared" si="8"/>
        <v>0</v>
      </c>
      <c r="I85" s="152">
        <f t="shared" si="8"/>
        <v>0</v>
      </c>
      <c r="J85" s="152">
        <f t="shared" si="8"/>
        <v>0</v>
      </c>
      <c r="K85" s="152">
        <f t="shared" si="8"/>
        <v>0</v>
      </c>
      <c r="L85" s="152">
        <f t="shared" si="8"/>
        <v>0</v>
      </c>
      <c r="M85" s="152" t="e">
        <f t="shared" si="8"/>
        <v>#VALUE!</v>
      </c>
      <c r="N85" s="152" t="e">
        <f t="shared" si="8"/>
        <v>#VALUE!</v>
      </c>
      <c r="O85" s="152" t="e">
        <f t="shared" si="8"/>
        <v>#VALUE!</v>
      </c>
      <c r="P85" s="152">
        <f t="shared" si="8"/>
        <v>0</v>
      </c>
      <c r="Q85" s="152">
        <f t="shared" si="8"/>
        <v>0</v>
      </c>
      <c r="R85" s="152">
        <f t="shared" si="8"/>
        <v>0</v>
      </c>
      <c r="S85" s="156"/>
      <c r="T85" s="148" t="e">
        <f>+SUM(T82:T84)</f>
        <v>#VALUE!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137"/>
      <c r="C86" s="137"/>
      <c r="D86" s="137"/>
      <c r="E86" s="137"/>
      <c r="F86" s="137"/>
      <c r="G86" s="137"/>
      <c r="H86" s="137"/>
      <c r="I86" s="137"/>
      <c r="J86" s="137"/>
      <c r="K86" s="137"/>
      <c r="L86" s="137"/>
      <c r="M86" s="137"/>
      <c r="N86" s="137"/>
      <c r="O86" s="137"/>
      <c r="P86" s="137"/>
      <c r="Q86" s="137"/>
      <c r="R86" s="137"/>
      <c r="S86" s="137"/>
      <c r="T86" s="137"/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7">
        <v>44196</v>
      </c>
      <c r="C87" s="138"/>
      <c r="D87" s="138"/>
      <c r="E87" s="140" t="str">
        <f t="shared" ref="E87:R87" si="9">E62</f>
        <v>SARL</v>
      </c>
      <c r="F87" s="138" t="str">
        <f t="shared" si="9"/>
        <v>EURL</v>
      </c>
      <c r="G87" s="141" t="str">
        <f t="shared" si="9"/>
        <v>SAS</v>
      </c>
      <c r="H87" s="142" t="str">
        <f t="shared" si="9"/>
        <v>INDIVIDUEL</v>
      </c>
      <c r="I87" s="142" t="str">
        <f t="shared" si="9"/>
        <v>ASSOCIATION</v>
      </c>
      <c r="J87" s="240" t="str">
        <f t="shared" si="9"/>
        <v>PROFESSION LIBERALE</v>
      </c>
      <c r="K87" s="240" t="str">
        <f t="shared" si="9"/>
        <v>SNC</v>
      </c>
      <c r="L87" s="240" t="str">
        <f t="shared" si="9"/>
        <v>SCI</v>
      </c>
      <c r="M87" s="240" t="str">
        <f t="shared" si="9"/>
        <v>EARL</v>
      </c>
      <c r="N87" s="240" t="str">
        <f t="shared" si="9"/>
        <v>ETA</v>
      </c>
      <c r="O87" s="240" t="str">
        <f t="shared" si="9"/>
        <v>SCEA</v>
      </c>
      <c r="P87" s="240" t="str">
        <f t="shared" si="9"/>
        <v>GROUPEMENT</v>
      </c>
      <c r="Q87" s="138" t="str">
        <f t="shared" si="9"/>
        <v>EIRL</v>
      </c>
      <c r="R87" s="138" t="str">
        <f t="shared" si="9"/>
        <v>AUTRES</v>
      </c>
      <c r="S87" s="138"/>
      <c r="T87" s="240" t="s">
        <v>86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6"/>
      <c r="C88" s="146" t="s">
        <v>109</v>
      </c>
      <c r="D88" s="138">
        <f>COUNTIFS($I$3:$I$57,"&lt;&gt;",$E$3:$E$57,DATE(Paramètres!A4,Paramètres!D15,Paramètres!C15),$D$3:$D$57,"ACS")</f>
        <v>0</v>
      </c>
      <c r="E88" s="147">
        <f>COUNTIFS($I$3:$I$57,"&lt;&gt;",$E$3:$E$57,DATE(Paramètres!A4,Paramètres!D15,Paramètres!C15),$F$3:$F$57,"SARL")</f>
        <v>0</v>
      </c>
      <c r="F88" s="138">
        <f>+COUNTIFS($I$3:$I$57,"&lt;&gt;",$E$3:$E$57,DATE(Paramètres!A4,Paramètres!D15,Paramètres!C15),$F$3:$F$57,"EURL")</f>
        <v>0</v>
      </c>
      <c r="G88" s="148">
        <f>COUNTIFS($I$3:$I$57,"&lt;&gt;",$E$3:$E$57,DATE(Paramètres!A4,Paramètres!D15,Paramètres!C15),$F$3:$F$57,"SAS",$D$3:$D$57,"ACS")</f>
        <v>0</v>
      </c>
      <c r="H88" s="138">
        <f>COUNTIFS($I$3:$I$57,"&lt;&gt;",$E$3:$E$57,DATE(Paramètres!A4,Paramètres!D15,Paramètres!C15),$F$3:$F$57,"INDIVIDUEL",$D$3:$D$57,"ACS")</f>
        <v>0</v>
      </c>
      <c r="I88" s="138">
        <f>+COUNTIFS($I$3:$I$57,"&lt;&gt;",$E$3:$E$57,DATE(Paramètres!A4,Paramètres!D15,Paramètres!C15),$F$3:$F$57,"ASSOCIATION")</f>
        <v>0</v>
      </c>
      <c r="J88" s="138"/>
      <c r="K88" s="138">
        <f>COUNTIFS($I$3:$I$57,"&lt;&gt;",$E$3:$E$57,DATE(Paramètres!A4,Paramètres!D15,Paramètres!C15),$F$3:$F$57,"SNC")</f>
        <v>0</v>
      </c>
      <c r="L88" s="138">
        <f>COUNTIFS($I$3:$I$57,"&lt;&gt;",$E$3:$E$57,DATE(Paramètres!A4,Paramètres!D15,Paramètres!C15),$F$3:$F$57,"SCI")</f>
        <v>0</v>
      </c>
      <c r="M88" s="149"/>
      <c r="N88" s="150"/>
      <c r="O88" s="151"/>
      <c r="P88" s="138">
        <f>COUNTIFS($I$3:$I$57,"&lt;&gt;",$E$3:$E$57,DATE(Paramètres!A4,Paramètres!D15,Paramètres!C15),$F$3:$F$57,"GROUPEMENT")</f>
        <v>0</v>
      </c>
      <c r="Q88" s="138">
        <f>COUNTIFS($I$3:$I$57,"&lt;&gt;",$E$3:$E$57,DATE(Paramètres!A4,Paramètres!D15,Paramètres!C15),$F$3:$F$57,"EIRL")</f>
        <v>0</v>
      </c>
      <c r="R88" s="138">
        <f>COUNTIFS($I$3:$I$57,"&lt;&gt;",$E$3:$E$57,DATE(Paramètres!A4,Paramètres!D15,Paramètres!C15),$F$3:$F$57,"AUTRES")</f>
        <v>0</v>
      </c>
      <c r="S88" s="138"/>
      <c r="T88" s="138">
        <f>+SUM(E88:P88)</f>
        <v>0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286"/>
      <c r="C89" s="146" t="s">
        <v>121</v>
      </c>
      <c r="D89" s="138">
        <f>COUNTIFS($I$3:$I$57,"&lt;&gt;",$E$3:$E$57,DATE(Paramètres!A4,Paramètres!D15,Paramètres!C15),$D$3:$D$57,"BNC")</f>
        <v>0</v>
      </c>
      <c r="E89" s="153"/>
      <c r="F89" s="138"/>
      <c r="G89" s="154"/>
      <c r="H89" s="155"/>
      <c r="I89" s="151"/>
      <c r="J89" s="138">
        <f>COUNTIFS($I$3:$I$57,"&lt;&gt;",$E$3:$E$57,DATE(Paramètres!A4,Paramètres!D15,Paramètres!C15),$D$3:$D$57,"BNC")</f>
        <v>0</v>
      </c>
      <c r="K89" s="149"/>
      <c r="L89" s="150"/>
      <c r="M89" s="150"/>
      <c r="N89" s="150"/>
      <c r="O89" s="150"/>
      <c r="P89" s="151"/>
      <c r="Q89" s="138"/>
      <c r="R89" s="138"/>
      <c r="S89" s="138"/>
      <c r="T89" s="138">
        <f>+SUM(E89:P89)</f>
        <v>0</v>
      </c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6"/>
      <c r="C90" s="138" t="s">
        <v>122</v>
      </c>
      <c r="D90" s="138">
        <f>COUNTIFS($I$3:$I$57,"&lt;&gt;",$E$3:$E$57,DATE(Paramètres!A4,Paramètres!D15,Paramètres!C15),$D$3:$D$57,"AGRI")</f>
        <v>0</v>
      </c>
      <c r="E90" s="153"/>
      <c r="F90" s="138"/>
      <c r="G90" s="154">
        <f>COUNTIFS($I$3:$I$57,"&lt;&gt;",$E$3:$E$57,DATE(Paramètres!A4,Paramètres!D15,Paramètres!C15),$F$3:$F$57,"SAS",$D$3:$D$57,"AGRI")</f>
        <v>0</v>
      </c>
      <c r="H90" s="138">
        <f>COUNTIFS($I$3:$I$57,"&lt;&gt;",$E$3:$E$57,DATE(Paramètres!A4,Paramètres!D15,Paramètres!C15),$F$3:$F$57,"INDIVIDUEL",$D$3:$D$57,"AGRI")</f>
        <v>0</v>
      </c>
      <c r="I90" s="152"/>
      <c r="J90" s="149"/>
      <c r="K90" s="150"/>
      <c r="L90" s="151"/>
      <c r="M90" s="138">
        <f>COUNTIFS($I$3:$I$57,"&lt;&gt;",$BB$3:$BB$57,"X",$E$3:$E$57,DATE(Paramètres!A4,Paramètres!D15,Paramètres!C15),$F$3:$F$57,"EARL")</f>
        <v>0</v>
      </c>
      <c r="N90" s="138">
        <f>COUNTIFS($I$3:$I$57,"&lt;&gt;",$E$3:$E$57,DATE(Paramètres!A4,Paramètres!D15,Paramètres!C15),$F$3:$F$57,"ETA")</f>
        <v>0</v>
      </c>
      <c r="O90" s="138">
        <f>COUNTIFS($I$3:$I$57,"&lt;&gt;",$E$3:$E$57,DATE(Paramètres!A4,Paramètres!D15,Paramètres!C15),$F$3:$F$57,"SCEA")</f>
        <v>0</v>
      </c>
      <c r="P90" s="138"/>
      <c r="Q90" s="138"/>
      <c r="R90" s="138"/>
      <c r="S90" s="138"/>
      <c r="T90" s="138">
        <f>+SUM(E90:P90)</f>
        <v>0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6" t="s">
        <v>123</v>
      </c>
      <c r="C91" s="286"/>
      <c r="D91" s="138">
        <f t="shared" ref="D91:R91" si="10">+SUM(D88:D90)</f>
        <v>0</v>
      </c>
      <c r="E91" s="152">
        <f t="shared" si="10"/>
        <v>0</v>
      </c>
      <c r="F91" s="152">
        <f t="shared" si="10"/>
        <v>0</v>
      </c>
      <c r="G91" s="152">
        <f t="shared" si="10"/>
        <v>0</v>
      </c>
      <c r="H91" s="152">
        <f t="shared" si="10"/>
        <v>0</v>
      </c>
      <c r="I91" s="152">
        <f t="shared" si="10"/>
        <v>0</v>
      </c>
      <c r="J91" s="152">
        <f t="shared" si="10"/>
        <v>0</v>
      </c>
      <c r="K91" s="152">
        <f t="shared" si="10"/>
        <v>0</v>
      </c>
      <c r="L91" s="152">
        <f t="shared" si="10"/>
        <v>0</v>
      </c>
      <c r="M91" s="152">
        <f t="shared" si="10"/>
        <v>0</v>
      </c>
      <c r="N91" s="152">
        <f t="shared" si="10"/>
        <v>0</v>
      </c>
      <c r="O91" s="152">
        <f t="shared" si="10"/>
        <v>0</v>
      </c>
      <c r="P91" s="152">
        <f t="shared" si="10"/>
        <v>0</v>
      </c>
      <c r="Q91" s="152">
        <f t="shared" si="10"/>
        <v>0</v>
      </c>
      <c r="R91" s="152">
        <f t="shared" si="10"/>
        <v>0</v>
      </c>
      <c r="S91" s="152"/>
      <c r="T91" s="138">
        <f>+SUM(T88:T90)</f>
        <v>0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137"/>
      <c r="C92" s="137"/>
      <c r="D92" s="137"/>
      <c r="E92" s="137"/>
      <c r="F92" s="137"/>
      <c r="G92" s="137"/>
      <c r="H92" s="137"/>
      <c r="I92" s="137"/>
      <c r="J92" s="137"/>
      <c r="K92" s="137"/>
      <c r="L92" s="137"/>
      <c r="M92" s="137"/>
      <c r="N92" s="137"/>
      <c r="O92" s="137"/>
      <c r="P92" s="137"/>
      <c r="Q92" s="137"/>
      <c r="R92" s="137"/>
      <c r="S92" s="137"/>
      <c r="T92" s="137"/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6" t="s">
        <v>40</v>
      </c>
      <c r="C93" s="138"/>
      <c r="D93" s="138"/>
      <c r="E93" s="140" t="str">
        <f t="shared" ref="E93:R93" si="11">E62</f>
        <v>SARL</v>
      </c>
      <c r="F93" s="138" t="str">
        <f t="shared" si="11"/>
        <v>EURL</v>
      </c>
      <c r="G93" s="141" t="str">
        <f t="shared" si="11"/>
        <v>SAS</v>
      </c>
      <c r="H93" s="142" t="str">
        <f t="shared" si="11"/>
        <v>INDIVIDUEL</v>
      </c>
      <c r="I93" s="142" t="str">
        <f t="shared" si="11"/>
        <v>ASSOCIATION</v>
      </c>
      <c r="J93" s="240" t="str">
        <f t="shared" si="11"/>
        <v>PROFESSION LIBERALE</v>
      </c>
      <c r="K93" s="240" t="str">
        <f t="shared" si="11"/>
        <v>SNC</v>
      </c>
      <c r="L93" s="240" t="str">
        <f t="shared" si="11"/>
        <v>SCI</v>
      </c>
      <c r="M93" s="240" t="str">
        <f t="shared" si="11"/>
        <v>EARL</v>
      </c>
      <c r="N93" s="240" t="str">
        <f t="shared" si="11"/>
        <v>ETA</v>
      </c>
      <c r="O93" s="240" t="str">
        <f t="shared" si="11"/>
        <v>SCEA</v>
      </c>
      <c r="P93" s="240" t="str">
        <f t="shared" si="11"/>
        <v>GROUPEMENT</v>
      </c>
      <c r="Q93" s="138" t="str">
        <f t="shared" si="11"/>
        <v>EIRL</v>
      </c>
      <c r="R93" s="138" t="str">
        <f t="shared" si="11"/>
        <v>AUTRES</v>
      </c>
      <c r="S93" s="138"/>
      <c r="T93" s="240" t="s">
        <v>86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6"/>
      <c r="C94" s="146" t="s">
        <v>109</v>
      </c>
      <c r="D94" s="138">
        <f>+D82-D88</f>
        <v>0</v>
      </c>
      <c r="E94" s="152">
        <f>+E82-E88</f>
        <v>0</v>
      </c>
      <c r="F94" s="152">
        <f t="shared" ref="F94:R94" si="12">+F82-F88</f>
        <v>0</v>
      </c>
      <c r="G94" s="152">
        <f t="shared" si="12"/>
        <v>0</v>
      </c>
      <c r="H94" s="152">
        <f t="shared" si="12"/>
        <v>0</v>
      </c>
      <c r="I94" s="152">
        <f t="shared" si="12"/>
        <v>0</v>
      </c>
      <c r="J94" s="152">
        <f t="shared" si="12"/>
        <v>0</v>
      </c>
      <c r="K94" s="152">
        <f t="shared" si="12"/>
        <v>0</v>
      </c>
      <c r="L94" s="152">
        <f t="shared" si="12"/>
        <v>0</v>
      </c>
      <c r="M94" s="152">
        <f t="shared" si="12"/>
        <v>0</v>
      </c>
      <c r="N94" s="152">
        <f t="shared" si="12"/>
        <v>0</v>
      </c>
      <c r="O94" s="152">
        <f t="shared" si="12"/>
        <v>0</v>
      </c>
      <c r="P94" s="152">
        <f t="shared" si="12"/>
        <v>0</v>
      </c>
      <c r="Q94" s="152">
        <f t="shared" si="12"/>
        <v>0</v>
      </c>
      <c r="R94" s="152">
        <f t="shared" si="12"/>
        <v>0</v>
      </c>
      <c r="S94" s="152"/>
      <c r="T94" s="138">
        <f>+SUM(E94:P94)</f>
        <v>0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286"/>
      <c r="C95" s="146" t="s">
        <v>121</v>
      </c>
      <c r="D95" s="138">
        <f>+D83-D89</f>
        <v>0</v>
      </c>
      <c r="E95" s="138">
        <f t="shared" ref="E95:R97" si="13">+E83-E89</f>
        <v>0</v>
      </c>
      <c r="F95" s="138">
        <f t="shared" si="13"/>
        <v>0</v>
      </c>
      <c r="G95" s="138">
        <f t="shared" si="13"/>
        <v>0</v>
      </c>
      <c r="H95" s="138">
        <f t="shared" si="13"/>
        <v>0</v>
      </c>
      <c r="I95" s="138">
        <f t="shared" si="13"/>
        <v>0</v>
      </c>
      <c r="J95" s="138">
        <f t="shared" si="13"/>
        <v>0</v>
      </c>
      <c r="K95" s="138">
        <f t="shared" si="13"/>
        <v>0</v>
      </c>
      <c r="L95" s="138">
        <f t="shared" si="13"/>
        <v>0</v>
      </c>
      <c r="M95" s="138">
        <f t="shared" si="13"/>
        <v>0</v>
      </c>
      <c r="N95" s="138">
        <f t="shared" si="13"/>
        <v>0</v>
      </c>
      <c r="O95" s="138">
        <f t="shared" si="13"/>
        <v>0</v>
      </c>
      <c r="P95" s="138">
        <f t="shared" si="13"/>
        <v>0</v>
      </c>
      <c r="Q95" s="138">
        <f t="shared" si="13"/>
        <v>0</v>
      </c>
      <c r="R95" s="138">
        <f t="shared" si="13"/>
        <v>0</v>
      </c>
      <c r="S95" s="138"/>
      <c r="T95" s="138">
        <f>+SUM(E95:P95)</f>
        <v>0</v>
      </c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6"/>
      <c r="C96" s="138" t="s">
        <v>122</v>
      </c>
      <c r="D96" s="138">
        <f>+D84-D90</f>
        <v>0</v>
      </c>
      <c r="E96" s="138">
        <f t="shared" si="13"/>
        <v>0</v>
      </c>
      <c r="F96" s="138">
        <f t="shared" si="13"/>
        <v>0</v>
      </c>
      <c r="G96" s="138">
        <f t="shared" si="13"/>
        <v>0</v>
      </c>
      <c r="H96" s="138">
        <f t="shared" si="13"/>
        <v>0</v>
      </c>
      <c r="I96" s="138">
        <f t="shared" si="13"/>
        <v>0</v>
      </c>
      <c r="J96" s="138">
        <f t="shared" si="13"/>
        <v>0</v>
      </c>
      <c r="K96" s="138">
        <f t="shared" si="13"/>
        <v>0</v>
      </c>
      <c r="L96" s="138">
        <f t="shared" si="13"/>
        <v>0</v>
      </c>
      <c r="M96" s="138" t="e">
        <f t="shared" si="13"/>
        <v>#VALUE!</v>
      </c>
      <c r="N96" s="138" t="e">
        <f t="shared" si="13"/>
        <v>#VALUE!</v>
      </c>
      <c r="O96" s="138" t="e">
        <f t="shared" si="13"/>
        <v>#VALUE!</v>
      </c>
      <c r="P96" s="138">
        <f t="shared" si="13"/>
        <v>0</v>
      </c>
      <c r="Q96" s="138">
        <f t="shared" si="13"/>
        <v>0</v>
      </c>
      <c r="R96" s="138">
        <f t="shared" si="13"/>
        <v>0</v>
      </c>
      <c r="S96" s="138"/>
      <c r="T96" s="138" t="e">
        <f>+SUM(E96:P96)</f>
        <v>#VALUE!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6" t="s">
        <v>123</v>
      </c>
      <c r="C97" s="286"/>
      <c r="D97" s="138">
        <f>+D85-D91</f>
        <v>0</v>
      </c>
      <c r="E97" s="138">
        <f t="shared" si="13"/>
        <v>0</v>
      </c>
      <c r="F97" s="138">
        <f t="shared" si="13"/>
        <v>0</v>
      </c>
      <c r="G97" s="138">
        <f t="shared" si="13"/>
        <v>0</v>
      </c>
      <c r="H97" s="138">
        <f t="shared" si="13"/>
        <v>0</v>
      </c>
      <c r="I97" s="138">
        <f t="shared" si="13"/>
        <v>0</v>
      </c>
      <c r="J97" s="138">
        <f t="shared" si="13"/>
        <v>0</v>
      </c>
      <c r="K97" s="138">
        <f t="shared" si="13"/>
        <v>0</v>
      </c>
      <c r="L97" s="138">
        <f t="shared" si="13"/>
        <v>0</v>
      </c>
      <c r="M97" s="138" t="e">
        <f t="shared" si="13"/>
        <v>#VALUE!</v>
      </c>
      <c r="N97" s="138" t="e">
        <f t="shared" si="13"/>
        <v>#VALUE!</v>
      </c>
      <c r="O97" s="138" t="e">
        <f t="shared" si="13"/>
        <v>#VALUE!</v>
      </c>
      <c r="P97" s="138">
        <f t="shared" si="13"/>
        <v>0</v>
      </c>
      <c r="Q97" s="138">
        <f t="shared" si="13"/>
        <v>0</v>
      </c>
      <c r="R97" s="138">
        <f t="shared" si="13"/>
        <v>0</v>
      </c>
      <c r="S97" s="138"/>
      <c r="T97" s="138" t="e">
        <f>+SUM(T94:T96)</f>
        <v>#VALUE!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89" t="s">
        <v>133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B101" s="280" t="s">
        <v>120</v>
      </c>
      <c r="C101" s="122"/>
      <c r="D101" s="122"/>
      <c r="E101" s="157" t="str">
        <f t="shared" ref="E101:R101" si="14">E62</f>
        <v>SARL</v>
      </c>
      <c r="F101" s="121" t="str">
        <f t="shared" si="14"/>
        <v>EURL</v>
      </c>
      <c r="G101" s="158" t="str">
        <f t="shared" si="14"/>
        <v>SAS</v>
      </c>
      <c r="H101" s="158" t="str">
        <f t="shared" si="14"/>
        <v>INDIVIDUEL</v>
      </c>
      <c r="I101" s="158" t="str">
        <f t="shared" si="14"/>
        <v>ASSOCIATION</v>
      </c>
      <c r="J101" s="157" t="str">
        <f t="shared" si="14"/>
        <v>PROFESSION LIBERALE</v>
      </c>
      <c r="K101" s="157" t="str">
        <f t="shared" si="14"/>
        <v>SNC</v>
      </c>
      <c r="L101" s="157" t="str">
        <f t="shared" si="14"/>
        <v>SCI</v>
      </c>
      <c r="M101" s="157" t="str">
        <f t="shared" si="14"/>
        <v>EARL</v>
      </c>
      <c r="N101" s="157" t="str">
        <f t="shared" si="14"/>
        <v>ETA</v>
      </c>
      <c r="O101" s="157" t="str">
        <f t="shared" si="14"/>
        <v>SCEA</v>
      </c>
      <c r="P101" s="157" t="str">
        <f t="shared" si="14"/>
        <v>GROUPEMENT</v>
      </c>
      <c r="Q101" s="121" t="str">
        <f t="shared" si="14"/>
        <v>EIRL</v>
      </c>
      <c r="R101" s="121" t="str">
        <f t="shared" si="14"/>
        <v>AUTRES</v>
      </c>
      <c r="S101" s="121"/>
      <c r="T101" s="157" t="s">
        <v>86</v>
      </c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281"/>
      <c r="C102" s="120" t="s">
        <v>109</v>
      </c>
      <c r="D102" s="122">
        <f>+D63-D82</f>
        <v>0</v>
      </c>
      <c r="E102" s="122">
        <f t="shared" ref="E102:R104" si="15">+E63-E82</f>
        <v>0</v>
      </c>
      <c r="F102" s="122">
        <f t="shared" si="15"/>
        <v>0</v>
      </c>
      <c r="G102" s="122">
        <f t="shared" si="15"/>
        <v>0</v>
      </c>
      <c r="H102" s="122">
        <f t="shared" si="15"/>
        <v>0</v>
      </c>
      <c r="I102" s="122">
        <f t="shared" si="15"/>
        <v>0</v>
      </c>
      <c r="J102" s="122">
        <f t="shared" si="15"/>
        <v>0</v>
      </c>
      <c r="K102" s="122">
        <f t="shared" si="15"/>
        <v>0</v>
      </c>
      <c r="L102" s="122">
        <f t="shared" si="15"/>
        <v>0</v>
      </c>
      <c r="M102" s="122">
        <f t="shared" si="15"/>
        <v>0</v>
      </c>
      <c r="N102" s="122">
        <f t="shared" si="15"/>
        <v>0</v>
      </c>
      <c r="O102" s="122">
        <f t="shared" si="15"/>
        <v>0</v>
      </c>
      <c r="P102" s="122">
        <f t="shared" si="15"/>
        <v>0</v>
      </c>
      <c r="Q102" s="122">
        <f t="shared" si="15"/>
        <v>0</v>
      </c>
      <c r="R102" s="122">
        <f t="shared" si="15"/>
        <v>0</v>
      </c>
      <c r="S102" s="122"/>
      <c r="T102" s="122">
        <f>+SUM(E102:P102)</f>
        <v>0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B103" s="281"/>
      <c r="C103" s="120" t="s">
        <v>121</v>
      </c>
      <c r="D103" s="122">
        <f>+D64-D83</f>
        <v>0</v>
      </c>
      <c r="E103" s="122">
        <f t="shared" si="15"/>
        <v>0</v>
      </c>
      <c r="F103" s="122">
        <f t="shared" si="15"/>
        <v>0</v>
      </c>
      <c r="G103" s="122">
        <f t="shared" si="15"/>
        <v>0</v>
      </c>
      <c r="H103" s="122">
        <f t="shared" si="15"/>
        <v>0</v>
      </c>
      <c r="I103" s="122">
        <f t="shared" si="15"/>
        <v>0</v>
      </c>
      <c r="J103" s="122">
        <f t="shared" si="15"/>
        <v>0</v>
      </c>
      <c r="K103" s="122">
        <f t="shared" si="15"/>
        <v>0</v>
      </c>
      <c r="L103" s="122">
        <f t="shared" si="15"/>
        <v>0</v>
      </c>
      <c r="M103" s="122">
        <f t="shared" si="15"/>
        <v>0</v>
      </c>
      <c r="N103" s="122">
        <f t="shared" si="15"/>
        <v>0</v>
      </c>
      <c r="O103" s="122">
        <f t="shared" si="15"/>
        <v>0</v>
      </c>
      <c r="P103" s="122">
        <f t="shared" si="15"/>
        <v>0</v>
      </c>
      <c r="Q103" s="122">
        <f t="shared" si="15"/>
        <v>0</v>
      </c>
      <c r="R103" s="122">
        <f t="shared" si="15"/>
        <v>0</v>
      </c>
      <c r="S103" s="122"/>
      <c r="T103" s="122">
        <f>+SUM(E103:P103)</f>
        <v>0</v>
      </c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82"/>
      <c r="C104" s="122" t="s">
        <v>122</v>
      </c>
      <c r="D104" s="122">
        <f>+D65-D84</f>
        <v>0</v>
      </c>
      <c r="E104" s="122">
        <f t="shared" si="15"/>
        <v>0</v>
      </c>
      <c r="F104" s="122">
        <f t="shared" si="15"/>
        <v>0</v>
      </c>
      <c r="G104" s="122">
        <f t="shared" si="15"/>
        <v>0</v>
      </c>
      <c r="H104" s="122">
        <f t="shared" si="15"/>
        <v>0</v>
      </c>
      <c r="I104" s="122">
        <f t="shared" si="15"/>
        <v>0</v>
      </c>
      <c r="J104" s="122">
        <f t="shared" si="15"/>
        <v>0</v>
      </c>
      <c r="K104" s="122">
        <f t="shared" si="15"/>
        <v>0</v>
      </c>
      <c r="L104" s="122">
        <f t="shared" si="15"/>
        <v>0</v>
      </c>
      <c r="M104" s="122" t="e">
        <f t="shared" si="15"/>
        <v>#VALUE!</v>
      </c>
      <c r="N104" s="122" t="e">
        <f t="shared" si="15"/>
        <v>#VALUE!</v>
      </c>
      <c r="O104" s="122" t="e">
        <f t="shared" si="15"/>
        <v>#VALUE!</v>
      </c>
      <c r="P104" s="122">
        <f t="shared" si="15"/>
        <v>0</v>
      </c>
      <c r="Q104" s="122">
        <f t="shared" si="15"/>
        <v>0</v>
      </c>
      <c r="R104" s="122">
        <f t="shared" si="15"/>
        <v>0</v>
      </c>
      <c r="S104" s="122"/>
      <c r="T104" s="122" t="e">
        <f>+SUM(E104:P104)</f>
        <v>#VALUE!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83" t="s">
        <v>123</v>
      </c>
      <c r="C105" s="283"/>
      <c r="D105" s="122">
        <f t="shared" ref="D105:R105" si="16">+SUM(D102:D104)</f>
        <v>0</v>
      </c>
      <c r="E105" s="122">
        <f t="shared" si="16"/>
        <v>0</v>
      </c>
      <c r="F105" s="122">
        <f t="shared" si="16"/>
        <v>0</v>
      </c>
      <c r="G105" s="122">
        <f t="shared" si="16"/>
        <v>0</v>
      </c>
      <c r="H105" s="122">
        <f t="shared" si="16"/>
        <v>0</v>
      </c>
      <c r="I105" s="122">
        <f t="shared" si="16"/>
        <v>0</v>
      </c>
      <c r="J105" s="122">
        <f t="shared" si="16"/>
        <v>0</v>
      </c>
      <c r="K105" s="122">
        <f t="shared" si="16"/>
        <v>0</v>
      </c>
      <c r="L105" s="122">
        <f t="shared" si="16"/>
        <v>0</v>
      </c>
      <c r="M105" s="122" t="e">
        <f t="shared" si="16"/>
        <v>#VALUE!</v>
      </c>
      <c r="N105" s="122" t="e">
        <f t="shared" si="16"/>
        <v>#VALUE!</v>
      </c>
      <c r="O105" s="122" t="e">
        <f t="shared" si="16"/>
        <v>#VALUE!</v>
      </c>
      <c r="P105" s="122">
        <f t="shared" si="16"/>
        <v>0</v>
      </c>
      <c r="Q105" s="122">
        <f t="shared" si="16"/>
        <v>0</v>
      </c>
      <c r="R105" s="122">
        <f t="shared" si="16"/>
        <v>0</v>
      </c>
      <c r="S105" s="122"/>
      <c r="T105" s="122" t="e">
        <f>+SUM(T102:T104)</f>
        <v>#VALUE!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90"/>
      <c r="C106" s="90"/>
      <c r="D106" s="90"/>
      <c r="E106" s="90"/>
      <c r="G106" s="90"/>
      <c r="H106" s="90"/>
      <c r="I106" s="90"/>
      <c r="J106" s="90"/>
      <c r="K106" s="90"/>
      <c r="L106" s="90"/>
      <c r="M106" s="90"/>
      <c r="N106" s="90"/>
      <c r="O106" s="90"/>
      <c r="P106" s="90"/>
      <c r="T106" s="90"/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84">
        <v>44196</v>
      </c>
      <c r="C107" s="122"/>
      <c r="D107" s="122"/>
      <c r="E107" s="128" t="str">
        <f t="shared" ref="E107:R107" si="17">E62</f>
        <v>SARL</v>
      </c>
      <c r="F107" s="121" t="str">
        <f t="shared" si="17"/>
        <v>EURL</v>
      </c>
      <c r="G107" s="127" t="str">
        <f t="shared" si="17"/>
        <v>SAS</v>
      </c>
      <c r="H107" s="127" t="str">
        <f t="shared" si="17"/>
        <v>INDIVIDUEL</v>
      </c>
      <c r="I107" s="127" t="str">
        <f t="shared" si="17"/>
        <v>ASSOCIATION</v>
      </c>
      <c r="J107" s="128" t="str">
        <f t="shared" si="17"/>
        <v>PROFESSION LIBERALE</v>
      </c>
      <c r="K107" s="128" t="str">
        <f t="shared" si="17"/>
        <v>SNC</v>
      </c>
      <c r="L107" s="128" t="str">
        <f t="shared" si="17"/>
        <v>SCI</v>
      </c>
      <c r="M107" s="128" t="str">
        <f t="shared" si="17"/>
        <v>EARL</v>
      </c>
      <c r="N107" s="128" t="str">
        <f t="shared" si="17"/>
        <v>ETA</v>
      </c>
      <c r="O107" s="128" t="str">
        <f t="shared" si="17"/>
        <v>SCEA</v>
      </c>
      <c r="P107" s="128" t="str">
        <f t="shared" si="17"/>
        <v>GROUPEMENT</v>
      </c>
      <c r="Q107" s="128" t="str">
        <f t="shared" si="17"/>
        <v>EIRL</v>
      </c>
      <c r="R107" s="121" t="str">
        <f t="shared" si="17"/>
        <v>AUTRES</v>
      </c>
      <c r="S107" s="121"/>
      <c r="T107" s="128" t="s">
        <v>86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81"/>
      <c r="C108" s="120" t="s">
        <v>109</v>
      </c>
      <c r="D108" s="122">
        <f>+D69-D88</f>
        <v>0</v>
      </c>
      <c r="E108" s="122">
        <f t="shared" ref="E108:R110" si="18">+E69-E88</f>
        <v>0</v>
      </c>
      <c r="F108" s="122">
        <f t="shared" si="18"/>
        <v>0</v>
      </c>
      <c r="G108" s="122">
        <f t="shared" si="18"/>
        <v>0</v>
      </c>
      <c r="H108" s="122">
        <f t="shared" si="18"/>
        <v>0</v>
      </c>
      <c r="I108" s="122">
        <f t="shared" si="18"/>
        <v>0</v>
      </c>
      <c r="J108" s="122">
        <f t="shared" si="18"/>
        <v>0</v>
      </c>
      <c r="K108" s="122">
        <f t="shared" si="18"/>
        <v>0</v>
      </c>
      <c r="L108" s="122">
        <f t="shared" si="18"/>
        <v>0</v>
      </c>
      <c r="M108" s="122">
        <f t="shared" si="18"/>
        <v>0</v>
      </c>
      <c r="N108" s="122">
        <f t="shared" si="18"/>
        <v>0</v>
      </c>
      <c r="O108" s="122">
        <f t="shared" si="18"/>
        <v>0</v>
      </c>
      <c r="P108" s="122">
        <f t="shared" si="18"/>
        <v>0</v>
      </c>
      <c r="Q108" s="122">
        <f t="shared" si="18"/>
        <v>0</v>
      </c>
      <c r="R108" s="122">
        <f t="shared" si="18"/>
        <v>0</v>
      </c>
      <c r="S108" s="122"/>
      <c r="T108" s="122">
        <f>+SUM(E108:P108)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281"/>
      <c r="C109" s="120" t="s">
        <v>121</v>
      </c>
      <c r="D109" s="122">
        <f>+D70-D89</f>
        <v>0</v>
      </c>
      <c r="E109" s="122">
        <f t="shared" si="18"/>
        <v>0</v>
      </c>
      <c r="F109" s="122">
        <f t="shared" si="18"/>
        <v>0</v>
      </c>
      <c r="G109" s="122">
        <f t="shared" si="18"/>
        <v>0</v>
      </c>
      <c r="H109" s="122">
        <f t="shared" si="18"/>
        <v>0</v>
      </c>
      <c r="I109" s="122">
        <f t="shared" si="18"/>
        <v>0</v>
      </c>
      <c r="J109" s="122">
        <f t="shared" si="18"/>
        <v>0</v>
      </c>
      <c r="K109" s="122">
        <f t="shared" si="18"/>
        <v>0</v>
      </c>
      <c r="L109" s="122">
        <f t="shared" si="18"/>
        <v>0</v>
      </c>
      <c r="M109" s="122">
        <f t="shared" si="18"/>
        <v>0</v>
      </c>
      <c r="N109" s="122">
        <f t="shared" si="18"/>
        <v>0</v>
      </c>
      <c r="O109" s="122">
        <f t="shared" si="18"/>
        <v>0</v>
      </c>
      <c r="P109" s="122">
        <f t="shared" si="18"/>
        <v>0</v>
      </c>
      <c r="Q109" s="122">
        <f t="shared" si="18"/>
        <v>0</v>
      </c>
      <c r="R109" s="122">
        <f t="shared" si="18"/>
        <v>0</v>
      </c>
      <c r="S109" s="122"/>
      <c r="T109" s="122">
        <f>+SUM(E109:P109)</f>
        <v>0</v>
      </c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2"/>
      <c r="C110" s="122" t="s">
        <v>122</v>
      </c>
      <c r="D110" s="122">
        <f>+D71-D90</f>
        <v>0</v>
      </c>
      <c r="E110" s="122">
        <f t="shared" si="18"/>
        <v>0</v>
      </c>
      <c r="F110" s="122">
        <f t="shared" si="18"/>
        <v>0</v>
      </c>
      <c r="G110" s="122">
        <f t="shared" si="18"/>
        <v>0</v>
      </c>
      <c r="H110" s="122">
        <f t="shared" si="18"/>
        <v>0</v>
      </c>
      <c r="I110" s="122">
        <f t="shared" si="18"/>
        <v>0</v>
      </c>
      <c r="J110" s="122">
        <f t="shared" si="18"/>
        <v>0</v>
      </c>
      <c r="K110" s="122">
        <f t="shared" si="18"/>
        <v>0</v>
      </c>
      <c r="L110" s="122">
        <f t="shared" si="18"/>
        <v>0</v>
      </c>
      <c r="M110" s="122">
        <f t="shared" si="18"/>
        <v>0</v>
      </c>
      <c r="N110" s="122">
        <f t="shared" si="18"/>
        <v>0</v>
      </c>
      <c r="O110" s="122">
        <f t="shared" si="18"/>
        <v>0</v>
      </c>
      <c r="P110" s="122">
        <f t="shared" si="18"/>
        <v>0</v>
      </c>
      <c r="Q110" s="122">
        <f t="shared" si="18"/>
        <v>0</v>
      </c>
      <c r="R110" s="122">
        <f t="shared" si="18"/>
        <v>0</v>
      </c>
      <c r="S110" s="122"/>
      <c r="T110" s="122">
        <f>+SUM(E110:P110)</f>
        <v>0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83" t="s">
        <v>123</v>
      </c>
      <c r="C111" s="283"/>
      <c r="D111" s="122">
        <f t="shared" ref="D111:R111" si="19">+SUM(D108:D110)</f>
        <v>0</v>
      </c>
      <c r="E111" s="122">
        <f t="shared" si="19"/>
        <v>0</v>
      </c>
      <c r="F111" s="122">
        <f t="shared" si="19"/>
        <v>0</v>
      </c>
      <c r="G111" s="122">
        <f t="shared" si="19"/>
        <v>0</v>
      </c>
      <c r="H111" s="122">
        <f t="shared" si="19"/>
        <v>0</v>
      </c>
      <c r="I111" s="122">
        <f t="shared" si="19"/>
        <v>0</v>
      </c>
      <c r="J111" s="122">
        <f t="shared" si="19"/>
        <v>0</v>
      </c>
      <c r="K111" s="122">
        <f t="shared" si="19"/>
        <v>0</v>
      </c>
      <c r="L111" s="122">
        <f t="shared" si="19"/>
        <v>0</v>
      </c>
      <c r="M111" s="122">
        <f t="shared" si="19"/>
        <v>0</v>
      </c>
      <c r="N111" s="122">
        <f t="shared" si="19"/>
        <v>0</v>
      </c>
      <c r="O111" s="122">
        <f t="shared" si="19"/>
        <v>0</v>
      </c>
      <c r="P111" s="122">
        <f t="shared" si="19"/>
        <v>0</v>
      </c>
      <c r="Q111" s="122">
        <f t="shared" si="19"/>
        <v>0</v>
      </c>
      <c r="R111" s="122">
        <f t="shared" si="19"/>
        <v>0</v>
      </c>
      <c r="S111" s="122"/>
      <c r="T111" s="122">
        <f>+SUM(T108:T110)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90"/>
      <c r="C112" s="90"/>
      <c r="D112" s="90"/>
      <c r="E112" s="90"/>
      <c r="G112" s="90"/>
      <c r="H112" s="90"/>
      <c r="I112" s="90"/>
      <c r="J112" s="90"/>
      <c r="K112" s="90"/>
      <c r="L112" s="90"/>
      <c r="M112" s="90"/>
      <c r="N112" s="90"/>
      <c r="O112" s="90"/>
      <c r="P112" s="90"/>
      <c r="T112" s="90"/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84" t="s">
        <v>40</v>
      </c>
      <c r="C113" s="122"/>
      <c r="D113" s="122"/>
      <c r="E113" s="125" t="str">
        <f t="shared" ref="E113:R113" si="20">E62</f>
        <v>SARL</v>
      </c>
      <c r="F113" s="121" t="str">
        <f t="shared" si="20"/>
        <v>EURL</v>
      </c>
      <c r="G113" s="126" t="str">
        <f t="shared" si="20"/>
        <v>SAS</v>
      </c>
      <c r="H113" s="127" t="str">
        <f t="shared" si="20"/>
        <v>INDIVIDUEL</v>
      </c>
      <c r="I113" s="127" t="str">
        <f t="shared" si="20"/>
        <v>ASSOCIATION</v>
      </c>
      <c r="J113" s="128" t="str">
        <f t="shared" si="20"/>
        <v>PROFESSION LIBERALE</v>
      </c>
      <c r="K113" s="128" t="str">
        <f t="shared" si="20"/>
        <v>SNC</v>
      </c>
      <c r="L113" s="128" t="str">
        <f t="shared" si="20"/>
        <v>SCI</v>
      </c>
      <c r="M113" s="128" t="str">
        <f t="shared" si="20"/>
        <v>EARL</v>
      </c>
      <c r="N113" s="128" t="str">
        <f t="shared" si="20"/>
        <v>ETA</v>
      </c>
      <c r="O113" s="128" t="str">
        <f t="shared" si="20"/>
        <v>SCEA</v>
      </c>
      <c r="P113" s="128" t="str">
        <f t="shared" si="20"/>
        <v>GROUPEMENT</v>
      </c>
      <c r="Q113" s="128" t="str">
        <f t="shared" si="20"/>
        <v>EIRL</v>
      </c>
      <c r="R113" s="121" t="str">
        <f t="shared" si="20"/>
        <v>AUTRES</v>
      </c>
      <c r="S113" s="121"/>
      <c r="T113" s="128" t="s">
        <v>86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81"/>
      <c r="C114" s="120" t="s">
        <v>109</v>
      </c>
      <c r="D114" s="122">
        <f>+D102-D108</f>
        <v>0</v>
      </c>
      <c r="E114" s="122">
        <f t="shared" ref="E114:R117" si="21">+E102-E108</f>
        <v>0</v>
      </c>
      <c r="F114" s="122">
        <f t="shared" si="21"/>
        <v>0</v>
      </c>
      <c r="G114" s="122">
        <f t="shared" si="21"/>
        <v>0</v>
      </c>
      <c r="H114" s="122">
        <f t="shared" si="21"/>
        <v>0</v>
      </c>
      <c r="I114" s="122">
        <f t="shared" si="21"/>
        <v>0</v>
      </c>
      <c r="J114" s="122">
        <f t="shared" si="21"/>
        <v>0</v>
      </c>
      <c r="K114" s="122">
        <f t="shared" si="21"/>
        <v>0</v>
      </c>
      <c r="L114" s="122">
        <f t="shared" si="21"/>
        <v>0</v>
      </c>
      <c r="M114" s="122">
        <f t="shared" si="21"/>
        <v>0</v>
      </c>
      <c r="N114" s="122">
        <f t="shared" si="21"/>
        <v>0</v>
      </c>
      <c r="O114" s="122">
        <f t="shared" si="21"/>
        <v>0</v>
      </c>
      <c r="P114" s="122">
        <f t="shared" si="21"/>
        <v>0</v>
      </c>
      <c r="Q114" s="122">
        <f t="shared" si="21"/>
        <v>0</v>
      </c>
      <c r="R114" s="122">
        <f t="shared" si="21"/>
        <v>0</v>
      </c>
      <c r="S114" s="122"/>
      <c r="T114" s="122">
        <f>+SUM(E114:P114)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281"/>
      <c r="C115" s="120" t="s">
        <v>121</v>
      </c>
      <c r="D115" s="122">
        <f>+D103-D109</f>
        <v>0</v>
      </c>
      <c r="E115" s="122">
        <f t="shared" si="21"/>
        <v>0</v>
      </c>
      <c r="F115" s="122">
        <f t="shared" si="21"/>
        <v>0</v>
      </c>
      <c r="G115" s="122">
        <f t="shared" si="21"/>
        <v>0</v>
      </c>
      <c r="H115" s="122">
        <f t="shared" si="21"/>
        <v>0</v>
      </c>
      <c r="I115" s="122">
        <f t="shared" si="21"/>
        <v>0</v>
      </c>
      <c r="J115" s="122">
        <f t="shared" si="21"/>
        <v>0</v>
      </c>
      <c r="K115" s="122">
        <f t="shared" si="21"/>
        <v>0</v>
      </c>
      <c r="L115" s="122">
        <f t="shared" si="21"/>
        <v>0</v>
      </c>
      <c r="M115" s="122">
        <f t="shared" si="21"/>
        <v>0</v>
      </c>
      <c r="N115" s="122">
        <f t="shared" si="21"/>
        <v>0</v>
      </c>
      <c r="O115" s="122">
        <f t="shared" si="21"/>
        <v>0</v>
      </c>
      <c r="P115" s="122">
        <f t="shared" si="21"/>
        <v>0</v>
      </c>
      <c r="Q115" s="122">
        <f t="shared" si="21"/>
        <v>0</v>
      </c>
      <c r="R115" s="122">
        <f t="shared" si="21"/>
        <v>0</v>
      </c>
      <c r="S115" s="122"/>
      <c r="T115" s="122">
        <f>+SUM(E115:P115)</f>
        <v>0</v>
      </c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2"/>
      <c r="C116" s="122" t="s">
        <v>122</v>
      </c>
      <c r="D116" s="122">
        <f>+D104-D110</f>
        <v>0</v>
      </c>
      <c r="E116" s="122">
        <f t="shared" si="21"/>
        <v>0</v>
      </c>
      <c r="F116" s="122">
        <f t="shared" si="21"/>
        <v>0</v>
      </c>
      <c r="G116" s="122">
        <f t="shared" si="21"/>
        <v>0</v>
      </c>
      <c r="H116" s="122">
        <f t="shared" si="21"/>
        <v>0</v>
      </c>
      <c r="I116" s="122">
        <f t="shared" si="21"/>
        <v>0</v>
      </c>
      <c r="J116" s="122">
        <f t="shared" si="21"/>
        <v>0</v>
      </c>
      <c r="K116" s="122">
        <f t="shared" si="21"/>
        <v>0</v>
      </c>
      <c r="L116" s="122">
        <f t="shared" si="21"/>
        <v>0</v>
      </c>
      <c r="M116" s="122" t="e">
        <f t="shared" si="21"/>
        <v>#VALUE!</v>
      </c>
      <c r="N116" s="122" t="e">
        <f t="shared" si="21"/>
        <v>#VALUE!</v>
      </c>
      <c r="O116" s="122" t="e">
        <f t="shared" si="21"/>
        <v>#VALUE!</v>
      </c>
      <c r="P116" s="122">
        <f t="shared" si="21"/>
        <v>0</v>
      </c>
      <c r="Q116" s="122">
        <f t="shared" si="21"/>
        <v>0</v>
      </c>
      <c r="R116" s="122">
        <f t="shared" si="21"/>
        <v>0</v>
      </c>
      <c r="S116" s="122"/>
      <c r="T116" s="122" t="e">
        <f>+SUM(E116:P116)</f>
        <v>#VALUE!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83" t="s">
        <v>123</v>
      </c>
      <c r="C117" s="283"/>
      <c r="D117" s="122">
        <f>+D105-D111</f>
        <v>0</v>
      </c>
      <c r="E117" s="122">
        <f t="shared" si="21"/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 t="e">
        <f t="shared" si="21"/>
        <v>#VALUE!</v>
      </c>
      <c r="N117" s="122" t="e">
        <f t="shared" si="21"/>
        <v>#VALUE!</v>
      </c>
      <c r="O117" s="122" t="e">
        <f t="shared" si="21"/>
        <v>#VALUE!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 t="e">
        <f>+SUM(T114:T116)</f>
        <v>#VALUE!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</sheetData>
  <sheetProtection formatColumns="0" deleteColumns="0" deleteRows="0" selectLockedCells="1"/>
  <mergeCells count="18">
    <mergeCell ref="B78:C78"/>
    <mergeCell ref="B62:B65"/>
    <mergeCell ref="B66:C66"/>
    <mergeCell ref="B68:B71"/>
    <mergeCell ref="B72:C72"/>
    <mergeCell ref="B74:B77"/>
    <mergeCell ref="B117:C117"/>
    <mergeCell ref="B81:B84"/>
    <mergeCell ref="B85:C85"/>
    <mergeCell ref="B87:B90"/>
    <mergeCell ref="B91:C91"/>
    <mergeCell ref="B93:B96"/>
    <mergeCell ref="B97:C97"/>
    <mergeCell ref="B101:B104"/>
    <mergeCell ref="B105:C105"/>
    <mergeCell ref="B107:B110"/>
    <mergeCell ref="B111:C111"/>
    <mergeCell ref="B113:B116"/>
  </mergeCells>
  <conditionalFormatting sqref="P3:P57">
    <cfRule type="expression" dxfId="13" priority="2">
      <formula>AND(P3&lt;&gt;"",P3&lt;&gt;"OUI")</formula>
    </cfRule>
  </conditionalFormatting>
  <conditionalFormatting sqref="AN3:AO57 S3:AH57">
    <cfRule type="expression" dxfId="12" priority="1" stopIfTrue="1">
      <formula>$AH3&lt;&gt;0</formula>
    </cfRule>
  </conditionalFormatting>
  <conditionalFormatting sqref="A3:E57">
    <cfRule type="expression" dxfId="11" priority="3" stopIfTrue="1">
      <formula>AND($I3&lt;&gt;"",AND($J3="",AND($BA3="",$BB3="")))</formula>
    </cfRule>
    <cfRule type="expression" dxfId="10" priority="4" stopIfTrue="1">
      <formula>AND($J3&lt;&gt;"",AND($BA3="",$BB3=""))</formula>
    </cfRule>
    <cfRule type="expression" dxfId="9" priority="5" stopIfTrue="1">
      <formula>AND($BA3&lt;&gt;"",$BB3="")</formula>
    </cfRule>
    <cfRule type="expression" dxfId="8" priority="6" stopIfTrue="1">
      <formula>$BB3="X"</formula>
    </cfRule>
  </conditionalFormatting>
  <dataValidations count="12">
    <dataValidation type="list" allowBlank="1" showInputMessage="1" showErrorMessage="1" sqref="G65536:G65593 JX65536:JX65593 TT65536:TT65593 ADP65536:ADP65593 ANL65536:ANL65593 AXH65536:AXH65593 BHD65536:BHD65593 BQZ65536:BQZ65593 CAV65536:CAV65593 CKR65536:CKR65593 CUN65536:CUN65593 DEJ65536:DEJ65593 DOF65536:DOF65593 DYB65536:DYB65593 EHX65536:EHX65593 ERT65536:ERT65593 FBP65536:FBP65593 FLL65536:FLL65593 FVH65536:FVH65593 GFD65536:GFD65593 GOZ65536:GOZ65593 GYV65536:GYV65593 HIR65536:HIR65593 HSN65536:HSN65593 ICJ65536:ICJ65593 IMF65536:IMF65593 IWB65536:IWB65593 JFX65536:JFX65593 JPT65536:JPT65593 JZP65536:JZP65593 KJL65536:KJL65593 KTH65536:KTH65593 LDD65536:LDD65593 LMZ65536:LMZ65593 LWV65536:LWV65593 MGR65536:MGR65593 MQN65536:MQN65593 NAJ65536:NAJ65593 NKF65536:NKF65593 NUB65536:NUB65593 ODX65536:ODX65593 ONT65536:ONT65593 OXP65536:OXP65593 PHL65536:PHL65593 PRH65536:PRH65593 QBD65536:QBD65593 QKZ65536:QKZ65593 QUV65536:QUV65593 RER65536:RER65593 RON65536:RON65593 RYJ65536:RYJ65593 SIF65536:SIF65593 SSB65536:SSB65593 TBX65536:TBX65593 TLT65536:TLT65593 TVP65536:TVP65593 UFL65536:UFL65593 UPH65536:UPH65593 UZD65536:UZD65593 VIZ65536:VIZ65593 VSV65536:VSV65593 WCR65536:WCR65593 WMN65536:WMN65593 WWJ65536:WWJ65593 G131072:G131129 JX131072:JX131129 TT131072:TT131129 ADP131072:ADP131129 ANL131072:ANL131129 AXH131072:AXH131129 BHD131072:BHD131129 BQZ131072:BQZ131129 CAV131072:CAV131129 CKR131072:CKR131129 CUN131072:CUN131129 DEJ131072:DEJ131129 DOF131072:DOF131129 DYB131072:DYB131129 EHX131072:EHX131129 ERT131072:ERT131129 FBP131072:FBP131129 FLL131072:FLL131129 FVH131072:FVH131129 GFD131072:GFD131129 GOZ131072:GOZ131129 GYV131072:GYV131129 HIR131072:HIR131129 HSN131072:HSN131129 ICJ131072:ICJ131129 IMF131072:IMF131129 IWB131072:IWB131129 JFX131072:JFX131129 JPT131072:JPT131129 JZP131072:JZP131129 KJL131072:KJL131129 KTH131072:KTH131129 LDD131072:LDD131129 LMZ131072:LMZ131129 LWV131072:LWV131129 MGR131072:MGR131129 MQN131072:MQN131129 NAJ131072:NAJ131129 NKF131072:NKF131129 NUB131072:NUB131129 ODX131072:ODX131129 ONT131072:ONT131129 OXP131072:OXP131129 PHL131072:PHL131129 PRH131072:PRH131129 QBD131072:QBD131129 QKZ131072:QKZ131129 QUV131072:QUV131129 RER131072:RER131129 RON131072:RON131129 RYJ131072:RYJ131129 SIF131072:SIF131129 SSB131072:SSB131129 TBX131072:TBX131129 TLT131072:TLT131129 TVP131072:TVP131129 UFL131072:UFL131129 UPH131072:UPH131129 UZD131072:UZD131129 VIZ131072:VIZ131129 VSV131072:VSV131129 WCR131072:WCR131129 WMN131072:WMN131129 WWJ131072:WWJ131129 G196608:G196665 JX196608:JX196665 TT196608:TT196665 ADP196608:ADP196665 ANL196608:ANL196665 AXH196608:AXH196665 BHD196608:BHD196665 BQZ196608:BQZ196665 CAV196608:CAV196665 CKR196608:CKR196665 CUN196608:CUN196665 DEJ196608:DEJ196665 DOF196608:DOF196665 DYB196608:DYB196665 EHX196608:EHX196665 ERT196608:ERT196665 FBP196608:FBP196665 FLL196608:FLL196665 FVH196608:FVH196665 GFD196608:GFD196665 GOZ196608:GOZ196665 GYV196608:GYV196665 HIR196608:HIR196665 HSN196608:HSN196665 ICJ196608:ICJ196665 IMF196608:IMF196665 IWB196608:IWB196665 JFX196608:JFX196665 JPT196608:JPT196665 JZP196608:JZP196665 KJL196608:KJL196665 KTH196608:KTH196665 LDD196608:LDD196665 LMZ196608:LMZ196665 LWV196608:LWV196665 MGR196608:MGR196665 MQN196608:MQN196665 NAJ196608:NAJ196665 NKF196608:NKF196665 NUB196608:NUB196665 ODX196608:ODX196665 ONT196608:ONT196665 OXP196608:OXP196665 PHL196608:PHL196665 PRH196608:PRH196665 QBD196608:QBD196665 QKZ196608:QKZ196665 QUV196608:QUV196665 RER196608:RER196665 RON196608:RON196665 RYJ196608:RYJ196665 SIF196608:SIF196665 SSB196608:SSB196665 TBX196608:TBX196665 TLT196608:TLT196665 TVP196608:TVP196665 UFL196608:UFL196665 UPH196608:UPH196665 UZD196608:UZD196665 VIZ196608:VIZ196665 VSV196608:VSV196665 WCR196608:WCR196665 WMN196608:WMN196665 WWJ196608:WWJ196665 G262144:G262201 JX262144:JX262201 TT262144:TT262201 ADP262144:ADP262201 ANL262144:ANL262201 AXH262144:AXH262201 BHD262144:BHD262201 BQZ262144:BQZ262201 CAV262144:CAV262201 CKR262144:CKR262201 CUN262144:CUN262201 DEJ262144:DEJ262201 DOF262144:DOF262201 DYB262144:DYB262201 EHX262144:EHX262201 ERT262144:ERT262201 FBP262144:FBP262201 FLL262144:FLL262201 FVH262144:FVH262201 GFD262144:GFD262201 GOZ262144:GOZ262201 GYV262144:GYV262201 HIR262144:HIR262201 HSN262144:HSN262201 ICJ262144:ICJ262201 IMF262144:IMF262201 IWB262144:IWB262201 JFX262144:JFX262201 JPT262144:JPT262201 JZP262144:JZP262201 KJL262144:KJL262201 KTH262144:KTH262201 LDD262144:LDD262201 LMZ262144:LMZ262201 LWV262144:LWV262201 MGR262144:MGR262201 MQN262144:MQN262201 NAJ262144:NAJ262201 NKF262144:NKF262201 NUB262144:NUB262201 ODX262144:ODX262201 ONT262144:ONT262201 OXP262144:OXP262201 PHL262144:PHL262201 PRH262144:PRH262201 QBD262144:QBD262201 QKZ262144:QKZ262201 QUV262144:QUV262201 RER262144:RER262201 RON262144:RON262201 RYJ262144:RYJ262201 SIF262144:SIF262201 SSB262144:SSB262201 TBX262144:TBX262201 TLT262144:TLT262201 TVP262144:TVP262201 UFL262144:UFL262201 UPH262144:UPH262201 UZD262144:UZD262201 VIZ262144:VIZ262201 VSV262144:VSV262201 WCR262144:WCR262201 WMN262144:WMN262201 WWJ262144:WWJ262201 G327680:G327737 JX327680:JX327737 TT327680:TT327737 ADP327680:ADP327737 ANL327680:ANL327737 AXH327680:AXH327737 BHD327680:BHD327737 BQZ327680:BQZ327737 CAV327680:CAV327737 CKR327680:CKR327737 CUN327680:CUN327737 DEJ327680:DEJ327737 DOF327680:DOF327737 DYB327680:DYB327737 EHX327680:EHX327737 ERT327680:ERT327737 FBP327680:FBP327737 FLL327680:FLL327737 FVH327680:FVH327737 GFD327680:GFD327737 GOZ327680:GOZ327737 GYV327680:GYV327737 HIR327680:HIR327737 HSN327680:HSN327737 ICJ327680:ICJ327737 IMF327680:IMF327737 IWB327680:IWB327737 JFX327680:JFX327737 JPT327680:JPT327737 JZP327680:JZP327737 KJL327680:KJL327737 KTH327680:KTH327737 LDD327680:LDD327737 LMZ327680:LMZ327737 LWV327680:LWV327737 MGR327680:MGR327737 MQN327680:MQN327737 NAJ327680:NAJ327737 NKF327680:NKF327737 NUB327680:NUB327737 ODX327680:ODX327737 ONT327680:ONT327737 OXP327680:OXP327737 PHL327680:PHL327737 PRH327680:PRH327737 QBD327680:QBD327737 QKZ327680:QKZ327737 QUV327680:QUV327737 RER327680:RER327737 RON327680:RON327737 RYJ327680:RYJ327737 SIF327680:SIF327737 SSB327680:SSB327737 TBX327680:TBX327737 TLT327680:TLT327737 TVP327680:TVP327737 UFL327680:UFL327737 UPH327680:UPH327737 UZD327680:UZD327737 VIZ327680:VIZ327737 VSV327680:VSV327737 WCR327680:WCR327737 WMN327680:WMN327737 WWJ327680:WWJ327737 G393216:G393273 JX393216:JX393273 TT393216:TT393273 ADP393216:ADP393273 ANL393216:ANL393273 AXH393216:AXH393273 BHD393216:BHD393273 BQZ393216:BQZ393273 CAV393216:CAV393273 CKR393216:CKR393273 CUN393216:CUN393273 DEJ393216:DEJ393273 DOF393216:DOF393273 DYB393216:DYB393273 EHX393216:EHX393273 ERT393216:ERT393273 FBP393216:FBP393273 FLL393216:FLL393273 FVH393216:FVH393273 GFD393216:GFD393273 GOZ393216:GOZ393273 GYV393216:GYV393273 HIR393216:HIR393273 HSN393216:HSN393273 ICJ393216:ICJ393273 IMF393216:IMF393273 IWB393216:IWB393273 JFX393216:JFX393273 JPT393216:JPT393273 JZP393216:JZP393273 KJL393216:KJL393273 KTH393216:KTH393273 LDD393216:LDD393273 LMZ393216:LMZ393273 LWV393216:LWV393273 MGR393216:MGR393273 MQN393216:MQN393273 NAJ393216:NAJ393273 NKF393216:NKF393273 NUB393216:NUB393273 ODX393216:ODX393273 ONT393216:ONT393273 OXP393216:OXP393273 PHL393216:PHL393273 PRH393216:PRH393273 QBD393216:QBD393273 QKZ393216:QKZ393273 QUV393216:QUV393273 RER393216:RER393273 RON393216:RON393273 RYJ393216:RYJ393273 SIF393216:SIF393273 SSB393216:SSB393273 TBX393216:TBX393273 TLT393216:TLT393273 TVP393216:TVP393273 UFL393216:UFL393273 UPH393216:UPH393273 UZD393216:UZD393273 VIZ393216:VIZ393273 VSV393216:VSV393273 WCR393216:WCR393273 WMN393216:WMN393273 WWJ393216:WWJ393273 G458752:G458809 JX458752:JX458809 TT458752:TT458809 ADP458752:ADP458809 ANL458752:ANL458809 AXH458752:AXH458809 BHD458752:BHD458809 BQZ458752:BQZ458809 CAV458752:CAV458809 CKR458752:CKR458809 CUN458752:CUN458809 DEJ458752:DEJ458809 DOF458752:DOF458809 DYB458752:DYB458809 EHX458752:EHX458809 ERT458752:ERT458809 FBP458752:FBP458809 FLL458752:FLL458809 FVH458752:FVH458809 GFD458752:GFD458809 GOZ458752:GOZ458809 GYV458752:GYV458809 HIR458752:HIR458809 HSN458752:HSN458809 ICJ458752:ICJ458809 IMF458752:IMF458809 IWB458752:IWB458809 JFX458752:JFX458809 JPT458752:JPT458809 JZP458752:JZP458809 KJL458752:KJL458809 KTH458752:KTH458809 LDD458752:LDD458809 LMZ458752:LMZ458809 LWV458752:LWV458809 MGR458752:MGR458809 MQN458752:MQN458809 NAJ458752:NAJ458809 NKF458752:NKF458809 NUB458752:NUB458809 ODX458752:ODX458809 ONT458752:ONT458809 OXP458752:OXP458809 PHL458752:PHL458809 PRH458752:PRH458809 QBD458752:QBD458809 QKZ458752:QKZ458809 QUV458752:QUV458809 RER458752:RER458809 RON458752:RON458809 RYJ458752:RYJ458809 SIF458752:SIF458809 SSB458752:SSB458809 TBX458752:TBX458809 TLT458752:TLT458809 TVP458752:TVP458809 UFL458752:UFL458809 UPH458752:UPH458809 UZD458752:UZD458809 VIZ458752:VIZ458809 VSV458752:VSV458809 WCR458752:WCR458809 WMN458752:WMN458809 WWJ458752:WWJ458809 G524288:G524345 JX524288:JX524345 TT524288:TT524345 ADP524288:ADP524345 ANL524288:ANL524345 AXH524288:AXH524345 BHD524288:BHD524345 BQZ524288:BQZ524345 CAV524288:CAV524345 CKR524288:CKR524345 CUN524288:CUN524345 DEJ524288:DEJ524345 DOF524288:DOF524345 DYB524288:DYB524345 EHX524288:EHX524345 ERT524288:ERT524345 FBP524288:FBP524345 FLL524288:FLL524345 FVH524288:FVH524345 GFD524288:GFD524345 GOZ524288:GOZ524345 GYV524288:GYV524345 HIR524288:HIR524345 HSN524288:HSN524345 ICJ524288:ICJ524345 IMF524288:IMF524345 IWB524288:IWB524345 JFX524288:JFX524345 JPT524288:JPT524345 JZP524288:JZP524345 KJL524288:KJL524345 KTH524288:KTH524345 LDD524288:LDD524345 LMZ524288:LMZ524345 LWV524288:LWV524345 MGR524288:MGR524345 MQN524288:MQN524345 NAJ524288:NAJ524345 NKF524288:NKF524345 NUB524288:NUB524345 ODX524288:ODX524345 ONT524288:ONT524345 OXP524288:OXP524345 PHL524288:PHL524345 PRH524288:PRH524345 QBD524288:QBD524345 QKZ524288:QKZ524345 QUV524288:QUV524345 RER524288:RER524345 RON524288:RON524345 RYJ524288:RYJ524345 SIF524288:SIF524345 SSB524288:SSB524345 TBX524288:TBX524345 TLT524288:TLT524345 TVP524288:TVP524345 UFL524288:UFL524345 UPH524288:UPH524345 UZD524288:UZD524345 VIZ524288:VIZ524345 VSV524288:VSV524345 WCR524288:WCR524345 WMN524288:WMN524345 WWJ524288:WWJ524345 G589824:G589881 JX589824:JX589881 TT589824:TT589881 ADP589824:ADP589881 ANL589824:ANL589881 AXH589824:AXH589881 BHD589824:BHD589881 BQZ589824:BQZ589881 CAV589824:CAV589881 CKR589824:CKR589881 CUN589824:CUN589881 DEJ589824:DEJ589881 DOF589824:DOF589881 DYB589824:DYB589881 EHX589824:EHX589881 ERT589824:ERT589881 FBP589824:FBP589881 FLL589824:FLL589881 FVH589824:FVH589881 GFD589824:GFD589881 GOZ589824:GOZ589881 GYV589824:GYV589881 HIR589824:HIR589881 HSN589824:HSN589881 ICJ589824:ICJ589881 IMF589824:IMF589881 IWB589824:IWB589881 JFX589824:JFX589881 JPT589824:JPT589881 JZP589824:JZP589881 KJL589824:KJL589881 KTH589824:KTH589881 LDD589824:LDD589881 LMZ589824:LMZ589881 LWV589824:LWV589881 MGR589824:MGR589881 MQN589824:MQN589881 NAJ589824:NAJ589881 NKF589824:NKF589881 NUB589824:NUB589881 ODX589824:ODX589881 ONT589824:ONT589881 OXP589824:OXP589881 PHL589824:PHL589881 PRH589824:PRH589881 QBD589824:QBD589881 QKZ589824:QKZ589881 QUV589824:QUV589881 RER589824:RER589881 RON589824:RON589881 RYJ589824:RYJ589881 SIF589824:SIF589881 SSB589824:SSB589881 TBX589824:TBX589881 TLT589824:TLT589881 TVP589824:TVP589881 UFL589824:UFL589881 UPH589824:UPH589881 UZD589824:UZD589881 VIZ589824:VIZ589881 VSV589824:VSV589881 WCR589824:WCR589881 WMN589824:WMN589881 WWJ589824:WWJ589881 G655360:G655417 JX655360:JX655417 TT655360:TT655417 ADP655360:ADP655417 ANL655360:ANL655417 AXH655360:AXH655417 BHD655360:BHD655417 BQZ655360:BQZ655417 CAV655360:CAV655417 CKR655360:CKR655417 CUN655360:CUN655417 DEJ655360:DEJ655417 DOF655360:DOF655417 DYB655360:DYB655417 EHX655360:EHX655417 ERT655360:ERT655417 FBP655360:FBP655417 FLL655360:FLL655417 FVH655360:FVH655417 GFD655360:GFD655417 GOZ655360:GOZ655417 GYV655360:GYV655417 HIR655360:HIR655417 HSN655360:HSN655417 ICJ655360:ICJ655417 IMF655360:IMF655417 IWB655360:IWB655417 JFX655360:JFX655417 JPT655360:JPT655417 JZP655360:JZP655417 KJL655360:KJL655417 KTH655360:KTH655417 LDD655360:LDD655417 LMZ655360:LMZ655417 LWV655360:LWV655417 MGR655360:MGR655417 MQN655360:MQN655417 NAJ655360:NAJ655417 NKF655360:NKF655417 NUB655360:NUB655417 ODX655360:ODX655417 ONT655360:ONT655417 OXP655360:OXP655417 PHL655360:PHL655417 PRH655360:PRH655417 QBD655360:QBD655417 QKZ655360:QKZ655417 QUV655360:QUV655417 RER655360:RER655417 RON655360:RON655417 RYJ655360:RYJ655417 SIF655360:SIF655417 SSB655360:SSB655417 TBX655360:TBX655417 TLT655360:TLT655417 TVP655360:TVP655417 UFL655360:UFL655417 UPH655360:UPH655417 UZD655360:UZD655417 VIZ655360:VIZ655417 VSV655360:VSV655417 WCR655360:WCR655417 WMN655360:WMN655417 WWJ655360:WWJ655417 G720896:G720953 JX720896:JX720953 TT720896:TT720953 ADP720896:ADP720953 ANL720896:ANL720953 AXH720896:AXH720953 BHD720896:BHD720953 BQZ720896:BQZ720953 CAV720896:CAV720953 CKR720896:CKR720953 CUN720896:CUN720953 DEJ720896:DEJ720953 DOF720896:DOF720953 DYB720896:DYB720953 EHX720896:EHX720953 ERT720896:ERT720953 FBP720896:FBP720953 FLL720896:FLL720953 FVH720896:FVH720953 GFD720896:GFD720953 GOZ720896:GOZ720953 GYV720896:GYV720953 HIR720896:HIR720953 HSN720896:HSN720953 ICJ720896:ICJ720953 IMF720896:IMF720953 IWB720896:IWB720953 JFX720896:JFX720953 JPT720896:JPT720953 JZP720896:JZP720953 KJL720896:KJL720953 KTH720896:KTH720953 LDD720896:LDD720953 LMZ720896:LMZ720953 LWV720896:LWV720953 MGR720896:MGR720953 MQN720896:MQN720953 NAJ720896:NAJ720953 NKF720896:NKF720953 NUB720896:NUB720953 ODX720896:ODX720953 ONT720896:ONT720953 OXP720896:OXP720953 PHL720896:PHL720953 PRH720896:PRH720953 QBD720896:QBD720953 QKZ720896:QKZ720953 QUV720896:QUV720953 RER720896:RER720953 RON720896:RON720953 RYJ720896:RYJ720953 SIF720896:SIF720953 SSB720896:SSB720953 TBX720896:TBX720953 TLT720896:TLT720953 TVP720896:TVP720953 UFL720896:UFL720953 UPH720896:UPH720953 UZD720896:UZD720953 VIZ720896:VIZ720953 VSV720896:VSV720953 WCR720896:WCR720953 WMN720896:WMN720953 WWJ720896:WWJ720953 G786432:G786489 JX786432:JX786489 TT786432:TT786489 ADP786432:ADP786489 ANL786432:ANL786489 AXH786432:AXH786489 BHD786432:BHD786489 BQZ786432:BQZ786489 CAV786432:CAV786489 CKR786432:CKR786489 CUN786432:CUN786489 DEJ786432:DEJ786489 DOF786432:DOF786489 DYB786432:DYB786489 EHX786432:EHX786489 ERT786432:ERT786489 FBP786432:FBP786489 FLL786432:FLL786489 FVH786432:FVH786489 GFD786432:GFD786489 GOZ786432:GOZ786489 GYV786432:GYV786489 HIR786432:HIR786489 HSN786432:HSN786489 ICJ786432:ICJ786489 IMF786432:IMF786489 IWB786432:IWB786489 JFX786432:JFX786489 JPT786432:JPT786489 JZP786432:JZP786489 KJL786432:KJL786489 KTH786432:KTH786489 LDD786432:LDD786489 LMZ786432:LMZ786489 LWV786432:LWV786489 MGR786432:MGR786489 MQN786432:MQN786489 NAJ786432:NAJ786489 NKF786432:NKF786489 NUB786432:NUB786489 ODX786432:ODX786489 ONT786432:ONT786489 OXP786432:OXP786489 PHL786432:PHL786489 PRH786432:PRH786489 QBD786432:QBD786489 QKZ786432:QKZ786489 QUV786432:QUV786489 RER786432:RER786489 RON786432:RON786489 RYJ786432:RYJ786489 SIF786432:SIF786489 SSB786432:SSB786489 TBX786432:TBX786489 TLT786432:TLT786489 TVP786432:TVP786489 UFL786432:UFL786489 UPH786432:UPH786489 UZD786432:UZD786489 VIZ786432:VIZ786489 VSV786432:VSV786489 WCR786432:WCR786489 WMN786432:WMN786489 WWJ786432:WWJ786489 G851968:G852025 JX851968:JX852025 TT851968:TT852025 ADP851968:ADP852025 ANL851968:ANL852025 AXH851968:AXH852025 BHD851968:BHD852025 BQZ851968:BQZ852025 CAV851968:CAV852025 CKR851968:CKR852025 CUN851968:CUN852025 DEJ851968:DEJ852025 DOF851968:DOF852025 DYB851968:DYB852025 EHX851968:EHX852025 ERT851968:ERT852025 FBP851968:FBP852025 FLL851968:FLL852025 FVH851968:FVH852025 GFD851968:GFD852025 GOZ851968:GOZ852025 GYV851968:GYV852025 HIR851968:HIR852025 HSN851968:HSN852025 ICJ851968:ICJ852025 IMF851968:IMF852025 IWB851968:IWB852025 JFX851968:JFX852025 JPT851968:JPT852025 JZP851968:JZP852025 KJL851968:KJL852025 KTH851968:KTH852025 LDD851968:LDD852025 LMZ851968:LMZ852025 LWV851968:LWV852025 MGR851968:MGR852025 MQN851968:MQN852025 NAJ851968:NAJ852025 NKF851968:NKF852025 NUB851968:NUB852025 ODX851968:ODX852025 ONT851968:ONT852025 OXP851968:OXP852025 PHL851968:PHL852025 PRH851968:PRH852025 QBD851968:QBD852025 QKZ851968:QKZ852025 QUV851968:QUV852025 RER851968:RER852025 RON851968:RON852025 RYJ851968:RYJ852025 SIF851968:SIF852025 SSB851968:SSB852025 TBX851968:TBX852025 TLT851968:TLT852025 TVP851968:TVP852025 UFL851968:UFL852025 UPH851968:UPH852025 UZD851968:UZD852025 VIZ851968:VIZ852025 VSV851968:VSV852025 WCR851968:WCR852025 WMN851968:WMN852025 WWJ851968:WWJ852025 G917504:G917561 JX917504:JX917561 TT917504:TT917561 ADP917504:ADP917561 ANL917504:ANL917561 AXH917504:AXH917561 BHD917504:BHD917561 BQZ917504:BQZ917561 CAV917504:CAV917561 CKR917504:CKR917561 CUN917504:CUN917561 DEJ917504:DEJ917561 DOF917504:DOF917561 DYB917504:DYB917561 EHX917504:EHX917561 ERT917504:ERT917561 FBP917504:FBP917561 FLL917504:FLL917561 FVH917504:FVH917561 GFD917504:GFD917561 GOZ917504:GOZ917561 GYV917504:GYV917561 HIR917504:HIR917561 HSN917504:HSN917561 ICJ917504:ICJ917561 IMF917504:IMF917561 IWB917504:IWB917561 JFX917504:JFX917561 JPT917504:JPT917561 JZP917504:JZP917561 KJL917504:KJL917561 KTH917504:KTH917561 LDD917504:LDD917561 LMZ917504:LMZ917561 LWV917504:LWV917561 MGR917504:MGR917561 MQN917504:MQN917561 NAJ917504:NAJ917561 NKF917504:NKF917561 NUB917504:NUB917561 ODX917504:ODX917561 ONT917504:ONT917561 OXP917504:OXP917561 PHL917504:PHL917561 PRH917504:PRH917561 QBD917504:QBD917561 QKZ917504:QKZ917561 QUV917504:QUV917561 RER917504:RER917561 RON917504:RON917561 RYJ917504:RYJ917561 SIF917504:SIF917561 SSB917504:SSB917561 TBX917504:TBX917561 TLT917504:TLT917561 TVP917504:TVP917561 UFL917504:UFL917561 UPH917504:UPH917561 UZD917504:UZD917561 VIZ917504:VIZ917561 VSV917504:VSV917561 WCR917504:WCR917561 WMN917504:WMN917561 WWJ917504:WWJ917561 G983040:G983097 JX983040:JX983097 TT983040:TT983097 ADP983040:ADP983097 ANL983040:ANL983097 AXH983040:AXH983097 BHD983040:BHD983097 BQZ983040:BQZ983097 CAV983040:CAV983097 CKR983040:CKR983097 CUN983040:CUN983097 DEJ983040:DEJ983097 DOF983040:DOF983097 DYB983040:DYB983097 EHX983040:EHX983097 ERT983040:ERT983097 FBP983040:FBP983097 FLL983040:FLL983097 FVH983040:FVH983097 GFD983040:GFD983097 GOZ983040:GOZ983097 GYV983040:GYV983097 HIR983040:HIR983097 HSN983040:HSN983097 ICJ983040:ICJ983097 IMF983040:IMF983097 IWB983040:IWB983097 JFX983040:JFX983097 JPT983040:JPT983097 JZP983040:JZP983097 KJL983040:KJL983097 KTH983040:KTH983097 LDD983040:LDD983097 LMZ983040:LMZ983097 LWV983040:LWV983097 MGR983040:MGR983097 MQN983040:MQN983097 NAJ983040:NAJ983097 NKF983040:NKF983097 NUB983040:NUB983097 ODX983040:ODX983097 ONT983040:ONT983097 OXP983040:OXP983097 PHL983040:PHL983097 PRH983040:PRH983097 QBD983040:QBD983097 QKZ983040:QKZ983097 QUV983040:QUV983097 RER983040:RER983097 RON983040:RON983097 RYJ983040:RYJ983097 SIF983040:SIF983097 SSB983040:SSB983097 TBX983040:TBX983097 TLT983040:TLT983097 TVP983040:TVP983097 UFL983040:UFL983097 UPH983040:UPH983097 UZD983040:UZD983097 VIZ983040:VIZ983097 VSV983040:VSV983097 WCR983040:WCR983097 WMN983040:WMN983097 WWJ983040:WWJ983097 G3:G57 WWK3:WWK57 WMO3:WMO57 WCS3:WCS57 VSW3:VSW57 VJA3:VJA57 UZE3:UZE57 UPI3:UPI57 UFM3:UFM57 TVQ3:TVQ57 TLU3:TLU57 TBY3:TBY57 SSC3:SSC57 SIG3:SIG57 RYK3:RYK57 ROO3:ROO57 RES3:RES57 QUW3:QUW57 QLA3:QLA57 QBE3:QBE57 PRI3:PRI57 PHM3:PHM57 OXQ3:OXQ57 ONU3:ONU57 ODY3:ODY57 NUC3:NUC57 NKG3:NKG57 NAK3:NAK57 MQO3:MQO57 MGS3:MGS57 LWW3:LWW57 LNA3:LNA57 LDE3:LDE57 KTI3:KTI57 KJM3:KJM57 JZQ3:JZQ57 JPU3:JPU57 JFY3:JFY57 IWC3:IWC57 IMG3:IMG57 ICK3:ICK57 HSO3:HSO57 HIS3:HIS57 GYW3:GYW57 GPA3:GPA57 GFE3:GFE57 FVI3:FVI57 FLM3:FLM57 FBQ3:FBQ57 ERU3:ERU57 EHY3:EHY57 DYC3:DYC57 DOG3:DOG57 DEK3:DEK57 CUO3:CUO57 CKS3:CKS57 CAW3:CAW57 BRA3:BRA57 BHE3:BHE57 AXI3:AXI57 ANM3:ANM57 ADQ3:ADQ57 TU3:TU57 JY3:JY57">
      <formula1>"IS,IR,"</formula1>
    </dataValidation>
    <dataValidation type="list" allowBlank="1" showInputMessage="1" showErrorMessage="1" sqref="D65536:D65593 JU65536:JU65593 TQ65536:TQ65593 ADM65536:ADM65593 ANI65536:ANI65593 AXE65536:AXE65593 BHA65536:BHA65593 BQW65536:BQW65593 CAS65536:CAS65593 CKO65536:CKO65593 CUK65536:CUK65593 DEG65536:DEG65593 DOC65536:DOC65593 DXY65536:DXY65593 EHU65536:EHU65593 ERQ65536:ERQ65593 FBM65536:FBM65593 FLI65536:FLI65593 FVE65536:FVE65593 GFA65536:GFA65593 GOW65536:GOW65593 GYS65536:GYS65593 HIO65536:HIO65593 HSK65536:HSK65593 ICG65536:ICG65593 IMC65536:IMC65593 IVY65536:IVY65593 JFU65536:JFU65593 JPQ65536:JPQ65593 JZM65536:JZM65593 KJI65536:KJI65593 KTE65536:KTE65593 LDA65536:LDA65593 LMW65536:LMW65593 LWS65536:LWS65593 MGO65536:MGO65593 MQK65536:MQK65593 NAG65536:NAG65593 NKC65536:NKC65593 NTY65536:NTY65593 ODU65536:ODU65593 ONQ65536:ONQ65593 OXM65536:OXM65593 PHI65536:PHI65593 PRE65536:PRE65593 QBA65536:QBA65593 QKW65536:QKW65593 QUS65536:QUS65593 REO65536:REO65593 ROK65536:ROK65593 RYG65536:RYG65593 SIC65536:SIC65593 SRY65536:SRY65593 TBU65536:TBU65593 TLQ65536:TLQ65593 TVM65536:TVM65593 UFI65536:UFI65593 UPE65536:UPE65593 UZA65536:UZA65593 VIW65536:VIW65593 VSS65536:VSS65593 WCO65536:WCO65593 WMK65536:WMK65593 WWG65536:WWG65593 D131072:D131129 JU131072:JU131129 TQ131072:TQ131129 ADM131072:ADM131129 ANI131072:ANI131129 AXE131072:AXE131129 BHA131072:BHA131129 BQW131072:BQW131129 CAS131072:CAS131129 CKO131072:CKO131129 CUK131072:CUK131129 DEG131072:DEG131129 DOC131072:DOC131129 DXY131072:DXY131129 EHU131072:EHU131129 ERQ131072:ERQ131129 FBM131072:FBM131129 FLI131072:FLI131129 FVE131072:FVE131129 GFA131072:GFA131129 GOW131072:GOW131129 GYS131072:GYS131129 HIO131072:HIO131129 HSK131072:HSK131129 ICG131072:ICG131129 IMC131072:IMC131129 IVY131072:IVY131129 JFU131072:JFU131129 JPQ131072:JPQ131129 JZM131072:JZM131129 KJI131072:KJI131129 KTE131072:KTE131129 LDA131072:LDA131129 LMW131072:LMW131129 LWS131072:LWS131129 MGO131072:MGO131129 MQK131072:MQK131129 NAG131072:NAG131129 NKC131072:NKC131129 NTY131072:NTY131129 ODU131072:ODU131129 ONQ131072:ONQ131129 OXM131072:OXM131129 PHI131072:PHI131129 PRE131072:PRE131129 QBA131072:QBA131129 QKW131072:QKW131129 QUS131072:QUS131129 REO131072:REO131129 ROK131072:ROK131129 RYG131072:RYG131129 SIC131072:SIC131129 SRY131072:SRY131129 TBU131072:TBU131129 TLQ131072:TLQ131129 TVM131072:TVM131129 UFI131072:UFI131129 UPE131072:UPE131129 UZA131072:UZA131129 VIW131072:VIW131129 VSS131072:VSS131129 WCO131072:WCO131129 WMK131072:WMK131129 WWG131072:WWG131129 D196608:D196665 JU196608:JU196665 TQ196608:TQ196665 ADM196608:ADM196665 ANI196608:ANI196665 AXE196608:AXE196665 BHA196608:BHA196665 BQW196608:BQW196665 CAS196608:CAS196665 CKO196608:CKO196665 CUK196608:CUK196665 DEG196608:DEG196665 DOC196608:DOC196665 DXY196608:DXY196665 EHU196608:EHU196665 ERQ196608:ERQ196665 FBM196608:FBM196665 FLI196608:FLI196665 FVE196608:FVE196665 GFA196608:GFA196665 GOW196608:GOW196665 GYS196608:GYS196665 HIO196608:HIO196665 HSK196608:HSK196665 ICG196608:ICG196665 IMC196608:IMC196665 IVY196608:IVY196665 JFU196608:JFU196665 JPQ196608:JPQ196665 JZM196608:JZM196665 KJI196608:KJI196665 KTE196608:KTE196665 LDA196608:LDA196665 LMW196608:LMW196665 LWS196608:LWS196665 MGO196608:MGO196665 MQK196608:MQK196665 NAG196608:NAG196665 NKC196608:NKC196665 NTY196608:NTY196665 ODU196608:ODU196665 ONQ196608:ONQ196665 OXM196608:OXM196665 PHI196608:PHI196665 PRE196608:PRE196665 QBA196608:QBA196665 QKW196608:QKW196665 QUS196608:QUS196665 REO196608:REO196665 ROK196608:ROK196665 RYG196608:RYG196665 SIC196608:SIC196665 SRY196608:SRY196665 TBU196608:TBU196665 TLQ196608:TLQ196665 TVM196608:TVM196665 UFI196608:UFI196665 UPE196608:UPE196665 UZA196608:UZA196665 VIW196608:VIW196665 VSS196608:VSS196665 WCO196608:WCO196665 WMK196608:WMK196665 WWG196608:WWG196665 D262144:D262201 JU262144:JU262201 TQ262144:TQ262201 ADM262144:ADM262201 ANI262144:ANI262201 AXE262144:AXE262201 BHA262144:BHA262201 BQW262144:BQW262201 CAS262144:CAS262201 CKO262144:CKO262201 CUK262144:CUK262201 DEG262144:DEG262201 DOC262144:DOC262201 DXY262144:DXY262201 EHU262144:EHU262201 ERQ262144:ERQ262201 FBM262144:FBM262201 FLI262144:FLI262201 FVE262144:FVE262201 GFA262144:GFA262201 GOW262144:GOW262201 GYS262144:GYS262201 HIO262144:HIO262201 HSK262144:HSK262201 ICG262144:ICG262201 IMC262144:IMC262201 IVY262144:IVY262201 JFU262144:JFU262201 JPQ262144:JPQ262201 JZM262144:JZM262201 KJI262144:KJI262201 KTE262144:KTE262201 LDA262144:LDA262201 LMW262144:LMW262201 LWS262144:LWS262201 MGO262144:MGO262201 MQK262144:MQK262201 NAG262144:NAG262201 NKC262144:NKC262201 NTY262144:NTY262201 ODU262144:ODU262201 ONQ262144:ONQ262201 OXM262144:OXM262201 PHI262144:PHI262201 PRE262144:PRE262201 QBA262144:QBA262201 QKW262144:QKW262201 QUS262144:QUS262201 REO262144:REO262201 ROK262144:ROK262201 RYG262144:RYG262201 SIC262144:SIC262201 SRY262144:SRY262201 TBU262144:TBU262201 TLQ262144:TLQ262201 TVM262144:TVM262201 UFI262144:UFI262201 UPE262144:UPE262201 UZA262144:UZA262201 VIW262144:VIW262201 VSS262144:VSS262201 WCO262144:WCO262201 WMK262144:WMK262201 WWG262144:WWG262201 D327680:D327737 JU327680:JU327737 TQ327680:TQ327737 ADM327680:ADM327737 ANI327680:ANI327737 AXE327680:AXE327737 BHA327680:BHA327737 BQW327680:BQW327737 CAS327680:CAS327737 CKO327680:CKO327737 CUK327680:CUK327737 DEG327680:DEG327737 DOC327680:DOC327737 DXY327680:DXY327737 EHU327680:EHU327737 ERQ327680:ERQ327737 FBM327680:FBM327737 FLI327680:FLI327737 FVE327680:FVE327737 GFA327680:GFA327737 GOW327680:GOW327737 GYS327680:GYS327737 HIO327680:HIO327737 HSK327680:HSK327737 ICG327680:ICG327737 IMC327680:IMC327737 IVY327680:IVY327737 JFU327680:JFU327737 JPQ327680:JPQ327737 JZM327680:JZM327737 KJI327680:KJI327737 KTE327680:KTE327737 LDA327680:LDA327737 LMW327680:LMW327737 LWS327680:LWS327737 MGO327680:MGO327737 MQK327680:MQK327737 NAG327680:NAG327737 NKC327680:NKC327737 NTY327680:NTY327737 ODU327680:ODU327737 ONQ327680:ONQ327737 OXM327680:OXM327737 PHI327680:PHI327737 PRE327680:PRE327737 QBA327680:QBA327737 QKW327680:QKW327737 QUS327680:QUS327737 REO327680:REO327737 ROK327680:ROK327737 RYG327680:RYG327737 SIC327680:SIC327737 SRY327680:SRY327737 TBU327680:TBU327737 TLQ327680:TLQ327737 TVM327680:TVM327737 UFI327680:UFI327737 UPE327680:UPE327737 UZA327680:UZA327737 VIW327680:VIW327737 VSS327680:VSS327737 WCO327680:WCO327737 WMK327680:WMK327737 WWG327680:WWG327737 D393216:D393273 JU393216:JU393273 TQ393216:TQ393273 ADM393216:ADM393273 ANI393216:ANI393273 AXE393216:AXE393273 BHA393216:BHA393273 BQW393216:BQW393273 CAS393216:CAS393273 CKO393216:CKO393273 CUK393216:CUK393273 DEG393216:DEG393273 DOC393216:DOC393273 DXY393216:DXY393273 EHU393216:EHU393273 ERQ393216:ERQ393273 FBM393216:FBM393273 FLI393216:FLI393273 FVE393216:FVE393273 GFA393216:GFA393273 GOW393216:GOW393273 GYS393216:GYS393273 HIO393216:HIO393273 HSK393216:HSK393273 ICG393216:ICG393273 IMC393216:IMC393273 IVY393216:IVY393273 JFU393216:JFU393273 JPQ393216:JPQ393273 JZM393216:JZM393273 KJI393216:KJI393273 KTE393216:KTE393273 LDA393216:LDA393273 LMW393216:LMW393273 LWS393216:LWS393273 MGO393216:MGO393273 MQK393216:MQK393273 NAG393216:NAG393273 NKC393216:NKC393273 NTY393216:NTY393273 ODU393216:ODU393273 ONQ393216:ONQ393273 OXM393216:OXM393273 PHI393216:PHI393273 PRE393216:PRE393273 QBA393216:QBA393273 QKW393216:QKW393273 QUS393216:QUS393273 REO393216:REO393273 ROK393216:ROK393273 RYG393216:RYG393273 SIC393216:SIC393273 SRY393216:SRY393273 TBU393216:TBU393273 TLQ393216:TLQ393273 TVM393216:TVM393273 UFI393216:UFI393273 UPE393216:UPE393273 UZA393216:UZA393273 VIW393216:VIW393273 VSS393216:VSS393273 WCO393216:WCO393273 WMK393216:WMK393273 WWG393216:WWG393273 D458752:D458809 JU458752:JU458809 TQ458752:TQ458809 ADM458752:ADM458809 ANI458752:ANI458809 AXE458752:AXE458809 BHA458752:BHA458809 BQW458752:BQW458809 CAS458752:CAS458809 CKO458752:CKO458809 CUK458752:CUK458809 DEG458752:DEG458809 DOC458752:DOC458809 DXY458752:DXY458809 EHU458752:EHU458809 ERQ458752:ERQ458809 FBM458752:FBM458809 FLI458752:FLI458809 FVE458752:FVE458809 GFA458752:GFA458809 GOW458752:GOW458809 GYS458752:GYS458809 HIO458752:HIO458809 HSK458752:HSK458809 ICG458752:ICG458809 IMC458752:IMC458809 IVY458752:IVY458809 JFU458752:JFU458809 JPQ458752:JPQ458809 JZM458752:JZM458809 KJI458752:KJI458809 KTE458752:KTE458809 LDA458752:LDA458809 LMW458752:LMW458809 LWS458752:LWS458809 MGO458752:MGO458809 MQK458752:MQK458809 NAG458752:NAG458809 NKC458752:NKC458809 NTY458752:NTY458809 ODU458752:ODU458809 ONQ458752:ONQ458809 OXM458752:OXM458809 PHI458752:PHI458809 PRE458752:PRE458809 QBA458752:QBA458809 QKW458752:QKW458809 QUS458752:QUS458809 REO458752:REO458809 ROK458752:ROK458809 RYG458752:RYG458809 SIC458752:SIC458809 SRY458752:SRY458809 TBU458752:TBU458809 TLQ458752:TLQ458809 TVM458752:TVM458809 UFI458752:UFI458809 UPE458752:UPE458809 UZA458752:UZA458809 VIW458752:VIW458809 VSS458752:VSS458809 WCO458752:WCO458809 WMK458752:WMK458809 WWG458752:WWG458809 D524288:D524345 JU524288:JU524345 TQ524288:TQ524345 ADM524288:ADM524345 ANI524288:ANI524345 AXE524288:AXE524345 BHA524288:BHA524345 BQW524288:BQW524345 CAS524288:CAS524345 CKO524288:CKO524345 CUK524288:CUK524345 DEG524288:DEG524345 DOC524288:DOC524345 DXY524288:DXY524345 EHU524288:EHU524345 ERQ524288:ERQ524345 FBM524288:FBM524345 FLI524288:FLI524345 FVE524288:FVE524345 GFA524288:GFA524345 GOW524288:GOW524345 GYS524288:GYS524345 HIO524288:HIO524345 HSK524288:HSK524345 ICG524288:ICG524345 IMC524288:IMC524345 IVY524288:IVY524345 JFU524288:JFU524345 JPQ524288:JPQ524345 JZM524288:JZM524345 KJI524288:KJI524345 KTE524288:KTE524345 LDA524288:LDA524345 LMW524288:LMW524345 LWS524288:LWS524345 MGO524288:MGO524345 MQK524288:MQK524345 NAG524288:NAG524345 NKC524288:NKC524345 NTY524288:NTY524345 ODU524288:ODU524345 ONQ524288:ONQ524345 OXM524288:OXM524345 PHI524288:PHI524345 PRE524288:PRE524345 QBA524288:QBA524345 QKW524288:QKW524345 QUS524288:QUS524345 REO524288:REO524345 ROK524288:ROK524345 RYG524288:RYG524345 SIC524288:SIC524345 SRY524288:SRY524345 TBU524288:TBU524345 TLQ524288:TLQ524345 TVM524288:TVM524345 UFI524288:UFI524345 UPE524288:UPE524345 UZA524288:UZA524345 VIW524288:VIW524345 VSS524288:VSS524345 WCO524288:WCO524345 WMK524288:WMK524345 WWG524288:WWG524345 D589824:D589881 JU589824:JU589881 TQ589824:TQ589881 ADM589824:ADM589881 ANI589824:ANI589881 AXE589824:AXE589881 BHA589824:BHA589881 BQW589824:BQW589881 CAS589824:CAS589881 CKO589824:CKO589881 CUK589824:CUK589881 DEG589824:DEG589881 DOC589824:DOC589881 DXY589824:DXY589881 EHU589824:EHU589881 ERQ589824:ERQ589881 FBM589824:FBM589881 FLI589824:FLI589881 FVE589824:FVE589881 GFA589824:GFA589881 GOW589824:GOW589881 GYS589824:GYS589881 HIO589824:HIO589881 HSK589824:HSK589881 ICG589824:ICG589881 IMC589824:IMC589881 IVY589824:IVY589881 JFU589824:JFU589881 JPQ589824:JPQ589881 JZM589824:JZM589881 KJI589824:KJI589881 KTE589824:KTE589881 LDA589824:LDA589881 LMW589824:LMW589881 LWS589824:LWS589881 MGO589824:MGO589881 MQK589824:MQK589881 NAG589824:NAG589881 NKC589824:NKC589881 NTY589824:NTY589881 ODU589824:ODU589881 ONQ589824:ONQ589881 OXM589824:OXM589881 PHI589824:PHI589881 PRE589824:PRE589881 QBA589824:QBA589881 QKW589824:QKW589881 QUS589824:QUS589881 REO589824:REO589881 ROK589824:ROK589881 RYG589824:RYG589881 SIC589824:SIC589881 SRY589824:SRY589881 TBU589824:TBU589881 TLQ589824:TLQ589881 TVM589824:TVM589881 UFI589824:UFI589881 UPE589824:UPE589881 UZA589824:UZA589881 VIW589824:VIW589881 VSS589824:VSS589881 WCO589824:WCO589881 WMK589824:WMK589881 WWG589824:WWG589881 D655360:D655417 JU655360:JU655417 TQ655360:TQ655417 ADM655360:ADM655417 ANI655360:ANI655417 AXE655360:AXE655417 BHA655360:BHA655417 BQW655360:BQW655417 CAS655360:CAS655417 CKO655360:CKO655417 CUK655360:CUK655417 DEG655360:DEG655417 DOC655360:DOC655417 DXY655360:DXY655417 EHU655360:EHU655417 ERQ655360:ERQ655417 FBM655360:FBM655417 FLI655360:FLI655417 FVE655360:FVE655417 GFA655360:GFA655417 GOW655360:GOW655417 GYS655360:GYS655417 HIO655360:HIO655417 HSK655360:HSK655417 ICG655360:ICG655417 IMC655360:IMC655417 IVY655360:IVY655417 JFU655360:JFU655417 JPQ655360:JPQ655417 JZM655360:JZM655417 KJI655360:KJI655417 KTE655360:KTE655417 LDA655360:LDA655417 LMW655360:LMW655417 LWS655360:LWS655417 MGO655360:MGO655417 MQK655360:MQK655417 NAG655360:NAG655417 NKC655360:NKC655417 NTY655360:NTY655417 ODU655360:ODU655417 ONQ655360:ONQ655417 OXM655360:OXM655417 PHI655360:PHI655417 PRE655360:PRE655417 QBA655360:QBA655417 QKW655360:QKW655417 QUS655360:QUS655417 REO655360:REO655417 ROK655360:ROK655417 RYG655360:RYG655417 SIC655360:SIC655417 SRY655360:SRY655417 TBU655360:TBU655417 TLQ655360:TLQ655417 TVM655360:TVM655417 UFI655360:UFI655417 UPE655360:UPE655417 UZA655360:UZA655417 VIW655360:VIW655417 VSS655360:VSS655417 WCO655360:WCO655417 WMK655360:WMK655417 WWG655360:WWG655417 D720896:D720953 JU720896:JU720953 TQ720896:TQ720953 ADM720896:ADM720953 ANI720896:ANI720953 AXE720896:AXE720953 BHA720896:BHA720953 BQW720896:BQW720953 CAS720896:CAS720953 CKO720896:CKO720953 CUK720896:CUK720953 DEG720896:DEG720953 DOC720896:DOC720953 DXY720896:DXY720953 EHU720896:EHU720953 ERQ720896:ERQ720953 FBM720896:FBM720953 FLI720896:FLI720953 FVE720896:FVE720953 GFA720896:GFA720953 GOW720896:GOW720953 GYS720896:GYS720953 HIO720896:HIO720953 HSK720896:HSK720953 ICG720896:ICG720953 IMC720896:IMC720953 IVY720896:IVY720953 JFU720896:JFU720953 JPQ720896:JPQ720953 JZM720896:JZM720953 KJI720896:KJI720953 KTE720896:KTE720953 LDA720896:LDA720953 LMW720896:LMW720953 LWS720896:LWS720953 MGO720896:MGO720953 MQK720896:MQK720953 NAG720896:NAG720953 NKC720896:NKC720953 NTY720896:NTY720953 ODU720896:ODU720953 ONQ720896:ONQ720953 OXM720896:OXM720953 PHI720896:PHI720953 PRE720896:PRE720953 QBA720896:QBA720953 QKW720896:QKW720953 QUS720896:QUS720953 REO720896:REO720953 ROK720896:ROK720953 RYG720896:RYG720953 SIC720896:SIC720953 SRY720896:SRY720953 TBU720896:TBU720953 TLQ720896:TLQ720953 TVM720896:TVM720953 UFI720896:UFI720953 UPE720896:UPE720953 UZA720896:UZA720953 VIW720896:VIW720953 VSS720896:VSS720953 WCO720896:WCO720953 WMK720896:WMK720953 WWG720896:WWG720953 D786432:D786489 JU786432:JU786489 TQ786432:TQ786489 ADM786432:ADM786489 ANI786432:ANI786489 AXE786432:AXE786489 BHA786432:BHA786489 BQW786432:BQW786489 CAS786432:CAS786489 CKO786432:CKO786489 CUK786432:CUK786489 DEG786432:DEG786489 DOC786432:DOC786489 DXY786432:DXY786489 EHU786432:EHU786489 ERQ786432:ERQ786489 FBM786432:FBM786489 FLI786432:FLI786489 FVE786432:FVE786489 GFA786432:GFA786489 GOW786432:GOW786489 GYS786432:GYS786489 HIO786432:HIO786489 HSK786432:HSK786489 ICG786432:ICG786489 IMC786432:IMC786489 IVY786432:IVY786489 JFU786432:JFU786489 JPQ786432:JPQ786489 JZM786432:JZM786489 KJI786432:KJI786489 KTE786432:KTE786489 LDA786432:LDA786489 LMW786432:LMW786489 LWS786432:LWS786489 MGO786432:MGO786489 MQK786432:MQK786489 NAG786432:NAG786489 NKC786432:NKC786489 NTY786432:NTY786489 ODU786432:ODU786489 ONQ786432:ONQ786489 OXM786432:OXM786489 PHI786432:PHI786489 PRE786432:PRE786489 QBA786432:QBA786489 QKW786432:QKW786489 QUS786432:QUS786489 REO786432:REO786489 ROK786432:ROK786489 RYG786432:RYG786489 SIC786432:SIC786489 SRY786432:SRY786489 TBU786432:TBU786489 TLQ786432:TLQ786489 TVM786432:TVM786489 UFI786432:UFI786489 UPE786432:UPE786489 UZA786432:UZA786489 VIW786432:VIW786489 VSS786432:VSS786489 WCO786432:WCO786489 WMK786432:WMK786489 WWG786432:WWG786489 D851968:D852025 JU851968:JU852025 TQ851968:TQ852025 ADM851968:ADM852025 ANI851968:ANI852025 AXE851968:AXE852025 BHA851968:BHA852025 BQW851968:BQW852025 CAS851968:CAS852025 CKO851968:CKO852025 CUK851968:CUK852025 DEG851968:DEG852025 DOC851968:DOC852025 DXY851968:DXY852025 EHU851968:EHU852025 ERQ851968:ERQ852025 FBM851968:FBM852025 FLI851968:FLI852025 FVE851968:FVE852025 GFA851968:GFA852025 GOW851968:GOW852025 GYS851968:GYS852025 HIO851968:HIO852025 HSK851968:HSK852025 ICG851968:ICG852025 IMC851968:IMC852025 IVY851968:IVY852025 JFU851968:JFU852025 JPQ851968:JPQ852025 JZM851968:JZM852025 KJI851968:KJI852025 KTE851968:KTE852025 LDA851968:LDA852025 LMW851968:LMW852025 LWS851968:LWS852025 MGO851968:MGO852025 MQK851968:MQK852025 NAG851968:NAG852025 NKC851968:NKC852025 NTY851968:NTY852025 ODU851968:ODU852025 ONQ851968:ONQ852025 OXM851968:OXM852025 PHI851968:PHI852025 PRE851968:PRE852025 QBA851968:QBA852025 QKW851968:QKW852025 QUS851968:QUS852025 REO851968:REO852025 ROK851968:ROK852025 RYG851968:RYG852025 SIC851968:SIC852025 SRY851968:SRY852025 TBU851968:TBU852025 TLQ851968:TLQ852025 TVM851968:TVM852025 UFI851968:UFI852025 UPE851968:UPE852025 UZA851968:UZA852025 VIW851968:VIW852025 VSS851968:VSS852025 WCO851968:WCO852025 WMK851968:WMK852025 WWG851968:WWG852025 D917504:D917561 JU917504:JU917561 TQ917504:TQ917561 ADM917504:ADM917561 ANI917504:ANI917561 AXE917504:AXE917561 BHA917504:BHA917561 BQW917504:BQW917561 CAS917504:CAS917561 CKO917504:CKO917561 CUK917504:CUK917561 DEG917504:DEG917561 DOC917504:DOC917561 DXY917504:DXY917561 EHU917504:EHU917561 ERQ917504:ERQ917561 FBM917504:FBM917561 FLI917504:FLI917561 FVE917504:FVE917561 GFA917504:GFA917561 GOW917504:GOW917561 GYS917504:GYS917561 HIO917504:HIO917561 HSK917504:HSK917561 ICG917504:ICG917561 IMC917504:IMC917561 IVY917504:IVY917561 JFU917504:JFU917561 JPQ917504:JPQ917561 JZM917504:JZM917561 KJI917504:KJI917561 KTE917504:KTE917561 LDA917504:LDA917561 LMW917504:LMW917561 LWS917504:LWS917561 MGO917504:MGO917561 MQK917504:MQK917561 NAG917504:NAG917561 NKC917504:NKC917561 NTY917504:NTY917561 ODU917504:ODU917561 ONQ917504:ONQ917561 OXM917504:OXM917561 PHI917504:PHI917561 PRE917504:PRE917561 QBA917504:QBA917561 QKW917504:QKW917561 QUS917504:QUS917561 REO917504:REO917561 ROK917504:ROK917561 RYG917504:RYG917561 SIC917504:SIC917561 SRY917504:SRY917561 TBU917504:TBU917561 TLQ917504:TLQ917561 TVM917504:TVM917561 UFI917504:UFI917561 UPE917504:UPE917561 UZA917504:UZA917561 VIW917504:VIW917561 VSS917504:VSS917561 WCO917504:WCO917561 WMK917504:WMK917561 WWG917504:WWG917561 D983040:D983097 JU983040:JU983097 TQ983040:TQ983097 ADM983040:ADM983097 ANI983040:ANI983097 AXE983040:AXE983097 BHA983040:BHA983097 BQW983040:BQW983097 CAS983040:CAS983097 CKO983040:CKO983097 CUK983040:CUK983097 DEG983040:DEG983097 DOC983040:DOC983097 DXY983040:DXY983097 EHU983040:EHU983097 ERQ983040:ERQ983097 FBM983040:FBM983097 FLI983040:FLI983097 FVE983040:FVE983097 GFA983040:GFA983097 GOW983040:GOW983097 GYS983040:GYS983097 HIO983040:HIO983097 HSK983040:HSK983097 ICG983040:ICG983097 IMC983040:IMC983097 IVY983040:IVY983097 JFU983040:JFU983097 JPQ983040:JPQ983097 JZM983040:JZM983097 KJI983040:KJI983097 KTE983040:KTE983097 LDA983040:LDA983097 LMW983040:LMW983097 LWS983040:LWS983097 MGO983040:MGO983097 MQK983040:MQK983097 NAG983040:NAG983097 NKC983040:NKC983097 NTY983040:NTY983097 ODU983040:ODU983097 ONQ983040:ONQ983097 OXM983040:OXM983097 PHI983040:PHI983097 PRE983040:PRE983097 QBA983040:QBA983097 QKW983040:QKW983097 QUS983040:QUS983097 REO983040:REO983097 ROK983040:ROK983097 RYG983040:RYG983097 SIC983040:SIC983097 SRY983040:SRY983097 TBU983040:TBU983097 TLQ983040:TLQ983097 TVM983040:TVM983097 UFI983040:UFI983097 UPE983040:UPE983097 UZA983040:UZA983097 VIW983040:VIW983097 VSS983040:VSS983097 WCO983040:WCO983097 WMK983040:WMK983097 WWG983040:WWG983097 WWH3:WWH57 WML3:WML57 WCP3:WCP57 VST3:VST57 VIX3:VIX57 UZB3:UZB57 UPF3:UPF57 UFJ3:UFJ57 TVN3:TVN57 TLR3:TLR57 TBV3:TBV57 SRZ3:SRZ57 SID3:SID57 RYH3:RYH57 ROL3:ROL57 REP3:REP57 QUT3:QUT57 QKX3:QKX57 QBB3:QBB57 PRF3:PRF57 PHJ3:PHJ57 OXN3:OXN57 ONR3:ONR57 ODV3:ODV57 NTZ3:NTZ57 NKD3:NKD57 NAH3:NAH57 MQL3:MQL57 MGP3:MGP57 LWT3:LWT57 LMX3:LMX57 LDB3:LDB57 KTF3:KTF57 KJJ3:KJJ57 JZN3:JZN57 JPR3:JPR57 JFV3:JFV57 IVZ3:IVZ57 IMD3:IMD57 ICH3:ICH57 HSL3:HSL57 HIP3:HIP57 GYT3:GYT57 GOX3:GOX57 GFB3:GFB57 FVF3:FVF57 FLJ3:FLJ57 FBN3:FBN57 ERR3:ERR57 EHV3:EHV57 DXZ3:DXZ57 DOD3:DOD57 DEH3:DEH57 CUL3:CUL57 CKP3:CKP57 CAT3:CAT57 BQX3:BQX57 BHB3:BHB57 AXF3:AXF57 ANJ3:ANJ57 ADN3:ADN57 TR3:TR57 JV3:JV57 D3:D57">
      <formula1>"ACS,AGRI,BNC,"</formula1>
    </dataValidation>
    <dataValidation type="list" allowBlank="1" showInputMessage="1" showErrorMessage="1" sqref="H3:H57">
      <formula1>"MENSUELLE,TRIMESTRIELLE,EXERCICE,ANNUELLE"</formula1>
    </dataValidation>
    <dataValidation type="list" allowBlank="1" showInputMessage="1" showErrorMessage="1" sqref="BI3:BK57">
      <formula1>"OUI,NON,N/C"</formula1>
    </dataValidation>
    <dataValidation type="list" allowBlank="1" showInputMessage="1" showErrorMessage="1" sqref="AN3:AN57">
      <formula1>"ABONNE COURT,ABONNE LONG"</formula1>
    </dataValidation>
    <dataValidation type="list" allowBlank="1" showInputMessage="1" showErrorMessage="1" sqref="P3:P57">
      <formula1>"OUI,NON,A TERMINER,A FAIRE"</formula1>
    </dataValidation>
    <dataValidation type="list" allowBlank="1" showInputMessage="1" showErrorMessage="1" sqref="BA3:BC57">
      <formula1>"X"</formula1>
    </dataValidation>
    <dataValidation type="list" allowBlank="1" showInputMessage="1" showErrorMessage="1" sqref="R3:R57">
      <formula1>"OUI,NON,A FAIRE,N/A"</formula1>
    </dataValidation>
    <dataValidation type="list" allowBlank="1" showInputMessage="1" showErrorMessage="1" sqref="AO3:AO57 Q3:Q57">
      <formula1>"OUI,NON"</formula1>
    </dataValidation>
    <dataValidation type="list" allowBlank="1" showInputMessage="1" showErrorMessage="1" sqref="O3:O57">
      <formula1>"COMPTABLE,CONSEILLER"</formula1>
    </dataValidation>
    <dataValidation type="list" allowBlank="1" showInputMessage="1" showErrorMessage="1" sqref="M3:N57">
      <formula1>"OUI,NON,A FAIRE"</formula1>
    </dataValidation>
    <dataValidation type="list" allowBlank="1" showInputMessage="1" showErrorMessage="1" sqref="AL3:AL57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Paramètres!$K$4:$K$8</xm:f>
          </x14:formula1>
          <xm:sqref>AJ3:AJ57</xm:sqref>
        </x14:dataValidation>
        <x14:dataValidation type="list" allowBlank="1" showInputMessage="1" showErrorMessage="1">
          <x14:formula1>
            <xm:f>Paramètres!$O$6:$O$16</xm:f>
          </x14:formula1>
          <xm:sqref>AK3:AK57</xm:sqref>
        </x14:dataValidation>
        <x14:dataValidation type="list" allowBlank="1" showInputMessage="1" showErrorMessage="1">
          <x14:formula1>
            <xm:f>Paramètres!$O$4:$O$16</xm:f>
          </x14:formula1>
          <xm:sqref>BH3:BH57</xm:sqref>
        </x14:dataValidation>
        <x14:dataValidation type="list" allowBlank="1" showInputMessage="1" showErrorMessage="1">
          <x14:formula1>
            <xm:f>Paramètres!$N$4:$N$13</xm:f>
          </x14:formula1>
          <xm:sqref>BG3:BG57</xm:sqref>
        </x14:dataValidation>
        <x14:dataValidation type="list" allowBlank="1" showInputMessage="1" showErrorMessage="1">
          <x14:formula1>
            <xm:f>Paramètres!$J$4:$J$7</xm:f>
          </x14:formula1>
          <xm:sqref>AI3:AI57</xm:sqref>
        </x14:dataValidation>
        <x14:dataValidation type="list" allowBlank="1" showInputMessage="1" showErrorMessage="1">
          <x14:formula1>
            <xm:f>Paramètres!$F$4:$F$17</xm:f>
          </x14:formula1>
          <xm:sqref>F3:F49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20</vt:i4>
      </vt:variant>
    </vt:vector>
  </HeadingPairs>
  <TitlesOfParts>
    <vt:vector size="32" baseType="lpstr">
      <vt:lpstr>Agence Stats Budget</vt:lpstr>
      <vt:lpstr>Agence Stats Visas</vt:lpstr>
      <vt:lpstr>Paramètres</vt:lpstr>
      <vt:lpstr>Menu</vt:lpstr>
      <vt:lpstr>DELPHINE</vt:lpstr>
      <vt:lpstr>FREDERIQUE</vt:lpstr>
      <vt:lpstr>AURELIE_T</vt:lpstr>
      <vt:lpstr>ERIC</vt:lpstr>
      <vt:lpstr>MARIE_PIERRE</vt:lpstr>
      <vt:lpstr>GUILLAUME</vt:lpstr>
      <vt:lpstr>SEBASTIEN</vt:lpstr>
      <vt:lpstr>AUTRE COMPTABLE</vt:lpstr>
      <vt:lpstr>abonnelongcourt</vt:lpstr>
      <vt:lpstr>agoasigneeouinonafairena</vt:lpstr>
      <vt:lpstr>crfaitparlecomptableouinon</vt:lpstr>
      <vt:lpstr>crouinonaterminerafaire</vt:lpstr>
      <vt:lpstr>declarationdetva</vt:lpstr>
      <vt:lpstr>declarationsdesrevenusouinon</vt:lpstr>
      <vt:lpstr>listedossierdelphine</vt:lpstr>
      <vt:lpstr>N°_DOSSIERDELPHINE</vt:lpstr>
      <vt:lpstr>pcrouinonafaire</vt:lpstr>
      <vt:lpstr>prénomsaac</vt:lpstr>
      <vt:lpstr>prenomscomptables</vt:lpstr>
      <vt:lpstr>prenomsconseillers</vt:lpstr>
      <vt:lpstr>quicomptableconseiller</vt:lpstr>
      <vt:lpstr>ranosouinonafaire</vt:lpstr>
      <vt:lpstr>realisationdeladeclarationdetva</vt:lpstr>
      <vt:lpstr>reconductionouinon</vt:lpstr>
      <vt:lpstr>régimesdimposition</vt:lpstr>
      <vt:lpstr>régimesjuridiques</vt:lpstr>
      <vt:lpstr>réponsesouinon</vt:lpstr>
      <vt:lpstr>typedemarché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2020-04-26T06:26:39Z</cp:lastPrinted>
  <dcterms:created xsi:type="dcterms:W3CDTF">2020-04-09T11:31:02Z</dcterms:created>
  <dcterms:modified xsi:type="dcterms:W3CDTF">2020-04-27T20:57:42Z</dcterms:modified>
</cp:coreProperties>
</file>