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marchat\Desktop\RQC\Etat recap visas\Visas Campagne 2020\"/>
    </mc:Choice>
  </mc:AlternateContent>
  <bookViews>
    <workbookView xWindow="0" yWindow="0" windowWidth="27150" windowHeight="10125" tabRatio="882" activeTab="4"/>
  </bookViews>
  <sheets>
    <sheet name="Agence Stats Budget" sheetId="2" r:id="rId1"/>
    <sheet name="Agence Stats Visas" sheetId="3" r:id="rId2"/>
    <sheet name="Paramètres" sheetId="6" r:id="rId3"/>
    <sheet name="Menu" sheetId="38" r:id="rId4"/>
    <sheet name="DELPHINE" sheetId="4" r:id="rId5"/>
    <sheet name="FREDERIQUE" sheetId="31" r:id="rId6"/>
    <sheet name="AURELIE_T" sheetId="32" r:id="rId7"/>
    <sheet name="ERIC" sheetId="34" r:id="rId8"/>
    <sheet name="MARIE_PIERRE" sheetId="33" r:id="rId9"/>
    <sheet name="GUILLAUME" sheetId="35" r:id="rId10"/>
    <sheet name="SEBASTIEN" sheetId="36" r:id="rId11"/>
    <sheet name="AUTRE COMPTABLE" sheetId="37" r:id="rId12"/>
  </sheets>
  <definedNames>
    <definedName name="_xlnm._FilterDatabase" localSheetId="6" hidden="1">AURELIE_T!$B$2:$AI$60</definedName>
    <definedName name="_xlnm._FilterDatabase" localSheetId="11" hidden="1">'AUTRE COMPTABLE'!$B$2:$AI$60</definedName>
    <definedName name="_xlnm._FilterDatabase" localSheetId="4" hidden="1">DELPHINE!$B$2:$AI$51</definedName>
    <definedName name="_xlnm._FilterDatabase" localSheetId="7" hidden="1">ERIC!$B$2:$AI$60</definedName>
    <definedName name="_xlnm._FilterDatabase" localSheetId="5" hidden="1">FREDERIQUE!$B$2:$AI$60</definedName>
    <definedName name="_xlnm._FilterDatabase" localSheetId="9" hidden="1">GUILLAUME!$B$2:$AI$60</definedName>
    <definedName name="_xlnm._FilterDatabase" localSheetId="8" hidden="1">MARIE_PIERRE!$B$2:$AI$60</definedName>
    <definedName name="_xlnm._FilterDatabase" localSheetId="10" hidden="1">SEBASTIEN!$B$2:$AI$60</definedName>
    <definedName name="agoasigneeouinonafairena">Paramètres!$J$22:$J$25</definedName>
    <definedName name="crfaitparlecomptableouinon">Paramètres!$I$22:$I$23</definedName>
    <definedName name="crouinonaterminerafaire">Paramètres!$H$22:$H$25</definedName>
    <definedName name="listedossierdelphine">PORTEFEUILLE_DELPHINE[N° DOSSIER]</definedName>
    <definedName name="N°_DOSSIERDELPHINE">PORTEFEUILLE_DELPHINE[N° DOSSIER]</definedName>
    <definedName name="pcrouinonafaire">Paramètres!$E$22:$E$24</definedName>
    <definedName name="prénomsaac">Paramètres!$J$4:$J$7</definedName>
    <definedName name="prenomscomptables">Paramètres!$L$4:$L$11</definedName>
    <definedName name="prenomsconseillers">Paramètres!$K$4:$K$9</definedName>
    <definedName name="quicomptableconseiller">Paramètres!$G$22:$G$23</definedName>
    <definedName name="ranosouinonafaire">Paramètres!$F$22:$F$24</definedName>
    <definedName name="reconductionouinon">Paramètres!$K$22:$K$23</definedName>
    <definedName name="réponsesouinon">Paramètres!$I$13:$I$14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4" l="1"/>
  <c r="L4" i="4"/>
  <c r="L5" i="4"/>
  <c r="L6" i="4"/>
  <c r="K3" i="4"/>
  <c r="K4" i="4"/>
  <c r="K5" i="4"/>
  <c r="K6" i="4"/>
  <c r="BC1" i="4" l="1"/>
  <c r="R116" i="37" l="1"/>
  <c r="Q116" i="37"/>
  <c r="P116" i="37"/>
  <c r="O116" i="37"/>
  <c r="N116" i="37"/>
  <c r="M116" i="37"/>
  <c r="L116" i="37"/>
  <c r="K116" i="37"/>
  <c r="J116" i="37"/>
  <c r="I116" i="37"/>
  <c r="H116" i="37"/>
  <c r="G116" i="37"/>
  <c r="F116" i="37"/>
  <c r="E116" i="37"/>
  <c r="R113" i="37"/>
  <c r="Q113" i="37"/>
  <c r="P113" i="37"/>
  <c r="L113" i="37"/>
  <c r="K113" i="37"/>
  <c r="J113" i="37"/>
  <c r="I113" i="37"/>
  <c r="F113" i="37"/>
  <c r="E113" i="37"/>
  <c r="R112" i="37"/>
  <c r="Q112" i="37"/>
  <c r="P112" i="37"/>
  <c r="O112" i="37"/>
  <c r="N112" i="37"/>
  <c r="M112" i="37"/>
  <c r="L112" i="37"/>
  <c r="K112" i="37"/>
  <c r="I112" i="37"/>
  <c r="H112" i="37"/>
  <c r="G112" i="37"/>
  <c r="F112" i="37"/>
  <c r="E112" i="37"/>
  <c r="O111" i="37"/>
  <c r="N111" i="37"/>
  <c r="M111" i="37"/>
  <c r="J111" i="37"/>
  <c r="R110" i="37"/>
  <c r="Q110" i="37"/>
  <c r="P110" i="37"/>
  <c r="O110" i="37"/>
  <c r="N110" i="37"/>
  <c r="M110" i="37"/>
  <c r="L110" i="37"/>
  <c r="K110" i="37"/>
  <c r="J110" i="37"/>
  <c r="I110" i="37"/>
  <c r="H110" i="37"/>
  <c r="G110" i="37"/>
  <c r="F110" i="37"/>
  <c r="E110" i="37"/>
  <c r="R107" i="37"/>
  <c r="R119" i="37" s="1"/>
  <c r="Q107" i="37"/>
  <c r="Q119" i="37" s="1"/>
  <c r="P107" i="37"/>
  <c r="P119" i="37" s="1"/>
  <c r="L107" i="37"/>
  <c r="L119" i="37" s="1"/>
  <c r="K107" i="37"/>
  <c r="K119" i="37" s="1"/>
  <c r="J107" i="37"/>
  <c r="J119" i="37" s="1"/>
  <c r="I107" i="37"/>
  <c r="I119" i="37" s="1"/>
  <c r="H107" i="37"/>
  <c r="F107" i="37"/>
  <c r="F119" i="37" s="1"/>
  <c r="E107" i="37"/>
  <c r="D107" i="37"/>
  <c r="R106" i="37"/>
  <c r="R118" i="37" s="1"/>
  <c r="Q106" i="37"/>
  <c r="Q118" i="37" s="1"/>
  <c r="P106" i="37"/>
  <c r="P118" i="37" s="1"/>
  <c r="O106" i="37"/>
  <c r="O118" i="37" s="1"/>
  <c r="N106" i="37"/>
  <c r="N118" i="37" s="1"/>
  <c r="M106" i="37"/>
  <c r="M118" i="37" s="1"/>
  <c r="L106" i="37"/>
  <c r="L118" i="37" s="1"/>
  <c r="K106" i="37"/>
  <c r="K118" i="37" s="1"/>
  <c r="I106" i="37"/>
  <c r="I118" i="37" s="1"/>
  <c r="H106" i="37"/>
  <c r="H118" i="37" s="1"/>
  <c r="G106" i="37"/>
  <c r="G118" i="37" s="1"/>
  <c r="F106" i="37"/>
  <c r="F118" i="37" s="1"/>
  <c r="E106" i="37"/>
  <c r="D106" i="37"/>
  <c r="P105" i="37"/>
  <c r="O105" i="37"/>
  <c r="O117" i="37" s="1"/>
  <c r="N105" i="37"/>
  <c r="N117" i="37" s="1"/>
  <c r="M105" i="37"/>
  <c r="M117" i="37" s="1"/>
  <c r="L105" i="37"/>
  <c r="L108" i="37" s="1"/>
  <c r="J105" i="37"/>
  <c r="D105" i="37"/>
  <c r="D108" i="37" s="1"/>
  <c r="R104" i="37"/>
  <c r="Q104" i="37"/>
  <c r="P104" i="37"/>
  <c r="O104" i="37"/>
  <c r="N104" i="37"/>
  <c r="M104" i="37"/>
  <c r="L104" i="37"/>
  <c r="K104" i="37"/>
  <c r="J104" i="37"/>
  <c r="I104" i="37"/>
  <c r="H104" i="37"/>
  <c r="G104" i="37"/>
  <c r="F104" i="37"/>
  <c r="E104" i="37"/>
  <c r="R99" i="37"/>
  <c r="Q99" i="37"/>
  <c r="P99" i="37"/>
  <c r="L99" i="37"/>
  <c r="K99" i="37"/>
  <c r="J99" i="37"/>
  <c r="I99" i="37"/>
  <c r="F99" i="37"/>
  <c r="E99" i="37"/>
  <c r="R98" i="37"/>
  <c r="Q98" i="37"/>
  <c r="P98" i="37"/>
  <c r="O98" i="37"/>
  <c r="N98" i="37"/>
  <c r="M98" i="37"/>
  <c r="L98" i="37"/>
  <c r="K98" i="37"/>
  <c r="I98" i="37"/>
  <c r="H98" i="37"/>
  <c r="G98" i="37"/>
  <c r="F98" i="37"/>
  <c r="E98" i="37"/>
  <c r="O97" i="37"/>
  <c r="N97" i="37"/>
  <c r="M97" i="37"/>
  <c r="J97" i="37"/>
  <c r="R96" i="37"/>
  <c r="Q96" i="37"/>
  <c r="P96" i="37"/>
  <c r="O96" i="37"/>
  <c r="N96" i="37"/>
  <c r="M96" i="37"/>
  <c r="L96" i="37"/>
  <c r="K96" i="37"/>
  <c r="J96" i="37"/>
  <c r="I96" i="37"/>
  <c r="H96" i="37"/>
  <c r="G96" i="37"/>
  <c r="F96" i="37"/>
  <c r="E96" i="37"/>
  <c r="O93" i="37"/>
  <c r="O94" i="37" s="1"/>
  <c r="N93" i="37"/>
  <c r="N94" i="37" s="1"/>
  <c r="N100" i="37" s="1"/>
  <c r="M93" i="37"/>
  <c r="M94" i="37" s="1"/>
  <c r="H93" i="37"/>
  <c r="G93" i="37"/>
  <c r="D93" i="37"/>
  <c r="J92" i="37"/>
  <c r="J94" i="37" s="1"/>
  <c r="J100" i="37" s="1"/>
  <c r="D92" i="37"/>
  <c r="R91" i="37"/>
  <c r="R94" i="37" s="1"/>
  <c r="Q91" i="37"/>
  <c r="Q94" i="37" s="1"/>
  <c r="P91" i="37"/>
  <c r="P94" i="37" s="1"/>
  <c r="L91" i="37"/>
  <c r="L94" i="37" s="1"/>
  <c r="K91" i="37"/>
  <c r="K94" i="37" s="1"/>
  <c r="I91" i="37"/>
  <c r="I94" i="37" s="1"/>
  <c r="H91" i="37"/>
  <c r="G91" i="37"/>
  <c r="G94" i="37" s="1"/>
  <c r="F91" i="37"/>
  <c r="F94" i="37" s="1"/>
  <c r="E91" i="37"/>
  <c r="E94" i="37" s="1"/>
  <c r="D91" i="37"/>
  <c r="R90" i="37"/>
  <c r="Q90" i="37"/>
  <c r="P90" i="37"/>
  <c r="O90" i="37"/>
  <c r="N90" i="37"/>
  <c r="M90" i="37"/>
  <c r="L90" i="37"/>
  <c r="K90" i="37"/>
  <c r="J90" i="37"/>
  <c r="I90" i="37"/>
  <c r="H90" i="37"/>
  <c r="G90" i="37"/>
  <c r="F90" i="37"/>
  <c r="E90" i="37"/>
  <c r="P88" i="37"/>
  <c r="N88" i="37"/>
  <c r="L88" i="37"/>
  <c r="J88" i="37"/>
  <c r="H88" i="37"/>
  <c r="D88" i="37"/>
  <c r="O87" i="37"/>
  <c r="O88" i="37" s="1"/>
  <c r="O100" i="37" s="1"/>
  <c r="N87" i="37"/>
  <c r="M87" i="37"/>
  <c r="H87" i="37"/>
  <c r="G87" i="37"/>
  <c r="D87" i="37"/>
  <c r="D99" i="37" s="1"/>
  <c r="T86" i="37"/>
  <c r="J86" i="37"/>
  <c r="D86" i="37"/>
  <c r="D98" i="37" s="1"/>
  <c r="R85" i="37"/>
  <c r="R88" i="37" s="1"/>
  <c r="R100" i="37" s="1"/>
  <c r="Q85" i="37"/>
  <c r="Q97" i="37" s="1"/>
  <c r="P85" i="37"/>
  <c r="P97" i="37" s="1"/>
  <c r="L85" i="37"/>
  <c r="K85" i="37"/>
  <c r="I85" i="37"/>
  <c r="I97" i="37" s="1"/>
  <c r="H85" i="37"/>
  <c r="G85" i="37"/>
  <c r="G88" i="37" s="1"/>
  <c r="F85" i="37"/>
  <c r="F88" i="37" s="1"/>
  <c r="F100" i="37" s="1"/>
  <c r="E85" i="37"/>
  <c r="E97" i="37" s="1"/>
  <c r="D85" i="37"/>
  <c r="R84" i="37"/>
  <c r="Q84" i="37"/>
  <c r="P84" i="37"/>
  <c r="O84" i="37"/>
  <c r="N84" i="37"/>
  <c r="M84" i="37"/>
  <c r="L84" i="37"/>
  <c r="K84" i="37"/>
  <c r="J84" i="37"/>
  <c r="I84" i="37"/>
  <c r="H84" i="37"/>
  <c r="G84" i="37"/>
  <c r="F84" i="37"/>
  <c r="E84" i="37"/>
  <c r="R80" i="37"/>
  <c r="Q80" i="37"/>
  <c r="P80" i="37"/>
  <c r="L80" i="37"/>
  <c r="K80" i="37"/>
  <c r="J80" i="37"/>
  <c r="I80" i="37"/>
  <c r="F80" i="37"/>
  <c r="E80" i="37"/>
  <c r="R79" i="37"/>
  <c r="Q79" i="37"/>
  <c r="P79" i="37"/>
  <c r="O79" i="37"/>
  <c r="N79" i="37"/>
  <c r="M79" i="37"/>
  <c r="L79" i="37"/>
  <c r="K79" i="37"/>
  <c r="I79" i="37"/>
  <c r="H79" i="37"/>
  <c r="G79" i="37"/>
  <c r="F79" i="37"/>
  <c r="E79" i="37"/>
  <c r="O78" i="37"/>
  <c r="N78" i="37"/>
  <c r="M78" i="37"/>
  <c r="J78" i="37"/>
  <c r="O74" i="37"/>
  <c r="N74" i="37"/>
  <c r="M74" i="37"/>
  <c r="H74" i="37"/>
  <c r="G74" i="37"/>
  <c r="D74" i="37"/>
  <c r="J73" i="37"/>
  <c r="T73" i="37" s="1"/>
  <c r="D73" i="37"/>
  <c r="R72" i="37"/>
  <c r="R75" i="37" s="1"/>
  <c r="Q72" i="37"/>
  <c r="P72" i="37"/>
  <c r="L72" i="37"/>
  <c r="K72" i="37"/>
  <c r="I72" i="37"/>
  <c r="H72" i="37"/>
  <c r="G72" i="37"/>
  <c r="F72" i="37"/>
  <c r="E72" i="37"/>
  <c r="D72" i="37"/>
  <c r="R71" i="37"/>
  <c r="Q71" i="37"/>
  <c r="P71" i="37"/>
  <c r="O71" i="37"/>
  <c r="N71" i="37"/>
  <c r="M71" i="37"/>
  <c r="L71" i="37"/>
  <c r="K71" i="37"/>
  <c r="J71" i="37"/>
  <c r="I71" i="37"/>
  <c r="H71" i="37"/>
  <c r="G71" i="37"/>
  <c r="F71" i="37"/>
  <c r="E71" i="37"/>
  <c r="P69" i="37"/>
  <c r="N69" i="37"/>
  <c r="L69" i="37"/>
  <c r="J69" i="37"/>
  <c r="H69" i="37"/>
  <c r="F69" i="37"/>
  <c r="O68" i="37"/>
  <c r="N68" i="37"/>
  <c r="N107" i="37" s="1"/>
  <c r="M68" i="37"/>
  <c r="H68" i="37"/>
  <c r="G68" i="37"/>
  <c r="D68" i="37"/>
  <c r="T67" i="37"/>
  <c r="J67" i="37"/>
  <c r="J106" i="37" s="1"/>
  <c r="D67" i="37"/>
  <c r="D79" i="37" s="1"/>
  <c r="R66" i="37"/>
  <c r="Q66" i="37"/>
  <c r="Q105" i="37" s="1"/>
  <c r="P66" i="37"/>
  <c r="L66" i="37"/>
  <c r="K66" i="37"/>
  <c r="I66" i="37"/>
  <c r="I105" i="37" s="1"/>
  <c r="H66" i="37"/>
  <c r="H78" i="37" s="1"/>
  <c r="G66" i="37"/>
  <c r="G105" i="37" s="1"/>
  <c r="F66" i="37"/>
  <c r="F105" i="37" s="1"/>
  <c r="E66" i="37"/>
  <c r="E105" i="37" s="1"/>
  <c r="D66" i="37"/>
  <c r="D69" i="37" s="1"/>
  <c r="AW60" i="37"/>
  <c r="AY60" i="37" s="1"/>
  <c r="AV60" i="37"/>
  <c r="AX60" i="37" s="1"/>
  <c r="AS60" i="37"/>
  <c r="AU60" i="37" s="1"/>
  <c r="AR60" i="37"/>
  <c r="AT60" i="37" s="1"/>
  <c r="AH60" i="37"/>
  <c r="L60" i="37"/>
  <c r="K60" i="37"/>
  <c r="AW59" i="37"/>
  <c r="AY59" i="37" s="1"/>
  <c r="AV59" i="37"/>
  <c r="AX59" i="37" s="1"/>
  <c r="AS59" i="37"/>
  <c r="AU59" i="37" s="1"/>
  <c r="AR59" i="37"/>
  <c r="AT59" i="37" s="1"/>
  <c r="AH59" i="37"/>
  <c r="L59" i="37"/>
  <c r="K59" i="37"/>
  <c r="AW58" i="37"/>
  <c r="AY58" i="37" s="1"/>
  <c r="AV58" i="37"/>
  <c r="AX58" i="37" s="1"/>
  <c r="AS58" i="37"/>
  <c r="AU58" i="37" s="1"/>
  <c r="AR58" i="37"/>
  <c r="AT58" i="37" s="1"/>
  <c r="AH58" i="37"/>
  <c r="L58" i="37"/>
  <c r="K58" i="37"/>
  <c r="AW57" i="37"/>
  <c r="AY57" i="37" s="1"/>
  <c r="AV57" i="37"/>
  <c r="AX57" i="37" s="1"/>
  <c r="AS57" i="37"/>
  <c r="AU57" i="37" s="1"/>
  <c r="AR57" i="37"/>
  <c r="AT57" i="37" s="1"/>
  <c r="AH57" i="37"/>
  <c r="L57" i="37"/>
  <c r="K57" i="37"/>
  <c r="AW56" i="37"/>
  <c r="AY56" i="37" s="1"/>
  <c r="AV56" i="37"/>
  <c r="AX56" i="37" s="1"/>
  <c r="AS56" i="37"/>
  <c r="AU56" i="37" s="1"/>
  <c r="AR56" i="37"/>
  <c r="AT56" i="37" s="1"/>
  <c r="AH56" i="37"/>
  <c r="L56" i="37"/>
  <c r="K56" i="37"/>
  <c r="AW55" i="37"/>
  <c r="AY55" i="37" s="1"/>
  <c r="AV55" i="37"/>
  <c r="AX55" i="37" s="1"/>
  <c r="AS55" i="37"/>
  <c r="AU55" i="37" s="1"/>
  <c r="AR55" i="37"/>
  <c r="AT55" i="37" s="1"/>
  <c r="AH55" i="37"/>
  <c r="L55" i="37"/>
  <c r="K55" i="37"/>
  <c r="AW54" i="37"/>
  <c r="AY54" i="37" s="1"/>
  <c r="AV54" i="37"/>
  <c r="AX54" i="37" s="1"/>
  <c r="AS54" i="37"/>
  <c r="AU54" i="37" s="1"/>
  <c r="AR54" i="37"/>
  <c r="AT54" i="37" s="1"/>
  <c r="AH54" i="37"/>
  <c r="L54" i="37"/>
  <c r="K54" i="37"/>
  <c r="AW53" i="37"/>
  <c r="AY53" i="37" s="1"/>
  <c r="AV53" i="37"/>
  <c r="AX53" i="37" s="1"/>
  <c r="AS53" i="37"/>
  <c r="AU53" i="37" s="1"/>
  <c r="AR53" i="37"/>
  <c r="AT53" i="37" s="1"/>
  <c r="AH53" i="37"/>
  <c r="L53" i="37"/>
  <c r="K53" i="37"/>
  <c r="AW52" i="37"/>
  <c r="AY52" i="37" s="1"/>
  <c r="AV52" i="37"/>
  <c r="AX52" i="37" s="1"/>
  <c r="AS52" i="37"/>
  <c r="AU52" i="37" s="1"/>
  <c r="AR52" i="37"/>
  <c r="AT52" i="37" s="1"/>
  <c r="AH52" i="37"/>
  <c r="L52" i="37"/>
  <c r="K52" i="37"/>
  <c r="AW51" i="37"/>
  <c r="AY51" i="37" s="1"/>
  <c r="AV51" i="37"/>
  <c r="AX51" i="37" s="1"/>
  <c r="AS51" i="37"/>
  <c r="AU51" i="37" s="1"/>
  <c r="AR51" i="37"/>
  <c r="AT51" i="37" s="1"/>
  <c r="AH51" i="37"/>
  <c r="L51" i="37"/>
  <c r="K51" i="37"/>
  <c r="AW50" i="37"/>
  <c r="AY50" i="37" s="1"/>
  <c r="AV50" i="37"/>
  <c r="AX50" i="37" s="1"/>
  <c r="AS50" i="37"/>
  <c r="AU50" i="37" s="1"/>
  <c r="AR50" i="37"/>
  <c r="AT50" i="37" s="1"/>
  <c r="AH50" i="37"/>
  <c r="L50" i="37"/>
  <c r="K50" i="37"/>
  <c r="AW49" i="37"/>
  <c r="AY49" i="37" s="1"/>
  <c r="AV49" i="37"/>
  <c r="AX49" i="37" s="1"/>
  <c r="AS49" i="37"/>
  <c r="AU49" i="37" s="1"/>
  <c r="AR49" i="37"/>
  <c r="AT49" i="37" s="1"/>
  <c r="AH49" i="37"/>
  <c r="L49" i="37"/>
  <c r="K49" i="37"/>
  <c r="AW48" i="37"/>
  <c r="AY48" i="37" s="1"/>
  <c r="AV48" i="37"/>
  <c r="AX48" i="37" s="1"/>
  <c r="AT48" i="37"/>
  <c r="AS48" i="37"/>
  <c r="AU48" i="37" s="1"/>
  <c r="AR48" i="37"/>
  <c r="AH48" i="37"/>
  <c r="L48" i="37"/>
  <c r="K48" i="37"/>
  <c r="AW47" i="37"/>
  <c r="AY47" i="37" s="1"/>
  <c r="AV47" i="37"/>
  <c r="AX47" i="37" s="1"/>
  <c r="AT47" i="37"/>
  <c r="AS47" i="37"/>
  <c r="AU47" i="37" s="1"/>
  <c r="AR47" i="37"/>
  <c r="AH47" i="37"/>
  <c r="L47" i="37"/>
  <c r="K47" i="37"/>
  <c r="AW46" i="37"/>
  <c r="AY46" i="37" s="1"/>
  <c r="AV46" i="37"/>
  <c r="AX46" i="37" s="1"/>
  <c r="AS46" i="37"/>
  <c r="AU46" i="37" s="1"/>
  <c r="AR46" i="37"/>
  <c r="AT46" i="37" s="1"/>
  <c r="AH46" i="37"/>
  <c r="L46" i="37"/>
  <c r="K46" i="37"/>
  <c r="AW45" i="37"/>
  <c r="AY45" i="37" s="1"/>
  <c r="AV45" i="37"/>
  <c r="AX45" i="37" s="1"/>
  <c r="AS45" i="37"/>
  <c r="AU45" i="37" s="1"/>
  <c r="AR45" i="37"/>
  <c r="AT45" i="37" s="1"/>
  <c r="AH45" i="37"/>
  <c r="L45" i="37"/>
  <c r="K45" i="37"/>
  <c r="AW44" i="37"/>
  <c r="AY44" i="37" s="1"/>
  <c r="AV44" i="37"/>
  <c r="AX44" i="37" s="1"/>
  <c r="AS44" i="37"/>
  <c r="AU44" i="37" s="1"/>
  <c r="AR44" i="37"/>
  <c r="AT44" i="37" s="1"/>
  <c r="AH44" i="37"/>
  <c r="L44" i="37"/>
  <c r="K44" i="37"/>
  <c r="AW43" i="37"/>
  <c r="AY43" i="37" s="1"/>
  <c r="AV43" i="37"/>
  <c r="AX43" i="37" s="1"/>
  <c r="AS43" i="37"/>
  <c r="AU43" i="37" s="1"/>
  <c r="AR43" i="37"/>
  <c r="AT43" i="37" s="1"/>
  <c r="AH43" i="37"/>
  <c r="L43" i="37"/>
  <c r="K43" i="37"/>
  <c r="AW42" i="37"/>
  <c r="AY42" i="37" s="1"/>
  <c r="AV42" i="37"/>
  <c r="AX42" i="37" s="1"/>
  <c r="AS42" i="37"/>
  <c r="AU42" i="37" s="1"/>
  <c r="AR42" i="37"/>
  <c r="AT42" i="37" s="1"/>
  <c r="AH42" i="37"/>
  <c r="L42" i="37"/>
  <c r="K42" i="37"/>
  <c r="AW41" i="37"/>
  <c r="AY41" i="37" s="1"/>
  <c r="AV41" i="37"/>
  <c r="AX41" i="37" s="1"/>
  <c r="AU41" i="37"/>
  <c r="AS41" i="37"/>
  <c r="AR41" i="37"/>
  <c r="AT41" i="37" s="1"/>
  <c r="AH41" i="37"/>
  <c r="L41" i="37"/>
  <c r="K41" i="37"/>
  <c r="AW40" i="37"/>
  <c r="AY40" i="37" s="1"/>
  <c r="AV40" i="37"/>
  <c r="AX40" i="37" s="1"/>
  <c r="AS40" i="37"/>
  <c r="AU40" i="37" s="1"/>
  <c r="AR40" i="37"/>
  <c r="AT40" i="37" s="1"/>
  <c r="AH40" i="37"/>
  <c r="L40" i="37"/>
  <c r="K40" i="37"/>
  <c r="AW39" i="37"/>
  <c r="AY39" i="37" s="1"/>
  <c r="AV39" i="37"/>
  <c r="AX39" i="37" s="1"/>
  <c r="AS39" i="37"/>
  <c r="AU39" i="37" s="1"/>
  <c r="AR39" i="37"/>
  <c r="AT39" i="37" s="1"/>
  <c r="AH39" i="37"/>
  <c r="L39" i="37"/>
  <c r="K39" i="37"/>
  <c r="AW38" i="37"/>
  <c r="AY38" i="37" s="1"/>
  <c r="AV38" i="37"/>
  <c r="AX38" i="37" s="1"/>
  <c r="AS38" i="37"/>
  <c r="AU38" i="37" s="1"/>
  <c r="AR38" i="37"/>
  <c r="AT38" i="37" s="1"/>
  <c r="AH38" i="37"/>
  <c r="L38" i="37"/>
  <c r="K38" i="37"/>
  <c r="AW37" i="37"/>
  <c r="AY37" i="37" s="1"/>
  <c r="AV37" i="37"/>
  <c r="AX37" i="37" s="1"/>
  <c r="AU37" i="37"/>
  <c r="AS37" i="37"/>
  <c r="AR37" i="37"/>
  <c r="AT37" i="37" s="1"/>
  <c r="AH37" i="37"/>
  <c r="L37" i="37"/>
  <c r="K37" i="37"/>
  <c r="AW36" i="37"/>
  <c r="AY36" i="37" s="1"/>
  <c r="AV36" i="37"/>
  <c r="AX36" i="37" s="1"/>
  <c r="AT36" i="37"/>
  <c r="AS36" i="37"/>
  <c r="AU36" i="37" s="1"/>
  <c r="AR36" i="37"/>
  <c r="AH36" i="37"/>
  <c r="L36" i="37"/>
  <c r="K36" i="37"/>
  <c r="AW35" i="37"/>
  <c r="AY35" i="37" s="1"/>
  <c r="AV35" i="37"/>
  <c r="AX35" i="37" s="1"/>
  <c r="AT35" i="37"/>
  <c r="AS35" i="37"/>
  <c r="AU35" i="37" s="1"/>
  <c r="AR35" i="37"/>
  <c r="AH35" i="37"/>
  <c r="L35" i="37"/>
  <c r="K35" i="37"/>
  <c r="AW34" i="37"/>
  <c r="AY34" i="37" s="1"/>
  <c r="AV34" i="37"/>
  <c r="AX34" i="37" s="1"/>
  <c r="AS34" i="37"/>
  <c r="AU34" i="37" s="1"/>
  <c r="AR34" i="37"/>
  <c r="AT34" i="37" s="1"/>
  <c r="AH34" i="37"/>
  <c r="L34" i="37"/>
  <c r="K34" i="37"/>
  <c r="AW33" i="37"/>
  <c r="AY33" i="37" s="1"/>
  <c r="AV33" i="37"/>
  <c r="AX33" i="37" s="1"/>
  <c r="AU33" i="37"/>
  <c r="AS33" i="37"/>
  <c r="AR33" i="37"/>
  <c r="AT33" i="37" s="1"/>
  <c r="AH33" i="37"/>
  <c r="L33" i="37"/>
  <c r="K33" i="37"/>
  <c r="AW32" i="37"/>
  <c r="AY32" i="37" s="1"/>
  <c r="AV32" i="37"/>
  <c r="AX32" i="37" s="1"/>
  <c r="AT32" i="37"/>
  <c r="AS32" i="37"/>
  <c r="AU32" i="37" s="1"/>
  <c r="AR32" i="37"/>
  <c r="AH32" i="37"/>
  <c r="L32" i="37"/>
  <c r="K32" i="37"/>
  <c r="AW31" i="37"/>
  <c r="AY31" i="37" s="1"/>
  <c r="AV31" i="37"/>
  <c r="AX31" i="37" s="1"/>
  <c r="AT31" i="37"/>
  <c r="AS31" i="37"/>
  <c r="AU31" i="37" s="1"/>
  <c r="AR31" i="37"/>
  <c r="AH31" i="37"/>
  <c r="L31" i="37"/>
  <c r="K31" i="37"/>
  <c r="AW30" i="37"/>
  <c r="AY30" i="37" s="1"/>
  <c r="AV30" i="37"/>
  <c r="AX30" i="37" s="1"/>
  <c r="AS30" i="37"/>
  <c r="AU30" i="37" s="1"/>
  <c r="AR30" i="37"/>
  <c r="AT30" i="37" s="1"/>
  <c r="AH30" i="37"/>
  <c r="L30" i="37"/>
  <c r="K30" i="37"/>
  <c r="AW29" i="37"/>
  <c r="AY29" i="37" s="1"/>
  <c r="AV29" i="37"/>
  <c r="AX29" i="37" s="1"/>
  <c r="AS29" i="37"/>
  <c r="AU29" i="37" s="1"/>
  <c r="AR29" i="37"/>
  <c r="AT29" i="37" s="1"/>
  <c r="AH29" i="37"/>
  <c r="L29" i="37"/>
  <c r="K29" i="37"/>
  <c r="AW28" i="37"/>
  <c r="AY28" i="37" s="1"/>
  <c r="AV28" i="37"/>
  <c r="AX28" i="37" s="1"/>
  <c r="AS28" i="37"/>
  <c r="AU28" i="37" s="1"/>
  <c r="AR28" i="37"/>
  <c r="AT28" i="37" s="1"/>
  <c r="AH28" i="37"/>
  <c r="L28" i="37"/>
  <c r="K28" i="37"/>
  <c r="AW27" i="37"/>
  <c r="AY27" i="37" s="1"/>
  <c r="AV27" i="37"/>
  <c r="AX27" i="37" s="1"/>
  <c r="AS27" i="37"/>
  <c r="AU27" i="37" s="1"/>
  <c r="AR27" i="37"/>
  <c r="AT27" i="37" s="1"/>
  <c r="AH27" i="37"/>
  <c r="L27" i="37"/>
  <c r="K27" i="37"/>
  <c r="AW26" i="37"/>
  <c r="AY26" i="37" s="1"/>
  <c r="AV26" i="37"/>
  <c r="AX26" i="37" s="1"/>
  <c r="AS26" i="37"/>
  <c r="AU26" i="37" s="1"/>
  <c r="AR26" i="37"/>
  <c r="AT26" i="37" s="1"/>
  <c r="AH26" i="37"/>
  <c r="L26" i="37"/>
  <c r="K26" i="37"/>
  <c r="AW25" i="37"/>
  <c r="AY25" i="37" s="1"/>
  <c r="AV25" i="37"/>
  <c r="AX25" i="37" s="1"/>
  <c r="AS25" i="37"/>
  <c r="AU25" i="37" s="1"/>
  <c r="AR25" i="37"/>
  <c r="AT25" i="37" s="1"/>
  <c r="AH25" i="37"/>
  <c r="L25" i="37"/>
  <c r="K25" i="37"/>
  <c r="AW24" i="37"/>
  <c r="AY24" i="37" s="1"/>
  <c r="AV24" i="37"/>
  <c r="AX24" i="37" s="1"/>
  <c r="AS24" i="37"/>
  <c r="AU24" i="37" s="1"/>
  <c r="AR24" i="37"/>
  <c r="AT24" i="37" s="1"/>
  <c r="AH24" i="37"/>
  <c r="L24" i="37"/>
  <c r="K24" i="37"/>
  <c r="AW23" i="37"/>
  <c r="AY23" i="37" s="1"/>
  <c r="AV23" i="37"/>
  <c r="AX23" i="37" s="1"/>
  <c r="AS23" i="37"/>
  <c r="AU23" i="37" s="1"/>
  <c r="AR23" i="37"/>
  <c r="AT23" i="37" s="1"/>
  <c r="AH23" i="37"/>
  <c r="L23" i="37"/>
  <c r="K23" i="37"/>
  <c r="AW22" i="37"/>
  <c r="AY22" i="37" s="1"/>
  <c r="AV22" i="37"/>
  <c r="AX22" i="37" s="1"/>
  <c r="AS22" i="37"/>
  <c r="AU22" i="37" s="1"/>
  <c r="AR22" i="37"/>
  <c r="AT22" i="37" s="1"/>
  <c r="AH22" i="37"/>
  <c r="L22" i="37"/>
  <c r="K22" i="37"/>
  <c r="AW21" i="37"/>
  <c r="AY21" i="37" s="1"/>
  <c r="AV21" i="37"/>
  <c r="AX21" i="37" s="1"/>
  <c r="AS21" i="37"/>
  <c r="AU21" i="37" s="1"/>
  <c r="AR21" i="37"/>
  <c r="AT21" i="37" s="1"/>
  <c r="AH21" i="37"/>
  <c r="L21" i="37"/>
  <c r="K21" i="37"/>
  <c r="AW20" i="37"/>
  <c r="AY20" i="37" s="1"/>
  <c r="AV20" i="37"/>
  <c r="AX20" i="37" s="1"/>
  <c r="AS20" i="37"/>
  <c r="AU20" i="37" s="1"/>
  <c r="AR20" i="37"/>
  <c r="AT20" i="37" s="1"/>
  <c r="AH20" i="37"/>
  <c r="L20" i="37"/>
  <c r="K20" i="37"/>
  <c r="AW19" i="37"/>
  <c r="AY19" i="37" s="1"/>
  <c r="AV19" i="37"/>
  <c r="AX19" i="37" s="1"/>
  <c r="AS19" i="37"/>
  <c r="AU19" i="37" s="1"/>
  <c r="AR19" i="37"/>
  <c r="AT19" i="37" s="1"/>
  <c r="AH19" i="37"/>
  <c r="L19" i="37"/>
  <c r="K19" i="37"/>
  <c r="AW18" i="37"/>
  <c r="AY18" i="37" s="1"/>
  <c r="AV18" i="37"/>
  <c r="AX18" i="37" s="1"/>
  <c r="AS18" i="37"/>
  <c r="AU18" i="37" s="1"/>
  <c r="AR18" i="37"/>
  <c r="AT18" i="37" s="1"/>
  <c r="AH18" i="37"/>
  <c r="L18" i="37"/>
  <c r="K18" i="37"/>
  <c r="AW17" i="37"/>
  <c r="AY17" i="37" s="1"/>
  <c r="AV17" i="37"/>
  <c r="AX17" i="37" s="1"/>
  <c r="AS17" i="37"/>
  <c r="AU17" i="37" s="1"/>
  <c r="AR17" i="37"/>
  <c r="AT17" i="37" s="1"/>
  <c r="AH17" i="37"/>
  <c r="L17" i="37"/>
  <c r="K17" i="37"/>
  <c r="AW16" i="37"/>
  <c r="AY16" i="37" s="1"/>
  <c r="AV16" i="37"/>
  <c r="AX16" i="37" s="1"/>
  <c r="AS16" i="37"/>
  <c r="AU16" i="37" s="1"/>
  <c r="AR16" i="37"/>
  <c r="AT16" i="37" s="1"/>
  <c r="AH16" i="37"/>
  <c r="L16" i="37"/>
  <c r="K16" i="37"/>
  <c r="AW15" i="37"/>
  <c r="AY15" i="37" s="1"/>
  <c r="AV15" i="37"/>
  <c r="AX15" i="37" s="1"/>
  <c r="AS15" i="37"/>
  <c r="AU15" i="37" s="1"/>
  <c r="AR15" i="37"/>
  <c r="AT15" i="37" s="1"/>
  <c r="AH15" i="37"/>
  <c r="L15" i="37"/>
  <c r="K15" i="37"/>
  <c r="AW14" i="37"/>
  <c r="AY14" i="37" s="1"/>
  <c r="AV14" i="37"/>
  <c r="AX14" i="37" s="1"/>
  <c r="AS14" i="37"/>
  <c r="AU14" i="37" s="1"/>
  <c r="AR14" i="37"/>
  <c r="AT14" i="37" s="1"/>
  <c r="AH14" i="37"/>
  <c r="L14" i="37"/>
  <c r="K14" i="37"/>
  <c r="AW13" i="37"/>
  <c r="AY13" i="37" s="1"/>
  <c r="AV13" i="37"/>
  <c r="AX13" i="37" s="1"/>
  <c r="AS13" i="37"/>
  <c r="AU13" i="37" s="1"/>
  <c r="AR13" i="37"/>
  <c r="AT13" i="37" s="1"/>
  <c r="AH13" i="37"/>
  <c r="L13" i="37"/>
  <c r="K13" i="37"/>
  <c r="AW12" i="37"/>
  <c r="AY12" i="37" s="1"/>
  <c r="AV12" i="37"/>
  <c r="AX12" i="37" s="1"/>
  <c r="AS12" i="37"/>
  <c r="AU12" i="37" s="1"/>
  <c r="AR12" i="37"/>
  <c r="AT12" i="37" s="1"/>
  <c r="AH12" i="37"/>
  <c r="L12" i="37"/>
  <c r="K12" i="37"/>
  <c r="AW11" i="37"/>
  <c r="AY11" i="37" s="1"/>
  <c r="AV11" i="37"/>
  <c r="AX11" i="37" s="1"/>
  <c r="AS11" i="37"/>
  <c r="AU11" i="37" s="1"/>
  <c r="AR11" i="37"/>
  <c r="AT11" i="37" s="1"/>
  <c r="AH11" i="37"/>
  <c r="L11" i="37"/>
  <c r="K11" i="37"/>
  <c r="AW10" i="37"/>
  <c r="AY10" i="37" s="1"/>
  <c r="AV10" i="37"/>
  <c r="AX10" i="37" s="1"/>
  <c r="AS10" i="37"/>
  <c r="AU10" i="37" s="1"/>
  <c r="AR10" i="37"/>
  <c r="AT10" i="37" s="1"/>
  <c r="AH10" i="37"/>
  <c r="L10" i="37"/>
  <c r="K10" i="37"/>
  <c r="AW9" i="37"/>
  <c r="AY9" i="37" s="1"/>
  <c r="AV9" i="37"/>
  <c r="AX9" i="37" s="1"/>
  <c r="AS9" i="37"/>
  <c r="AU9" i="37" s="1"/>
  <c r="AR9" i="37"/>
  <c r="AT9" i="37" s="1"/>
  <c r="AH9" i="37"/>
  <c r="L9" i="37"/>
  <c r="K9" i="37"/>
  <c r="AW8" i="37"/>
  <c r="AY8" i="37" s="1"/>
  <c r="AV8" i="37"/>
  <c r="AX8" i="37" s="1"/>
  <c r="AS8" i="37"/>
  <c r="AU8" i="37" s="1"/>
  <c r="AR8" i="37"/>
  <c r="AT8" i="37" s="1"/>
  <c r="AH8" i="37"/>
  <c r="L8" i="37"/>
  <c r="K8" i="37"/>
  <c r="AW7" i="37"/>
  <c r="AY7" i="37" s="1"/>
  <c r="AV7" i="37"/>
  <c r="AX7" i="37" s="1"/>
  <c r="AS7" i="37"/>
  <c r="AU7" i="37" s="1"/>
  <c r="AR7" i="37"/>
  <c r="AT7" i="37" s="1"/>
  <c r="AH7" i="37"/>
  <c r="L7" i="37"/>
  <c r="K7" i="37"/>
  <c r="AW6" i="37"/>
  <c r="AY6" i="37" s="1"/>
  <c r="AV6" i="37"/>
  <c r="AX6" i="37" s="1"/>
  <c r="AS6" i="37"/>
  <c r="AU6" i="37" s="1"/>
  <c r="AR6" i="37"/>
  <c r="AT6" i="37" s="1"/>
  <c r="AH6" i="37"/>
  <c r="L6" i="37"/>
  <c r="K6" i="37"/>
  <c r="AW5" i="37"/>
  <c r="AY5" i="37" s="1"/>
  <c r="AV5" i="37"/>
  <c r="AX5" i="37" s="1"/>
  <c r="AU5" i="37"/>
  <c r="AS5" i="37"/>
  <c r="AR5" i="37"/>
  <c r="AT5" i="37" s="1"/>
  <c r="AH5" i="37"/>
  <c r="L5" i="37"/>
  <c r="K5" i="37"/>
  <c r="AW4" i="37"/>
  <c r="AY4" i="37" s="1"/>
  <c r="AV4" i="37"/>
  <c r="AX4" i="37" s="1"/>
  <c r="AS4" i="37"/>
  <c r="AU4" i="37" s="1"/>
  <c r="AR4" i="37"/>
  <c r="AT4" i="37" s="1"/>
  <c r="AH4" i="37"/>
  <c r="L4" i="37"/>
  <c r="K4" i="37"/>
  <c r="AW3" i="37"/>
  <c r="AY3" i="37" s="1"/>
  <c r="AV3" i="37"/>
  <c r="AX3" i="37" s="1"/>
  <c r="AS3" i="37"/>
  <c r="AU3" i="37" s="1"/>
  <c r="AR3" i="37"/>
  <c r="AT3" i="37" s="1"/>
  <c r="AH3" i="37"/>
  <c r="L3" i="37"/>
  <c r="K3" i="37"/>
  <c r="R116" i="36"/>
  <c r="Q116" i="36"/>
  <c r="P116" i="36"/>
  <c r="O116" i="36"/>
  <c r="N116" i="36"/>
  <c r="M116" i="36"/>
  <c r="L116" i="36"/>
  <c r="K116" i="36"/>
  <c r="J116" i="36"/>
  <c r="I116" i="36"/>
  <c r="H116" i="36"/>
  <c r="G116" i="36"/>
  <c r="F116" i="36"/>
  <c r="E116" i="36"/>
  <c r="R113" i="36"/>
  <c r="Q113" i="36"/>
  <c r="P113" i="36"/>
  <c r="O113" i="36"/>
  <c r="L113" i="36"/>
  <c r="K113" i="36"/>
  <c r="J113" i="36"/>
  <c r="I113" i="36"/>
  <c r="F113" i="36"/>
  <c r="E113" i="36"/>
  <c r="R112" i="36"/>
  <c r="Q112" i="36"/>
  <c r="P112" i="36"/>
  <c r="O112" i="36"/>
  <c r="N112" i="36"/>
  <c r="M112" i="36"/>
  <c r="L112" i="36"/>
  <c r="K112" i="36"/>
  <c r="I112" i="36"/>
  <c r="H112" i="36"/>
  <c r="G112" i="36"/>
  <c r="F112" i="36"/>
  <c r="E112" i="36"/>
  <c r="O111" i="36"/>
  <c r="N111" i="36"/>
  <c r="M111" i="36"/>
  <c r="J111" i="36"/>
  <c r="R110" i="36"/>
  <c r="Q110" i="36"/>
  <c r="P110" i="36"/>
  <c r="O110" i="36"/>
  <c r="N110" i="36"/>
  <c r="M110" i="36"/>
  <c r="L110" i="36"/>
  <c r="K110" i="36"/>
  <c r="J110" i="36"/>
  <c r="I110" i="36"/>
  <c r="H110" i="36"/>
  <c r="G110" i="36"/>
  <c r="F110" i="36"/>
  <c r="E110" i="36"/>
  <c r="R107" i="36"/>
  <c r="R119" i="36" s="1"/>
  <c r="Q107" i="36"/>
  <c r="Q119" i="36" s="1"/>
  <c r="P107" i="36"/>
  <c r="P119" i="36" s="1"/>
  <c r="L107" i="36"/>
  <c r="L119" i="36" s="1"/>
  <c r="K107" i="36"/>
  <c r="K119" i="36" s="1"/>
  <c r="J107" i="36"/>
  <c r="J119" i="36" s="1"/>
  <c r="I107" i="36"/>
  <c r="I119" i="36" s="1"/>
  <c r="H107" i="36"/>
  <c r="F107" i="36"/>
  <c r="F119" i="36" s="1"/>
  <c r="E107" i="36"/>
  <c r="R106" i="36"/>
  <c r="R118" i="36" s="1"/>
  <c r="Q106" i="36"/>
  <c r="Q118" i="36" s="1"/>
  <c r="P106" i="36"/>
  <c r="P118" i="36" s="1"/>
  <c r="O106" i="36"/>
  <c r="O118" i="36" s="1"/>
  <c r="N106" i="36"/>
  <c r="N118" i="36" s="1"/>
  <c r="M106" i="36"/>
  <c r="M118" i="36" s="1"/>
  <c r="L106" i="36"/>
  <c r="L118" i="36" s="1"/>
  <c r="K106" i="36"/>
  <c r="K118" i="36" s="1"/>
  <c r="I106" i="36"/>
  <c r="I118" i="36" s="1"/>
  <c r="H106" i="36"/>
  <c r="H118" i="36" s="1"/>
  <c r="G106" i="36"/>
  <c r="G118" i="36" s="1"/>
  <c r="F106" i="36"/>
  <c r="F118" i="36" s="1"/>
  <c r="E106" i="36"/>
  <c r="T106" i="36" s="1"/>
  <c r="D106" i="36"/>
  <c r="Q105" i="36"/>
  <c r="P105" i="36"/>
  <c r="O105" i="36"/>
  <c r="O117" i="36" s="1"/>
  <c r="N105" i="36"/>
  <c r="N117" i="36" s="1"/>
  <c r="M105" i="36"/>
  <c r="M117" i="36" s="1"/>
  <c r="J105" i="36"/>
  <c r="J117" i="36" s="1"/>
  <c r="I105" i="36"/>
  <c r="H105" i="36"/>
  <c r="E105" i="36"/>
  <c r="D105" i="36"/>
  <c r="R104" i="36"/>
  <c r="Q104" i="36"/>
  <c r="P104" i="36"/>
  <c r="O104" i="36"/>
  <c r="N104" i="36"/>
  <c r="M104" i="36"/>
  <c r="L104" i="36"/>
  <c r="K104" i="36"/>
  <c r="J104" i="36"/>
  <c r="I104" i="36"/>
  <c r="H104" i="36"/>
  <c r="G104" i="36"/>
  <c r="F104" i="36"/>
  <c r="E104" i="36"/>
  <c r="R99" i="36"/>
  <c r="Q99" i="36"/>
  <c r="P99" i="36"/>
  <c r="L99" i="36"/>
  <c r="K99" i="36"/>
  <c r="J99" i="36"/>
  <c r="I99" i="36"/>
  <c r="F99" i="36"/>
  <c r="E99" i="36"/>
  <c r="R98" i="36"/>
  <c r="Q98" i="36"/>
  <c r="P98" i="36"/>
  <c r="O98" i="36"/>
  <c r="N98" i="36"/>
  <c r="M98" i="36"/>
  <c r="L98" i="36"/>
  <c r="K98" i="36"/>
  <c r="I98" i="36"/>
  <c r="H98" i="36"/>
  <c r="G98" i="36"/>
  <c r="F98" i="36"/>
  <c r="E98" i="36"/>
  <c r="O97" i="36"/>
  <c r="N97" i="36"/>
  <c r="M97" i="36"/>
  <c r="J97" i="36"/>
  <c r="R96" i="36"/>
  <c r="Q96" i="36"/>
  <c r="P96" i="36"/>
  <c r="O96" i="36"/>
  <c r="N96" i="36"/>
  <c r="M96" i="36"/>
  <c r="L96" i="36"/>
  <c r="K96" i="36"/>
  <c r="J96" i="36"/>
  <c r="I96" i="36"/>
  <c r="H96" i="36"/>
  <c r="G96" i="36"/>
  <c r="F96" i="36"/>
  <c r="E96" i="36"/>
  <c r="O93" i="36"/>
  <c r="O94" i="36" s="1"/>
  <c r="N93" i="36"/>
  <c r="N94" i="36" s="1"/>
  <c r="M93" i="36"/>
  <c r="M94" i="36" s="1"/>
  <c r="H93" i="36"/>
  <c r="G93" i="36"/>
  <c r="G99" i="36" s="1"/>
  <c r="D93" i="36"/>
  <c r="J92" i="36"/>
  <c r="D92" i="36"/>
  <c r="R91" i="36"/>
  <c r="R94" i="36" s="1"/>
  <c r="Q91" i="36"/>
  <c r="Q94" i="36" s="1"/>
  <c r="P91" i="36"/>
  <c r="P94" i="36" s="1"/>
  <c r="L91" i="36"/>
  <c r="L94" i="36" s="1"/>
  <c r="K91" i="36"/>
  <c r="K94" i="36" s="1"/>
  <c r="I91" i="36"/>
  <c r="I94" i="36" s="1"/>
  <c r="H91" i="36"/>
  <c r="G91" i="36"/>
  <c r="F91" i="36"/>
  <c r="F94" i="36" s="1"/>
  <c r="E91" i="36"/>
  <c r="E94" i="36" s="1"/>
  <c r="D91" i="36"/>
  <c r="R90" i="36"/>
  <c r="Q90" i="36"/>
  <c r="P90" i="36"/>
  <c r="O90" i="36"/>
  <c r="N90" i="36"/>
  <c r="M90" i="36"/>
  <c r="L90" i="36"/>
  <c r="K90" i="36"/>
  <c r="J90" i="36"/>
  <c r="I90" i="36"/>
  <c r="H90" i="36"/>
  <c r="G90" i="36"/>
  <c r="F90" i="36"/>
  <c r="E90" i="36"/>
  <c r="Q88" i="36"/>
  <c r="P88" i="36"/>
  <c r="I88" i="36"/>
  <c r="H88" i="36"/>
  <c r="E88" i="36"/>
  <c r="O87" i="36"/>
  <c r="O88" i="36" s="1"/>
  <c r="N87" i="36"/>
  <c r="N88" i="36" s="1"/>
  <c r="M87" i="36"/>
  <c r="H87" i="36"/>
  <c r="G87" i="36"/>
  <c r="D87" i="36"/>
  <c r="T86" i="36"/>
  <c r="J86" i="36"/>
  <c r="J88" i="36" s="1"/>
  <c r="D86" i="36"/>
  <c r="R85" i="36"/>
  <c r="R88" i="36" s="1"/>
  <c r="Q85" i="36"/>
  <c r="P85" i="36"/>
  <c r="L85" i="36"/>
  <c r="K85" i="36"/>
  <c r="I85" i="36"/>
  <c r="H85" i="36"/>
  <c r="G85" i="36"/>
  <c r="F85" i="36"/>
  <c r="F88" i="36" s="1"/>
  <c r="E85" i="36"/>
  <c r="D85" i="36"/>
  <c r="R84" i="36"/>
  <c r="Q84" i="36"/>
  <c r="P84" i="36"/>
  <c r="O84" i="36"/>
  <c r="N84" i="36"/>
  <c r="M84" i="36"/>
  <c r="L84" i="36"/>
  <c r="K84" i="36"/>
  <c r="J84" i="36"/>
  <c r="I84" i="36"/>
  <c r="H84" i="36"/>
  <c r="G84" i="36"/>
  <c r="F84" i="36"/>
  <c r="E84" i="36"/>
  <c r="R80" i="36"/>
  <c r="Q80" i="36"/>
  <c r="P80" i="36"/>
  <c r="L80" i="36"/>
  <c r="K80" i="36"/>
  <c r="J80" i="36"/>
  <c r="I80" i="36"/>
  <c r="F80" i="36"/>
  <c r="E80" i="36"/>
  <c r="R79" i="36"/>
  <c r="Q79" i="36"/>
  <c r="P79" i="36"/>
  <c r="O79" i="36"/>
  <c r="N79" i="36"/>
  <c r="M79" i="36"/>
  <c r="L79" i="36"/>
  <c r="K79" i="36"/>
  <c r="I79" i="36"/>
  <c r="H79" i="36"/>
  <c r="G79" i="36"/>
  <c r="F79" i="36"/>
  <c r="E79" i="36"/>
  <c r="O78" i="36"/>
  <c r="N78" i="36"/>
  <c r="M78" i="36"/>
  <c r="J78" i="36"/>
  <c r="O74" i="36"/>
  <c r="O75" i="36" s="1"/>
  <c r="N74" i="36"/>
  <c r="N75" i="36" s="1"/>
  <c r="M74" i="36"/>
  <c r="H74" i="36"/>
  <c r="H80" i="36" s="1"/>
  <c r="G74" i="36"/>
  <c r="D74" i="36"/>
  <c r="J73" i="36"/>
  <c r="D73" i="36"/>
  <c r="D79" i="36" s="1"/>
  <c r="R72" i="36"/>
  <c r="R75" i="36" s="1"/>
  <c r="Q72" i="36"/>
  <c r="P72" i="36"/>
  <c r="L72" i="36"/>
  <c r="K72" i="36"/>
  <c r="I72" i="36"/>
  <c r="H72" i="36"/>
  <c r="G72" i="36"/>
  <c r="F72" i="36"/>
  <c r="F75" i="36" s="1"/>
  <c r="E72" i="36"/>
  <c r="D72" i="36"/>
  <c r="R71" i="36"/>
  <c r="Q71" i="36"/>
  <c r="P71" i="36"/>
  <c r="O71" i="36"/>
  <c r="N71" i="36"/>
  <c r="M71" i="36"/>
  <c r="L71" i="36"/>
  <c r="K71" i="36"/>
  <c r="J71" i="36"/>
  <c r="I71" i="36"/>
  <c r="H71" i="36"/>
  <c r="G71" i="36"/>
  <c r="F71" i="36"/>
  <c r="E71" i="36"/>
  <c r="Q69" i="36"/>
  <c r="P69" i="36"/>
  <c r="L69" i="36"/>
  <c r="I69" i="36"/>
  <c r="H69" i="36"/>
  <c r="E69" i="36"/>
  <c r="D69" i="36"/>
  <c r="O68" i="36"/>
  <c r="O107" i="36" s="1"/>
  <c r="N68" i="36"/>
  <c r="M68" i="36"/>
  <c r="M107" i="36" s="1"/>
  <c r="H68" i="36"/>
  <c r="G68" i="36"/>
  <c r="G107" i="36" s="1"/>
  <c r="D68" i="36"/>
  <c r="D107" i="36" s="1"/>
  <c r="T67" i="36"/>
  <c r="J67" i="36"/>
  <c r="J106" i="36" s="1"/>
  <c r="D67" i="36"/>
  <c r="R66" i="36"/>
  <c r="Q66" i="36"/>
  <c r="P66" i="36"/>
  <c r="L66" i="36"/>
  <c r="L105" i="36" s="1"/>
  <c r="K66" i="36"/>
  <c r="I66" i="36"/>
  <c r="H66" i="36"/>
  <c r="G66" i="36"/>
  <c r="F66" i="36"/>
  <c r="T66" i="36" s="1"/>
  <c r="E66" i="36"/>
  <c r="D66" i="36"/>
  <c r="AW60" i="36"/>
  <c r="AY60" i="36" s="1"/>
  <c r="AV60" i="36"/>
  <c r="AX60" i="36" s="1"/>
  <c r="AS60" i="36"/>
  <c r="AU60" i="36" s="1"/>
  <c r="AR60" i="36"/>
  <c r="AT60" i="36" s="1"/>
  <c r="AH60" i="36"/>
  <c r="L60" i="36"/>
  <c r="K60" i="36"/>
  <c r="AW59" i="36"/>
  <c r="AY59" i="36" s="1"/>
  <c r="AV59" i="36"/>
  <c r="AX59" i="36" s="1"/>
  <c r="AS59" i="36"/>
  <c r="AU59" i="36" s="1"/>
  <c r="AR59" i="36"/>
  <c r="AT59" i="36" s="1"/>
  <c r="AH59" i="36"/>
  <c r="L59" i="36"/>
  <c r="K59" i="36"/>
  <c r="AW58" i="36"/>
  <c r="AY58" i="36" s="1"/>
  <c r="AV58" i="36"/>
  <c r="AX58" i="36" s="1"/>
  <c r="AS58" i="36"/>
  <c r="AU58" i="36" s="1"/>
  <c r="AR58" i="36"/>
  <c r="AT58" i="36" s="1"/>
  <c r="AH58" i="36"/>
  <c r="L58" i="36"/>
  <c r="K58" i="36"/>
  <c r="AW57" i="36"/>
  <c r="AY57" i="36" s="1"/>
  <c r="AV57" i="36"/>
  <c r="AX57" i="36" s="1"/>
  <c r="AS57" i="36"/>
  <c r="AU57" i="36" s="1"/>
  <c r="AR57" i="36"/>
  <c r="AT57" i="36" s="1"/>
  <c r="AH57" i="36"/>
  <c r="L57" i="36"/>
  <c r="K57" i="36"/>
  <c r="AW56" i="36"/>
  <c r="AY56" i="36" s="1"/>
  <c r="AV56" i="36"/>
  <c r="AX56" i="36" s="1"/>
  <c r="AS56" i="36"/>
  <c r="AU56" i="36" s="1"/>
  <c r="AR56" i="36"/>
  <c r="AT56" i="36" s="1"/>
  <c r="AH56" i="36"/>
  <c r="L56" i="36"/>
  <c r="K56" i="36"/>
  <c r="AW55" i="36"/>
  <c r="AY55" i="36" s="1"/>
  <c r="AV55" i="36"/>
  <c r="AX55" i="36" s="1"/>
  <c r="AT55" i="36"/>
  <c r="AS55" i="36"/>
  <c r="AU55" i="36" s="1"/>
  <c r="AR55" i="36"/>
  <c r="AH55" i="36"/>
  <c r="L55" i="36"/>
  <c r="K55" i="36"/>
  <c r="AW54" i="36"/>
  <c r="AY54" i="36" s="1"/>
  <c r="AV54" i="36"/>
  <c r="AX54" i="36" s="1"/>
  <c r="AS54" i="36"/>
  <c r="AU54" i="36" s="1"/>
  <c r="AR54" i="36"/>
  <c r="AT54" i="36" s="1"/>
  <c r="AH54" i="36"/>
  <c r="L54" i="36"/>
  <c r="K54" i="36"/>
  <c r="AW53" i="36"/>
  <c r="AY53" i="36" s="1"/>
  <c r="AV53" i="36"/>
  <c r="AX53" i="36" s="1"/>
  <c r="AS53" i="36"/>
  <c r="AU53" i="36" s="1"/>
  <c r="AR53" i="36"/>
  <c r="AT53" i="36" s="1"/>
  <c r="AH53" i="36"/>
  <c r="L53" i="36"/>
  <c r="K53" i="36"/>
  <c r="AW52" i="36"/>
  <c r="AY52" i="36" s="1"/>
  <c r="AV52" i="36"/>
  <c r="AX52" i="36" s="1"/>
  <c r="AS52" i="36"/>
  <c r="AU52" i="36" s="1"/>
  <c r="AR52" i="36"/>
  <c r="AT52" i="36" s="1"/>
  <c r="AH52" i="36"/>
  <c r="L52" i="36"/>
  <c r="K52" i="36"/>
  <c r="AW51" i="36"/>
  <c r="AY51" i="36" s="1"/>
  <c r="AV51" i="36"/>
  <c r="AX51" i="36" s="1"/>
  <c r="AS51" i="36"/>
  <c r="AU51" i="36" s="1"/>
  <c r="AR51" i="36"/>
  <c r="AT51" i="36" s="1"/>
  <c r="AH51" i="36"/>
  <c r="L51" i="36"/>
  <c r="K51" i="36"/>
  <c r="AW50" i="36"/>
  <c r="AY50" i="36" s="1"/>
  <c r="AV50" i="36"/>
  <c r="AX50" i="36" s="1"/>
  <c r="AS50" i="36"/>
  <c r="AU50" i="36" s="1"/>
  <c r="AR50" i="36"/>
  <c r="AT50" i="36" s="1"/>
  <c r="AH50" i="36"/>
  <c r="L50" i="36"/>
  <c r="K50" i="36"/>
  <c r="AW49" i="36"/>
  <c r="AY49" i="36" s="1"/>
  <c r="AV49" i="36"/>
  <c r="AX49" i="36" s="1"/>
  <c r="AS49" i="36"/>
  <c r="AU49" i="36" s="1"/>
  <c r="AR49" i="36"/>
  <c r="AT49" i="36" s="1"/>
  <c r="AH49" i="36"/>
  <c r="L49" i="36"/>
  <c r="K49" i="36"/>
  <c r="AW48" i="36"/>
  <c r="AY48" i="36" s="1"/>
  <c r="AV48" i="36"/>
  <c r="AX48" i="36" s="1"/>
  <c r="AS48" i="36"/>
  <c r="AU48" i="36" s="1"/>
  <c r="AR48" i="36"/>
  <c r="AT48" i="36" s="1"/>
  <c r="AH48" i="36"/>
  <c r="L48" i="36"/>
  <c r="K48" i="36"/>
  <c r="AW47" i="36"/>
  <c r="AY47" i="36" s="1"/>
  <c r="AV47" i="36"/>
  <c r="AX47" i="36" s="1"/>
  <c r="AS47" i="36"/>
  <c r="AU47" i="36" s="1"/>
  <c r="AR47" i="36"/>
  <c r="AT47" i="36" s="1"/>
  <c r="AH47" i="36"/>
  <c r="L47" i="36"/>
  <c r="K47" i="36"/>
  <c r="AW46" i="36"/>
  <c r="AY46" i="36" s="1"/>
  <c r="AV46" i="36"/>
  <c r="AX46" i="36" s="1"/>
  <c r="AS46" i="36"/>
  <c r="AU46" i="36" s="1"/>
  <c r="AR46" i="36"/>
  <c r="AT46" i="36" s="1"/>
  <c r="AH46" i="36"/>
  <c r="L46" i="36"/>
  <c r="K46" i="36"/>
  <c r="AW45" i="36"/>
  <c r="AY45" i="36" s="1"/>
  <c r="AV45" i="36"/>
  <c r="AX45" i="36" s="1"/>
  <c r="AS45" i="36"/>
  <c r="AU45" i="36" s="1"/>
  <c r="AR45" i="36"/>
  <c r="AT45" i="36" s="1"/>
  <c r="AH45" i="36"/>
  <c r="L45" i="36"/>
  <c r="K45" i="36"/>
  <c r="AW44" i="36"/>
  <c r="AY44" i="36" s="1"/>
  <c r="AV44" i="36"/>
  <c r="AX44" i="36" s="1"/>
  <c r="AS44" i="36"/>
  <c r="AU44" i="36" s="1"/>
  <c r="AR44" i="36"/>
  <c r="AT44" i="36" s="1"/>
  <c r="AH44" i="36"/>
  <c r="L44" i="36"/>
  <c r="K44" i="36"/>
  <c r="AW43" i="36"/>
  <c r="AY43" i="36" s="1"/>
  <c r="AV43" i="36"/>
  <c r="AX43" i="36" s="1"/>
  <c r="AS43" i="36"/>
  <c r="AU43" i="36" s="1"/>
  <c r="AR43" i="36"/>
  <c r="AT43" i="36" s="1"/>
  <c r="AH43" i="36"/>
  <c r="L43" i="36"/>
  <c r="K43" i="36"/>
  <c r="AW42" i="36"/>
  <c r="AY42" i="36" s="1"/>
  <c r="AV42" i="36"/>
  <c r="AX42" i="36" s="1"/>
  <c r="AS42" i="36"/>
  <c r="AU42" i="36" s="1"/>
  <c r="AR42" i="36"/>
  <c r="AT42" i="36" s="1"/>
  <c r="AH42" i="36"/>
  <c r="L42" i="36"/>
  <c r="K42" i="36"/>
  <c r="AW41" i="36"/>
  <c r="AY41" i="36" s="1"/>
  <c r="AV41" i="36"/>
  <c r="AX41" i="36" s="1"/>
  <c r="AS41" i="36"/>
  <c r="AU41" i="36" s="1"/>
  <c r="AR41" i="36"/>
  <c r="AT41" i="36" s="1"/>
  <c r="AH41" i="36"/>
  <c r="L41" i="36"/>
  <c r="K41" i="36"/>
  <c r="AW40" i="36"/>
  <c r="AY40" i="36" s="1"/>
  <c r="AV40" i="36"/>
  <c r="AX40" i="36" s="1"/>
  <c r="AS40" i="36"/>
  <c r="AU40" i="36" s="1"/>
  <c r="AR40" i="36"/>
  <c r="AT40" i="36" s="1"/>
  <c r="AH40" i="36"/>
  <c r="L40" i="36"/>
  <c r="K40" i="36"/>
  <c r="AW39" i="36"/>
  <c r="AY39" i="36" s="1"/>
  <c r="AV39" i="36"/>
  <c r="AX39" i="36" s="1"/>
  <c r="AS39" i="36"/>
  <c r="AU39" i="36" s="1"/>
  <c r="AR39" i="36"/>
  <c r="AT39" i="36" s="1"/>
  <c r="AH39" i="36"/>
  <c r="L39" i="36"/>
  <c r="K39" i="36"/>
  <c r="AW38" i="36"/>
  <c r="AY38" i="36" s="1"/>
  <c r="AV38" i="36"/>
  <c r="AX38" i="36" s="1"/>
  <c r="AS38" i="36"/>
  <c r="AU38" i="36" s="1"/>
  <c r="AR38" i="36"/>
  <c r="AT38" i="36" s="1"/>
  <c r="AH38" i="36"/>
  <c r="L38" i="36"/>
  <c r="K38" i="36"/>
  <c r="AW37" i="36"/>
  <c r="AY37" i="36" s="1"/>
  <c r="AV37" i="36"/>
  <c r="AX37" i="36" s="1"/>
  <c r="AU37" i="36"/>
  <c r="AS37" i="36"/>
  <c r="AR37" i="36"/>
  <c r="AT37" i="36" s="1"/>
  <c r="AH37" i="36"/>
  <c r="L37" i="36"/>
  <c r="K37" i="36"/>
  <c r="AW36" i="36"/>
  <c r="AY36" i="36" s="1"/>
  <c r="AV36" i="36"/>
  <c r="AX36" i="36" s="1"/>
  <c r="AS36" i="36"/>
  <c r="AU36" i="36" s="1"/>
  <c r="AR36" i="36"/>
  <c r="AT36" i="36" s="1"/>
  <c r="AH36" i="36"/>
  <c r="L36" i="36"/>
  <c r="K36" i="36"/>
  <c r="AW35" i="36"/>
  <c r="AY35" i="36" s="1"/>
  <c r="AV35" i="36"/>
  <c r="AX35" i="36" s="1"/>
  <c r="AT35" i="36"/>
  <c r="AS35" i="36"/>
  <c r="AU35" i="36" s="1"/>
  <c r="AR35" i="36"/>
  <c r="AH35" i="36"/>
  <c r="L35" i="36"/>
  <c r="K35" i="36"/>
  <c r="AW34" i="36"/>
  <c r="AY34" i="36" s="1"/>
  <c r="AV34" i="36"/>
  <c r="AX34" i="36" s="1"/>
  <c r="AS34" i="36"/>
  <c r="AU34" i="36" s="1"/>
  <c r="AR34" i="36"/>
  <c r="AT34" i="36" s="1"/>
  <c r="AH34" i="36"/>
  <c r="L34" i="36"/>
  <c r="K34" i="36"/>
  <c r="AY33" i="36"/>
  <c r="AW33" i="36"/>
  <c r="AV33" i="36"/>
  <c r="AX33" i="36" s="1"/>
  <c r="AS33" i="36"/>
  <c r="AU33" i="36" s="1"/>
  <c r="AR33" i="36"/>
  <c r="AT33" i="36" s="1"/>
  <c r="AH33" i="36"/>
  <c r="L33" i="36"/>
  <c r="K33" i="36"/>
  <c r="AW32" i="36"/>
  <c r="AY32" i="36" s="1"/>
  <c r="AV32" i="36"/>
  <c r="AX32" i="36" s="1"/>
  <c r="AS32" i="36"/>
  <c r="AU32" i="36" s="1"/>
  <c r="AR32" i="36"/>
  <c r="AT32" i="36" s="1"/>
  <c r="AH32" i="36"/>
  <c r="L32" i="36"/>
  <c r="K32" i="36"/>
  <c r="AW31" i="36"/>
  <c r="AY31" i="36" s="1"/>
  <c r="AV31" i="36"/>
  <c r="AX31" i="36" s="1"/>
  <c r="AS31" i="36"/>
  <c r="AU31" i="36" s="1"/>
  <c r="AR31" i="36"/>
  <c r="AT31" i="36" s="1"/>
  <c r="AH31" i="36"/>
  <c r="L31" i="36"/>
  <c r="K31" i="36"/>
  <c r="AW30" i="36"/>
  <c r="AY30" i="36" s="1"/>
  <c r="AV30" i="36"/>
  <c r="AX30" i="36" s="1"/>
  <c r="AS30" i="36"/>
  <c r="AU30" i="36" s="1"/>
  <c r="AR30" i="36"/>
  <c r="AT30" i="36" s="1"/>
  <c r="AH30" i="36"/>
  <c r="L30" i="36"/>
  <c r="K30" i="36"/>
  <c r="AY29" i="36"/>
  <c r="AW29" i="36"/>
  <c r="AV29" i="36"/>
  <c r="AX29" i="36" s="1"/>
  <c r="AS29" i="36"/>
  <c r="AU29" i="36" s="1"/>
  <c r="AR29" i="36"/>
  <c r="AT29" i="36" s="1"/>
  <c r="AH29" i="36"/>
  <c r="L29" i="36"/>
  <c r="K29" i="36"/>
  <c r="AW28" i="36"/>
  <c r="AY28" i="36" s="1"/>
  <c r="AV28" i="36"/>
  <c r="AX28" i="36" s="1"/>
  <c r="AS28" i="36"/>
  <c r="AU28" i="36" s="1"/>
  <c r="AR28" i="36"/>
  <c r="AT28" i="36" s="1"/>
  <c r="AH28" i="36"/>
  <c r="L28" i="36"/>
  <c r="K28" i="36"/>
  <c r="AW27" i="36"/>
  <c r="AY27" i="36" s="1"/>
  <c r="AV27" i="36"/>
  <c r="AX27" i="36" s="1"/>
  <c r="AS27" i="36"/>
  <c r="AU27" i="36" s="1"/>
  <c r="AR27" i="36"/>
  <c r="AT27" i="36" s="1"/>
  <c r="AH27" i="36"/>
  <c r="L27" i="36"/>
  <c r="K27" i="36"/>
  <c r="AW26" i="36"/>
  <c r="AY26" i="36" s="1"/>
  <c r="AV26" i="36"/>
  <c r="AX26" i="36" s="1"/>
  <c r="AS26" i="36"/>
  <c r="AU26" i="36" s="1"/>
  <c r="AR26" i="36"/>
  <c r="AT26" i="36" s="1"/>
  <c r="AH26" i="36"/>
  <c r="L26" i="36"/>
  <c r="K26" i="36"/>
  <c r="AW25" i="36"/>
  <c r="AY25" i="36" s="1"/>
  <c r="AV25" i="36"/>
  <c r="AX25" i="36" s="1"/>
  <c r="AS25" i="36"/>
  <c r="AU25" i="36" s="1"/>
  <c r="AR25" i="36"/>
  <c r="AT25" i="36" s="1"/>
  <c r="AH25" i="36"/>
  <c r="L25" i="36"/>
  <c r="K25" i="36"/>
  <c r="AW24" i="36"/>
  <c r="AY24" i="36" s="1"/>
  <c r="AV24" i="36"/>
  <c r="AX24" i="36" s="1"/>
  <c r="AT24" i="36"/>
  <c r="AS24" i="36"/>
  <c r="AU24" i="36" s="1"/>
  <c r="AR24" i="36"/>
  <c r="AH24" i="36"/>
  <c r="L24" i="36"/>
  <c r="K24" i="36"/>
  <c r="AW23" i="36"/>
  <c r="AY23" i="36" s="1"/>
  <c r="AV23" i="36"/>
  <c r="AX23" i="36" s="1"/>
  <c r="AT23" i="36"/>
  <c r="AS23" i="36"/>
  <c r="AU23" i="36" s="1"/>
  <c r="AR23" i="36"/>
  <c r="AH23" i="36"/>
  <c r="L23" i="36"/>
  <c r="K23" i="36"/>
  <c r="AW22" i="36"/>
  <c r="AY22" i="36" s="1"/>
  <c r="AV22" i="36"/>
  <c r="AX22" i="36" s="1"/>
  <c r="AS22" i="36"/>
  <c r="AU22" i="36" s="1"/>
  <c r="AR22" i="36"/>
  <c r="AT22" i="36" s="1"/>
  <c r="AH22" i="36"/>
  <c r="L22" i="36"/>
  <c r="K22" i="36"/>
  <c r="AW21" i="36"/>
  <c r="AY21" i="36" s="1"/>
  <c r="AV21" i="36"/>
  <c r="AX21" i="36" s="1"/>
  <c r="AS21" i="36"/>
  <c r="AU21" i="36" s="1"/>
  <c r="AR21" i="36"/>
  <c r="AT21" i="36" s="1"/>
  <c r="AH21" i="36"/>
  <c r="L21" i="36"/>
  <c r="K21" i="36"/>
  <c r="AW20" i="36"/>
  <c r="AY20" i="36" s="1"/>
  <c r="AV20" i="36"/>
  <c r="AX20" i="36" s="1"/>
  <c r="AS20" i="36"/>
  <c r="AU20" i="36" s="1"/>
  <c r="AR20" i="36"/>
  <c r="AT20" i="36" s="1"/>
  <c r="AH20" i="36"/>
  <c r="L20" i="36"/>
  <c r="K20" i="36"/>
  <c r="AW19" i="36"/>
  <c r="AY19" i="36" s="1"/>
  <c r="AV19" i="36"/>
  <c r="AX19" i="36" s="1"/>
  <c r="AS19" i="36"/>
  <c r="AU19" i="36" s="1"/>
  <c r="AR19" i="36"/>
  <c r="AT19" i="36" s="1"/>
  <c r="AH19" i="36"/>
  <c r="L19" i="36"/>
  <c r="K19" i="36"/>
  <c r="AW18" i="36"/>
  <c r="AY18" i="36" s="1"/>
  <c r="AV18" i="36"/>
  <c r="AX18" i="36" s="1"/>
  <c r="AS18" i="36"/>
  <c r="AU18" i="36" s="1"/>
  <c r="AR18" i="36"/>
  <c r="AT18" i="36" s="1"/>
  <c r="AH18" i="36"/>
  <c r="L18" i="36"/>
  <c r="K18" i="36"/>
  <c r="AW17" i="36"/>
  <c r="AY17" i="36" s="1"/>
  <c r="AV17" i="36"/>
  <c r="AX17" i="36" s="1"/>
  <c r="AS17" i="36"/>
  <c r="AU17" i="36" s="1"/>
  <c r="AR17" i="36"/>
  <c r="AT17" i="36" s="1"/>
  <c r="AH17" i="36"/>
  <c r="L17" i="36"/>
  <c r="K17" i="36"/>
  <c r="AW16" i="36"/>
  <c r="AY16" i="36" s="1"/>
  <c r="AV16" i="36"/>
  <c r="AX16" i="36" s="1"/>
  <c r="AS16" i="36"/>
  <c r="AU16" i="36" s="1"/>
  <c r="AR16" i="36"/>
  <c r="AT16" i="36" s="1"/>
  <c r="AH16" i="36"/>
  <c r="L16" i="36"/>
  <c r="K16" i="36"/>
  <c r="AW15" i="36"/>
  <c r="AY15" i="36" s="1"/>
  <c r="AV15" i="36"/>
  <c r="AX15" i="36" s="1"/>
  <c r="AS15" i="36"/>
  <c r="AU15" i="36" s="1"/>
  <c r="AR15" i="36"/>
  <c r="AT15" i="36" s="1"/>
  <c r="AH15" i="36"/>
  <c r="L15" i="36"/>
  <c r="K15" i="36"/>
  <c r="AW14" i="36"/>
  <c r="AY14" i="36" s="1"/>
  <c r="AV14" i="36"/>
  <c r="AX14" i="36" s="1"/>
  <c r="AS14" i="36"/>
  <c r="AU14" i="36" s="1"/>
  <c r="AR14" i="36"/>
  <c r="AT14" i="36" s="1"/>
  <c r="AH14" i="36"/>
  <c r="L14" i="36"/>
  <c r="K14" i="36"/>
  <c r="AW13" i="36"/>
  <c r="AY13" i="36" s="1"/>
  <c r="AV13" i="36"/>
  <c r="AX13" i="36" s="1"/>
  <c r="AS13" i="36"/>
  <c r="AU13" i="36" s="1"/>
  <c r="AR13" i="36"/>
  <c r="AT13" i="36" s="1"/>
  <c r="AH13" i="36"/>
  <c r="L13" i="36"/>
  <c r="K13" i="36"/>
  <c r="AW12" i="36"/>
  <c r="AY12" i="36" s="1"/>
  <c r="AV12" i="36"/>
  <c r="AX12" i="36" s="1"/>
  <c r="AS12" i="36"/>
  <c r="AU12" i="36" s="1"/>
  <c r="AR12" i="36"/>
  <c r="AT12" i="36" s="1"/>
  <c r="AH12" i="36"/>
  <c r="L12" i="36"/>
  <c r="K12" i="36"/>
  <c r="AW11" i="36"/>
  <c r="AY11" i="36" s="1"/>
  <c r="AV11" i="36"/>
  <c r="AX11" i="36" s="1"/>
  <c r="AS11" i="36"/>
  <c r="AU11" i="36" s="1"/>
  <c r="AR11" i="36"/>
  <c r="AT11" i="36" s="1"/>
  <c r="AH11" i="36"/>
  <c r="L11" i="36"/>
  <c r="K11" i="36"/>
  <c r="AW10" i="36"/>
  <c r="AY10" i="36" s="1"/>
  <c r="AV10" i="36"/>
  <c r="AX10" i="36" s="1"/>
  <c r="AS10" i="36"/>
  <c r="AU10" i="36" s="1"/>
  <c r="AR10" i="36"/>
  <c r="AT10" i="36" s="1"/>
  <c r="AH10" i="36"/>
  <c r="L10" i="36"/>
  <c r="K10" i="36"/>
  <c r="AW9" i="36"/>
  <c r="AY9" i="36" s="1"/>
  <c r="AV9" i="36"/>
  <c r="AX9" i="36" s="1"/>
  <c r="AS9" i="36"/>
  <c r="AU9" i="36" s="1"/>
  <c r="AR9" i="36"/>
  <c r="AT9" i="36" s="1"/>
  <c r="AH9" i="36"/>
  <c r="L9" i="36"/>
  <c r="K9" i="36"/>
  <c r="AW8" i="36"/>
  <c r="AY8" i="36" s="1"/>
  <c r="AV8" i="36"/>
  <c r="AX8" i="36" s="1"/>
  <c r="AS8" i="36"/>
  <c r="AU8" i="36" s="1"/>
  <c r="AR8" i="36"/>
  <c r="AT8" i="36" s="1"/>
  <c r="AH8" i="36"/>
  <c r="L8" i="36"/>
  <c r="K8" i="36"/>
  <c r="AW7" i="36"/>
  <c r="AY7" i="36" s="1"/>
  <c r="AV7" i="36"/>
  <c r="AX7" i="36" s="1"/>
  <c r="AS7" i="36"/>
  <c r="AU7" i="36" s="1"/>
  <c r="AR7" i="36"/>
  <c r="AT7" i="36" s="1"/>
  <c r="AH7" i="36"/>
  <c r="L7" i="36"/>
  <c r="K7" i="36"/>
  <c r="AW6" i="36"/>
  <c r="AY6" i="36" s="1"/>
  <c r="AV6" i="36"/>
  <c r="AX6" i="36" s="1"/>
  <c r="AS6" i="36"/>
  <c r="AU6" i="36" s="1"/>
  <c r="AR6" i="36"/>
  <c r="AT6" i="36" s="1"/>
  <c r="AH6" i="36"/>
  <c r="L6" i="36"/>
  <c r="K6" i="36"/>
  <c r="AW5" i="36"/>
  <c r="AY5" i="36" s="1"/>
  <c r="AV5" i="36"/>
  <c r="AX5" i="36" s="1"/>
  <c r="AS5" i="36"/>
  <c r="AU5" i="36" s="1"/>
  <c r="AR5" i="36"/>
  <c r="AT5" i="36" s="1"/>
  <c r="AH5" i="36"/>
  <c r="L5" i="36"/>
  <c r="K5" i="36"/>
  <c r="AW4" i="36"/>
  <c r="AY4" i="36" s="1"/>
  <c r="AV4" i="36"/>
  <c r="AX4" i="36" s="1"/>
  <c r="AS4" i="36"/>
  <c r="AU4" i="36" s="1"/>
  <c r="AR4" i="36"/>
  <c r="AT4" i="36" s="1"/>
  <c r="AH4" i="36"/>
  <c r="L4" i="36"/>
  <c r="K4" i="36"/>
  <c r="AW3" i="36"/>
  <c r="AY3" i="36" s="1"/>
  <c r="AV3" i="36"/>
  <c r="AX3" i="36" s="1"/>
  <c r="AS3" i="36"/>
  <c r="AU3" i="36" s="1"/>
  <c r="AR3" i="36"/>
  <c r="AT3" i="36" s="1"/>
  <c r="AH3" i="36"/>
  <c r="L3" i="36"/>
  <c r="K3" i="36"/>
  <c r="L119" i="35"/>
  <c r="E118" i="35"/>
  <c r="R116" i="35"/>
  <c r="Q116" i="35"/>
  <c r="P116" i="35"/>
  <c r="O116" i="35"/>
  <c r="N116" i="35"/>
  <c r="M116" i="35"/>
  <c r="L116" i="35"/>
  <c r="K116" i="35"/>
  <c r="J116" i="35"/>
  <c r="I116" i="35"/>
  <c r="H116" i="35"/>
  <c r="G116" i="35"/>
  <c r="F116" i="35"/>
  <c r="E116" i="35"/>
  <c r="R113" i="35"/>
  <c r="Q113" i="35"/>
  <c r="P113" i="35"/>
  <c r="L113" i="35"/>
  <c r="K113" i="35"/>
  <c r="J113" i="35"/>
  <c r="I113" i="35"/>
  <c r="F113" i="35"/>
  <c r="E113" i="35"/>
  <c r="R112" i="35"/>
  <c r="Q112" i="35"/>
  <c r="P112" i="35"/>
  <c r="O112" i="35"/>
  <c r="N112" i="35"/>
  <c r="M112" i="35"/>
  <c r="L112" i="35"/>
  <c r="K112" i="35"/>
  <c r="I112" i="35"/>
  <c r="H112" i="35"/>
  <c r="G112" i="35"/>
  <c r="F112" i="35"/>
  <c r="E112" i="35"/>
  <c r="O111" i="35"/>
  <c r="N111" i="35"/>
  <c r="M111" i="35"/>
  <c r="J111" i="35"/>
  <c r="R110" i="35"/>
  <c r="Q110" i="35"/>
  <c r="P110" i="35"/>
  <c r="O110" i="35"/>
  <c r="N110" i="35"/>
  <c r="M110" i="35"/>
  <c r="L110" i="35"/>
  <c r="K110" i="35"/>
  <c r="J110" i="35"/>
  <c r="I110" i="35"/>
  <c r="H110" i="35"/>
  <c r="G110" i="35"/>
  <c r="F110" i="35"/>
  <c r="E110" i="35"/>
  <c r="E108" i="35"/>
  <c r="R107" i="35"/>
  <c r="Q107" i="35"/>
  <c r="Q119" i="35" s="1"/>
  <c r="P107" i="35"/>
  <c r="P119" i="35" s="1"/>
  <c r="L107" i="35"/>
  <c r="K107" i="35"/>
  <c r="K119" i="35" s="1"/>
  <c r="J107" i="35"/>
  <c r="I107" i="35"/>
  <c r="I119" i="35" s="1"/>
  <c r="H107" i="35"/>
  <c r="F107" i="35"/>
  <c r="F119" i="35" s="1"/>
  <c r="E107" i="35"/>
  <c r="R106" i="35"/>
  <c r="R118" i="35" s="1"/>
  <c r="Q106" i="35"/>
  <c r="Q118" i="35" s="1"/>
  <c r="P106" i="35"/>
  <c r="P118" i="35" s="1"/>
  <c r="O106" i="35"/>
  <c r="N106" i="35"/>
  <c r="N118" i="35" s="1"/>
  <c r="M106" i="35"/>
  <c r="M118" i="35" s="1"/>
  <c r="L106" i="35"/>
  <c r="L118" i="35" s="1"/>
  <c r="K106" i="35"/>
  <c r="I106" i="35"/>
  <c r="I118" i="35" s="1"/>
  <c r="H106" i="35"/>
  <c r="H118" i="35" s="1"/>
  <c r="G106" i="35"/>
  <c r="G118" i="35" s="1"/>
  <c r="F106" i="35"/>
  <c r="F118" i="35" s="1"/>
  <c r="E106" i="35"/>
  <c r="D106" i="35"/>
  <c r="Q105" i="35"/>
  <c r="P105" i="35"/>
  <c r="O105" i="35"/>
  <c r="O117" i="35" s="1"/>
  <c r="N105" i="35"/>
  <c r="N117" i="35" s="1"/>
  <c r="M105" i="35"/>
  <c r="M117" i="35" s="1"/>
  <c r="J105" i="35"/>
  <c r="J117" i="35" s="1"/>
  <c r="I105" i="35"/>
  <c r="H105" i="35"/>
  <c r="H108" i="35" s="1"/>
  <c r="E105" i="35"/>
  <c r="D105" i="35"/>
  <c r="R104" i="35"/>
  <c r="Q104" i="35"/>
  <c r="P104" i="35"/>
  <c r="O104" i="35"/>
  <c r="N104" i="35"/>
  <c r="M104" i="35"/>
  <c r="L104" i="35"/>
  <c r="K104" i="35"/>
  <c r="J104" i="35"/>
  <c r="I104" i="35"/>
  <c r="H104" i="35"/>
  <c r="G104" i="35"/>
  <c r="F104" i="35"/>
  <c r="E104" i="35"/>
  <c r="R99" i="35"/>
  <c r="Q99" i="35"/>
  <c r="P99" i="35"/>
  <c r="L99" i="35"/>
  <c r="K99" i="35"/>
  <c r="J99" i="35"/>
  <c r="I99" i="35"/>
  <c r="F99" i="35"/>
  <c r="E99" i="35"/>
  <c r="R98" i="35"/>
  <c r="Q98" i="35"/>
  <c r="P98" i="35"/>
  <c r="O98" i="35"/>
  <c r="N98" i="35"/>
  <c r="M98" i="35"/>
  <c r="L98" i="35"/>
  <c r="K98" i="35"/>
  <c r="I98" i="35"/>
  <c r="H98" i="35"/>
  <c r="G98" i="35"/>
  <c r="F98" i="35"/>
  <c r="E98" i="35"/>
  <c r="O97" i="35"/>
  <c r="N97" i="35"/>
  <c r="M97" i="35"/>
  <c r="J97" i="35"/>
  <c r="R96" i="35"/>
  <c r="Q96" i="35"/>
  <c r="P96" i="35"/>
  <c r="O96" i="35"/>
  <c r="N96" i="35"/>
  <c r="M96" i="35"/>
  <c r="L96" i="35"/>
  <c r="K96" i="35"/>
  <c r="J96" i="35"/>
  <c r="I96" i="35"/>
  <c r="H96" i="35"/>
  <c r="G96" i="35"/>
  <c r="F96" i="35"/>
  <c r="E96" i="35"/>
  <c r="O93" i="35"/>
  <c r="O94" i="35" s="1"/>
  <c r="O100" i="35" s="1"/>
  <c r="N93" i="35"/>
  <c r="N94" i="35" s="1"/>
  <c r="M93" i="35"/>
  <c r="M94" i="35" s="1"/>
  <c r="H93" i="35"/>
  <c r="G93" i="35"/>
  <c r="D93" i="35"/>
  <c r="J92" i="35"/>
  <c r="J94" i="35" s="1"/>
  <c r="D92" i="35"/>
  <c r="R91" i="35"/>
  <c r="R94" i="35" s="1"/>
  <c r="Q91" i="35"/>
  <c r="Q94" i="35" s="1"/>
  <c r="P91" i="35"/>
  <c r="P94" i="35" s="1"/>
  <c r="L91" i="35"/>
  <c r="L94" i="35" s="1"/>
  <c r="K91" i="35"/>
  <c r="K94" i="35" s="1"/>
  <c r="I91" i="35"/>
  <c r="I94" i="35" s="1"/>
  <c r="H91" i="35"/>
  <c r="H94" i="35" s="1"/>
  <c r="G91" i="35"/>
  <c r="F91" i="35"/>
  <c r="F94" i="35" s="1"/>
  <c r="F100" i="35" s="1"/>
  <c r="E91" i="35"/>
  <c r="E94" i="35" s="1"/>
  <c r="D91" i="35"/>
  <c r="R90" i="35"/>
  <c r="Q90" i="35"/>
  <c r="P90" i="35"/>
  <c r="O90" i="35"/>
  <c r="N90" i="35"/>
  <c r="M90" i="35"/>
  <c r="L90" i="35"/>
  <c r="K90" i="35"/>
  <c r="J90" i="35"/>
  <c r="I90" i="35"/>
  <c r="H90" i="35"/>
  <c r="G90" i="35"/>
  <c r="F90" i="35"/>
  <c r="E90" i="35"/>
  <c r="Q88" i="35"/>
  <c r="P88" i="35"/>
  <c r="I88" i="35"/>
  <c r="H88" i="35"/>
  <c r="E88" i="35"/>
  <c r="O87" i="35"/>
  <c r="O88" i="35" s="1"/>
  <c r="N87" i="35"/>
  <c r="M87" i="35"/>
  <c r="M99" i="35" s="1"/>
  <c r="H87" i="35"/>
  <c r="G87" i="35"/>
  <c r="D87" i="35"/>
  <c r="T86" i="35"/>
  <c r="J86" i="35"/>
  <c r="J88" i="35" s="1"/>
  <c r="D86" i="35"/>
  <c r="R85" i="35"/>
  <c r="R88" i="35" s="1"/>
  <c r="Q85" i="35"/>
  <c r="Q97" i="35" s="1"/>
  <c r="P85" i="35"/>
  <c r="L85" i="35"/>
  <c r="K85" i="35"/>
  <c r="K88" i="35" s="1"/>
  <c r="I85" i="35"/>
  <c r="I97" i="35" s="1"/>
  <c r="H85" i="35"/>
  <c r="G85" i="35"/>
  <c r="G88" i="35" s="1"/>
  <c r="F85" i="35"/>
  <c r="F88" i="35" s="1"/>
  <c r="E85" i="35"/>
  <c r="D85" i="35"/>
  <c r="R84" i="35"/>
  <c r="Q84" i="35"/>
  <c r="P84" i="35"/>
  <c r="O84" i="35"/>
  <c r="N84" i="35"/>
  <c r="M84" i="35"/>
  <c r="L84" i="35"/>
  <c r="K84" i="35"/>
  <c r="J84" i="35"/>
  <c r="I84" i="35"/>
  <c r="H84" i="35"/>
  <c r="G84" i="35"/>
  <c r="F84" i="35"/>
  <c r="E84" i="35"/>
  <c r="R80" i="35"/>
  <c r="Q80" i="35"/>
  <c r="P80" i="35"/>
  <c r="L80" i="35"/>
  <c r="K80" i="35"/>
  <c r="J80" i="35"/>
  <c r="I80" i="35"/>
  <c r="F80" i="35"/>
  <c r="E80" i="35"/>
  <c r="R79" i="35"/>
  <c r="Q79" i="35"/>
  <c r="P79" i="35"/>
  <c r="O79" i="35"/>
  <c r="N79" i="35"/>
  <c r="M79" i="35"/>
  <c r="L79" i="35"/>
  <c r="K79" i="35"/>
  <c r="I79" i="35"/>
  <c r="H79" i="35"/>
  <c r="G79" i="35"/>
  <c r="F79" i="35"/>
  <c r="E79" i="35"/>
  <c r="O78" i="35"/>
  <c r="N78" i="35"/>
  <c r="M78" i="35"/>
  <c r="J78" i="35"/>
  <c r="O74" i="35"/>
  <c r="O75" i="35" s="1"/>
  <c r="N74" i="35"/>
  <c r="M74" i="35"/>
  <c r="M113" i="35" s="1"/>
  <c r="H74" i="35"/>
  <c r="H113" i="35" s="1"/>
  <c r="G74" i="35"/>
  <c r="D74" i="35"/>
  <c r="J73" i="35"/>
  <c r="J75" i="35" s="1"/>
  <c r="D73" i="35"/>
  <c r="D112" i="35" s="1"/>
  <c r="R72" i="35"/>
  <c r="Q72" i="35"/>
  <c r="Q111" i="35" s="1"/>
  <c r="Q114" i="35" s="1"/>
  <c r="P72" i="35"/>
  <c r="P111" i="35" s="1"/>
  <c r="P114" i="35" s="1"/>
  <c r="L72" i="35"/>
  <c r="K72" i="35"/>
  <c r="I72" i="35"/>
  <c r="I111" i="35" s="1"/>
  <c r="I114" i="35" s="1"/>
  <c r="H72" i="35"/>
  <c r="H111" i="35" s="1"/>
  <c r="G72" i="35"/>
  <c r="F72" i="35"/>
  <c r="E72" i="35"/>
  <c r="E111" i="35" s="1"/>
  <c r="E114" i="35" s="1"/>
  <c r="D72" i="35"/>
  <c r="D111" i="35" s="1"/>
  <c r="D117" i="35" s="1"/>
  <c r="R71" i="35"/>
  <c r="Q71" i="35"/>
  <c r="P71" i="35"/>
  <c r="O71" i="35"/>
  <c r="N71" i="35"/>
  <c r="M71" i="35"/>
  <c r="L71" i="35"/>
  <c r="K71" i="35"/>
  <c r="J71" i="35"/>
  <c r="I71" i="35"/>
  <c r="H71" i="35"/>
  <c r="G71" i="35"/>
  <c r="F71" i="35"/>
  <c r="E71" i="35"/>
  <c r="Q69" i="35"/>
  <c r="P69" i="35"/>
  <c r="I69" i="35"/>
  <c r="H69" i="35"/>
  <c r="E69" i="35"/>
  <c r="O68" i="35"/>
  <c r="O107" i="35" s="1"/>
  <c r="N68" i="35"/>
  <c r="M68" i="35"/>
  <c r="H68" i="35"/>
  <c r="G68" i="35"/>
  <c r="G107" i="35" s="1"/>
  <c r="D68" i="35"/>
  <c r="T67" i="35"/>
  <c r="J67" i="35"/>
  <c r="J106" i="35" s="1"/>
  <c r="D67" i="35"/>
  <c r="R66" i="35"/>
  <c r="Q66" i="35"/>
  <c r="P66" i="35"/>
  <c r="L66" i="35"/>
  <c r="K66" i="35"/>
  <c r="I66" i="35"/>
  <c r="H66" i="35"/>
  <c r="G66" i="35"/>
  <c r="F66" i="35"/>
  <c r="T66" i="35" s="1"/>
  <c r="E66" i="35"/>
  <c r="D66" i="35"/>
  <c r="AW60" i="35"/>
  <c r="AY60" i="35" s="1"/>
  <c r="AV60" i="35"/>
  <c r="AX60" i="35" s="1"/>
  <c r="AS60" i="35"/>
  <c r="AU60" i="35" s="1"/>
  <c r="AR60" i="35"/>
  <c r="AT60" i="35" s="1"/>
  <c r="AH60" i="35"/>
  <c r="L60" i="35"/>
  <c r="K60" i="35"/>
  <c r="AW59" i="35"/>
  <c r="AY59" i="35" s="1"/>
  <c r="AV59" i="35"/>
  <c r="AX59" i="35" s="1"/>
  <c r="AS59" i="35"/>
  <c r="AU59" i="35" s="1"/>
  <c r="AR59" i="35"/>
  <c r="AT59" i="35" s="1"/>
  <c r="AH59" i="35"/>
  <c r="L59" i="35"/>
  <c r="K59" i="35"/>
  <c r="AW58" i="35"/>
  <c r="AY58" i="35" s="1"/>
  <c r="AV58" i="35"/>
  <c r="AX58" i="35" s="1"/>
  <c r="AS58" i="35"/>
  <c r="AU58" i="35" s="1"/>
  <c r="AR58" i="35"/>
  <c r="AT58" i="35" s="1"/>
  <c r="AH58" i="35"/>
  <c r="L58" i="35"/>
  <c r="K58" i="35"/>
  <c r="AW57" i="35"/>
  <c r="AY57" i="35" s="1"/>
  <c r="AV57" i="35"/>
  <c r="AX57" i="35" s="1"/>
  <c r="AU57" i="35"/>
  <c r="AS57" i="35"/>
  <c r="AR57" i="35"/>
  <c r="AT57" i="35" s="1"/>
  <c r="AH57" i="35"/>
  <c r="L57" i="35"/>
  <c r="K57" i="35"/>
  <c r="AW56" i="35"/>
  <c r="AY56" i="35" s="1"/>
  <c r="AV56" i="35"/>
  <c r="AX56" i="35" s="1"/>
  <c r="AS56" i="35"/>
  <c r="AU56" i="35" s="1"/>
  <c r="AR56" i="35"/>
  <c r="AT56" i="35" s="1"/>
  <c r="AH56" i="35"/>
  <c r="L56" i="35"/>
  <c r="K56" i="35"/>
  <c r="AW55" i="35"/>
  <c r="AY55" i="35" s="1"/>
  <c r="AV55" i="35"/>
  <c r="AX55" i="35" s="1"/>
  <c r="AS55" i="35"/>
  <c r="AU55" i="35" s="1"/>
  <c r="AR55" i="35"/>
  <c r="AT55" i="35" s="1"/>
  <c r="AH55" i="35"/>
  <c r="L55" i="35"/>
  <c r="K55" i="35"/>
  <c r="AW54" i="35"/>
  <c r="AY54" i="35" s="1"/>
  <c r="AV54" i="35"/>
  <c r="AX54" i="35" s="1"/>
  <c r="AS54" i="35"/>
  <c r="AU54" i="35" s="1"/>
  <c r="AR54" i="35"/>
  <c r="AT54" i="35" s="1"/>
  <c r="AH54" i="35"/>
  <c r="L54" i="35"/>
  <c r="K54" i="35"/>
  <c r="AW53" i="35"/>
  <c r="AY53" i="35" s="1"/>
  <c r="AV53" i="35"/>
  <c r="AX53" i="35" s="1"/>
  <c r="AU53" i="35"/>
  <c r="AS53" i="35"/>
  <c r="AR53" i="35"/>
  <c r="AT53" i="35" s="1"/>
  <c r="AH53" i="35"/>
  <c r="L53" i="35"/>
  <c r="K53" i="35"/>
  <c r="AW52" i="35"/>
  <c r="AY52" i="35" s="1"/>
  <c r="AV52" i="35"/>
  <c r="AX52" i="35" s="1"/>
  <c r="AS52" i="35"/>
  <c r="AU52" i="35" s="1"/>
  <c r="AR52" i="35"/>
  <c r="AT52" i="35" s="1"/>
  <c r="AH52" i="35"/>
  <c r="L52" i="35"/>
  <c r="K52" i="35"/>
  <c r="AW51" i="35"/>
  <c r="AY51" i="35" s="1"/>
  <c r="AV51" i="35"/>
  <c r="AX51" i="35" s="1"/>
  <c r="AS51" i="35"/>
  <c r="AU51" i="35" s="1"/>
  <c r="AR51" i="35"/>
  <c r="AT51" i="35" s="1"/>
  <c r="AH51" i="35"/>
  <c r="L51" i="35"/>
  <c r="K51" i="35"/>
  <c r="AW50" i="35"/>
  <c r="AY50" i="35" s="1"/>
  <c r="AV50" i="35"/>
  <c r="AX50" i="35" s="1"/>
  <c r="AS50" i="35"/>
  <c r="AU50" i="35" s="1"/>
  <c r="AR50" i="35"/>
  <c r="AT50" i="35" s="1"/>
  <c r="AH50" i="35"/>
  <c r="L50" i="35"/>
  <c r="K50" i="35"/>
  <c r="AW49" i="35"/>
  <c r="AY49" i="35" s="1"/>
  <c r="AV49" i="35"/>
  <c r="AX49" i="35" s="1"/>
  <c r="AS49" i="35"/>
  <c r="AU49" i="35" s="1"/>
  <c r="AR49" i="35"/>
  <c r="AT49" i="35" s="1"/>
  <c r="AH49" i="35"/>
  <c r="L49" i="35"/>
  <c r="K49" i="35"/>
  <c r="AW48" i="35"/>
  <c r="AY48" i="35" s="1"/>
  <c r="AV48" i="35"/>
  <c r="AX48" i="35" s="1"/>
  <c r="AS48" i="35"/>
  <c r="AU48" i="35" s="1"/>
  <c r="AR48" i="35"/>
  <c r="AT48" i="35" s="1"/>
  <c r="AH48" i="35"/>
  <c r="L48" i="35"/>
  <c r="K48" i="35"/>
  <c r="AW47" i="35"/>
  <c r="AY47" i="35" s="1"/>
  <c r="AV47" i="35"/>
  <c r="AX47" i="35" s="1"/>
  <c r="AS47" i="35"/>
  <c r="AU47" i="35" s="1"/>
  <c r="AR47" i="35"/>
  <c r="AT47" i="35" s="1"/>
  <c r="AH47" i="35"/>
  <c r="L47" i="35"/>
  <c r="K47" i="35"/>
  <c r="AW46" i="35"/>
  <c r="AY46" i="35" s="1"/>
  <c r="AV46" i="35"/>
  <c r="AX46" i="35" s="1"/>
  <c r="AS46" i="35"/>
  <c r="AU46" i="35" s="1"/>
  <c r="AR46" i="35"/>
  <c r="AT46" i="35" s="1"/>
  <c r="AH46" i="35"/>
  <c r="L46" i="35"/>
  <c r="K46" i="35"/>
  <c r="AW45" i="35"/>
  <c r="AY45" i="35" s="1"/>
  <c r="AV45" i="35"/>
  <c r="AX45" i="35" s="1"/>
  <c r="AS45" i="35"/>
  <c r="AU45" i="35" s="1"/>
  <c r="AR45" i="35"/>
  <c r="AT45" i="35" s="1"/>
  <c r="AH45" i="35"/>
  <c r="L45" i="35"/>
  <c r="K45" i="35"/>
  <c r="AW44" i="35"/>
  <c r="AY44" i="35" s="1"/>
  <c r="AV44" i="35"/>
  <c r="AX44" i="35" s="1"/>
  <c r="AS44" i="35"/>
  <c r="AU44" i="35" s="1"/>
  <c r="AR44" i="35"/>
  <c r="AT44" i="35" s="1"/>
  <c r="AH44" i="35"/>
  <c r="L44" i="35"/>
  <c r="K44" i="35"/>
  <c r="AW43" i="35"/>
  <c r="AY43" i="35" s="1"/>
  <c r="AV43" i="35"/>
  <c r="AX43" i="35" s="1"/>
  <c r="AS43" i="35"/>
  <c r="AU43" i="35" s="1"/>
  <c r="AR43" i="35"/>
  <c r="AT43" i="35" s="1"/>
  <c r="AH43" i="35"/>
  <c r="L43" i="35"/>
  <c r="K43" i="35"/>
  <c r="AW42" i="35"/>
  <c r="AY42" i="35" s="1"/>
  <c r="AV42" i="35"/>
  <c r="AX42" i="35" s="1"/>
  <c r="AS42" i="35"/>
  <c r="AU42" i="35" s="1"/>
  <c r="AR42" i="35"/>
  <c r="AT42" i="35" s="1"/>
  <c r="AH42" i="35"/>
  <c r="L42" i="35"/>
  <c r="K42" i="35"/>
  <c r="AW41" i="35"/>
  <c r="AY41" i="35" s="1"/>
  <c r="AV41" i="35"/>
  <c r="AX41" i="35" s="1"/>
  <c r="AS41" i="35"/>
  <c r="AU41" i="35" s="1"/>
  <c r="AR41" i="35"/>
  <c r="AT41" i="35" s="1"/>
  <c r="AH41" i="35"/>
  <c r="L41" i="35"/>
  <c r="K41" i="35"/>
  <c r="AW40" i="35"/>
  <c r="AY40" i="35" s="1"/>
  <c r="AV40" i="35"/>
  <c r="AX40" i="35" s="1"/>
  <c r="AS40" i="35"/>
  <c r="AU40" i="35" s="1"/>
  <c r="AR40" i="35"/>
  <c r="AT40" i="35" s="1"/>
  <c r="AH40" i="35"/>
  <c r="L40" i="35"/>
  <c r="K40" i="35"/>
  <c r="AW39" i="35"/>
  <c r="AY39" i="35" s="1"/>
  <c r="AV39" i="35"/>
  <c r="AX39" i="35" s="1"/>
  <c r="AS39" i="35"/>
  <c r="AU39" i="35" s="1"/>
  <c r="AR39" i="35"/>
  <c r="AT39" i="35" s="1"/>
  <c r="AH39" i="35"/>
  <c r="L39" i="35"/>
  <c r="K39" i="35"/>
  <c r="AW38" i="35"/>
  <c r="AY38" i="35" s="1"/>
  <c r="AV38" i="35"/>
  <c r="AX38" i="35" s="1"/>
  <c r="AS38" i="35"/>
  <c r="AU38" i="35" s="1"/>
  <c r="AR38" i="35"/>
  <c r="AT38" i="35" s="1"/>
  <c r="AH38" i="35"/>
  <c r="L38" i="35"/>
  <c r="K38" i="35"/>
  <c r="AW37" i="35"/>
  <c r="AY37" i="35" s="1"/>
  <c r="AV37" i="35"/>
  <c r="AX37" i="35" s="1"/>
  <c r="AS37" i="35"/>
  <c r="AU37" i="35" s="1"/>
  <c r="AR37" i="35"/>
  <c r="AT37" i="35" s="1"/>
  <c r="AH37" i="35"/>
  <c r="L37" i="35"/>
  <c r="K37" i="35"/>
  <c r="AW36" i="35"/>
  <c r="AY36" i="35" s="1"/>
  <c r="AV36" i="35"/>
  <c r="AX36" i="35" s="1"/>
  <c r="AS36" i="35"/>
  <c r="AU36" i="35" s="1"/>
  <c r="AR36" i="35"/>
  <c r="AT36" i="35" s="1"/>
  <c r="AH36" i="35"/>
  <c r="L36" i="35"/>
  <c r="K36" i="35"/>
  <c r="AW35" i="35"/>
  <c r="AY35" i="35" s="1"/>
  <c r="AV35" i="35"/>
  <c r="AX35" i="35" s="1"/>
  <c r="AS35" i="35"/>
  <c r="AU35" i="35" s="1"/>
  <c r="AR35" i="35"/>
  <c r="AT35" i="35" s="1"/>
  <c r="AH35" i="35"/>
  <c r="L35" i="35"/>
  <c r="K35" i="35"/>
  <c r="AW34" i="35"/>
  <c r="AY34" i="35" s="1"/>
  <c r="AV34" i="35"/>
  <c r="AX34" i="35" s="1"/>
  <c r="AS34" i="35"/>
  <c r="AU34" i="35" s="1"/>
  <c r="AR34" i="35"/>
  <c r="AT34" i="35" s="1"/>
  <c r="AH34" i="35"/>
  <c r="L34" i="35"/>
  <c r="K34" i="35"/>
  <c r="AW33" i="35"/>
  <c r="AY33" i="35" s="1"/>
  <c r="AV33" i="35"/>
  <c r="AX33" i="35" s="1"/>
  <c r="AS33" i="35"/>
  <c r="AU33" i="35" s="1"/>
  <c r="AR33" i="35"/>
  <c r="AT33" i="35" s="1"/>
  <c r="AH33" i="35"/>
  <c r="L33" i="35"/>
  <c r="K33" i="35"/>
  <c r="AW32" i="35"/>
  <c r="AY32" i="35" s="1"/>
  <c r="AV32" i="35"/>
  <c r="AX32" i="35" s="1"/>
  <c r="AS32" i="35"/>
  <c r="AU32" i="35" s="1"/>
  <c r="AR32" i="35"/>
  <c r="AT32" i="35" s="1"/>
  <c r="AH32" i="35"/>
  <c r="L32" i="35"/>
  <c r="K32" i="35"/>
  <c r="AW31" i="35"/>
  <c r="AY31" i="35" s="1"/>
  <c r="AV31" i="35"/>
  <c r="AX31" i="35" s="1"/>
  <c r="AS31" i="35"/>
  <c r="AU31" i="35" s="1"/>
  <c r="AR31" i="35"/>
  <c r="AT31" i="35" s="1"/>
  <c r="AH31" i="35"/>
  <c r="L31" i="35"/>
  <c r="K31" i="35"/>
  <c r="AW30" i="35"/>
  <c r="AY30" i="35" s="1"/>
  <c r="AV30" i="35"/>
  <c r="AX30" i="35" s="1"/>
  <c r="AS30" i="35"/>
  <c r="AU30" i="35" s="1"/>
  <c r="AR30" i="35"/>
  <c r="AT30" i="35" s="1"/>
  <c r="AH30" i="35"/>
  <c r="L30" i="35"/>
  <c r="K30" i="35"/>
  <c r="AW29" i="35"/>
  <c r="AY29" i="35" s="1"/>
  <c r="AV29" i="35"/>
  <c r="AX29" i="35" s="1"/>
  <c r="AS29" i="35"/>
  <c r="AU29" i="35" s="1"/>
  <c r="AR29" i="35"/>
  <c r="AT29" i="35" s="1"/>
  <c r="AH29" i="35"/>
  <c r="L29" i="35"/>
  <c r="K29" i="35"/>
  <c r="AW28" i="35"/>
  <c r="AY28" i="35" s="1"/>
  <c r="AV28" i="35"/>
  <c r="AX28" i="35" s="1"/>
  <c r="AS28" i="35"/>
  <c r="AU28" i="35" s="1"/>
  <c r="AR28" i="35"/>
  <c r="AT28" i="35" s="1"/>
  <c r="AH28" i="35"/>
  <c r="L28" i="35"/>
  <c r="K28" i="35"/>
  <c r="AW27" i="35"/>
  <c r="AY27" i="35" s="1"/>
  <c r="AV27" i="35"/>
  <c r="AX27" i="35" s="1"/>
  <c r="AS27" i="35"/>
  <c r="AU27" i="35" s="1"/>
  <c r="AR27" i="35"/>
  <c r="AT27" i="35" s="1"/>
  <c r="AH27" i="35"/>
  <c r="L27" i="35"/>
  <c r="K27" i="35"/>
  <c r="AW26" i="35"/>
  <c r="AY26" i="35" s="1"/>
  <c r="AV26" i="35"/>
  <c r="AX26" i="35" s="1"/>
  <c r="AS26" i="35"/>
  <c r="AU26" i="35" s="1"/>
  <c r="AR26" i="35"/>
  <c r="AT26" i="35" s="1"/>
  <c r="AH26" i="35"/>
  <c r="L26" i="35"/>
  <c r="K26" i="35"/>
  <c r="AW25" i="35"/>
  <c r="AY25" i="35" s="1"/>
  <c r="AV25" i="35"/>
  <c r="AX25" i="35" s="1"/>
  <c r="AS25" i="35"/>
  <c r="AU25" i="35" s="1"/>
  <c r="AR25" i="35"/>
  <c r="AT25" i="35" s="1"/>
  <c r="AH25" i="35"/>
  <c r="L25" i="35"/>
  <c r="K25" i="35"/>
  <c r="AW24" i="35"/>
  <c r="AY24" i="35" s="1"/>
  <c r="AV24" i="35"/>
  <c r="AX24" i="35" s="1"/>
  <c r="AS24" i="35"/>
  <c r="AU24" i="35" s="1"/>
  <c r="AR24" i="35"/>
  <c r="AT24" i="35" s="1"/>
  <c r="AH24" i="35"/>
  <c r="L24" i="35"/>
  <c r="K24" i="35"/>
  <c r="AW23" i="35"/>
  <c r="AY23" i="35" s="1"/>
  <c r="AV23" i="35"/>
  <c r="AX23" i="35" s="1"/>
  <c r="AS23" i="35"/>
  <c r="AU23" i="35" s="1"/>
  <c r="AR23" i="35"/>
  <c r="AT23" i="35" s="1"/>
  <c r="AH23" i="35"/>
  <c r="L23" i="35"/>
  <c r="K23" i="35"/>
  <c r="AW22" i="35"/>
  <c r="AY22" i="35" s="1"/>
  <c r="AV22" i="35"/>
  <c r="AX22" i="35" s="1"/>
  <c r="AS22" i="35"/>
  <c r="AU22" i="35" s="1"/>
  <c r="AR22" i="35"/>
  <c r="AT22" i="35" s="1"/>
  <c r="AH22" i="35"/>
  <c r="L22" i="35"/>
  <c r="K22" i="35"/>
  <c r="AW21" i="35"/>
  <c r="AY21" i="35" s="1"/>
  <c r="AV21" i="35"/>
  <c r="AX21" i="35" s="1"/>
  <c r="AS21" i="35"/>
  <c r="AU21" i="35" s="1"/>
  <c r="AR21" i="35"/>
  <c r="AT21" i="35" s="1"/>
  <c r="AH21" i="35"/>
  <c r="L21" i="35"/>
  <c r="K21" i="35"/>
  <c r="AW20" i="35"/>
  <c r="AY20" i="35" s="1"/>
  <c r="AV20" i="35"/>
  <c r="AX20" i="35" s="1"/>
  <c r="AS20" i="35"/>
  <c r="AU20" i="35" s="1"/>
  <c r="AR20" i="35"/>
  <c r="AT20" i="35" s="1"/>
  <c r="AH20" i="35"/>
  <c r="L20" i="35"/>
  <c r="K20" i="35"/>
  <c r="AW19" i="35"/>
  <c r="AY19" i="35" s="1"/>
  <c r="AV19" i="35"/>
  <c r="AX19" i="35" s="1"/>
  <c r="AS19" i="35"/>
  <c r="AU19" i="35" s="1"/>
  <c r="AR19" i="35"/>
  <c r="AT19" i="35" s="1"/>
  <c r="AH19" i="35"/>
  <c r="L19" i="35"/>
  <c r="K19" i="35"/>
  <c r="AW18" i="35"/>
  <c r="AY18" i="35" s="1"/>
  <c r="AV18" i="35"/>
  <c r="AX18" i="35" s="1"/>
  <c r="AS18" i="35"/>
  <c r="AU18" i="35" s="1"/>
  <c r="AR18" i="35"/>
  <c r="AT18" i="35" s="1"/>
  <c r="AH18" i="35"/>
  <c r="L18" i="35"/>
  <c r="K18" i="35"/>
  <c r="AW17" i="35"/>
  <c r="AY17" i="35" s="1"/>
  <c r="AV17" i="35"/>
  <c r="AX17" i="35" s="1"/>
  <c r="AS17" i="35"/>
  <c r="AU17" i="35" s="1"/>
  <c r="AR17" i="35"/>
  <c r="AT17" i="35" s="1"/>
  <c r="AH17" i="35"/>
  <c r="L17" i="35"/>
  <c r="K17" i="35"/>
  <c r="AW16" i="35"/>
  <c r="AY16" i="35" s="1"/>
  <c r="AV16" i="35"/>
  <c r="AX16" i="35" s="1"/>
  <c r="AS16" i="35"/>
  <c r="AU16" i="35" s="1"/>
  <c r="AR16" i="35"/>
  <c r="AT16" i="35" s="1"/>
  <c r="AH16" i="35"/>
  <c r="L16" i="35"/>
  <c r="K16" i="35"/>
  <c r="AW15" i="35"/>
  <c r="AY15" i="35" s="1"/>
  <c r="AV15" i="35"/>
  <c r="AX15" i="35" s="1"/>
  <c r="AS15" i="35"/>
  <c r="AU15" i="35" s="1"/>
  <c r="AR15" i="35"/>
  <c r="AT15" i="35" s="1"/>
  <c r="AH15" i="35"/>
  <c r="L15" i="35"/>
  <c r="K15" i="35"/>
  <c r="AW14" i="35"/>
  <c r="AY14" i="35" s="1"/>
  <c r="AV14" i="35"/>
  <c r="AX14" i="35" s="1"/>
  <c r="AS14" i="35"/>
  <c r="AU14" i="35" s="1"/>
  <c r="AR14" i="35"/>
  <c r="AT14" i="35" s="1"/>
  <c r="AH14" i="35"/>
  <c r="L14" i="35"/>
  <c r="K14" i="35"/>
  <c r="AW13" i="35"/>
  <c r="AY13" i="35" s="1"/>
  <c r="AV13" i="35"/>
  <c r="AX13" i="35" s="1"/>
  <c r="AS13" i="35"/>
  <c r="AU13" i="35" s="1"/>
  <c r="AR13" i="35"/>
  <c r="AT13" i="35" s="1"/>
  <c r="AH13" i="35"/>
  <c r="L13" i="35"/>
  <c r="K13" i="35"/>
  <c r="AW12" i="35"/>
  <c r="AY12" i="35" s="1"/>
  <c r="AV12" i="35"/>
  <c r="AX12" i="35" s="1"/>
  <c r="AU12" i="35"/>
  <c r="AS12" i="35"/>
  <c r="AR12" i="35"/>
  <c r="AT12" i="35" s="1"/>
  <c r="AH12" i="35"/>
  <c r="L12" i="35"/>
  <c r="K12" i="35"/>
  <c r="AW11" i="35"/>
  <c r="AY11" i="35" s="1"/>
  <c r="AV11" i="35"/>
  <c r="AX11" i="35" s="1"/>
  <c r="AS11" i="35"/>
  <c r="AU11" i="35" s="1"/>
  <c r="AR11" i="35"/>
  <c r="AT11" i="35" s="1"/>
  <c r="AH11" i="35"/>
  <c r="L11" i="35"/>
  <c r="K11" i="35"/>
  <c r="AW10" i="35"/>
  <c r="AY10" i="35" s="1"/>
  <c r="AV10" i="35"/>
  <c r="AX10" i="35" s="1"/>
  <c r="AS10" i="35"/>
  <c r="AU10" i="35" s="1"/>
  <c r="AR10" i="35"/>
  <c r="AT10" i="35" s="1"/>
  <c r="AH10" i="35"/>
  <c r="L10" i="35"/>
  <c r="K10" i="35"/>
  <c r="AW9" i="35"/>
  <c r="AY9" i="35" s="1"/>
  <c r="AV9" i="35"/>
  <c r="AX9" i="35" s="1"/>
  <c r="AS9" i="35"/>
  <c r="AU9" i="35" s="1"/>
  <c r="AR9" i="35"/>
  <c r="AT9" i="35" s="1"/>
  <c r="AH9" i="35"/>
  <c r="L9" i="35"/>
  <c r="K9" i="35"/>
  <c r="AW8" i="35"/>
  <c r="AY8" i="35" s="1"/>
  <c r="AV8" i="35"/>
  <c r="AX8" i="35" s="1"/>
  <c r="AS8" i="35"/>
  <c r="AU8" i="35" s="1"/>
  <c r="AR8" i="35"/>
  <c r="AT8" i="35" s="1"/>
  <c r="AH8" i="35"/>
  <c r="L8" i="35"/>
  <c r="K8" i="35"/>
  <c r="AW7" i="35"/>
  <c r="AY7" i="35" s="1"/>
  <c r="AV7" i="35"/>
  <c r="AX7" i="35" s="1"/>
  <c r="AT7" i="35"/>
  <c r="AS7" i="35"/>
  <c r="AU7" i="35" s="1"/>
  <c r="AR7" i="35"/>
  <c r="AH7" i="35"/>
  <c r="L7" i="35"/>
  <c r="K7" i="35"/>
  <c r="AW6" i="35"/>
  <c r="AY6" i="35" s="1"/>
  <c r="AV6" i="35"/>
  <c r="AX6" i="35" s="1"/>
  <c r="AT6" i="35"/>
  <c r="AS6" i="35"/>
  <c r="AU6" i="35" s="1"/>
  <c r="AR6" i="35"/>
  <c r="AH6" i="35"/>
  <c r="L6" i="35"/>
  <c r="K6" i="35"/>
  <c r="AW5" i="35"/>
  <c r="AY5" i="35" s="1"/>
  <c r="AV5" i="35"/>
  <c r="AX5" i="35" s="1"/>
  <c r="AS5" i="35"/>
  <c r="AU5" i="35" s="1"/>
  <c r="AR5" i="35"/>
  <c r="AT5" i="35" s="1"/>
  <c r="AH5" i="35"/>
  <c r="L5" i="35"/>
  <c r="K5" i="35"/>
  <c r="AW4" i="35"/>
  <c r="AY4" i="35" s="1"/>
  <c r="AV4" i="35"/>
  <c r="AX4" i="35" s="1"/>
  <c r="AS4" i="35"/>
  <c r="AU4" i="35" s="1"/>
  <c r="AR4" i="35"/>
  <c r="AT4" i="35" s="1"/>
  <c r="AH4" i="35"/>
  <c r="L4" i="35"/>
  <c r="K4" i="35"/>
  <c r="AW3" i="35"/>
  <c r="AY3" i="35" s="1"/>
  <c r="AV3" i="35"/>
  <c r="AX3" i="35" s="1"/>
  <c r="AS3" i="35"/>
  <c r="AU3" i="35" s="1"/>
  <c r="AR3" i="35"/>
  <c r="AT3" i="35" s="1"/>
  <c r="AH3" i="35"/>
  <c r="L3" i="35"/>
  <c r="K3" i="35"/>
  <c r="L119" i="34"/>
  <c r="E118" i="34"/>
  <c r="R116" i="34"/>
  <c r="Q116" i="34"/>
  <c r="P116" i="34"/>
  <c r="O116" i="34"/>
  <c r="N116" i="34"/>
  <c r="M116" i="34"/>
  <c r="L116" i="34"/>
  <c r="K116" i="34"/>
  <c r="J116" i="34"/>
  <c r="I116" i="34"/>
  <c r="H116" i="34"/>
  <c r="G116" i="34"/>
  <c r="F116" i="34"/>
  <c r="E116" i="34"/>
  <c r="R113" i="34"/>
  <c r="Q113" i="34"/>
  <c r="P113" i="34"/>
  <c r="L113" i="34"/>
  <c r="K113" i="34"/>
  <c r="J113" i="34"/>
  <c r="I113" i="34"/>
  <c r="F113" i="34"/>
  <c r="E113" i="34"/>
  <c r="R112" i="34"/>
  <c r="Q112" i="34"/>
  <c r="P112" i="34"/>
  <c r="O112" i="34"/>
  <c r="N112" i="34"/>
  <c r="M112" i="34"/>
  <c r="L112" i="34"/>
  <c r="K112" i="34"/>
  <c r="I112" i="34"/>
  <c r="H112" i="34"/>
  <c r="G112" i="34"/>
  <c r="F112" i="34"/>
  <c r="E112" i="34"/>
  <c r="O111" i="34"/>
  <c r="N111" i="34"/>
  <c r="M111" i="34"/>
  <c r="J111" i="34"/>
  <c r="R110" i="34"/>
  <c r="Q110" i="34"/>
  <c r="P110" i="34"/>
  <c r="O110" i="34"/>
  <c r="N110" i="34"/>
  <c r="M110" i="34"/>
  <c r="L110" i="34"/>
  <c r="K110" i="34"/>
  <c r="J110" i="34"/>
  <c r="I110" i="34"/>
  <c r="H110" i="34"/>
  <c r="G110" i="34"/>
  <c r="F110" i="34"/>
  <c r="E110" i="34"/>
  <c r="H108" i="34"/>
  <c r="R107" i="34"/>
  <c r="Q107" i="34"/>
  <c r="Q119" i="34" s="1"/>
  <c r="P107" i="34"/>
  <c r="P119" i="34" s="1"/>
  <c r="L107" i="34"/>
  <c r="K107" i="34"/>
  <c r="K119" i="34" s="1"/>
  <c r="J107" i="34"/>
  <c r="J119" i="34" s="1"/>
  <c r="I107" i="34"/>
  <c r="I119" i="34" s="1"/>
  <c r="H107" i="34"/>
  <c r="F107" i="34"/>
  <c r="F119" i="34" s="1"/>
  <c r="E107" i="34"/>
  <c r="R106" i="34"/>
  <c r="R118" i="34" s="1"/>
  <c r="Q106" i="34"/>
  <c r="Q118" i="34" s="1"/>
  <c r="P106" i="34"/>
  <c r="P118" i="34" s="1"/>
  <c r="O106" i="34"/>
  <c r="N106" i="34"/>
  <c r="N118" i="34" s="1"/>
  <c r="M106" i="34"/>
  <c r="M118" i="34" s="1"/>
  <c r="L106" i="34"/>
  <c r="L118" i="34" s="1"/>
  <c r="K106" i="34"/>
  <c r="I106" i="34"/>
  <c r="I118" i="34" s="1"/>
  <c r="H106" i="34"/>
  <c r="H118" i="34" s="1"/>
  <c r="G106" i="34"/>
  <c r="F106" i="34"/>
  <c r="F118" i="34" s="1"/>
  <c r="E106" i="34"/>
  <c r="D106" i="34"/>
  <c r="Q105" i="34"/>
  <c r="P105" i="34"/>
  <c r="O105" i="34"/>
  <c r="O117" i="34" s="1"/>
  <c r="N105" i="34"/>
  <c r="N117" i="34" s="1"/>
  <c r="M105" i="34"/>
  <c r="M117" i="34" s="1"/>
  <c r="J105" i="34"/>
  <c r="J117" i="34" s="1"/>
  <c r="I105" i="34"/>
  <c r="H105" i="34"/>
  <c r="E105" i="34"/>
  <c r="D105" i="34"/>
  <c r="R104" i="34"/>
  <c r="Q104" i="34"/>
  <c r="P104" i="34"/>
  <c r="O104" i="34"/>
  <c r="N104" i="34"/>
  <c r="M104" i="34"/>
  <c r="L104" i="34"/>
  <c r="K104" i="34"/>
  <c r="J104" i="34"/>
  <c r="I104" i="34"/>
  <c r="H104" i="34"/>
  <c r="G104" i="34"/>
  <c r="F104" i="34"/>
  <c r="E104" i="34"/>
  <c r="R99" i="34"/>
  <c r="Q99" i="34"/>
  <c r="P99" i="34"/>
  <c r="L99" i="34"/>
  <c r="K99" i="34"/>
  <c r="J99" i="34"/>
  <c r="I99" i="34"/>
  <c r="F99" i="34"/>
  <c r="E99" i="34"/>
  <c r="R98" i="34"/>
  <c r="Q98" i="34"/>
  <c r="P98" i="34"/>
  <c r="O98" i="34"/>
  <c r="N98" i="34"/>
  <c r="M98" i="34"/>
  <c r="L98" i="34"/>
  <c r="K98" i="34"/>
  <c r="I98" i="34"/>
  <c r="H98" i="34"/>
  <c r="G98" i="34"/>
  <c r="F98" i="34"/>
  <c r="E98" i="34"/>
  <c r="O97" i="34"/>
  <c r="N97" i="34"/>
  <c r="M97" i="34"/>
  <c r="J97" i="34"/>
  <c r="R96" i="34"/>
  <c r="Q96" i="34"/>
  <c r="P96" i="34"/>
  <c r="O96" i="34"/>
  <c r="N96" i="34"/>
  <c r="M96" i="34"/>
  <c r="L96" i="34"/>
  <c r="K96" i="34"/>
  <c r="J96" i="34"/>
  <c r="I96" i="34"/>
  <c r="H96" i="34"/>
  <c r="G96" i="34"/>
  <c r="F96" i="34"/>
  <c r="E96" i="34"/>
  <c r="O93" i="34"/>
  <c r="O94" i="34" s="1"/>
  <c r="N93" i="34"/>
  <c r="N94" i="34" s="1"/>
  <c r="M93" i="34"/>
  <c r="M94" i="34" s="1"/>
  <c r="H93" i="34"/>
  <c r="G93" i="34"/>
  <c r="G99" i="34" s="1"/>
  <c r="D93" i="34"/>
  <c r="J92" i="34"/>
  <c r="J94" i="34" s="1"/>
  <c r="D92" i="34"/>
  <c r="R91" i="34"/>
  <c r="R94" i="34" s="1"/>
  <c r="Q91" i="34"/>
  <c r="Q94" i="34" s="1"/>
  <c r="P91" i="34"/>
  <c r="P94" i="34" s="1"/>
  <c r="L91" i="34"/>
  <c r="L94" i="34" s="1"/>
  <c r="K91" i="34"/>
  <c r="K94" i="34" s="1"/>
  <c r="I91" i="34"/>
  <c r="I94" i="34" s="1"/>
  <c r="H91" i="34"/>
  <c r="H94" i="34" s="1"/>
  <c r="G91" i="34"/>
  <c r="G94" i="34" s="1"/>
  <c r="F91" i="34"/>
  <c r="F94" i="34" s="1"/>
  <c r="F100" i="34" s="1"/>
  <c r="E91" i="34"/>
  <c r="E94" i="34" s="1"/>
  <c r="D91" i="34"/>
  <c r="R90" i="34"/>
  <c r="Q90" i="34"/>
  <c r="P90" i="34"/>
  <c r="O90" i="34"/>
  <c r="N90" i="34"/>
  <c r="M90" i="34"/>
  <c r="L90" i="34"/>
  <c r="K90" i="34"/>
  <c r="J90" i="34"/>
  <c r="I90" i="34"/>
  <c r="H90" i="34"/>
  <c r="G90" i="34"/>
  <c r="F90" i="34"/>
  <c r="E90" i="34"/>
  <c r="Q88" i="34"/>
  <c r="Q100" i="34" s="1"/>
  <c r="P88" i="34"/>
  <c r="I88" i="34"/>
  <c r="H88" i="34"/>
  <c r="E88" i="34"/>
  <c r="O87" i="34"/>
  <c r="O88" i="34" s="1"/>
  <c r="N87" i="34"/>
  <c r="M87" i="34"/>
  <c r="H87" i="34"/>
  <c r="H99" i="34" s="1"/>
  <c r="G87" i="34"/>
  <c r="D87" i="34"/>
  <c r="T86" i="34"/>
  <c r="J86" i="34"/>
  <c r="J88" i="34" s="1"/>
  <c r="J100" i="34" s="1"/>
  <c r="D86" i="34"/>
  <c r="R85" i="34"/>
  <c r="R88" i="34" s="1"/>
  <c r="Q85" i="34"/>
  <c r="P85" i="34"/>
  <c r="P97" i="34" s="1"/>
  <c r="L85" i="34"/>
  <c r="K85" i="34"/>
  <c r="K88" i="34" s="1"/>
  <c r="I85" i="34"/>
  <c r="H85" i="34"/>
  <c r="H97" i="34" s="1"/>
  <c r="G85" i="34"/>
  <c r="G88" i="34" s="1"/>
  <c r="F85" i="34"/>
  <c r="F88" i="34" s="1"/>
  <c r="E85" i="34"/>
  <c r="D85" i="34"/>
  <c r="D97" i="34" s="1"/>
  <c r="R84" i="34"/>
  <c r="Q84" i="34"/>
  <c r="P84" i="34"/>
  <c r="O84" i="34"/>
  <c r="N84" i="34"/>
  <c r="M84" i="34"/>
  <c r="L84" i="34"/>
  <c r="K84" i="34"/>
  <c r="J84" i="34"/>
  <c r="I84" i="34"/>
  <c r="H84" i="34"/>
  <c r="G84" i="34"/>
  <c r="F84" i="34"/>
  <c r="E84" i="34"/>
  <c r="R80" i="34"/>
  <c r="Q80" i="34"/>
  <c r="P80" i="34"/>
  <c r="L80" i="34"/>
  <c r="K80" i="34"/>
  <c r="J80" i="34"/>
  <c r="I80" i="34"/>
  <c r="F80" i="34"/>
  <c r="E80" i="34"/>
  <c r="R79" i="34"/>
  <c r="Q79" i="34"/>
  <c r="P79" i="34"/>
  <c r="O79" i="34"/>
  <c r="N79" i="34"/>
  <c r="M79" i="34"/>
  <c r="L79" i="34"/>
  <c r="K79" i="34"/>
  <c r="I79" i="34"/>
  <c r="H79" i="34"/>
  <c r="G79" i="34"/>
  <c r="F79" i="34"/>
  <c r="E79" i="34"/>
  <c r="O78" i="34"/>
  <c r="N78" i="34"/>
  <c r="M78" i="34"/>
  <c r="J78" i="34"/>
  <c r="O74" i="34"/>
  <c r="O75" i="34" s="1"/>
  <c r="N74" i="34"/>
  <c r="N75" i="34" s="1"/>
  <c r="M74" i="34"/>
  <c r="H74" i="34"/>
  <c r="H113" i="34" s="1"/>
  <c r="G74" i="34"/>
  <c r="G113" i="34" s="1"/>
  <c r="D74" i="34"/>
  <c r="J73" i="34"/>
  <c r="J75" i="34" s="1"/>
  <c r="D73" i="34"/>
  <c r="D112" i="34" s="1"/>
  <c r="R72" i="34"/>
  <c r="R75" i="34" s="1"/>
  <c r="Q72" i="34"/>
  <c r="Q78" i="34" s="1"/>
  <c r="P72" i="34"/>
  <c r="P111" i="34" s="1"/>
  <c r="P114" i="34" s="1"/>
  <c r="L72" i="34"/>
  <c r="K72" i="34"/>
  <c r="K75" i="34" s="1"/>
  <c r="I72" i="34"/>
  <c r="I75" i="34" s="1"/>
  <c r="H72" i="34"/>
  <c r="H111" i="34" s="1"/>
  <c r="H114" i="34" s="1"/>
  <c r="G72" i="34"/>
  <c r="F72" i="34"/>
  <c r="E72" i="34"/>
  <c r="E75" i="34" s="1"/>
  <c r="D72" i="34"/>
  <c r="D111" i="34" s="1"/>
  <c r="R71" i="34"/>
  <c r="Q71" i="34"/>
  <c r="P71" i="34"/>
  <c r="O71" i="34"/>
  <c r="N71" i="34"/>
  <c r="M71" i="34"/>
  <c r="L71" i="34"/>
  <c r="K71" i="34"/>
  <c r="J71" i="34"/>
  <c r="I71" i="34"/>
  <c r="H71" i="34"/>
  <c r="G71" i="34"/>
  <c r="F71" i="34"/>
  <c r="E71" i="34"/>
  <c r="Q69" i="34"/>
  <c r="P69" i="34"/>
  <c r="M69" i="34"/>
  <c r="I69" i="34"/>
  <c r="H69" i="34"/>
  <c r="E69" i="34"/>
  <c r="O68" i="34"/>
  <c r="O107" i="34" s="1"/>
  <c r="N68" i="34"/>
  <c r="M68" i="34"/>
  <c r="H68" i="34"/>
  <c r="G68" i="34"/>
  <c r="G107" i="34" s="1"/>
  <c r="D68" i="34"/>
  <c r="T67" i="34"/>
  <c r="J67" i="34"/>
  <c r="J106" i="34" s="1"/>
  <c r="D67" i="34"/>
  <c r="R66" i="34"/>
  <c r="Q66" i="34"/>
  <c r="P66" i="34"/>
  <c r="L66" i="34"/>
  <c r="K66" i="34"/>
  <c r="I66" i="34"/>
  <c r="H66" i="34"/>
  <c r="G66" i="34"/>
  <c r="F66" i="34"/>
  <c r="E66" i="34"/>
  <c r="D66" i="34"/>
  <c r="AW60" i="34"/>
  <c r="AY60" i="34" s="1"/>
  <c r="AV60" i="34"/>
  <c r="AX60" i="34" s="1"/>
  <c r="AS60" i="34"/>
  <c r="AU60" i="34" s="1"/>
  <c r="AR60" i="34"/>
  <c r="AT60" i="34" s="1"/>
  <c r="AH60" i="34"/>
  <c r="L60" i="34"/>
  <c r="K60" i="34"/>
  <c r="AW59" i="34"/>
  <c r="AY59" i="34" s="1"/>
  <c r="AV59" i="34"/>
  <c r="AX59" i="34" s="1"/>
  <c r="AS59" i="34"/>
  <c r="AU59" i="34" s="1"/>
  <c r="AR59" i="34"/>
  <c r="AT59" i="34" s="1"/>
  <c r="AH59" i="34"/>
  <c r="L59" i="34"/>
  <c r="K59" i="34"/>
  <c r="AW58" i="34"/>
  <c r="AY58" i="34" s="1"/>
  <c r="AV58" i="34"/>
  <c r="AX58" i="34" s="1"/>
  <c r="AS58" i="34"/>
  <c r="AU58" i="34" s="1"/>
  <c r="AR58" i="34"/>
  <c r="AT58" i="34" s="1"/>
  <c r="AH58" i="34"/>
  <c r="L58" i="34"/>
  <c r="K58" i="34"/>
  <c r="AW57" i="34"/>
  <c r="AY57" i="34" s="1"/>
  <c r="AV57" i="34"/>
  <c r="AX57" i="34" s="1"/>
  <c r="AS57" i="34"/>
  <c r="AU57" i="34" s="1"/>
  <c r="AR57" i="34"/>
  <c r="AT57" i="34" s="1"/>
  <c r="AH57" i="34"/>
  <c r="L57" i="34"/>
  <c r="K57" i="34"/>
  <c r="AW56" i="34"/>
  <c r="AY56" i="34" s="1"/>
  <c r="AV56" i="34"/>
  <c r="AX56" i="34" s="1"/>
  <c r="AS56" i="34"/>
  <c r="AU56" i="34" s="1"/>
  <c r="AR56" i="34"/>
  <c r="AT56" i="34" s="1"/>
  <c r="AH56" i="34"/>
  <c r="L56" i="34"/>
  <c r="K56" i="34"/>
  <c r="AW55" i="34"/>
  <c r="AY55" i="34" s="1"/>
  <c r="AV55" i="34"/>
  <c r="AX55" i="34" s="1"/>
  <c r="AS55" i="34"/>
  <c r="AU55" i="34" s="1"/>
  <c r="AR55" i="34"/>
  <c r="AT55" i="34" s="1"/>
  <c r="AH55" i="34"/>
  <c r="L55" i="34"/>
  <c r="K55" i="34"/>
  <c r="AW54" i="34"/>
  <c r="AY54" i="34" s="1"/>
  <c r="AV54" i="34"/>
  <c r="AX54" i="34" s="1"/>
  <c r="AS54" i="34"/>
  <c r="AU54" i="34" s="1"/>
  <c r="AR54" i="34"/>
  <c r="AT54" i="34" s="1"/>
  <c r="AH54" i="34"/>
  <c r="L54" i="34"/>
  <c r="K54" i="34"/>
  <c r="AW53" i="34"/>
  <c r="AY53" i="34" s="1"/>
  <c r="AV53" i="34"/>
  <c r="AX53" i="34" s="1"/>
  <c r="AS53" i="34"/>
  <c r="AU53" i="34" s="1"/>
  <c r="AR53" i="34"/>
  <c r="AT53" i="34" s="1"/>
  <c r="AH53" i="34"/>
  <c r="L53" i="34"/>
  <c r="K53" i="34"/>
  <c r="AW52" i="34"/>
  <c r="AY52" i="34" s="1"/>
  <c r="AV52" i="34"/>
  <c r="AX52" i="34" s="1"/>
  <c r="AS52" i="34"/>
  <c r="AU52" i="34" s="1"/>
  <c r="AR52" i="34"/>
  <c r="AT52" i="34" s="1"/>
  <c r="AH52" i="34"/>
  <c r="L52" i="34"/>
  <c r="K52" i="34"/>
  <c r="AW51" i="34"/>
  <c r="AY51" i="34" s="1"/>
  <c r="AV51" i="34"/>
  <c r="AX51" i="34" s="1"/>
  <c r="AS51" i="34"/>
  <c r="AU51" i="34" s="1"/>
  <c r="AR51" i="34"/>
  <c r="AT51" i="34" s="1"/>
  <c r="AH51" i="34"/>
  <c r="L51" i="34"/>
  <c r="K51" i="34"/>
  <c r="AW50" i="34"/>
  <c r="AY50" i="34" s="1"/>
  <c r="AV50" i="34"/>
  <c r="AX50" i="34" s="1"/>
  <c r="AS50" i="34"/>
  <c r="AU50" i="34" s="1"/>
  <c r="AR50" i="34"/>
  <c r="AT50" i="34" s="1"/>
  <c r="AH50" i="34"/>
  <c r="L50" i="34"/>
  <c r="K50" i="34"/>
  <c r="AW49" i="34"/>
  <c r="AY49" i="34" s="1"/>
  <c r="AV49" i="34"/>
  <c r="AX49" i="34" s="1"/>
  <c r="AS49" i="34"/>
  <c r="AU49" i="34" s="1"/>
  <c r="AR49" i="34"/>
  <c r="AT49" i="34" s="1"/>
  <c r="AH49" i="34"/>
  <c r="L49" i="34"/>
  <c r="K49" i="34"/>
  <c r="AW48" i="34"/>
  <c r="AY48" i="34" s="1"/>
  <c r="AV48" i="34"/>
  <c r="AX48" i="34" s="1"/>
  <c r="AS48" i="34"/>
  <c r="AU48" i="34" s="1"/>
  <c r="AR48" i="34"/>
  <c r="AT48" i="34" s="1"/>
  <c r="AH48" i="34"/>
  <c r="L48" i="34"/>
  <c r="K48" i="34"/>
  <c r="AY47" i="34"/>
  <c r="AW47" i="34"/>
  <c r="AV47" i="34"/>
  <c r="AX47" i="34" s="1"/>
  <c r="AU47" i="34"/>
  <c r="AS47" i="34"/>
  <c r="AR47" i="34"/>
  <c r="AT47" i="34" s="1"/>
  <c r="AH47" i="34"/>
  <c r="L47" i="34"/>
  <c r="K47" i="34"/>
  <c r="AW46" i="34"/>
  <c r="AY46" i="34" s="1"/>
  <c r="AV46" i="34"/>
  <c r="AX46" i="34" s="1"/>
  <c r="AS46" i="34"/>
  <c r="AU46" i="34" s="1"/>
  <c r="AR46" i="34"/>
  <c r="AT46" i="34" s="1"/>
  <c r="AH46" i="34"/>
  <c r="L46" i="34"/>
  <c r="K46" i="34"/>
  <c r="AW45" i="34"/>
  <c r="AY45" i="34" s="1"/>
  <c r="AV45" i="34"/>
  <c r="AX45" i="34" s="1"/>
  <c r="AS45" i="34"/>
  <c r="AU45" i="34" s="1"/>
  <c r="AR45" i="34"/>
  <c r="AT45" i="34" s="1"/>
  <c r="AH45" i="34"/>
  <c r="L45" i="34"/>
  <c r="K45" i="34"/>
  <c r="AW44" i="34"/>
  <c r="AY44" i="34" s="1"/>
  <c r="AV44" i="34"/>
  <c r="AX44" i="34" s="1"/>
  <c r="AS44" i="34"/>
  <c r="AU44" i="34" s="1"/>
  <c r="AR44" i="34"/>
  <c r="AT44" i="34" s="1"/>
  <c r="AH44" i="34"/>
  <c r="L44" i="34"/>
  <c r="K44" i="34"/>
  <c r="AW43" i="34"/>
  <c r="AY43" i="34" s="1"/>
  <c r="AV43" i="34"/>
  <c r="AX43" i="34" s="1"/>
  <c r="AU43" i="34"/>
  <c r="AS43" i="34"/>
  <c r="AR43" i="34"/>
  <c r="AT43" i="34" s="1"/>
  <c r="AH43" i="34"/>
  <c r="L43" i="34"/>
  <c r="K43" i="34"/>
  <c r="AW42" i="34"/>
  <c r="AY42" i="34" s="1"/>
  <c r="AV42" i="34"/>
  <c r="AX42" i="34" s="1"/>
  <c r="AS42" i="34"/>
  <c r="AU42" i="34" s="1"/>
  <c r="AR42" i="34"/>
  <c r="AT42" i="34" s="1"/>
  <c r="AH42" i="34"/>
  <c r="L42" i="34"/>
  <c r="K42" i="34"/>
  <c r="AW41" i="34"/>
  <c r="AY41" i="34" s="1"/>
  <c r="AV41" i="34"/>
  <c r="AX41" i="34" s="1"/>
  <c r="AS41" i="34"/>
  <c r="AU41" i="34" s="1"/>
  <c r="AR41" i="34"/>
  <c r="AT41" i="34" s="1"/>
  <c r="AH41" i="34"/>
  <c r="L41" i="34"/>
  <c r="K41" i="34"/>
  <c r="AW40" i="34"/>
  <c r="AY40" i="34" s="1"/>
  <c r="AV40" i="34"/>
  <c r="AX40" i="34" s="1"/>
  <c r="AS40" i="34"/>
  <c r="AU40" i="34" s="1"/>
  <c r="AR40" i="34"/>
  <c r="AT40" i="34" s="1"/>
  <c r="AH40" i="34"/>
  <c r="L40" i="34"/>
  <c r="K40" i="34"/>
  <c r="AW39" i="34"/>
  <c r="AY39" i="34" s="1"/>
  <c r="AV39" i="34"/>
  <c r="AX39" i="34" s="1"/>
  <c r="AS39" i="34"/>
  <c r="AU39" i="34" s="1"/>
  <c r="AR39" i="34"/>
  <c r="AT39" i="34" s="1"/>
  <c r="AH39" i="34"/>
  <c r="L39" i="34"/>
  <c r="K39" i="34"/>
  <c r="AW38" i="34"/>
  <c r="AY38" i="34" s="1"/>
  <c r="AV38" i="34"/>
  <c r="AX38" i="34" s="1"/>
  <c r="AS38" i="34"/>
  <c r="AU38" i="34" s="1"/>
  <c r="AR38" i="34"/>
  <c r="AT38" i="34" s="1"/>
  <c r="AH38" i="34"/>
  <c r="L38" i="34"/>
  <c r="K38" i="34"/>
  <c r="AW37" i="34"/>
  <c r="AY37" i="34" s="1"/>
  <c r="AV37" i="34"/>
  <c r="AX37" i="34" s="1"/>
  <c r="AS37" i="34"/>
  <c r="AU37" i="34" s="1"/>
  <c r="AR37" i="34"/>
  <c r="AT37" i="34" s="1"/>
  <c r="AH37" i="34"/>
  <c r="L37" i="34"/>
  <c r="K37" i="34"/>
  <c r="AW36" i="34"/>
  <c r="AY36" i="34" s="1"/>
  <c r="AV36" i="34"/>
  <c r="AX36" i="34" s="1"/>
  <c r="AS36" i="34"/>
  <c r="AU36" i="34" s="1"/>
  <c r="AR36" i="34"/>
  <c r="AT36" i="34" s="1"/>
  <c r="AH36" i="34"/>
  <c r="L36" i="34"/>
  <c r="K36" i="34"/>
  <c r="AY35" i="34"/>
  <c r="AW35" i="34"/>
  <c r="AV35" i="34"/>
  <c r="AX35" i="34" s="1"/>
  <c r="AU35" i="34"/>
  <c r="AS35" i="34"/>
  <c r="AR35" i="34"/>
  <c r="AT35" i="34" s="1"/>
  <c r="AH35" i="34"/>
  <c r="L35" i="34"/>
  <c r="K35" i="34"/>
  <c r="AW34" i="34"/>
  <c r="AY34" i="34" s="1"/>
  <c r="AV34" i="34"/>
  <c r="AX34" i="34" s="1"/>
  <c r="AS34" i="34"/>
  <c r="AU34" i="34" s="1"/>
  <c r="AR34" i="34"/>
  <c r="AT34" i="34" s="1"/>
  <c r="AH34" i="34"/>
  <c r="L34" i="34"/>
  <c r="K34" i="34"/>
  <c r="AW33" i="34"/>
  <c r="AY33" i="34" s="1"/>
  <c r="AV33" i="34"/>
  <c r="AX33" i="34" s="1"/>
  <c r="AS33" i="34"/>
  <c r="AU33" i="34" s="1"/>
  <c r="AR33" i="34"/>
  <c r="AT33" i="34" s="1"/>
  <c r="AH33" i="34"/>
  <c r="L33" i="34"/>
  <c r="K33" i="34"/>
  <c r="AY32" i="34"/>
  <c r="AW32" i="34"/>
  <c r="AV32" i="34"/>
  <c r="AX32" i="34" s="1"/>
  <c r="AS32" i="34"/>
  <c r="AU32" i="34" s="1"/>
  <c r="AR32" i="34"/>
  <c r="AT32" i="34" s="1"/>
  <c r="AH32" i="34"/>
  <c r="L32" i="34"/>
  <c r="K32" i="34"/>
  <c r="AY31" i="34"/>
  <c r="AW31" i="34"/>
  <c r="AV31" i="34"/>
  <c r="AX31" i="34" s="1"/>
  <c r="AS31" i="34"/>
  <c r="AU31" i="34" s="1"/>
  <c r="AR31" i="34"/>
  <c r="AT31" i="34" s="1"/>
  <c r="AH31" i="34"/>
  <c r="L31" i="34"/>
  <c r="K31" i="34"/>
  <c r="AW30" i="34"/>
  <c r="AY30" i="34" s="1"/>
  <c r="AV30" i="34"/>
  <c r="AX30" i="34" s="1"/>
  <c r="AS30" i="34"/>
  <c r="AU30" i="34" s="1"/>
  <c r="AR30" i="34"/>
  <c r="AT30" i="34" s="1"/>
  <c r="AH30" i="34"/>
  <c r="L30" i="34"/>
  <c r="K30" i="34"/>
  <c r="AW29" i="34"/>
  <c r="AY29" i="34" s="1"/>
  <c r="AV29" i="34"/>
  <c r="AX29" i="34" s="1"/>
  <c r="AS29" i="34"/>
  <c r="AU29" i="34" s="1"/>
  <c r="AR29" i="34"/>
  <c r="AT29" i="34" s="1"/>
  <c r="AH29" i="34"/>
  <c r="L29" i="34"/>
  <c r="K29" i="34"/>
  <c r="AW28" i="34"/>
  <c r="AY28" i="34" s="1"/>
  <c r="AV28" i="34"/>
  <c r="AX28" i="34" s="1"/>
  <c r="AS28" i="34"/>
  <c r="AU28" i="34" s="1"/>
  <c r="AR28" i="34"/>
  <c r="AT28" i="34" s="1"/>
  <c r="AH28" i="34"/>
  <c r="L28" i="34"/>
  <c r="K28" i="34"/>
  <c r="AW27" i="34"/>
  <c r="AY27" i="34" s="1"/>
  <c r="AV27" i="34"/>
  <c r="AX27" i="34" s="1"/>
  <c r="AT27" i="34"/>
  <c r="AS27" i="34"/>
  <c r="AU27" i="34" s="1"/>
  <c r="AR27" i="34"/>
  <c r="AH27" i="34"/>
  <c r="L27" i="34"/>
  <c r="K27" i="34"/>
  <c r="AW26" i="34"/>
  <c r="AY26" i="34" s="1"/>
  <c r="AV26" i="34"/>
  <c r="AX26" i="34" s="1"/>
  <c r="AS26" i="34"/>
  <c r="AU26" i="34" s="1"/>
  <c r="AR26" i="34"/>
  <c r="AT26" i="34" s="1"/>
  <c r="AH26" i="34"/>
  <c r="L26" i="34"/>
  <c r="K26" i="34"/>
  <c r="AW25" i="34"/>
  <c r="AY25" i="34" s="1"/>
  <c r="AV25" i="34"/>
  <c r="AX25" i="34" s="1"/>
  <c r="AS25" i="34"/>
  <c r="AU25" i="34" s="1"/>
  <c r="AR25" i="34"/>
  <c r="AT25" i="34" s="1"/>
  <c r="AH25" i="34"/>
  <c r="L25" i="34"/>
  <c r="K25" i="34"/>
  <c r="AW24" i="34"/>
  <c r="AY24" i="34" s="1"/>
  <c r="AV24" i="34"/>
  <c r="AX24" i="34" s="1"/>
  <c r="AS24" i="34"/>
  <c r="AU24" i="34" s="1"/>
  <c r="AR24" i="34"/>
  <c r="AT24" i="34" s="1"/>
  <c r="AH24" i="34"/>
  <c r="L24" i="34"/>
  <c r="K24" i="34"/>
  <c r="AW23" i="34"/>
  <c r="AY23" i="34" s="1"/>
  <c r="AV23" i="34"/>
  <c r="AX23" i="34" s="1"/>
  <c r="AS23" i="34"/>
  <c r="AU23" i="34" s="1"/>
  <c r="AR23" i="34"/>
  <c r="AT23" i="34" s="1"/>
  <c r="AH23" i="34"/>
  <c r="L23" i="34"/>
  <c r="K23" i="34"/>
  <c r="AW22" i="34"/>
  <c r="AY22" i="34" s="1"/>
  <c r="AV22" i="34"/>
  <c r="AX22" i="34" s="1"/>
  <c r="AS22" i="34"/>
  <c r="AU22" i="34" s="1"/>
  <c r="AR22" i="34"/>
  <c r="AT22" i="34" s="1"/>
  <c r="AH22" i="34"/>
  <c r="L22" i="34"/>
  <c r="K22" i="34"/>
  <c r="AW21" i="34"/>
  <c r="AY21" i="34" s="1"/>
  <c r="AV21" i="34"/>
  <c r="AX21" i="34" s="1"/>
  <c r="AS21" i="34"/>
  <c r="AU21" i="34" s="1"/>
  <c r="AR21" i="34"/>
  <c r="AT21" i="34" s="1"/>
  <c r="AH21" i="34"/>
  <c r="L21" i="34"/>
  <c r="K21" i="34"/>
  <c r="AW20" i="34"/>
  <c r="AY20" i="34" s="1"/>
  <c r="AV20" i="34"/>
  <c r="AX20" i="34" s="1"/>
  <c r="AS20" i="34"/>
  <c r="AU20" i="34" s="1"/>
  <c r="AR20" i="34"/>
  <c r="AT20" i="34" s="1"/>
  <c r="AH20" i="34"/>
  <c r="L20" i="34"/>
  <c r="K20" i="34"/>
  <c r="AW19" i="34"/>
  <c r="AY19" i="34" s="1"/>
  <c r="AV19" i="34"/>
  <c r="AX19" i="34" s="1"/>
  <c r="AS19" i="34"/>
  <c r="AU19" i="34" s="1"/>
  <c r="AR19" i="34"/>
  <c r="AT19" i="34" s="1"/>
  <c r="AH19" i="34"/>
  <c r="L19" i="34"/>
  <c r="K19" i="34"/>
  <c r="AW18" i="34"/>
  <c r="AY18" i="34" s="1"/>
  <c r="AV18" i="34"/>
  <c r="AX18" i="34" s="1"/>
  <c r="AS18" i="34"/>
  <c r="AU18" i="34" s="1"/>
  <c r="AR18" i="34"/>
  <c r="AT18" i="34" s="1"/>
  <c r="AH18" i="34"/>
  <c r="L18" i="34"/>
  <c r="K18" i="34"/>
  <c r="AW17" i="34"/>
  <c r="AY17" i="34" s="1"/>
  <c r="AV17" i="34"/>
  <c r="AX17" i="34" s="1"/>
  <c r="AS17" i="34"/>
  <c r="AU17" i="34" s="1"/>
  <c r="AR17" i="34"/>
  <c r="AT17" i="34" s="1"/>
  <c r="AH17" i="34"/>
  <c r="L17" i="34"/>
  <c r="K17" i="34"/>
  <c r="AW16" i="34"/>
  <c r="AY16" i="34" s="1"/>
  <c r="AV16" i="34"/>
  <c r="AX16" i="34" s="1"/>
  <c r="AS16" i="34"/>
  <c r="AU16" i="34" s="1"/>
  <c r="AR16" i="34"/>
  <c r="AT16" i="34" s="1"/>
  <c r="AH16" i="34"/>
  <c r="L16" i="34"/>
  <c r="K16" i="34"/>
  <c r="AW15" i="34"/>
  <c r="AY15" i="34" s="1"/>
  <c r="AV15" i="34"/>
  <c r="AX15" i="34" s="1"/>
  <c r="AS15" i="34"/>
  <c r="AU15" i="34" s="1"/>
  <c r="AR15" i="34"/>
  <c r="AT15" i="34" s="1"/>
  <c r="AH15" i="34"/>
  <c r="L15" i="34"/>
  <c r="K15" i="34"/>
  <c r="AW14" i="34"/>
  <c r="AY14" i="34" s="1"/>
  <c r="AV14" i="34"/>
  <c r="AX14" i="34" s="1"/>
  <c r="AS14" i="34"/>
  <c r="AU14" i="34" s="1"/>
  <c r="AR14" i="34"/>
  <c r="AT14" i="34" s="1"/>
  <c r="AH14" i="34"/>
  <c r="L14" i="34"/>
  <c r="K14" i="34"/>
  <c r="AW13" i="34"/>
  <c r="AY13" i="34" s="1"/>
  <c r="AV13" i="34"/>
  <c r="AX13" i="34" s="1"/>
  <c r="AS13" i="34"/>
  <c r="AU13" i="34" s="1"/>
  <c r="AR13" i="34"/>
  <c r="AT13" i="34" s="1"/>
  <c r="AH13" i="34"/>
  <c r="L13" i="34"/>
  <c r="K13" i="34"/>
  <c r="AW12" i="34"/>
  <c r="AY12" i="34" s="1"/>
  <c r="AV12" i="34"/>
  <c r="AX12" i="34" s="1"/>
  <c r="AS12" i="34"/>
  <c r="AU12" i="34" s="1"/>
  <c r="AR12" i="34"/>
  <c r="AT12" i="34" s="1"/>
  <c r="AH12" i="34"/>
  <c r="L12" i="34"/>
  <c r="K12" i="34"/>
  <c r="AW11" i="34"/>
  <c r="AY11" i="34" s="1"/>
  <c r="AV11" i="34"/>
  <c r="AX11" i="34" s="1"/>
  <c r="AU11" i="34"/>
  <c r="AS11" i="34"/>
  <c r="AR11" i="34"/>
  <c r="AT11" i="34" s="1"/>
  <c r="AH11" i="34"/>
  <c r="L11" i="34"/>
  <c r="K11" i="34"/>
  <c r="AW10" i="34"/>
  <c r="AY10" i="34" s="1"/>
  <c r="AV10" i="34"/>
  <c r="AX10" i="34" s="1"/>
  <c r="AS10" i="34"/>
  <c r="AU10" i="34" s="1"/>
  <c r="AR10" i="34"/>
  <c r="AT10" i="34" s="1"/>
  <c r="AH10" i="34"/>
  <c r="L10" i="34"/>
  <c r="K10" i="34"/>
  <c r="AW9" i="34"/>
  <c r="AY9" i="34" s="1"/>
  <c r="AV9" i="34"/>
  <c r="AX9" i="34" s="1"/>
  <c r="AS9" i="34"/>
  <c r="AU9" i="34" s="1"/>
  <c r="AR9" i="34"/>
  <c r="AT9" i="34" s="1"/>
  <c r="AH9" i="34"/>
  <c r="L9" i="34"/>
  <c r="K9" i="34"/>
  <c r="AW8" i="34"/>
  <c r="AY8" i="34" s="1"/>
  <c r="AV8" i="34"/>
  <c r="AX8" i="34" s="1"/>
  <c r="AS8" i="34"/>
  <c r="AU8" i="34" s="1"/>
  <c r="AR8" i="34"/>
  <c r="AT8" i="34" s="1"/>
  <c r="AH8" i="34"/>
  <c r="L8" i="34"/>
  <c r="K8" i="34"/>
  <c r="AY7" i="34"/>
  <c r="AW7" i="34"/>
  <c r="AV7" i="34"/>
  <c r="AX7" i="34" s="1"/>
  <c r="AS7" i="34"/>
  <c r="AU7" i="34" s="1"/>
  <c r="AR7" i="34"/>
  <c r="AT7" i="34" s="1"/>
  <c r="AH7" i="34"/>
  <c r="L7" i="34"/>
  <c r="K7" i="34"/>
  <c r="AW6" i="34"/>
  <c r="AY6" i="34" s="1"/>
  <c r="AV6" i="34"/>
  <c r="AX6" i="34" s="1"/>
  <c r="AS6" i="34"/>
  <c r="AU6" i="34" s="1"/>
  <c r="AR6" i="34"/>
  <c r="AT6" i="34" s="1"/>
  <c r="AH6" i="34"/>
  <c r="L6" i="34"/>
  <c r="K6" i="34"/>
  <c r="AW5" i="34"/>
  <c r="AY5" i="34" s="1"/>
  <c r="AV5" i="34"/>
  <c r="AX5" i="34" s="1"/>
  <c r="AS5" i="34"/>
  <c r="AU5" i="34" s="1"/>
  <c r="AR5" i="34"/>
  <c r="AT5" i="34" s="1"/>
  <c r="AH5" i="34"/>
  <c r="L5" i="34"/>
  <c r="K5" i="34"/>
  <c r="AW4" i="34"/>
  <c r="AY4" i="34" s="1"/>
  <c r="AV4" i="34"/>
  <c r="AX4" i="34" s="1"/>
  <c r="AS4" i="34"/>
  <c r="AU4" i="34" s="1"/>
  <c r="AR4" i="34"/>
  <c r="AT4" i="34" s="1"/>
  <c r="AH4" i="34"/>
  <c r="L4" i="34"/>
  <c r="K4" i="34"/>
  <c r="AW3" i="34"/>
  <c r="AY3" i="34" s="1"/>
  <c r="AV3" i="34"/>
  <c r="AX3" i="34" s="1"/>
  <c r="AS3" i="34"/>
  <c r="AU3" i="34" s="1"/>
  <c r="AR3" i="34"/>
  <c r="AT3" i="34" s="1"/>
  <c r="AH3" i="34"/>
  <c r="L3" i="34"/>
  <c r="K3" i="34"/>
  <c r="L119" i="33"/>
  <c r="E118" i="33"/>
  <c r="R116" i="33"/>
  <c r="Q116" i="33"/>
  <c r="P116" i="33"/>
  <c r="O116" i="33"/>
  <c r="N116" i="33"/>
  <c r="M116" i="33"/>
  <c r="L116" i="33"/>
  <c r="K116" i="33"/>
  <c r="J116" i="33"/>
  <c r="I116" i="33"/>
  <c r="H116" i="33"/>
  <c r="G116" i="33"/>
  <c r="F116" i="33"/>
  <c r="E116" i="33"/>
  <c r="R113" i="33"/>
  <c r="Q113" i="33"/>
  <c r="P113" i="33"/>
  <c r="L113" i="33"/>
  <c r="K113" i="33"/>
  <c r="J113" i="33"/>
  <c r="I113" i="33"/>
  <c r="F113" i="33"/>
  <c r="E113" i="33"/>
  <c r="R112" i="33"/>
  <c r="Q112" i="33"/>
  <c r="P112" i="33"/>
  <c r="O112" i="33"/>
  <c r="N112" i="33"/>
  <c r="M112" i="33"/>
  <c r="L112" i="33"/>
  <c r="K112" i="33"/>
  <c r="I112" i="33"/>
  <c r="H112" i="33"/>
  <c r="G112" i="33"/>
  <c r="F112" i="33"/>
  <c r="E112" i="33"/>
  <c r="O111" i="33"/>
  <c r="N111" i="33"/>
  <c r="M111" i="33"/>
  <c r="J111" i="33"/>
  <c r="R110" i="33"/>
  <c r="Q110" i="33"/>
  <c r="P110" i="33"/>
  <c r="O110" i="33"/>
  <c r="N110" i="33"/>
  <c r="M110" i="33"/>
  <c r="L110" i="33"/>
  <c r="K110" i="33"/>
  <c r="J110" i="33"/>
  <c r="I110" i="33"/>
  <c r="H110" i="33"/>
  <c r="G110" i="33"/>
  <c r="F110" i="33"/>
  <c r="E110" i="33"/>
  <c r="R107" i="33"/>
  <c r="Q107" i="33"/>
  <c r="Q119" i="33" s="1"/>
  <c r="P107" i="33"/>
  <c r="P119" i="33" s="1"/>
  <c r="L107" i="33"/>
  <c r="K107" i="33"/>
  <c r="K119" i="33" s="1"/>
  <c r="J107" i="33"/>
  <c r="J119" i="33" s="1"/>
  <c r="I107" i="33"/>
  <c r="I119" i="33" s="1"/>
  <c r="H107" i="33"/>
  <c r="F107" i="33"/>
  <c r="F119" i="33" s="1"/>
  <c r="E107" i="33"/>
  <c r="R106" i="33"/>
  <c r="R118" i="33" s="1"/>
  <c r="Q106" i="33"/>
  <c r="Q118" i="33" s="1"/>
  <c r="P106" i="33"/>
  <c r="P118" i="33" s="1"/>
  <c r="O106" i="33"/>
  <c r="N106" i="33"/>
  <c r="N118" i="33" s="1"/>
  <c r="M106" i="33"/>
  <c r="M118" i="33" s="1"/>
  <c r="L106" i="33"/>
  <c r="L118" i="33" s="1"/>
  <c r="K106" i="33"/>
  <c r="I106" i="33"/>
  <c r="I118" i="33" s="1"/>
  <c r="H106" i="33"/>
  <c r="H118" i="33" s="1"/>
  <c r="G106" i="33"/>
  <c r="G118" i="33" s="1"/>
  <c r="F106" i="33"/>
  <c r="F118" i="33" s="1"/>
  <c r="E106" i="33"/>
  <c r="D106" i="33"/>
  <c r="Q105" i="33"/>
  <c r="P105" i="33"/>
  <c r="O105" i="33"/>
  <c r="O117" i="33" s="1"/>
  <c r="N105" i="33"/>
  <c r="N117" i="33" s="1"/>
  <c r="M105" i="33"/>
  <c r="M117" i="33" s="1"/>
  <c r="J105" i="33"/>
  <c r="I105" i="33"/>
  <c r="H105" i="33"/>
  <c r="E105" i="33"/>
  <c r="D105" i="33"/>
  <c r="R104" i="33"/>
  <c r="Q104" i="33"/>
  <c r="P104" i="33"/>
  <c r="O104" i="33"/>
  <c r="N104" i="33"/>
  <c r="M104" i="33"/>
  <c r="L104" i="33"/>
  <c r="K104" i="33"/>
  <c r="J104" i="33"/>
  <c r="I104" i="33"/>
  <c r="H104" i="33"/>
  <c r="G104" i="33"/>
  <c r="F104" i="33"/>
  <c r="E104" i="33"/>
  <c r="R99" i="33"/>
  <c r="Q99" i="33"/>
  <c r="P99" i="33"/>
  <c r="L99" i="33"/>
  <c r="K99" i="33"/>
  <c r="J99" i="33"/>
  <c r="I99" i="33"/>
  <c r="F99" i="33"/>
  <c r="E99" i="33"/>
  <c r="R98" i="33"/>
  <c r="Q98" i="33"/>
  <c r="P98" i="33"/>
  <c r="O98" i="33"/>
  <c r="N98" i="33"/>
  <c r="M98" i="33"/>
  <c r="L98" i="33"/>
  <c r="K98" i="33"/>
  <c r="I98" i="33"/>
  <c r="H98" i="33"/>
  <c r="G98" i="33"/>
  <c r="F98" i="33"/>
  <c r="E98" i="33"/>
  <c r="O97" i="33"/>
  <c r="N97" i="33"/>
  <c r="M97" i="33"/>
  <c r="J97" i="33"/>
  <c r="R96" i="33"/>
  <c r="Q96" i="33"/>
  <c r="P96" i="33"/>
  <c r="O96" i="33"/>
  <c r="N96" i="33"/>
  <c r="M96" i="33"/>
  <c r="L96" i="33"/>
  <c r="K96" i="33"/>
  <c r="J96" i="33"/>
  <c r="I96" i="33"/>
  <c r="H96" i="33"/>
  <c r="G96" i="33"/>
  <c r="F96" i="33"/>
  <c r="E96" i="33"/>
  <c r="O93" i="33"/>
  <c r="N93" i="33"/>
  <c r="N94" i="33" s="1"/>
  <c r="M93" i="33"/>
  <c r="M94" i="33" s="1"/>
  <c r="H93" i="33"/>
  <c r="G93" i="33"/>
  <c r="D93" i="33"/>
  <c r="J92" i="33"/>
  <c r="J94" i="33" s="1"/>
  <c r="D92" i="33"/>
  <c r="R91" i="33"/>
  <c r="R94" i="33" s="1"/>
  <c r="Q91" i="33"/>
  <c r="Q94" i="33" s="1"/>
  <c r="P91" i="33"/>
  <c r="P94" i="33" s="1"/>
  <c r="L91" i="33"/>
  <c r="L94" i="33" s="1"/>
  <c r="K91" i="33"/>
  <c r="K94" i="33" s="1"/>
  <c r="I91" i="33"/>
  <c r="I94" i="33" s="1"/>
  <c r="H91" i="33"/>
  <c r="H94" i="33" s="1"/>
  <c r="G91" i="33"/>
  <c r="F91" i="33"/>
  <c r="F94" i="33" s="1"/>
  <c r="F100" i="33" s="1"/>
  <c r="E91" i="33"/>
  <c r="E94" i="33" s="1"/>
  <c r="D91" i="33"/>
  <c r="R90" i="33"/>
  <c r="Q90" i="33"/>
  <c r="P90" i="33"/>
  <c r="O90" i="33"/>
  <c r="N90" i="33"/>
  <c r="M90" i="33"/>
  <c r="L90" i="33"/>
  <c r="K90" i="33"/>
  <c r="J90" i="33"/>
  <c r="I90" i="33"/>
  <c r="H90" i="33"/>
  <c r="G90" i="33"/>
  <c r="F90" i="33"/>
  <c r="E90" i="33"/>
  <c r="Q88" i="33"/>
  <c r="Q100" i="33" s="1"/>
  <c r="P88" i="33"/>
  <c r="I88" i="33"/>
  <c r="H88" i="33"/>
  <c r="E88" i="33"/>
  <c r="O87" i="33"/>
  <c r="O88" i="33" s="1"/>
  <c r="N87" i="33"/>
  <c r="M87" i="33"/>
  <c r="H87" i="33"/>
  <c r="G87" i="33"/>
  <c r="D87" i="33"/>
  <c r="T86" i="33"/>
  <c r="J86" i="33"/>
  <c r="J88" i="33" s="1"/>
  <c r="D86" i="33"/>
  <c r="R85" i="33"/>
  <c r="R88" i="33" s="1"/>
  <c r="Q85" i="33"/>
  <c r="P85" i="33"/>
  <c r="L85" i="33"/>
  <c r="K85" i="33"/>
  <c r="K88" i="33" s="1"/>
  <c r="I85" i="33"/>
  <c r="H85" i="33"/>
  <c r="G85" i="33"/>
  <c r="G88" i="33" s="1"/>
  <c r="F85" i="33"/>
  <c r="F88" i="33" s="1"/>
  <c r="E85" i="33"/>
  <c r="D85" i="33"/>
  <c r="R84" i="33"/>
  <c r="Q84" i="33"/>
  <c r="P84" i="33"/>
  <c r="O84" i="33"/>
  <c r="N84" i="33"/>
  <c r="M84" i="33"/>
  <c r="L84" i="33"/>
  <c r="K84" i="33"/>
  <c r="J84" i="33"/>
  <c r="I84" i="33"/>
  <c r="H84" i="33"/>
  <c r="G84" i="33"/>
  <c r="F84" i="33"/>
  <c r="E84" i="33"/>
  <c r="R80" i="33"/>
  <c r="Q80" i="33"/>
  <c r="P80" i="33"/>
  <c r="L80" i="33"/>
  <c r="K80" i="33"/>
  <c r="J80" i="33"/>
  <c r="I80" i="33"/>
  <c r="F80" i="33"/>
  <c r="E80" i="33"/>
  <c r="R79" i="33"/>
  <c r="Q79" i="33"/>
  <c r="P79" i="33"/>
  <c r="O79" i="33"/>
  <c r="N79" i="33"/>
  <c r="M79" i="33"/>
  <c r="L79" i="33"/>
  <c r="K79" i="33"/>
  <c r="I79" i="33"/>
  <c r="H79" i="33"/>
  <c r="G79" i="33"/>
  <c r="F79" i="33"/>
  <c r="E79" i="33"/>
  <c r="O78" i="33"/>
  <c r="N78" i="33"/>
  <c r="M78" i="33"/>
  <c r="J78" i="33"/>
  <c r="O74" i="33"/>
  <c r="O75" i="33" s="1"/>
  <c r="N74" i="33"/>
  <c r="N75" i="33" s="1"/>
  <c r="M74" i="33"/>
  <c r="M113" i="33" s="1"/>
  <c r="H74" i="33"/>
  <c r="G74" i="33"/>
  <c r="G113" i="33" s="1"/>
  <c r="D74" i="33"/>
  <c r="J73" i="33"/>
  <c r="J75" i="33" s="1"/>
  <c r="D73" i="33"/>
  <c r="R72" i="33"/>
  <c r="R75" i="33" s="1"/>
  <c r="Q72" i="33"/>
  <c r="Q111" i="33" s="1"/>
  <c r="Q114" i="33" s="1"/>
  <c r="P72" i="33"/>
  <c r="P78" i="33" s="1"/>
  <c r="L72" i="33"/>
  <c r="K72" i="33"/>
  <c r="K75" i="33" s="1"/>
  <c r="I72" i="33"/>
  <c r="I111" i="33" s="1"/>
  <c r="I114" i="33" s="1"/>
  <c r="H72" i="33"/>
  <c r="G72" i="33"/>
  <c r="F72" i="33"/>
  <c r="F75" i="33" s="1"/>
  <c r="E72" i="33"/>
  <c r="E111" i="33" s="1"/>
  <c r="E114" i="33" s="1"/>
  <c r="D72" i="33"/>
  <c r="D111" i="33" s="1"/>
  <c r="R71" i="33"/>
  <c r="Q71" i="33"/>
  <c r="P71" i="33"/>
  <c r="O71" i="33"/>
  <c r="N71" i="33"/>
  <c r="M71" i="33"/>
  <c r="L71" i="33"/>
  <c r="K71" i="33"/>
  <c r="J71" i="33"/>
  <c r="I71" i="33"/>
  <c r="H71" i="33"/>
  <c r="G71" i="33"/>
  <c r="F71" i="33"/>
  <c r="E71" i="33"/>
  <c r="Q69" i="33"/>
  <c r="P69" i="33"/>
  <c r="M69" i="33"/>
  <c r="I69" i="33"/>
  <c r="H69" i="33"/>
  <c r="E69" i="33"/>
  <c r="O68" i="33"/>
  <c r="O107" i="33" s="1"/>
  <c r="N68" i="33"/>
  <c r="M68" i="33"/>
  <c r="H68" i="33"/>
  <c r="G68" i="33"/>
  <c r="G107" i="33" s="1"/>
  <c r="D68" i="33"/>
  <c r="T67" i="33"/>
  <c r="J67" i="33"/>
  <c r="J106" i="33" s="1"/>
  <c r="D67" i="33"/>
  <c r="R66" i="33"/>
  <c r="Q66" i="33"/>
  <c r="P66" i="33"/>
  <c r="L66" i="33"/>
  <c r="K66" i="33"/>
  <c r="I66" i="33"/>
  <c r="H66" i="33"/>
  <c r="G66" i="33"/>
  <c r="F66" i="33"/>
  <c r="E66" i="33"/>
  <c r="D66" i="33"/>
  <c r="AW60" i="33"/>
  <c r="AY60" i="33" s="1"/>
  <c r="AV60" i="33"/>
  <c r="AX60" i="33" s="1"/>
  <c r="AS60" i="33"/>
  <c r="AU60" i="33" s="1"/>
  <c r="AR60" i="33"/>
  <c r="AT60" i="33" s="1"/>
  <c r="AH60" i="33"/>
  <c r="L60" i="33"/>
  <c r="K60" i="33"/>
  <c r="AW59" i="33"/>
  <c r="AY59" i="33" s="1"/>
  <c r="AV59" i="33"/>
  <c r="AX59" i="33" s="1"/>
  <c r="AS59" i="33"/>
  <c r="AU59" i="33" s="1"/>
  <c r="AR59" i="33"/>
  <c r="AT59" i="33" s="1"/>
  <c r="AH59" i="33"/>
  <c r="L59" i="33"/>
  <c r="K59" i="33"/>
  <c r="AW58" i="33"/>
  <c r="AY58" i="33" s="1"/>
  <c r="AV58" i="33"/>
  <c r="AX58" i="33" s="1"/>
  <c r="AS58" i="33"/>
  <c r="AU58" i="33" s="1"/>
  <c r="AR58" i="33"/>
  <c r="AT58" i="33" s="1"/>
  <c r="AH58" i="33"/>
  <c r="L58" i="33"/>
  <c r="K58" i="33"/>
  <c r="AW57" i="33"/>
  <c r="AY57" i="33" s="1"/>
  <c r="AV57" i="33"/>
  <c r="AX57" i="33" s="1"/>
  <c r="AS57" i="33"/>
  <c r="AU57" i="33" s="1"/>
  <c r="AR57" i="33"/>
  <c r="AT57" i="33" s="1"/>
  <c r="AH57" i="33"/>
  <c r="L57" i="33"/>
  <c r="K57" i="33"/>
  <c r="AW56" i="33"/>
  <c r="AY56" i="33" s="1"/>
  <c r="AV56" i="33"/>
  <c r="AX56" i="33" s="1"/>
  <c r="AS56" i="33"/>
  <c r="AU56" i="33" s="1"/>
  <c r="AR56" i="33"/>
  <c r="AT56" i="33" s="1"/>
  <c r="AH56" i="33"/>
  <c r="L56" i="33"/>
  <c r="K56" i="33"/>
  <c r="AW55" i="33"/>
  <c r="AY55" i="33" s="1"/>
  <c r="AV55" i="33"/>
  <c r="AX55" i="33" s="1"/>
  <c r="AS55" i="33"/>
  <c r="AU55" i="33" s="1"/>
  <c r="AR55" i="33"/>
  <c r="AT55" i="33" s="1"/>
  <c r="AH55" i="33"/>
  <c r="L55" i="33"/>
  <c r="K55" i="33"/>
  <c r="AW54" i="33"/>
  <c r="AY54" i="33" s="1"/>
  <c r="AV54" i="33"/>
  <c r="AX54" i="33" s="1"/>
  <c r="AS54" i="33"/>
  <c r="AU54" i="33" s="1"/>
  <c r="AR54" i="33"/>
  <c r="AT54" i="33" s="1"/>
  <c r="AH54" i="33"/>
  <c r="L54" i="33"/>
  <c r="K54" i="33"/>
  <c r="AW53" i="33"/>
  <c r="AY53" i="33" s="1"/>
  <c r="AV53" i="33"/>
  <c r="AX53" i="33" s="1"/>
  <c r="AU53" i="33"/>
  <c r="AS53" i="33"/>
  <c r="AR53" i="33"/>
  <c r="AT53" i="33" s="1"/>
  <c r="AH53" i="33"/>
  <c r="L53" i="33"/>
  <c r="K53" i="33"/>
  <c r="AW52" i="33"/>
  <c r="AY52" i="33" s="1"/>
  <c r="AV52" i="33"/>
  <c r="AX52" i="33" s="1"/>
  <c r="AS52" i="33"/>
  <c r="AU52" i="33" s="1"/>
  <c r="AR52" i="33"/>
  <c r="AT52" i="33" s="1"/>
  <c r="AH52" i="33"/>
  <c r="L52" i="33"/>
  <c r="K52" i="33"/>
  <c r="AW51" i="33"/>
  <c r="AY51" i="33" s="1"/>
  <c r="AV51" i="33"/>
  <c r="AX51" i="33" s="1"/>
  <c r="AS51" i="33"/>
  <c r="AU51" i="33" s="1"/>
  <c r="AR51" i="33"/>
  <c r="AT51" i="33" s="1"/>
  <c r="AH51" i="33"/>
  <c r="L51" i="33"/>
  <c r="K51" i="33"/>
  <c r="AW50" i="33"/>
  <c r="AY50" i="33" s="1"/>
  <c r="AV50" i="33"/>
  <c r="AX50" i="33" s="1"/>
  <c r="AS50" i="33"/>
  <c r="AU50" i="33" s="1"/>
  <c r="AR50" i="33"/>
  <c r="AT50" i="33" s="1"/>
  <c r="AH50" i="33"/>
  <c r="L50" i="33"/>
  <c r="K50" i="33"/>
  <c r="AW49" i="33"/>
  <c r="AY49" i="33" s="1"/>
  <c r="AV49" i="33"/>
  <c r="AX49" i="33" s="1"/>
  <c r="AS49" i="33"/>
  <c r="AU49" i="33" s="1"/>
  <c r="AR49" i="33"/>
  <c r="AT49" i="33" s="1"/>
  <c r="AH49" i="33"/>
  <c r="L49" i="33"/>
  <c r="K49" i="33"/>
  <c r="AW48" i="33"/>
  <c r="AY48" i="33" s="1"/>
  <c r="AV48" i="33"/>
  <c r="AX48" i="33" s="1"/>
  <c r="AU48" i="33"/>
  <c r="AS48" i="33"/>
  <c r="AR48" i="33"/>
  <c r="AT48" i="33" s="1"/>
  <c r="AH48" i="33"/>
  <c r="L48" i="33"/>
  <c r="K48" i="33"/>
  <c r="AW47" i="33"/>
  <c r="AY47" i="33" s="1"/>
  <c r="AV47" i="33"/>
  <c r="AX47" i="33" s="1"/>
  <c r="AS47" i="33"/>
  <c r="AU47" i="33" s="1"/>
  <c r="AR47" i="33"/>
  <c r="AT47" i="33" s="1"/>
  <c r="AH47" i="33"/>
  <c r="L47" i="33"/>
  <c r="K47" i="33"/>
  <c r="AW46" i="33"/>
  <c r="AY46" i="33" s="1"/>
  <c r="AV46" i="33"/>
  <c r="AX46" i="33" s="1"/>
  <c r="AS46" i="33"/>
  <c r="AU46" i="33" s="1"/>
  <c r="AR46" i="33"/>
  <c r="AT46" i="33" s="1"/>
  <c r="AH46" i="33"/>
  <c r="L46" i="33"/>
  <c r="K46" i="33"/>
  <c r="AW45" i="33"/>
  <c r="AY45" i="33" s="1"/>
  <c r="AV45" i="33"/>
  <c r="AX45" i="33" s="1"/>
  <c r="AS45" i="33"/>
  <c r="AU45" i="33" s="1"/>
  <c r="AR45" i="33"/>
  <c r="AT45" i="33" s="1"/>
  <c r="AH45" i="33"/>
  <c r="L45" i="33"/>
  <c r="K45" i="33"/>
  <c r="AW44" i="33"/>
  <c r="AY44" i="33" s="1"/>
  <c r="AV44" i="33"/>
  <c r="AX44" i="33" s="1"/>
  <c r="AS44" i="33"/>
  <c r="AU44" i="33" s="1"/>
  <c r="AR44" i="33"/>
  <c r="AT44" i="33" s="1"/>
  <c r="AH44" i="33"/>
  <c r="L44" i="33"/>
  <c r="K44" i="33"/>
  <c r="AW43" i="33"/>
  <c r="AY43" i="33" s="1"/>
  <c r="AV43" i="33"/>
  <c r="AX43" i="33" s="1"/>
  <c r="AS43" i="33"/>
  <c r="AU43" i="33" s="1"/>
  <c r="AR43" i="33"/>
  <c r="AT43" i="33" s="1"/>
  <c r="AH43" i="33"/>
  <c r="L43" i="33"/>
  <c r="K43" i="33"/>
  <c r="AW42" i="33"/>
  <c r="AY42" i="33" s="1"/>
  <c r="AV42" i="33"/>
  <c r="AX42" i="33" s="1"/>
  <c r="AS42" i="33"/>
  <c r="AU42" i="33" s="1"/>
  <c r="AR42" i="33"/>
  <c r="AT42" i="33" s="1"/>
  <c r="AH42" i="33"/>
  <c r="L42" i="33"/>
  <c r="K42" i="33"/>
  <c r="AW41" i="33"/>
  <c r="AY41" i="33" s="1"/>
  <c r="AV41" i="33"/>
  <c r="AX41" i="33" s="1"/>
  <c r="AS41" i="33"/>
  <c r="AU41" i="33" s="1"/>
  <c r="AR41" i="33"/>
  <c r="AT41" i="33" s="1"/>
  <c r="AH41" i="33"/>
  <c r="L41" i="33"/>
  <c r="K41" i="33"/>
  <c r="AW40" i="33"/>
  <c r="AY40" i="33" s="1"/>
  <c r="AV40" i="33"/>
  <c r="AX40" i="33" s="1"/>
  <c r="AU40" i="33"/>
  <c r="AS40" i="33"/>
  <c r="AR40" i="33"/>
  <c r="AT40" i="33" s="1"/>
  <c r="AH40" i="33"/>
  <c r="L40" i="33"/>
  <c r="K40" i="33"/>
  <c r="AW39" i="33"/>
  <c r="AY39" i="33" s="1"/>
  <c r="AV39" i="33"/>
  <c r="AX39" i="33" s="1"/>
  <c r="AS39" i="33"/>
  <c r="AU39" i="33" s="1"/>
  <c r="AR39" i="33"/>
  <c r="AT39" i="33" s="1"/>
  <c r="AH39" i="33"/>
  <c r="L39" i="33"/>
  <c r="K39" i="33"/>
  <c r="AW38" i="33"/>
  <c r="AY38" i="33" s="1"/>
  <c r="AV38" i="33"/>
  <c r="AX38" i="33" s="1"/>
  <c r="AS38" i="33"/>
  <c r="AU38" i="33" s="1"/>
  <c r="AR38" i="33"/>
  <c r="AT38" i="33" s="1"/>
  <c r="AH38" i="33"/>
  <c r="L38" i="33"/>
  <c r="K38" i="33"/>
  <c r="AW37" i="33"/>
  <c r="AY37" i="33" s="1"/>
  <c r="AV37" i="33"/>
  <c r="AX37" i="33" s="1"/>
  <c r="AS37" i="33"/>
  <c r="AU37" i="33" s="1"/>
  <c r="AR37" i="33"/>
  <c r="AT37" i="33" s="1"/>
  <c r="AH37" i="33"/>
  <c r="L37" i="33"/>
  <c r="K37" i="33"/>
  <c r="AW36" i="33"/>
  <c r="AY36" i="33" s="1"/>
  <c r="AV36" i="33"/>
  <c r="AX36" i="33" s="1"/>
  <c r="AS36" i="33"/>
  <c r="AU36" i="33" s="1"/>
  <c r="AR36" i="33"/>
  <c r="AT36" i="33" s="1"/>
  <c r="AH36" i="33"/>
  <c r="L36" i="33"/>
  <c r="K36" i="33"/>
  <c r="AW35" i="33"/>
  <c r="AY35" i="33" s="1"/>
  <c r="AV35" i="33"/>
  <c r="AX35" i="33" s="1"/>
  <c r="AS35" i="33"/>
  <c r="AU35" i="33" s="1"/>
  <c r="AR35" i="33"/>
  <c r="AT35" i="33" s="1"/>
  <c r="AH35" i="33"/>
  <c r="L35" i="33"/>
  <c r="K35" i="33"/>
  <c r="AW34" i="33"/>
  <c r="AY34" i="33" s="1"/>
  <c r="AV34" i="33"/>
  <c r="AX34" i="33" s="1"/>
  <c r="AS34" i="33"/>
  <c r="AU34" i="33" s="1"/>
  <c r="AR34" i="33"/>
  <c r="AT34" i="33" s="1"/>
  <c r="AH34" i="33"/>
  <c r="L34" i="33"/>
  <c r="K34" i="33"/>
  <c r="AW33" i="33"/>
  <c r="AY33" i="33" s="1"/>
  <c r="AV33" i="33"/>
  <c r="AX33" i="33" s="1"/>
  <c r="AS33" i="33"/>
  <c r="AU33" i="33" s="1"/>
  <c r="AR33" i="33"/>
  <c r="AT33" i="33" s="1"/>
  <c r="AH33" i="33"/>
  <c r="L33" i="33"/>
  <c r="K33" i="33"/>
  <c r="AW32" i="33"/>
  <c r="AY32" i="33" s="1"/>
  <c r="AV32" i="33"/>
  <c r="AX32" i="33" s="1"/>
  <c r="AU32" i="33"/>
  <c r="AS32" i="33"/>
  <c r="AR32" i="33"/>
  <c r="AT32" i="33" s="1"/>
  <c r="AH32" i="33"/>
  <c r="L32" i="33"/>
  <c r="K32" i="33"/>
  <c r="AW31" i="33"/>
  <c r="AY31" i="33" s="1"/>
  <c r="AV31" i="33"/>
  <c r="AX31" i="33" s="1"/>
  <c r="AS31" i="33"/>
  <c r="AU31" i="33" s="1"/>
  <c r="AR31" i="33"/>
  <c r="AT31" i="33" s="1"/>
  <c r="AH31" i="33"/>
  <c r="L31" i="33"/>
  <c r="K31" i="33"/>
  <c r="AW30" i="33"/>
  <c r="AY30" i="33" s="1"/>
  <c r="AV30" i="33"/>
  <c r="AX30" i="33" s="1"/>
  <c r="AS30" i="33"/>
  <c r="AU30" i="33" s="1"/>
  <c r="AR30" i="33"/>
  <c r="AT30" i="33" s="1"/>
  <c r="AH30" i="33"/>
  <c r="L30" i="33"/>
  <c r="K30" i="33"/>
  <c r="AW29" i="33"/>
  <c r="AY29" i="33" s="1"/>
  <c r="AV29" i="33"/>
  <c r="AX29" i="33" s="1"/>
  <c r="AS29" i="33"/>
  <c r="AU29" i="33" s="1"/>
  <c r="AR29" i="33"/>
  <c r="AT29" i="33" s="1"/>
  <c r="AH29" i="33"/>
  <c r="L29" i="33"/>
  <c r="K29" i="33"/>
  <c r="AW28" i="33"/>
  <c r="AY28" i="33" s="1"/>
  <c r="AV28" i="33"/>
  <c r="AX28" i="33" s="1"/>
  <c r="AS28" i="33"/>
  <c r="AU28" i="33" s="1"/>
  <c r="AR28" i="33"/>
  <c r="AT28" i="33" s="1"/>
  <c r="AH28" i="33"/>
  <c r="L28" i="33"/>
  <c r="K28" i="33"/>
  <c r="AW27" i="33"/>
  <c r="AY27" i="33" s="1"/>
  <c r="AV27" i="33"/>
  <c r="AX27" i="33" s="1"/>
  <c r="AS27" i="33"/>
  <c r="AU27" i="33" s="1"/>
  <c r="AR27" i="33"/>
  <c r="AT27" i="33" s="1"/>
  <c r="AH27" i="33"/>
  <c r="L27" i="33"/>
  <c r="K27" i="33"/>
  <c r="AW26" i="33"/>
  <c r="AY26" i="33" s="1"/>
  <c r="AV26" i="33"/>
  <c r="AX26" i="33" s="1"/>
  <c r="AS26" i="33"/>
  <c r="AU26" i="33" s="1"/>
  <c r="AR26" i="33"/>
  <c r="AT26" i="33" s="1"/>
  <c r="AH26" i="33"/>
  <c r="L26" i="33"/>
  <c r="K26" i="33"/>
  <c r="AW25" i="33"/>
  <c r="AY25" i="33" s="1"/>
  <c r="AV25" i="33"/>
  <c r="AX25" i="33" s="1"/>
  <c r="AS25" i="33"/>
  <c r="AU25" i="33" s="1"/>
  <c r="AR25" i="33"/>
  <c r="AT25" i="33" s="1"/>
  <c r="AH25" i="33"/>
  <c r="L25" i="33"/>
  <c r="K25" i="33"/>
  <c r="AW24" i="33"/>
  <c r="AY24" i="33" s="1"/>
  <c r="AV24" i="33"/>
  <c r="AX24" i="33" s="1"/>
  <c r="AU24" i="33"/>
  <c r="AS24" i="33"/>
  <c r="AR24" i="33"/>
  <c r="AT24" i="33" s="1"/>
  <c r="AH24" i="33"/>
  <c r="L24" i="33"/>
  <c r="K24" i="33"/>
  <c r="AW23" i="33"/>
  <c r="AY23" i="33" s="1"/>
  <c r="AV23" i="33"/>
  <c r="AX23" i="33" s="1"/>
  <c r="AS23" i="33"/>
  <c r="AU23" i="33" s="1"/>
  <c r="AR23" i="33"/>
  <c r="AT23" i="33" s="1"/>
  <c r="AH23" i="33"/>
  <c r="L23" i="33"/>
  <c r="K23" i="33"/>
  <c r="AW22" i="33"/>
  <c r="AY22" i="33" s="1"/>
  <c r="AV22" i="33"/>
  <c r="AX22" i="33" s="1"/>
  <c r="AS22" i="33"/>
  <c r="AU22" i="33" s="1"/>
  <c r="AR22" i="33"/>
  <c r="AT22" i="33" s="1"/>
  <c r="AH22" i="33"/>
  <c r="L22" i="33"/>
  <c r="K22" i="33"/>
  <c r="AW21" i="33"/>
  <c r="AY21" i="33" s="1"/>
  <c r="AV21" i="33"/>
  <c r="AX21" i="33" s="1"/>
  <c r="AS21" i="33"/>
  <c r="AU21" i="33" s="1"/>
  <c r="AR21" i="33"/>
  <c r="AT21" i="33" s="1"/>
  <c r="AH21" i="33"/>
  <c r="L21" i="33"/>
  <c r="K21" i="33"/>
  <c r="AW20" i="33"/>
  <c r="AY20" i="33" s="1"/>
  <c r="AV20" i="33"/>
  <c r="AX20" i="33" s="1"/>
  <c r="AS20" i="33"/>
  <c r="AU20" i="33" s="1"/>
  <c r="AR20" i="33"/>
  <c r="AT20" i="33" s="1"/>
  <c r="AH20" i="33"/>
  <c r="L20" i="33"/>
  <c r="K20" i="33"/>
  <c r="AW19" i="33"/>
  <c r="AY19" i="33" s="1"/>
  <c r="AV19" i="33"/>
  <c r="AX19" i="33" s="1"/>
  <c r="AS19" i="33"/>
  <c r="AU19" i="33" s="1"/>
  <c r="AR19" i="33"/>
  <c r="AT19" i="33" s="1"/>
  <c r="AH19" i="33"/>
  <c r="L19" i="33"/>
  <c r="K19" i="33"/>
  <c r="AW18" i="33"/>
  <c r="AY18" i="33" s="1"/>
  <c r="AV18" i="33"/>
  <c r="AX18" i="33" s="1"/>
  <c r="AS18" i="33"/>
  <c r="AU18" i="33" s="1"/>
  <c r="AR18" i="33"/>
  <c r="AT18" i="33" s="1"/>
  <c r="AH18" i="33"/>
  <c r="L18" i="33"/>
  <c r="K18" i="33"/>
  <c r="AW17" i="33"/>
  <c r="AY17" i="33" s="1"/>
  <c r="AV17" i="33"/>
  <c r="AX17" i="33" s="1"/>
  <c r="AS17" i="33"/>
  <c r="AU17" i="33" s="1"/>
  <c r="AR17" i="33"/>
  <c r="AT17" i="33" s="1"/>
  <c r="AH17" i="33"/>
  <c r="L17" i="33"/>
  <c r="K17" i="33"/>
  <c r="AW16" i="33"/>
  <c r="AY16" i="33" s="1"/>
  <c r="AV16" i="33"/>
  <c r="AX16" i="33" s="1"/>
  <c r="AU16" i="33"/>
  <c r="AS16" i="33"/>
  <c r="AR16" i="33"/>
  <c r="AT16" i="33" s="1"/>
  <c r="AH16" i="33"/>
  <c r="L16" i="33"/>
  <c r="K16" i="33"/>
  <c r="AW15" i="33"/>
  <c r="AY15" i="33" s="1"/>
  <c r="AV15" i="33"/>
  <c r="AX15" i="33" s="1"/>
  <c r="AS15" i="33"/>
  <c r="AU15" i="33" s="1"/>
  <c r="AR15" i="33"/>
  <c r="AT15" i="33" s="1"/>
  <c r="AH15" i="33"/>
  <c r="L15" i="33"/>
  <c r="K15" i="33"/>
  <c r="AW14" i="33"/>
  <c r="AY14" i="33" s="1"/>
  <c r="AV14" i="33"/>
  <c r="AX14" i="33" s="1"/>
  <c r="AS14" i="33"/>
  <c r="AU14" i="33" s="1"/>
  <c r="AR14" i="33"/>
  <c r="AT14" i="33" s="1"/>
  <c r="AH14" i="33"/>
  <c r="L14" i="33"/>
  <c r="K14" i="33"/>
  <c r="AW13" i="33"/>
  <c r="AY13" i="33" s="1"/>
  <c r="AV13" i="33"/>
  <c r="AX13" i="33" s="1"/>
  <c r="AS13" i="33"/>
  <c r="AU13" i="33" s="1"/>
  <c r="AR13" i="33"/>
  <c r="AT13" i="33" s="1"/>
  <c r="AH13" i="33"/>
  <c r="L13" i="33"/>
  <c r="K13" i="33"/>
  <c r="AW12" i="33"/>
  <c r="AY12" i="33" s="1"/>
  <c r="AV12" i="33"/>
  <c r="AX12" i="33" s="1"/>
  <c r="AS12" i="33"/>
  <c r="AU12" i="33" s="1"/>
  <c r="AR12" i="33"/>
  <c r="AT12" i="33" s="1"/>
  <c r="AH12" i="33"/>
  <c r="L12" i="33"/>
  <c r="K12" i="33"/>
  <c r="AW11" i="33"/>
  <c r="AY11" i="33" s="1"/>
  <c r="AV11" i="33"/>
  <c r="AX11" i="33" s="1"/>
  <c r="AS11" i="33"/>
  <c r="AU11" i="33" s="1"/>
  <c r="AR11" i="33"/>
  <c r="AT11" i="33" s="1"/>
  <c r="AH11" i="33"/>
  <c r="L11" i="33"/>
  <c r="K11" i="33"/>
  <c r="AW10" i="33"/>
  <c r="AY10" i="33" s="1"/>
  <c r="AV10" i="33"/>
  <c r="AX10" i="33" s="1"/>
  <c r="AS10" i="33"/>
  <c r="AU10" i="33" s="1"/>
  <c r="AR10" i="33"/>
  <c r="AT10" i="33" s="1"/>
  <c r="AH10" i="33"/>
  <c r="L10" i="33"/>
  <c r="K10" i="33"/>
  <c r="AW9" i="33"/>
  <c r="AY9" i="33" s="1"/>
  <c r="AV9" i="33"/>
  <c r="AX9" i="33" s="1"/>
  <c r="AS9" i="33"/>
  <c r="AU9" i="33" s="1"/>
  <c r="AR9" i="33"/>
  <c r="AT9" i="33" s="1"/>
  <c r="AH9" i="33"/>
  <c r="L9" i="33"/>
  <c r="K9" i="33"/>
  <c r="AW8" i="33"/>
  <c r="AY8" i="33" s="1"/>
  <c r="AV8" i="33"/>
  <c r="AX8" i="33" s="1"/>
  <c r="AU8" i="33"/>
  <c r="AS8" i="33"/>
  <c r="AR8" i="33"/>
  <c r="AT8" i="33" s="1"/>
  <c r="AH8" i="33"/>
  <c r="L8" i="33"/>
  <c r="K8" i="33"/>
  <c r="AW7" i="33"/>
  <c r="AY7" i="33" s="1"/>
  <c r="AV7" i="33"/>
  <c r="AX7" i="33" s="1"/>
  <c r="AS7" i="33"/>
  <c r="AU7" i="33" s="1"/>
  <c r="AR7" i="33"/>
  <c r="AT7" i="33" s="1"/>
  <c r="AH7" i="33"/>
  <c r="L7" i="33"/>
  <c r="K7" i="33"/>
  <c r="AW6" i="33"/>
  <c r="AY6" i="33" s="1"/>
  <c r="AV6" i="33"/>
  <c r="AX6" i="33" s="1"/>
  <c r="AS6" i="33"/>
  <c r="AU6" i="33" s="1"/>
  <c r="AR6" i="33"/>
  <c r="AT6" i="33" s="1"/>
  <c r="AH6" i="33"/>
  <c r="L6" i="33"/>
  <c r="K6" i="33"/>
  <c r="AW5" i="33"/>
  <c r="AY5" i="33" s="1"/>
  <c r="AV5" i="33"/>
  <c r="AX5" i="33" s="1"/>
  <c r="AS5" i="33"/>
  <c r="AU5" i="33" s="1"/>
  <c r="AR5" i="33"/>
  <c r="AT5" i="33" s="1"/>
  <c r="AH5" i="33"/>
  <c r="L5" i="33"/>
  <c r="K5" i="33"/>
  <c r="AW4" i="33"/>
  <c r="AY4" i="33" s="1"/>
  <c r="AV4" i="33"/>
  <c r="AX4" i="33" s="1"/>
  <c r="AS4" i="33"/>
  <c r="AU4" i="33" s="1"/>
  <c r="AR4" i="33"/>
  <c r="AT4" i="33" s="1"/>
  <c r="AH4" i="33"/>
  <c r="L4" i="33"/>
  <c r="K4" i="33"/>
  <c r="AW3" i="33"/>
  <c r="AY3" i="33" s="1"/>
  <c r="AV3" i="33"/>
  <c r="AX3" i="33" s="1"/>
  <c r="AS3" i="33"/>
  <c r="AU3" i="33" s="1"/>
  <c r="AR3" i="33"/>
  <c r="AT3" i="33" s="1"/>
  <c r="AH3" i="33"/>
  <c r="L3" i="33"/>
  <c r="K3" i="33"/>
  <c r="R116" i="32"/>
  <c r="Q116" i="32"/>
  <c r="P116" i="32"/>
  <c r="O116" i="32"/>
  <c r="N116" i="32"/>
  <c r="M116" i="32"/>
  <c r="L116" i="32"/>
  <c r="K116" i="32"/>
  <c r="J116" i="32"/>
  <c r="I116" i="32"/>
  <c r="H116" i="32"/>
  <c r="G116" i="32"/>
  <c r="F116" i="32"/>
  <c r="E116" i="32"/>
  <c r="R113" i="32"/>
  <c r="Q113" i="32"/>
  <c r="P113" i="32"/>
  <c r="L113" i="32"/>
  <c r="K113" i="32"/>
  <c r="J113" i="32"/>
  <c r="I113" i="32"/>
  <c r="F113" i="32"/>
  <c r="E113" i="32"/>
  <c r="R112" i="32"/>
  <c r="Q112" i="32"/>
  <c r="P112" i="32"/>
  <c r="O112" i="32"/>
  <c r="N112" i="32"/>
  <c r="M112" i="32"/>
  <c r="L112" i="32"/>
  <c r="K112" i="32"/>
  <c r="I112" i="32"/>
  <c r="H112" i="32"/>
  <c r="G112" i="32"/>
  <c r="F112" i="32"/>
  <c r="E112" i="32"/>
  <c r="O111" i="32"/>
  <c r="N111" i="32"/>
  <c r="M111" i="32"/>
  <c r="J111" i="32"/>
  <c r="R110" i="32"/>
  <c r="Q110" i="32"/>
  <c r="P110" i="32"/>
  <c r="O110" i="32"/>
  <c r="N110" i="32"/>
  <c r="M110" i="32"/>
  <c r="L110" i="32"/>
  <c r="K110" i="32"/>
  <c r="J110" i="32"/>
  <c r="I110" i="32"/>
  <c r="H110" i="32"/>
  <c r="G110" i="32"/>
  <c r="F110" i="32"/>
  <c r="E110" i="32"/>
  <c r="R107" i="32"/>
  <c r="R119" i="32" s="1"/>
  <c r="Q107" i="32"/>
  <c r="Q119" i="32" s="1"/>
  <c r="P107" i="32"/>
  <c r="P119" i="32" s="1"/>
  <c r="L107" i="32"/>
  <c r="L119" i="32" s="1"/>
  <c r="K107" i="32"/>
  <c r="K119" i="32" s="1"/>
  <c r="J107" i="32"/>
  <c r="J119" i="32" s="1"/>
  <c r="I107" i="32"/>
  <c r="I119" i="32" s="1"/>
  <c r="H107" i="32"/>
  <c r="F107" i="32"/>
  <c r="F119" i="32" s="1"/>
  <c r="E107" i="32"/>
  <c r="R106" i="32"/>
  <c r="R118" i="32" s="1"/>
  <c r="Q106" i="32"/>
  <c r="Q118" i="32" s="1"/>
  <c r="P106" i="32"/>
  <c r="P118" i="32" s="1"/>
  <c r="O106" i="32"/>
  <c r="O118" i="32" s="1"/>
  <c r="N106" i="32"/>
  <c r="N118" i="32" s="1"/>
  <c r="M106" i="32"/>
  <c r="M118" i="32" s="1"/>
  <c r="L106" i="32"/>
  <c r="L118" i="32" s="1"/>
  <c r="K106" i="32"/>
  <c r="K118" i="32" s="1"/>
  <c r="I106" i="32"/>
  <c r="I118" i="32" s="1"/>
  <c r="H106" i="32"/>
  <c r="H118" i="32" s="1"/>
  <c r="G106" i="32"/>
  <c r="G118" i="32" s="1"/>
  <c r="F106" i="32"/>
  <c r="F118" i="32" s="1"/>
  <c r="E106" i="32"/>
  <c r="D106" i="32"/>
  <c r="P105" i="32"/>
  <c r="O105" i="32"/>
  <c r="O117" i="32" s="1"/>
  <c r="N105" i="32"/>
  <c r="N117" i="32" s="1"/>
  <c r="M105" i="32"/>
  <c r="M117" i="32" s="1"/>
  <c r="L105" i="32"/>
  <c r="J105" i="32"/>
  <c r="J117" i="32" s="1"/>
  <c r="R104" i="32"/>
  <c r="Q104" i="32"/>
  <c r="P104" i="32"/>
  <c r="O104" i="32"/>
  <c r="N104" i="32"/>
  <c r="M104" i="32"/>
  <c r="L104" i="32"/>
  <c r="K104" i="32"/>
  <c r="J104" i="32"/>
  <c r="I104" i="32"/>
  <c r="H104" i="32"/>
  <c r="G104" i="32"/>
  <c r="F104" i="32"/>
  <c r="E104" i="32"/>
  <c r="R99" i="32"/>
  <c r="Q99" i="32"/>
  <c r="P99" i="32"/>
  <c r="L99" i="32"/>
  <c r="K99" i="32"/>
  <c r="J99" i="32"/>
  <c r="I99" i="32"/>
  <c r="F99" i="32"/>
  <c r="E99" i="32"/>
  <c r="R98" i="32"/>
  <c r="Q98" i="32"/>
  <c r="P98" i="32"/>
  <c r="O98" i="32"/>
  <c r="N98" i="32"/>
  <c r="M98" i="32"/>
  <c r="L98" i="32"/>
  <c r="K98" i="32"/>
  <c r="I98" i="32"/>
  <c r="H98" i="32"/>
  <c r="G98" i="32"/>
  <c r="F98" i="32"/>
  <c r="E98" i="32"/>
  <c r="O97" i="32"/>
  <c r="N97" i="32"/>
  <c r="M97" i="32"/>
  <c r="J97" i="32"/>
  <c r="R96" i="32"/>
  <c r="Q96" i="32"/>
  <c r="P96" i="32"/>
  <c r="O96" i="32"/>
  <c r="N96" i="32"/>
  <c r="M96" i="32"/>
  <c r="L96" i="32"/>
  <c r="K96" i="32"/>
  <c r="J96" i="32"/>
  <c r="I96" i="32"/>
  <c r="H96" i="32"/>
  <c r="G96" i="32"/>
  <c r="F96" i="32"/>
  <c r="E96" i="32"/>
  <c r="O93" i="32"/>
  <c r="O94" i="32" s="1"/>
  <c r="N93" i="32"/>
  <c r="N94" i="32" s="1"/>
  <c r="M93" i="32"/>
  <c r="M94" i="32" s="1"/>
  <c r="H93" i="32"/>
  <c r="G93" i="32"/>
  <c r="G99" i="32" s="1"/>
  <c r="D93" i="32"/>
  <c r="J92" i="32"/>
  <c r="J94" i="32" s="1"/>
  <c r="J100" i="32" s="1"/>
  <c r="D92" i="32"/>
  <c r="R91" i="32"/>
  <c r="R94" i="32" s="1"/>
  <c r="Q91" i="32"/>
  <c r="Q94" i="32" s="1"/>
  <c r="P91" i="32"/>
  <c r="P94" i="32" s="1"/>
  <c r="L91" i="32"/>
  <c r="L94" i="32" s="1"/>
  <c r="K91" i="32"/>
  <c r="K94" i="32" s="1"/>
  <c r="I91" i="32"/>
  <c r="I94" i="32" s="1"/>
  <c r="H91" i="32"/>
  <c r="H94" i="32" s="1"/>
  <c r="G91" i="32"/>
  <c r="F91" i="32"/>
  <c r="E91" i="32"/>
  <c r="E94" i="32" s="1"/>
  <c r="D91" i="32"/>
  <c r="R90" i="32"/>
  <c r="Q90" i="32"/>
  <c r="P90" i="32"/>
  <c r="O90" i="32"/>
  <c r="N90" i="32"/>
  <c r="M90" i="32"/>
  <c r="L90" i="32"/>
  <c r="K90" i="32"/>
  <c r="J90" i="32"/>
  <c r="I90" i="32"/>
  <c r="H90" i="32"/>
  <c r="G90" i="32"/>
  <c r="F90" i="32"/>
  <c r="E90" i="32"/>
  <c r="Q88" i="32"/>
  <c r="Q100" i="32" s="1"/>
  <c r="P88" i="32"/>
  <c r="I88" i="32"/>
  <c r="H88" i="32"/>
  <c r="E88" i="32"/>
  <c r="O87" i="32"/>
  <c r="O88" i="32" s="1"/>
  <c r="N87" i="32"/>
  <c r="N88" i="32" s="1"/>
  <c r="M87" i="32"/>
  <c r="H87" i="32"/>
  <c r="G87" i="32"/>
  <c r="T87" i="32" s="1"/>
  <c r="D87" i="32"/>
  <c r="T86" i="32"/>
  <c r="J86" i="32"/>
  <c r="J88" i="32" s="1"/>
  <c r="D86" i="32"/>
  <c r="D98" i="32" s="1"/>
  <c r="R85" i="32"/>
  <c r="R88" i="32" s="1"/>
  <c r="Q85" i="32"/>
  <c r="P85" i="32"/>
  <c r="L85" i="32"/>
  <c r="K85" i="32"/>
  <c r="I85" i="32"/>
  <c r="H85" i="32"/>
  <c r="G85" i="32"/>
  <c r="F85" i="32"/>
  <c r="F88" i="32" s="1"/>
  <c r="E85" i="32"/>
  <c r="D85" i="32"/>
  <c r="R84" i="32"/>
  <c r="Q84" i="32"/>
  <c r="P84" i="32"/>
  <c r="O84" i="32"/>
  <c r="N84" i="32"/>
  <c r="M84" i="32"/>
  <c r="L84" i="32"/>
  <c r="K84" i="32"/>
  <c r="J84" i="32"/>
  <c r="I84" i="32"/>
  <c r="H84" i="32"/>
  <c r="G84" i="32"/>
  <c r="F84" i="32"/>
  <c r="E84" i="32"/>
  <c r="R80" i="32"/>
  <c r="Q80" i="32"/>
  <c r="P80" i="32"/>
  <c r="L80" i="32"/>
  <c r="K80" i="32"/>
  <c r="J80" i="32"/>
  <c r="I80" i="32"/>
  <c r="F80" i="32"/>
  <c r="E80" i="32"/>
  <c r="R79" i="32"/>
  <c r="Q79" i="32"/>
  <c r="P79" i="32"/>
  <c r="O79" i="32"/>
  <c r="N79" i="32"/>
  <c r="M79" i="32"/>
  <c r="L79" i="32"/>
  <c r="K79" i="32"/>
  <c r="I79" i="32"/>
  <c r="H79" i="32"/>
  <c r="G79" i="32"/>
  <c r="F79" i="32"/>
  <c r="E79" i="32"/>
  <c r="Q78" i="32"/>
  <c r="O78" i="32"/>
  <c r="N78" i="32"/>
  <c r="M78" i="32"/>
  <c r="J78" i="32"/>
  <c r="I75" i="32"/>
  <c r="O74" i="32"/>
  <c r="O75" i="32" s="1"/>
  <c r="N74" i="32"/>
  <c r="N75" i="32" s="1"/>
  <c r="M74" i="32"/>
  <c r="H74" i="32"/>
  <c r="H113" i="32" s="1"/>
  <c r="G74" i="32"/>
  <c r="D74" i="32"/>
  <c r="J73" i="32"/>
  <c r="J75" i="32" s="1"/>
  <c r="D73" i="32"/>
  <c r="D112" i="32" s="1"/>
  <c r="D118" i="32" s="1"/>
  <c r="R72" i="32"/>
  <c r="R75" i="32" s="1"/>
  <c r="Q72" i="32"/>
  <c r="Q75" i="32" s="1"/>
  <c r="P72" i="32"/>
  <c r="L72" i="32"/>
  <c r="L111" i="32" s="1"/>
  <c r="L114" i="32" s="1"/>
  <c r="K72" i="32"/>
  <c r="I72" i="32"/>
  <c r="H72" i="32"/>
  <c r="G72" i="32"/>
  <c r="F72" i="32"/>
  <c r="F75" i="32" s="1"/>
  <c r="E72" i="32"/>
  <c r="E78" i="32" s="1"/>
  <c r="D72" i="32"/>
  <c r="D111" i="32" s="1"/>
  <c r="R71" i="32"/>
  <c r="Q71" i="32"/>
  <c r="P71" i="32"/>
  <c r="O71" i="32"/>
  <c r="N71" i="32"/>
  <c r="M71" i="32"/>
  <c r="L71" i="32"/>
  <c r="K71" i="32"/>
  <c r="J71" i="32"/>
  <c r="I71" i="32"/>
  <c r="H71" i="32"/>
  <c r="G71" i="32"/>
  <c r="F71" i="32"/>
  <c r="E71" i="32"/>
  <c r="Q69" i="32"/>
  <c r="P69" i="32"/>
  <c r="M69" i="32"/>
  <c r="J69" i="32"/>
  <c r="I69" i="32"/>
  <c r="H69" i="32"/>
  <c r="E69" i="32"/>
  <c r="D69" i="32"/>
  <c r="O68" i="32"/>
  <c r="O107" i="32" s="1"/>
  <c r="N68" i="32"/>
  <c r="M68" i="32"/>
  <c r="M107" i="32" s="1"/>
  <c r="H68" i="32"/>
  <c r="G68" i="32"/>
  <c r="G107" i="32" s="1"/>
  <c r="D68" i="32"/>
  <c r="D107" i="32" s="1"/>
  <c r="T67" i="32"/>
  <c r="J67" i="32"/>
  <c r="J106" i="32" s="1"/>
  <c r="D67" i="32"/>
  <c r="R66" i="32"/>
  <c r="Q66" i="32"/>
  <c r="Q105" i="32" s="1"/>
  <c r="P66" i="32"/>
  <c r="L66" i="32"/>
  <c r="K66" i="32"/>
  <c r="I66" i="32"/>
  <c r="I105" i="32" s="1"/>
  <c r="H66" i="32"/>
  <c r="G66" i="32"/>
  <c r="F66" i="32"/>
  <c r="E66" i="32"/>
  <c r="E105" i="32" s="1"/>
  <c r="D66" i="32"/>
  <c r="D105" i="32" s="1"/>
  <c r="AW60" i="32"/>
  <c r="AY60" i="32" s="1"/>
  <c r="AV60" i="32"/>
  <c r="AX60" i="32" s="1"/>
  <c r="AS60" i="32"/>
  <c r="AU60" i="32" s="1"/>
  <c r="AR60" i="32"/>
  <c r="AT60" i="32" s="1"/>
  <c r="AH60" i="32"/>
  <c r="L60" i="32"/>
  <c r="K60" i="32"/>
  <c r="AW59" i="32"/>
  <c r="AY59" i="32" s="1"/>
  <c r="AV59" i="32"/>
  <c r="AX59" i="32" s="1"/>
  <c r="AS59" i="32"/>
  <c r="AU59" i="32" s="1"/>
  <c r="AR59" i="32"/>
  <c r="AT59" i="32" s="1"/>
  <c r="AH59" i="32"/>
  <c r="L59" i="32"/>
  <c r="K59" i="32"/>
  <c r="AW58" i="32"/>
  <c r="AY58" i="32" s="1"/>
  <c r="AV58" i="32"/>
  <c r="AX58" i="32" s="1"/>
  <c r="AS58" i="32"/>
  <c r="AU58" i="32" s="1"/>
  <c r="AR58" i="32"/>
  <c r="AT58" i="32" s="1"/>
  <c r="AH58" i="32"/>
  <c r="L58" i="32"/>
  <c r="K58" i="32"/>
  <c r="AW57" i="32"/>
  <c r="AY57" i="32" s="1"/>
  <c r="AV57" i="32"/>
  <c r="AX57" i="32" s="1"/>
  <c r="AS57" i="32"/>
  <c r="AU57" i="32" s="1"/>
  <c r="AR57" i="32"/>
  <c r="AT57" i="32" s="1"/>
  <c r="AH57" i="32"/>
  <c r="L57" i="32"/>
  <c r="K57" i="32"/>
  <c r="AW56" i="32"/>
  <c r="AY56" i="32" s="1"/>
  <c r="AV56" i="32"/>
  <c r="AX56" i="32" s="1"/>
  <c r="AS56" i="32"/>
  <c r="AU56" i="32" s="1"/>
  <c r="AR56" i="32"/>
  <c r="AT56" i="32" s="1"/>
  <c r="AH56" i="32"/>
  <c r="L56" i="32"/>
  <c r="K56" i="32"/>
  <c r="AW55" i="32"/>
  <c r="AY55" i="32" s="1"/>
  <c r="AV55" i="32"/>
  <c r="AX55" i="32" s="1"/>
  <c r="AS55" i="32"/>
  <c r="AU55" i="32" s="1"/>
  <c r="AR55" i="32"/>
  <c r="AT55" i="32" s="1"/>
  <c r="AH55" i="32"/>
  <c r="L55" i="32"/>
  <c r="K55" i="32"/>
  <c r="AW54" i="32"/>
  <c r="AY54" i="32" s="1"/>
  <c r="AV54" i="32"/>
  <c r="AX54" i="32" s="1"/>
  <c r="AS54" i="32"/>
  <c r="AU54" i="32" s="1"/>
  <c r="AR54" i="32"/>
  <c r="AT54" i="32" s="1"/>
  <c r="AH54" i="32"/>
  <c r="L54" i="32"/>
  <c r="K54" i="32"/>
  <c r="AW53" i="32"/>
  <c r="AY53" i="32" s="1"/>
  <c r="AV53" i="32"/>
  <c r="AX53" i="32" s="1"/>
  <c r="AS53" i="32"/>
  <c r="AU53" i="32" s="1"/>
  <c r="AR53" i="32"/>
  <c r="AT53" i="32" s="1"/>
  <c r="AH53" i="32"/>
  <c r="L53" i="32"/>
  <c r="K53" i="32"/>
  <c r="AW52" i="32"/>
  <c r="AY52" i="32" s="1"/>
  <c r="AV52" i="32"/>
  <c r="AX52" i="32" s="1"/>
  <c r="AS52" i="32"/>
  <c r="AU52" i="32" s="1"/>
  <c r="AR52" i="32"/>
  <c r="AT52" i="32" s="1"/>
  <c r="AH52" i="32"/>
  <c r="L52" i="32"/>
  <c r="K52" i="32"/>
  <c r="AW51" i="32"/>
  <c r="AY51" i="32" s="1"/>
  <c r="AV51" i="32"/>
  <c r="AX51" i="32" s="1"/>
  <c r="AS51" i="32"/>
  <c r="AU51" i="32" s="1"/>
  <c r="AR51" i="32"/>
  <c r="AT51" i="32" s="1"/>
  <c r="AH51" i="32"/>
  <c r="L51" i="32"/>
  <c r="K51" i="32"/>
  <c r="AW50" i="32"/>
  <c r="AY50" i="32" s="1"/>
  <c r="AV50" i="32"/>
  <c r="AX50" i="32" s="1"/>
  <c r="AS50" i="32"/>
  <c r="AU50" i="32" s="1"/>
  <c r="AR50" i="32"/>
  <c r="AT50" i="32" s="1"/>
  <c r="AH50" i="32"/>
  <c r="L50" i="32"/>
  <c r="K50" i="32"/>
  <c r="AW49" i="32"/>
  <c r="AY49" i="32" s="1"/>
  <c r="AV49" i="32"/>
  <c r="AX49" i="32" s="1"/>
  <c r="AS49" i="32"/>
  <c r="AU49" i="32" s="1"/>
  <c r="AR49" i="32"/>
  <c r="AT49" i="32" s="1"/>
  <c r="AH49" i="32"/>
  <c r="L49" i="32"/>
  <c r="K49" i="32"/>
  <c r="AW48" i="32"/>
  <c r="AY48" i="32" s="1"/>
  <c r="AV48" i="32"/>
  <c r="AX48" i="32" s="1"/>
  <c r="AS48" i="32"/>
  <c r="AU48" i="32" s="1"/>
  <c r="AR48" i="32"/>
  <c r="AT48" i="32" s="1"/>
  <c r="AH48" i="32"/>
  <c r="L48" i="32"/>
  <c r="K48" i="32"/>
  <c r="AW47" i="32"/>
  <c r="AY47" i="32" s="1"/>
  <c r="AV47" i="32"/>
  <c r="AX47" i="32" s="1"/>
  <c r="AS47" i="32"/>
  <c r="AU47" i="32" s="1"/>
  <c r="AR47" i="32"/>
  <c r="AT47" i="32" s="1"/>
  <c r="AH47" i="32"/>
  <c r="L47" i="32"/>
  <c r="K47" i="32"/>
  <c r="AW46" i="32"/>
  <c r="AY46" i="32" s="1"/>
  <c r="AV46" i="32"/>
  <c r="AX46" i="32" s="1"/>
  <c r="AS46" i="32"/>
  <c r="AU46" i="32" s="1"/>
  <c r="AR46" i="32"/>
  <c r="AT46" i="32" s="1"/>
  <c r="AH46" i="32"/>
  <c r="L46" i="32"/>
  <c r="K46" i="32"/>
  <c r="AW45" i="32"/>
  <c r="AY45" i="32" s="1"/>
  <c r="AV45" i="32"/>
  <c r="AX45" i="32" s="1"/>
  <c r="AS45" i="32"/>
  <c r="AU45" i="32" s="1"/>
  <c r="AR45" i="32"/>
  <c r="AT45" i="32" s="1"/>
  <c r="AH45" i="32"/>
  <c r="L45" i="32"/>
  <c r="K45" i="32"/>
  <c r="AW44" i="32"/>
  <c r="AY44" i="32" s="1"/>
  <c r="AV44" i="32"/>
  <c r="AX44" i="32" s="1"/>
  <c r="AS44" i="32"/>
  <c r="AU44" i="32" s="1"/>
  <c r="AR44" i="32"/>
  <c r="AT44" i="32" s="1"/>
  <c r="AH44" i="32"/>
  <c r="L44" i="32"/>
  <c r="K44" i="32"/>
  <c r="AW43" i="32"/>
  <c r="AY43" i="32" s="1"/>
  <c r="AV43" i="32"/>
  <c r="AX43" i="32" s="1"/>
  <c r="AS43" i="32"/>
  <c r="AU43" i="32" s="1"/>
  <c r="AR43" i="32"/>
  <c r="AT43" i="32" s="1"/>
  <c r="AH43" i="32"/>
  <c r="L43" i="32"/>
  <c r="K43" i="32"/>
  <c r="AW42" i="32"/>
  <c r="AY42" i="32" s="1"/>
  <c r="AV42" i="32"/>
  <c r="AX42" i="32" s="1"/>
  <c r="AS42" i="32"/>
  <c r="AU42" i="32" s="1"/>
  <c r="AR42" i="32"/>
  <c r="AT42" i="32" s="1"/>
  <c r="AH42" i="32"/>
  <c r="L42" i="32"/>
  <c r="K42" i="32"/>
  <c r="AW41" i="32"/>
  <c r="AY41" i="32" s="1"/>
  <c r="AV41" i="32"/>
  <c r="AX41" i="32" s="1"/>
  <c r="AT41" i="32"/>
  <c r="AS41" i="32"/>
  <c r="AU41" i="32" s="1"/>
  <c r="AR41" i="32"/>
  <c r="AH41" i="32"/>
  <c r="L41" i="32"/>
  <c r="K41" i="32"/>
  <c r="AW40" i="32"/>
  <c r="AY40" i="32" s="1"/>
  <c r="AV40" i="32"/>
  <c r="AX40" i="32" s="1"/>
  <c r="AT40" i="32"/>
  <c r="AS40" i="32"/>
  <c r="AU40" i="32" s="1"/>
  <c r="AR40" i="32"/>
  <c r="AH40" i="32"/>
  <c r="L40" i="32"/>
  <c r="K40" i="32"/>
  <c r="AW39" i="32"/>
  <c r="AY39" i="32" s="1"/>
  <c r="AV39" i="32"/>
  <c r="AX39" i="32" s="1"/>
  <c r="AS39" i="32"/>
  <c r="AU39" i="32" s="1"/>
  <c r="AR39" i="32"/>
  <c r="AT39" i="32" s="1"/>
  <c r="AH39" i="32"/>
  <c r="L39" i="32"/>
  <c r="K39" i="32"/>
  <c r="AW38" i="32"/>
  <c r="AY38" i="32" s="1"/>
  <c r="AV38" i="32"/>
  <c r="AX38" i="32" s="1"/>
  <c r="AS38" i="32"/>
  <c r="AU38" i="32" s="1"/>
  <c r="AR38" i="32"/>
  <c r="AT38" i="32" s="1"/>
  <c r="AH38" i="32"/>
  <c r="L38" i="32"/>
  <c r="K38" i="32"/>
  <c r="AW37" i="32"/>
  <c r="AY37" i="32" s="1"/>
  <c r="AV37" i="32"/>
  <c r="AX37" i="32" s="1"/>
  <c r="AS37" i="32"/>
  <c r="AU37" i="32" s="1"/>
  <c r="AR37" i="32"/>
  <c r="AT37" i="32" s="1"/>
  <c r="AH37" i="32"/>
  <c r="L37" i="32"/>
  <c r="K37" i="32"/>
  <c r="AW36" i="32"/>
  <c r="AY36" i="32" s="1"/>
  <c r="AV36" i="32"/>
  <c r="AX36" i="32" s="1"/>
  <c r="AS36" i="32"/>
  <c r="AU36" i="32" s="1"/>
  <c r="AR36" i="32"/>
  <c r="AT36" i="32" s="1"/>
  <c r="AH36" i="32"/>
  <c r="L36" i="32"/>
  <c r="K36" i="32"/>
  <c r="AW35" i="32"/>
  <c r="AY35" i="32" s="1"/>
  <c r="AV35" i="32"/>
  <c r="AX35" i="32" s="1"/>
  <c r="AS35" i="32"/>
  <c r="AU35" i="32" s="1"/>
  <c r="AR35" i="32"/>
  <c r="AT35" i="32" s="1"/>
  <c r="AH35" i="32"/>
  <c r="L35" i="32"/>
  <c r="K35" i="32"/>
  <c r="AW34" i="32"/>
  <c r="AY34" i="32" s="1"/>
  <c r="AV34" i="32"/>
  <c r="AX34" i="32" s="1"/>
  <c r="AS34" i="32"/>
  <c r="AU34" i="32" s="1"/>
  <c r="AR34" i="32"/>
  <c r="AT34" i="32" s="1"/>
  <c r="AH34" i="32"/>
  <c r="L34" i="32"/>
  <c r="K34" i="32"/>
  <c r="AW33" i="32"/>
  <c r="AY33" i="32" s="1"/>
  <c r="AV33" i="32"/>
  <c r="AX33" i="32" s="1"/>
  <c r="AS33" i="32"/>
  <c r="AU33" i="32" s="1"/>
  <c r="AR33" i="32"/>
  <c r="AT33" i="32" s="1"/>
  <c r="AH33" i="32"/>
  <c r="L33" i="32"/>
  <c r="K33" i="32"/>
  <c r="AW32" i="32"/>
  <c r="AY32" i="32" s="1"/>
  <c r="AV32" i="32"/>
  <c r="AX32" i="32" s="1"/>
  <c r="AS32" i="32"/>
  <c r="AU32" i="32" s="1"/>
  <c r="AR32" i="32"/>
  <c r="AT32" i="32" s="1"/>
  <c r="AH32" i="32"/>
  <c r="L32" i="32"/>
  <c r="K32" i="32"/>
  <c r="AW31" i="32"/>
  <c r="AY31" i="32" s="1"/>
  <c r="AV31" i="32"/>
  <c r="AX31" i="32" s="1"/>
  <c r="AS31" i="32"/>
  <c r="AU31" i="32" s="1"/>
  <c r="AR31" i="32"/>
  <c r="AT31" i="32" s="1"/>
  <c r="AH31" i="32"/>
  <c r="L31" i="32"/>
  <c r="K31" i="32"/>
  <c r="AW30" i="32"/>
  <c r="AY30" i="32" s="1"/>
  <c r="AV30" i="32"/>
  <c r="AX30" i="32" s="1"/>
  <c r="AS30" i="32"/>
  <c r="AU30" i="32" s="1"/>
  <c r="AR30" i="32"/>
  <c r="AT30" i="32" s="1"/>
  <c r="AH30" i="32"/>
  <c r="L30" i="32"/>
  <c r="K30" i="32"/>
  <c r="AW29" i="32"/>
  <c r="AY29" i="32" s="1"/>
  <c r="AV29" i="32"/>
  <c r="AX29" i="32" s="1"/>
  <c r="AT29" i="32"/>
  <c r="AS29" i="32"/>
  <c r="AU29" i="32" s="1"/>
  <c r="AR29" i="32"/>
  <c r="AH29" i="32"/>
  <c r="L29" i="32"/>
  <c r="K29" i="32"/>
  <c r="AW28" i="32"/>
  <c r="AY28" i="32" s="1"/>
  <c r="AV28" i="32"/>
  <c r="AX28" i="32" s="1"/>
  <c r="AT28" i="32"/>
  <c r="AS28" i="32"/>
  <c r="AU28" i="32" s="1"/>
  <c r="AR28" i="32"/>
  <c r="AH28" i="32"/>
  <c r="L28" i="32"/>
  <c r="K28" i="32"/>
  <c r="AW27" i="32"/>
  <c r="AY27" i="32" s="1"/>
  <c r="AV27" i="32"/>
  <c r="AX27" i="32" s="1"/>
  <c r="AS27" i="32"/>
  <c r="AU27" i="32" s="1"/>
  <c r="AR27" i="32"/>
  <c r="AT27" i="32" s="1"/>
  <c r="AH27" i="32"/>
  <c r="L27" i="32"/>
  <c r="K27" i="32"/>
  <c r="AW26" i="32"/>
  <c r="AY26" i="32" s="1"/>
  <c r="AV26" i="32"/>
  <c r="AX26" i="32" s="1"/>
  <c r="AS26" i="32"/>
  <c r="AU26" i="32" s="1"/>
  <c r="AR26" i="32"/>
  <c r="AT26" i="32" s="1"/>
  <c r="AH26" i="32"/>
  <c r="L26" i="32"/>
  <c r="K26" i="32"/>
  <c r="AW25" i="32"/>
  <c r="AY25" i="32" s="1"/>
  <c r="AV25" i="32"/>
  <c r="AX25" i="32" s="1"/>
  <c r="AS25" i="32"/>
  <c r="AU25" i="32" s="1"/>
  <c r="AR25" i="32"/>
  <c r="AT25" i="32" s="1"/>
  <c r="AH25" i="32"/>
  <c r="L25" i="32"/>
  <c r="K25" i="32"/>
  <c r="AW24" i="32"/>
  <c r="AY24" i="32" s="1"/>
  <c r="AV24" i="32"/>
  <c r="AX24" i="32" s="1"/>
  <c r="AS24" i="32"/>
  <c r="AU24" i="32" s="1"/>
  <c r="AR24" i="32"/>
  <c r="AT24" i="32" s="1"/>
  <c r="AH24" i="32"/>
  <c r="L24" i="32"/>
  <c r="K24" i="32"/>
  <c r="AW23" i="32"/>
  <c r="AY23" i="32" s="1"/>
  <c r="AV23" i="32"/>
  <c r="AX23" i="32" s="1"/>
  <c r="AS23" i="32"/>
  <c r="AU23" i="32" s="1"/>
  <c r="AR23" i="32"/>
  <c r="AT23" i="32" s="1"/>
  <c r="AH23" i="32"/>
  <c r="L23" i="32"/>
  <c r="K23" i="32"/>
  <c r="AW22" i="32"/>
  <c r="AY22" i="32" s="1"/>
  <c r="AV22" i="32"/>
  <c r="AX22" i="32" s="1"/>
  <c r="AS22" i="32"/>
  <c r="AU22" i="32" s="1"/>
  <c r="AR22" i="32"/>
  <c r="AT22" i="32" s="1"/>
  <c r="AH22" i="32"/>
  <c r="L22" i="32"/>
  <c r="K22" i="32"/>
  <c r="AW21" i="32"/>
  <c r="AY21" i="32" s="1"/>
  <c r="AV21" i="32"/>
  <c r="AX21" i="32" s="1"/>
  <c r="AU21" i="32"/>
  <c r="AS21" i="32"/>
  <c r="AR21" i="32"/>
  <c r="AT21" i="32" s="1"/>
  <c r="AH21" i="32"/>
  <c r="L21" i="32"/>
  <c r="K21" i="32"/>
  <c r="AW20" i="32"/>
  <c r="AY20" i="32" s="1"/>
  <c r="AV20" i="32"/>
  <c r="AX20" i="32" s="1"/>
  <c r="AS20" i="32"/>
  <c r="AU20" i="32" s="1"/>
  <c r="AR20" i="32"/>
  <c r="AT20" i="32" s="1"/>
  <c r="AH20" i="32"/>
  <c r="L20" i="32"/>
  <c r="K20" i="32"/>
  <c r="AW19" i="32"/>
  <c r="AY19" i="32" s="1"/>
  <c r="AV19" i="32"/>
  <c r="AX19" i="32" s="1"/>
  <c r="AS19" i="32"/>
  <c r="AU19" i="32" s="1"/>
  <c r="AR19" i="32"/>
  <c r="AT19" i="32" s="1"/>
  <c r="AH19" i="32"/>
  <c r="L19" i="32"/>
  <c r="K19" i="32"/>
  <c r="AW18" i="32"/>
  <c r="AY18" i="32" s="1"/>
  <c r="AV18" i="32"/>
  <c r="AX18" i="32" s="1"/>
  <c r="AS18" i="32"/>
  <c r="AU18" i="32" s="1"/>
  <c r="AR18" i="32"/>
  <c r="AT18" i="32" s="1"/>
  <c r="AH18" i="32"/>
  <c r="L18" i="32"/>
  <c r="K18" i="32"/>
  <c r="AW17" i="32"/>
  <c r="AY17" i="32" s="1"/>
  <c r="AV17" i="32"/>
  <c r="AX17" i="32" s="1"/>
  <c r="AS17" i="32"/>
  <c r="AU17" i="32" s="1"/>
  <c r="AR17" i="32"/>
  <c r="AT17" i="32" s="1"/>
  <c r="AH17" i="32"/>
  <c r="L17" i="32"/>
  <c r="K17" i="32"/>
  <c r="AW16" i="32"/>
  <c r="AY16" i="32" s="1"/>
  <c r="AV16" i="32"/>
  <c r="AX16" i="32" s="1"/>
  <c r="AS16" i="32"/>
  <c r="AU16" i="32" s="1"/>
  <c r="AR16" i="32"/>
  <c r="AT16" i="32" s="1"/>
  <c r="AH16" i="32"/>
  <c r="L16" i="32"/>
  <c r="K16" i="32"/>
  <c r="AW15" i="32"/>
  <c r="AY15" i="32" s="1"/>
  <c r="AV15" i="32"/>
  <c r="AX15" i="32" s="1"/>
  <c r="AS15" i="32"/>
  <c r="AU15" i="32" s="1"/>
  <c r="AR15" i="32"/>
  <c r="AT15" i="32" s="1"/>
  <c r="AH15" i="32"/>
  <c r="L15" i="32"/>
  <c r="K15" i="32"/>
  <c r="AW14" i="32"/>
  <c r="AY14" i="32" s="1"/>
  <c r="AV14" i="32"/>
  <c r="AX14" i="32" s="1"/>
  <c r="AS14" i="32"/>
  <c r="AU14" i="32" s="1"/>
  <c r="AR14" i="32"/>
  <c r="AT14" i="32" s="1"/>
  <c r="AH14" i="32"/>
  <c r="L14" i="32"/>
  <c r="K14" i="32"/>
  <c r="AY13" i="32"/>
  <c r="AW13" i="32"/>
  <c r="AV13" i="32"/>
  <c r="AX13" i="32" s="1"/>
  <c r="AU13" i="32"/>
  <c r="AT13" i="32"/>
  <c r="AS13" i="32"/>
  <c r="AR13" i="32"/>
  <c r="AH13" i="32"/>
  <c r="L13" i="32"/>
  <c r="K13" i="32"/>
  <c r="AW12" i="32"/>
  <c r="AY12" i="32" s="1"/>
  <c r="AV12" i="32"/>
  <c r="AX12" i="32" s="1"/>
  <c r="AS12" i="32"/>
  <c r="AU12" i="32" s="1"/>
  <c r="AR12" i="32"/>
  <c r="AT12" i="32" s="1"/>
  <c r="AH12" i="32"/>
  <c r="L12" i="32"/>
  <c r="K12" i="32"/>
  <c r="AW11" i="32"/>
  <c r="AY11" i="32" s="1"/>
  <c r="AV11" i="32"/>
  <c r="AX11" i="32" s="1"/>
  <c r="AS11" i="32"/>
  <c r="AU11" i="32" s="1"/>
  <c r="AR11" i="32"/>
  <c r="AT11" i="32" s="1"/>
  <c r="AH11" i="32"/>
  <c r="L11" i="32"/>
  <c r="K11" i="32"/>
  <c r="AW10" i="32"/>
  <c r="AY10" i="32" s="1"/>
  <c r="AV10" i="32"/>
  <c r="AX10" i="32" s="1"/>
  <c r="AS10" i="32"/>
  <c r="AU10" i="32" s="1"/>
  <c r="AR10" i="32"/>
  <c r="AT10" i="32" s="1"/>
  <c r="AH10" i="32"/>
  <c r="L10" i="32"/>
  <c r="K10" i="32"/>
  <c r="AW9" i="32"/>
  <c r="AY9" i="32" s="1"/>
  <c r="AV9" i="32"/>
  <c r="AX9" i="32" s="1"/>
  <c r="AS9" i="32"/>
  <c r="AU9" i="32" s="1"/>
  <c r="AR9" i="32"/>
  <c r="AT9" i="32" s="1"/>
  <c r="AH9" i="32"/>
  <c r="L9" i="32"/>
  <c r="K9" i="32"/>
  <c r="AW8" i="32"/>
  <c r="AY8" i="32" s="1"/>
  <c r="AV8" i="32"/>
  <c r="AX8" i="32" s="1"/>
  <c r="AS8" i="32"/>
  <c r="AU8" i="32" s="1"/>
  <c r="AR8" i="32"/>
  <c r="AT8" i="32" s="1"/>
  <c r="AH8" i="32"/>
  <c r="L8" i="32"/>
  <c r="K8" i="32"/>
  <c r="AW7" i="32"/>
  <c r="AY7" i="32" s="1"/>
  <c r="AV7" i="32"/>
  <c r="AX7" i="32" s="1"/>
  <c r="AS7" i="32"/>
  <c r="AU7" i="32" s="1"/>
  <c r="AR7" i="32"/>
  <c r="AT7" i="32" s="1"/>
  <c r="AH7" i="32"/>
  <c r="L7" i="32"/>
  <c r="K7" i="32"/>
  <c r="AW6" i="32"/>
  <c r="AY6" i="32" s="1"/>
  <c r="AV6" i="32"/>
  <c r="AX6" i="32" s="1"/>
  <c r="AS6" i="32"/>
  <c r="AU6" i="32" s="1"/>
  <c r="AR6" i="32"/>
  <c r="AT6" i="32" s="1"/>
  <c r="AH6" i="32"/>
  <c r="L6" i="32"/>
  <c r="K6" i="32"/>
  <c r="AW5" i="32"/>
  <c r="AY5" i="32" s="1"/>
  <c r="AV5" i="32"/>
  <c r="AX5" i="32" s="1"/>
  <c r="AT5" i="32"/>
  <c r="AS5" i="32"/>
  <c r="AU5" i="32" s="1"/>
  <c r="AR5" i="32"/>
  <c r="AH5" i="32"/>
  <c r="L5" i="32"/>
  <c r="K5" i="32"/>
  <c r="AW4" i="32"/>
  <c r="AY4" i="32" s="1"/>
  <c r="AV4" i="32"/>
  <c r="AX4" i="32" s="1"/>
  <c r="AT4" i="32"/>
  <c r="AS4" i="32"/>
  <c r="AU4" i="32" s="1"/>
  <c r="AR4" i="32"/>
  <c r="AH4" i="32"/>
  <c r="L4" i="32"/>
  <c r="K4" i="32"/>
  <c r="AW3" i="32"/>
  <c r="AY3" i="32" s="1"/>
  <c r="AV3" i="32"/>
  <c r="AX3" i="32" s="1"/>
  <c r="AS3" i="32"/>
  <c r="AU3" i="32" s="1"/>
  <c r="AR3" i="32"/>
  <c r="AT3" i="32" s="1"/>
  <c r="AH3" i="32"/>
  <c r="L3" i="32"/>
  <c r="K3" i="32"/>
  <c r="L119" i="31"/>
  <c r="E118" i="31"/>
  <c r="R116" i="31"/>
  <c r="Q116" i="31"/>
  <c r="P116" i="31"/>
  <c r="O116" i="31"/>
  <c r="N116" i="31"/>
  <c r="M116" i="31"/>
  <c r="L116" i="31"/>
  <c r="K116" i="31"/>
  <c r="J116" i="31"/>
  <c r="I116" i="31"/>
  <c r="H116" i="31"/>
  <c r="G116" i="31"/>
  <c r="F116" i="31"/>
  <c r="E116" i="31"/>
  <c r="R113" i="31"/>
  <c r="Q113" i="31"/>
  <c r="P113" i="31"/>
  <c r="L113" i="31"/>
  <c r="K113" i="31"/>
  <c r="J113" i="31"/>
  <c r="I113" i="31"/>
  <c r="F113" i="31"/>
  <c r="E113" i="31"/>
  <c r="R112" i="31"/>
  <c r="Q112" i="31"/>
  <c r="P112" i="31"/>
  <c r="O112" i="31"/>
  <c r="N112" i="31"/>
  <c r="M112" i="31"/>
  <c r="L112" i="31"/>
  <c r="K112" i="31"/>
  <c r="I112" i="31"/>
  <c r="H112" i="31"/>
  <c r="G112" i="31"/>
  <c r="F112" i="31"/>
  <c r="E112" i="31"/>
  <c r="O111" i="31"/>
  <c r="N111" i="31"/>
  <c r="M111" i="31"/>
  <c r="J111" i="31"/>
  <c r="R110" i="31"/>
  <c r="Q110" i="31"/>
  <c r="P110" i="31"/>
  <c r="O110" i="31"/>
  <c r="N110" i="31"/>
  <c r="M110" i="31"/>
  <c r="L110" i="31"/>
  <c r="K110" i="31"/>
  <c r="J110" i="31"/>
  <c r="I110" i="31"/>
  <c r="H110" i="31"/>
  <c r="G110" i="31"/>
  <c r="F110" i="31"/>
  <c r="E110" i="31"/>
  <c r="R107" i="31"/>
  <c r="Q107" i="31"/>
  <c r="Q119" i="31" s="1"/>
  <c r="P107" i="31"/>
  <c r="P119" i="31" s="1"/>
  <c r="L107" i="31"/>
  <c r="K107" i="31"/>
  <c r="K119" i="31" s="1"/>
  <c r="J107" i="31"/>
  <c r="J119" i="31" s="1"/>
  <c r="I107" i="31"/>
  <c r="I119" i="31" s="1"/>
  <c r="H107" i="31"/>
  <c r="F107" i="31"/>
  <c r="F119" i="31" s="1"/>
  <c r="E107" i="31"/>
  <c r="E119" i="31" s="1"/>
  <c r="R106" i="31"/>
  <c r="R118" i="31" s="1"/>
  <c r="Q106" i="31"/>
  <c r="Q118" i="31" s="1"/>
  <c r="P106" i="31"/>
  <c r="P118" i="31" s="1"/>
  <c r="O106" i="31"/>
  <c r="N106" i="31"/>
  <c r="N118" i="31" s="1"/>
  <c r="M106" i="31"/>
  <c r="M118" i="31" s="1"/>
  <c r="L106" i="31"/>
  <c r="L118" i="31" s="1"/>
  <c r="K106" i="31"/>
  <c r="I106" i="31"/>
  <c r="I118" i="31" s="1"/>
  <c r="H106" i="31"/>
  <c r="H118" i="31" s="1"/>
  <c r="G106" i="31"/>
  <c r="G118" i="31" s="1"/>
  <c r="F106" i="31"/>
  <c r="F118" i="31" s="1"/>
  <c r="E106" i="31"/>
  <c r="D106" i="31"/>
  <c r="Q105" i="31"/>
  <c r="P105" i="31"/>
  <c r="O105" i="31"/>
  <c r="O117" i="31" s="1"/>
  <c r="N105" i="31"/>
  <c r="N117" i="31" s="1"/>
  <c r="M105" i="31"/>
  <c r="M117" i="31" s="1"/>
  <c r="J105" i="31"/>
  <c r="J117" i="31" s="1"/>
  <c r="I105" i="31"/>
  <c r="H105" i="31"/>
  <c r="E105" i="31"/>
  <c r="D105" i="31"/>
  <c r="R104" i="31"/>
  <c r="Q104" i="31"/>
  <c r="P104" i="31"/>
  <c r="O104" i="31"/>
  <c r="N104" i="31"/>
  <c r="M104" i="31"/>
  <c r="L104" i="31"/>
  <c r="K104" i="31"/>
  <c r="J104" i="31"/>
  <c r="I104" i="31"/>
  <c r="H104" i="31"/>
  <c r="G104" i="31"/>
  <c r="F104" i="31"/>
  <c r="E104" i="31"/>
  <c r="R99" i="31"/>
  <c r="Q99" i="31"/>
  <c r="P99" i="31"/>
  <c r="L99" i="31"/>
  <c r="K99" i="31"/>
  <c r="J99" i="31"/>
  <c r="I99" i="31"/>
  <c r="F99" i="31"/>
  <c r="E99" i="31"/>
  <c r="R98" i="31"/>
  <c r="Q98" i="31"/>
  <c r="P98" i="31"/>
  <c r="O98" i="31"/>
  <c r="N98" i="31"/>
  <c r="M98" i="31"/>
  <c r="L98" i="31"/>
  <c r="K98" i="31"/>
  <c r="I98" i="31"/>
  <c r="H98" i="31"/>
  <c r="G98" i="31"/>
  <c r="F98" i="31"/>
  <c r="E98" i="31"/>
  <c r="O97" i="31"/>
  <c r="N97" i="31"/>
  <c r="M97" i="31"/>
  <c r="J97" i="31"/>
  <c r="R96" i="31"/>
  <c r="Q96" i="31"/>
  <c r="P96" i="31"/>
  <c r="O96" i="31"/>
  <c r="N96" i="31"/>
  <c r="M96" i="31"/>
  <c r="L96" i="31"/>
  <c r="K96" i="31"/>
  <c r="J96" i="31"/>
  <c r="I96" i="31"/>
  <c r="H96" i="31"/>
  <c r="G96" i="31"/>
  <c r="F96" i="31"/>
  <c r="E96" i="31"/>
  <c r="O93" i="31"/>
  <c r="O94" i="31" s="1"/>
  <c r="N93" i="31"/>
  <c r="N94" i="31" s="1"/>
  <c r="M93" i="31"/>
  <c r="M94" i="31" s="1"/>
  <c r="H93" i="31"/>
  <c r="G93" i="31"/>
  <c r="G99" i="31" s="1"/>
  <c r="D93" i="31"/>
  <c r="J92" i="31"/>
  <c r="J94" i="31" s="1"/>
  <c r="D92" i="31"/>
  <c r="R91" i="31"/>
  <c r="R94" i="31" s="1"/>
  <c r="R100" i="31" s="1"/>
  <c r="Q91" i="31"/>
  <c r="Q94" i="31" s="1"/>
  <c r="P91" i="31"/>
  <c r="P94" i="31" s="1"/>
  <c r="L91" i="31"/>
  <c r="L94" i="31" s="1"/>
  <c r="K91" i="31"/>
  <c r="K94" i="31" s="1"/>
  <c r="I91" i="31"/>
  <c r="I94" i="31" s="1"/>
  <c r="H91" i="31"/>
  <c r="G91" i="31"/>
  <c r="G94" i="31" s="1"/>
  <c r="F91" i="31"/>
  <c r="F94" i="31" s="1"/>
  <c r="F100" i="31" s="1"/>
  <c r="E91" i="31"/>
  <c r="E94" i="31" s="1"/>
  <c r="D91" i="31"/>
  <c r="R90" i="31"/>
  <c r="Q90" i="31"/>
  <c r="P90" i="31"/>
  <c r="O90" i="31"/>
  <c r="N90" i="31"/>
  <c r="M90" i="31"/>
  <c r="L90" i="31"/>
  <c r="K90" i="31"/>
  <c r="J90" i="31"/>
  <c r="I90" i="31"/>
  <c r="H90" i="31"/>
  <c r="G90" i="31"/>
  <c r="F90" i="31"/>
  <c r="E90" i="31"/>
  <c r="Q88" i="31"/>
  <c r="P88" i="31"/>
  <c r="I88" i="31"/>
  <c r="H88" i="31"/>
  <c r="E88" i="31"/>
  <c r="O87" i="31"/>
  <c r="O88" i="31" s="1"/>
  <c r="O100" i="31" s="1"/>
  <c r="N87" i="31"/>
  <c r="N88" i="31" s="1"/>
  <c r="N100" i="31" s="1"/>
  <c r="M87" i="31"/>
  <c r="H87" i="31"/>
  <c r="G87" i="31"/>
  <c r="D87" i="31"/>
  <c r="D99" i="31" s="1"/>
  <c r="T86" i="31"/>
  <c r="J86" i="31"/>
  <c r="J88" i="31" s="1"/>
  <c r="D86" i="31"/>
  <c r="R85" i="31"/>
  <c r="R88" i="31" s="1"/>
  <c r="Q85" i="31"/>
  <c r="Q97" i="31" s="1"/>
  <c r="P85" i="31"/>
  <c r="L85" i="31"/>
  <c r="K85" i="31"/>
  <c r="K88" i="31" s="1"/>
  <c r="I85" i="31"/>
  <c r="I97" i="31" s="1"/>
  <c r="H85" i="31"/>
  <c r="G85" i="31"/>
  <c r="G88" i="31" s="1"/>
  <c r="F85" i="31"/>
  <c r="F88" i="31" s="1"/>
  <c r="E85" i="31"/>
  <c r="D85" i="31"/>
  <c r="R84" i="31"/>
  <c r="Q84" i="31"/>
  <c r="P84" i="31"/>
  <c r="O84" i="31"/>
  <c r="N84" i="31"/>
  <c r="M84" i="31"/>
  <c r="L84" i="31"/>
  <c r="K84" i="31"/>
  <c r="J84" i="31"/>
  <c r="I84" i="31"/>
  <c r="H84" i="31"/>
  <c r="G84" i="31"/>
  <c r="F84" i="31"/>
  <c r="E84" i="31"/>
  <c r="R80" i="31"/>
  <c r="Q80" i="31"/>
  <c r="P80" i="31"/>
  <c r="L80" i="31"/>
  <c r="K80" i="31"/>
  <c r="J80" i="31"/>
  <c r="I80" i="31"/>
  <c r="F80" i="31"/>
  <c r="E80" i="31"/>
  <c r="R79" i="31"/>
  <c r="Q79" i="31"/>
  <c r="P79" i="31"/>
  <c r="O79" i="31"/>
  <c r="N79" i="31"/>
  <c r="M79" i="31"/>
  <c r="L79" i="31"/>
  <c r="K79" i="31"/>
  <c r="I79" i="31"/>
  <c r="H79" i="31"/>
  <c r="G79" i="31"/>
  <c r="F79" i="31"/>
  <c r="E79" i="31"/>
  <c r="O78" i="31"/>
  <c r="N78" i="31"/>
  <c r="M78" i="31"/>
  <c r="J78" i="31"/>
  <c r="O74" i="31"/>
  <c r="O75" i="31" s="1"/>
  <c r="N74" i="31"/>
  <c r="N75" i="31" s="1"/>
  <c r="M74" i="31"/>
  <c r="H74" i="31"/>
  <c r="G74" i="31"/>
  <c r="G113" i="31" s="1"/>
  <c r="D74" i="31"/>
  <c r="D113" i="31" s="1"/>
  <c r="J73" i="31"/>
  <c r="J75" i="31" s="1"/>
  <c r="D73" i="31"/>
  <c r="R72" i="31"/>
  <c r="R75" i="31" s="1"/>
  <c r="Q72" i="31"/>
  <c r="Q111" i="31" s="1"/>
  <c r="Q114" i="31" s="1"/>
  <c r="P72" i="31"/>
  <c r="L72" i="31"/>
  <c r="K72" i="31"/>
  <c r="K75" i="31" s="1"/>
  <c r="I72" i="31"/>
  <c r="I111" i="31" s="1"/>
  <c r="I114" i="31" s="1"/>
  <c r="H72" i="31"/>
  <c r="G72" i="31"/>
  <c r="G75" i="31" s="1"/>
  <c r="F72" i="31"/>
  <c r="F75" i="31" s="1"/>
  <c r="E72" i="31"/>
  <c r="E111" i="31" s="1"/>
  <c r="E114" i="31" s="1"/>
  <c r="D72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Q69" i="31"/>
  <c r="P69" i="31"/>
  <c r="I69" i="31"/>
  <c r="H69" i="31"/>
  <c r="E69" i="31"/>
  <c r="O68" i="31"/>
  <c r="O107" i="31" s="1"/>
  <c r="N68" i="31"/>
  <c r="M68" i="31"/>
  <c r="M107" i="31" s="1"/>
  <c r="H68" i="31"/>
  <c r="G68" i="31"/>
  <c r="G107" i="31" s="1"/>
  <c r="D68" i="31"/>
  <c r="D107" i="31" s="1"/>
  <c r="T67" i="31"/>
  <c r="J67" i="31"/>
  <c r="J106" i="31" s="1"/>
  <c r="D67" i="31"/>
  <c r="R66" i="31"/>
  <c r="Q66" i="31"/>
  <c r="P66" i="31"/>
  <c r="L66" i="31"/>
  <c r="L105" i="31" s="1"/>
  <c r="K66" i="31"/>
  <c r="I66" i="31"/>
  <c r="H66" i="31"/>
  <c r="G66" i="31"/>
  <c r="F66" i="31"/>
  <c r="T66" i="31" s="1"/>
  <c r="E66" i="31"/>
  <c r="D66" i="31"/>
  <c r="AW60" i="31"/>
  <c r="AY60" i="31" s="1"/>
  <c r="AV60" i="31"/>
  <c r="AX60" i="31" s="1"/>
  <c r="AS60" i="31"/>
  <c r="AU60" i="31" s="1"/>
  <c r="AR60" i="31"/>
  <c r="AT60" i="31" s="1"/>
  <c r="AH60" i="31"/>
  <c r="L60" i="31"/>
  <c r="K60" i="31"/>
  <c r="AW59" i="31"/>
  <c r="AY59" i="31" s="1"/>
  <c r="AV59" i="31"/>
  <c r="AX59" i="31" s="1"/>
  <c r="AS59" i="31"/>
  <c r="AU59" i="31" s="1"/>
  <c r="AR59" i="31"/>
  <c r="AT59" i="31" s="1"/>
  <c r="AH59" i="31"/>
  <c r="L59" i="31"/>
  <c r="K59" i="31"/>
  <c r="AW58" i="31"/>
  <c r="AY58" i="31" s="1"/>
  <c r="AV58" i="31"/>
  <c r="AX58" i="31" s="1"/>
  <c r="AS58" i="31"/>
  <c r="AU58" i="31" s="1"/>
  <c r="AR58" i="31"/>
  <c r="AT58" i="31" s="1"/>
  <c r="AH58" i="31"/>
  <c r="L58" i="31"/>
  <c r="K58" i="31"/>
  <c r="AW57" i="31"/>
  <c r="AY57" i="31" s="1"/>
  <c r="AV57" i="31"/>
  <c r="AX57" i="31" s="1"/>
  <c r="AS57" i="31"/>
  <c r="AU57" i="31" s="1"/>
  <c r="AR57" i="31"/>
  <c r="AT57" i="31" s="1"/>
  <c r="AH57" i="31"/>
  <c r="L57" i="31"/>
  <c r="K57" i="31"/>
  <c r="AY56" i="31"/>
  <c r="AW56" i="31"/>
  <c r="AV56" i="31"/>
  <c r="AX56" i="31" s="1"/>
  <c r="AT56" i="31"/>
  <c r="AS56" i="31"/>
  <c r="AU56" i="31" s="1"/>
  <c r="AR56" i="31"/>
  <c r="AH56" i="31"/>
  <c r="L56" i="31"/>
  <c r="K56" i="31"/>
  <c r="AW55" i="31"/>
  <c r="AY55" i="31" s="1"/>
  <c r="AV55" i="31"/>
  <c r="AX55" i="31" s="1"/>
  <c r="AS55" i="31"/>
  <c r="AU55" i="31" s="1"/>
  <c r="AR55" i="31"/>
  <c r="AT55" i="31" s="1"/>
  <c r="AH55" i="31"/>
  <c r="L55" i="31"/>
  <c r="K55" i="31"/>
  <c r="AW54" i="31"/>
  <c r="AY54" i="31" s="1"/>
  <c r="AV54" i="31"/>
  <c r="AX54" i="31" s="1"/>
  <c r="AS54" i="31"/>
  <c r="AU54" i="31" s="1"/>
  <c r="AR54" i="31"/>
  <c r="AT54" i="31" s="1"/>
  <c r="AH54" i="31"/>
  <c r="L54" i="31"/>
  <c r="K54" i="31"/>
  <c r="AW53" i="31"/>
  <c r="AY53" i="31" s="1"/>
  <c r="AV53" i="31"/>
  <c r="AX53" i="31" s="1"/>
  <c r="AS53" i="31"/>
  <c r="AU53" i="31" s="1"/>
  <c r="AR53" i="31"/>
  <c r="AT53" i="31" s="1"/>
  <c r="AH53" i="31"/>
  <c r="L53" i="31"/>
  <c r="K53" i="31"/>
  <c r="AW52" i="31"/>
  <c r="AY52" i="31" s="1"/>
  <c r="AV52" i="31"/>
  <c r="AX52" i="31" s="1"/>
  <c r="AS52" i="31"/>
  <c r="AU52" i="31" s="1"/>
  <c r="AR52" i="31"/>
  <c r="AT52" i="31" s="1"/>
  <c r="AH52" i="31"/>
  <c r="L52" i="31"/>
  <c r="K52" i="31"/>
  <c r="AW51" i="31"/>
  <c r="AY51" i="31" s="1"/>
  <c r="AV51" i="31"/>
  <c r="AX51" i="31" s="1"/>
  <c r="AS51" i="31"/>
  <c r="AU51" i="31" s="1"/>
  <c r="AR51" i="31"/>
  <c r="AT51" i="31" s="1"/>
  <c r="AH51" i="31"/>
  <c r="L51" i="31"/>
  <c r="K51" i="31"/>
  <c r="AW50" i="31"/>
  <c r="AY50" i="31" s="1"/>
  <c r="AV50" i="31"/>
  <c r="AX50" i="31" s="1"/>
  <c r="AS50" i="31"/>
  <c r="AU50" i="31" s="1"/>
  <c r="AR50" i="31"/>
  <c r="AT50" i="31" s="1"/>
  <c r="AH50" i="31"/>
  <c r="L50" i="31"/>
  <c r="K50" i="31"/>
  <c r="AW49" i="31"/>
  <c r="AY49" i="31" s="1"/>
  <c r="AV49" i="31"/>
  <c r="AX49" i="31" s="1"/>
  <c r="AS49" i="31"/>
  <c r="AU49" i="31" s="1"/>
  <c r="AR49" i="31"/>
  <c r="AT49" i="31" s="1"/>
  <c r="AH49" i="31"/>
  <c r="L49" i="31"/>
  <c r="K49" i="31"/>
  <c r="AW48" i="31"/>
  <c r="AY48" i="31" s="1"/>
  <c r="AV48" i="31"/>
  <c r="AX48" i="31" s="1"/>
  <c r="AU48" i="31"/>
  <c r="AS48" i="31"/>
  <c r="AR48" i="31"/>
  <c r="AT48" i="31" s="1"/>
  <c r="AH48" i="31"/>
  <c r="L48" i="31"/>
  <c r="K48" i="31"/>
  <c r="AW47" i="31"/>
  <c r="AY47" i="31" s="1"/>
  <c r="AV47" i="31"/>
  <c r="AX47" i="31" s="1"/>
  <c r="AS47" i="31"/>
  <c r="AU47" i="31" s="1"/>
  <c r="AR47" i="31"/>
  <c r="AT47" i="31" s="1"/>
  <c r="AH47" i="31"/>
  <c r="L47" i="31"/>
  <c r="K47" i="31"/>
  <c r="AW46" i="31"/>
  <c r="AY46" i="31" s="1"/>
  <c r="AV46" i="31"/>
  <c r="AX46" i="31" s="1"/>
  <c r="AS46" i="31"/>
  <c r="AU46" i="31" s="1"/>
  <c r="AR46" i="31"/>
  <c r="AT46" i="31" s="1"/>
  <c r="AH46" i="31"/>
  <c r="L46" i="31"/>
  <c r="K46" i="31"/>
  <c r="AW45" i="31"/>
  <c r="AY45" i="31" s="1"/>
  <c r="AV45" i="31"/>
  <c r="AX45" i="31" s="1"/>
  <c r="AS45" i="31"/>
  <c r="AU45" i="31" s="1"/>
  <c r="AR45" i="31"/>
  <c r="AT45" i="31" s="1"/>
  <c r="AH45" i="31"/>
  <c r="L45" i="31"/>
  <c r="K45" i="31"/>
  <c r="AW44" i="31"/>
  <c r="AY44" i="31" s="1"/>
  <c r="AV44" i="31"/>
  <c r="AX44" i="31" s="1"/>
  <c r="AS44" i="31"/>
  <c r="AU44" i="31" s="1"/>
  <c r="AR44" i="31"/>
  <c r="AT44" i="31" s="1"/>
  <c r="AH44" i="31"/>
  <c r="L44" i="31"/>
  <c r="K44" i="31"/>
  <c r="AW43" i="31"/>
  <c r="AY43" i="31" s="1"/>
  <c r="AV43" i="31"/>
  <c r="AX43" i="31" s="1"/>
  <c r="AT43" i="31"/>
  <c r="AS43" i="31"/>
  <c r="AU43" i="31" s="1"/>
  <c r="AR43" i="31"/>
  <c r="AH43" i="31"/>
  <c r="L43" i="31"/>
  <c r="K43" i="31"/>
  <c r="AW42" i="31"/>
  <c r="AY42" i="31" s="1"/>
  <c r="AV42" i="31"/>
  <c r="AX42" i="31" s="1"/>
  <c r="AS42" i="31"/>
  <c r="AU42" i="31" s="1"/>
  <c r="AR42" i="31"/>
  <c r="AT42" i="31" s="1"/>
  <c r="AH42" i="31"/>
  <c r="L42" i="31"/>
  <c r="K42" i="31"/>
  <c r="AW41" i="31"/>
  <c r="AY41" i="31" s="1"/>
  <c r="AV41" i="31"/>
  <c r="AX41" i="31" s="1"/>
  <c r="AS41" i="31"/>
  <c r="AU41" i="31" s="1"/>
  <c r="AR41" i="31"/>
  <c r="AT41" i="31" s="1"/>
  <c r="AH41" i="31"/>
  <c r="L41" i="31"/>
  <c r="K41" i="31"/>
  <c r="AW40" i="31"/>
  <c r="AY40" i="31" s="1"/>
  <c r="AV40" i="31"/>
  <c r="AX40" i="31" s="1"/>
  <c r="AU40" i="31"/>
  <c r="AS40" i="31"/>
  <c r="AR40" i="31"/>
  <c r="AT40" i="31" s="1"/>
  <c r="AH40" i="31"/>
  <c r="L40" i="31"/>
  <c r="K40" i="31"/>
  <c r="AW39" i="31"/>
  <c r="AY39" i="31" s="1"/>
  <c r="AV39" i="31"/>
  <c r="AX39" i="31" s="1"/>
  <c r="AS39" i="31"/>
  <c r="AU39" i="31" s="1"/>
  <c r="AR39" i="31"/>
  <c r="AT39" i="31" s="1"/>
  <c r="AH39" i="31"/>
  <c r="L39" i="31"/>
  <c r="K39" i="31"/>
  <c r="AW38" i="31"/>
  <c r="AY38" i="31" s="1"/>
  <c r="AV38" i="31"/>
  <c r="AX38" i="31" s="1"/>
  <c r="AS38" i="31"/>
  <c r="AU38" i="31" s="1"/>
  <c r="AR38" i="31"/>
  <c r="AT38" i="31" s="1"/>
  <c r="AH38" i="31"/>
  <c r="L38" i="31"/>
  <c r="K38" i="31"/>
  <c r="AW37" i="31"/>
  <c r="AY37" i="31" s="1"/>
  <c r="AV37" i="31"/>
  <c r="AX37" i="31" s="1"/>
  <c r="AS37" i="31"/>
  <c r="AU37" i="31" s="1"/>
  <c r="AR37" i="31"/>
  <c r="AT37" i="31" s="1"/>
  <c r="AH37" i="31"/>
  <c r="L37" i="31"/>
  <c r="K37" i="31"/>
  <c r="AW36" i="31"/>
  <c r="AY36" i="31" s="1"/>
  <c r="AV36" i="31"/>
  <c r="AX36" i="31" s="1"/>
  <c r="AS36" i="31"/>
  <c r="AU36" i="31" s="1"/>
  <c r="AR36" i="31"/>
  <c r="AT36" i="31" s="1"/>
  <c r="AH36" i="31"/>
  <c r="L36" i="31"/>
  <c r="K36" i="31"/>
  <c r="AW35" i="31"/>
  <c r="AY35" i="31" s="1"/>
  <c r="AV35" i="31"/>
  <c r="AX35" i="31" s="1"/>
  <c r="AS35" i="31"/>
  <c r="AU35" i="31" s="1"/>
  <c r="AR35" i="31"/>
  <c r="AT35" i="31" s="1"/>
  <c r="AH35" i="31"/>
  <c r="L35" i="31"/>
  <c r="K35" i="31"/>
  <c r="AW34" i="31"/>
  <c r="AY34" i="31" s="1"/>
  <c r="AV34" i="31"/>
  <c r="AX34" i="31" s="1"/>
  <c r="AS34" i="31"/>
  <c r="AU34" i="31" s="1"/>
  <c r="AR34" i="31"/>
  <c r="AT34" i="31" s="1"/>
  <c r="AH34" i="31"/>
  <c r="L34" i="31"/>
  <c r="K34" i="31"/>
  <c r="AW33" i="31"/>
  <c r="AY33" i="31" s="1"/>
  <c r="AV33" i="31"/>
  <c r="AX33" i="31" s="1"/>
  <c r="AS33" i="31"/>
  <c r="AU33" i="31" s="1"/>
  <c r="AR33" i="31"/>
  <c r="AT33" i="31" s="1"/>
  <c r="AH33" i="31"/>
  <c r="L33" i="31"/>
  <c r="K33" i="31"/>
  <c r="AW32" i="31"/>
  <c r="AY32" i="31" s="1"/>
  <c r="AV32" i="31"/>
  <c r="AX32" i="31" s="1"/>
  <c r="AS32" i="31"/>
  <c r="AU32" i="31" s="1"/>
  <c r="AR32" i="31"/>
  <c r="AT32" i="31" s="1"/>
  <c r="AH32" i="31"/>
  <c r="L32" i="31"/>
  <c r="K32" i="31"/>
  <c r="AW31" i="31"/>
  <c r="AY31" i="31" s="1"/>
  <c r="AV31" i="31"/>
  <c r="AX31" i="31" s="1"/>
  <c r="AS31" i="31"/>
  <c r="AU31" i="31" s="1"/>
  <c r="AR31" i="31"/>
  <c r="AT31" i="31" s="1"/>
  <c r="AH31" i="31"/>
  <c r="L31" i="31"/>
  <c r="K31" i="31"/>
  <c r="AW30" i="31"/>
  <c r="AY30" i="31" s="1"/>
  <c r="AV30" i="31"/>
  <c r="AX30" i="31" s="1"/>
  <c r="AS30" i="31"/>
  <c r="AU30" i="31" s="1"/>
  <c r="AR30" i="31"/>
  <c r="AT30" i="31" s="1"/>
  <c r="AH30" i="31"/>
  <c r="L30" i="31"/>
  <c r="K30" i="31"/>
  <c r="AW29" i="31"/>
  <c r="AY29" i="31" s="1"/>
  <c r="AV29" i="31"/>
  <c r="AX29" i="31" s="1"/>
  <c r="AS29" i="31"/>
  <c r="AU29" i="31" s="1"/>
  <c r="AR29" i="31"/>
  <c r="AT29" i="31" s="1"/>
  <c r="AH29" i="31"/>
  <c r="L29" i="31"/>
  <c r="K29" i="31"/>
  <c r="AW28" i="31"/>
  <c r="AY28" i="31" s="1"/>
  <c r="AV28" i="31"/>
  <c r="AX28" i="31" s="1"/>
  <c r="AS28" i="31"/>
  <c r="AU28" i="31" s="1"/>
  <c r="AR28" i="31"/>
  <c r="AT28" i="31" s="1"/>
  <c r="AH28" i="31"/>
  <c r="L28" i="31"/>
  <c r="K28" i="31"/>
  <c r="AW27" i="31"/>
  <c r="AY27" i="31" s="1"/>
  <c r="AV27" i="31"/>
  <c r="AX27" i="31" s="1"/>
  <c r="AS27" i="31"/>
  <c r="AU27" i="31" s="1"/>
  <c r="AR27" i="31"/>
  <c r="AT27" i="31" s="1"/>
  <c r="AH27" i="31"/>
  <c r="L27" i="31"/>
  <c r="K27" i="31"/>
  <c r="AW26" i="31"/>
  <c r="AY26" i="31" s="1"/>
  <c r="AV26" i="31"/>
  <c r="AX26" i="31" s="1"/>
  <c r="AS26" i="31"/>
  <c r="AU26" i="31" s="1"/>
  <c r="AR26" i="31"/>
  <c r="AT26" i="31" s="1"/>
  <c r="AH26" i="31"/>
  <c r="L26" i="31"/>
  <c r="K26" i="31"/>
  <c r="AW25" i="31"/>
  <c r="AY25" i="31" s="1"/>
  <c r="AV25" i="31"/>
  <c r="AX25" i="31" s="1"/>
  <c r="AS25" i="31"/>
  <c r="AU25" i="31" s="1"/>
  <c r="AR25" i="31"/>
  <c r="AT25" i="31" s="1"/>
  <c r="AH25" i="31"/>
  <c r="L25" i="31"/>
  <c r="K25" i="31"/>
  <c r="AW24" i="31"/>
  <c r="AY24" i="31" s="1"/>
  <c r="AV24" i="31"/>
  <c r="AX24" i="31" s="1"/>
  <c r="AU24" i="31"/>
  <c r="AS24" i="31"/>
  <c r="AR24" i="31"/>
  <c r="AT24" i="31" s="1"/>
  <c r="AH24" i="31"/>
  <c r="L24" i="31"/>
  <c r="K24" i="31"/>
  <c r="AW23" i="31"/>
  <c r="AY23" i="31" s="1"/>
  <c r="AV23" i="31"/>
  <c r="AX23" i="31" s="1"/>
  <c r="AS23" i="31"/>
  <c r="AU23" i="31" s="1"/>
  <c r="AR23" i="31"/>
  <c r="AT23" i="31" s="1"/>
  <c r="AH23" i="31"/>
  <c r="L23" i="31"/>
  <c r="K23" i="31"/>
  <c r="AW22" i="31"/>
  <c r="AY22" i="31" s="1"/>
  <c r="AV22" i="31"/>
  <c r="AX22" i="31" s="1"/>
  <c r="AS22" i="31"/>
  <c r="AU22" i="31" s="1"/>
  <c r="AR22" i="31"/>
  <c r="AT22" i="31" s="1"/>
  <c r="AH22" i="31"/>
  <c r="L22" i="31"/>
  <c r="K22" i="31"/>
  <c r="AW21" i="31"/>
  <c r="AY21" i="31" s="1"/>
  <c r="AV21" i="31"/>
  <c r="AX21" i="31" s="1"/>
  <c r="AS21" i="31"/>
  <c r="AU21" i="31" s="1"/>
  <c r="AR21" i="31"/>
  <c r="AT21" i="31" s="1"/>
  <c r="AH21" i="31"/>
  <c r="L21" i="31"/>
  <c r="K21" i="31"/>
  <c r="AW20" i="31"/>
  <c r="AY20" i="31" s="1"/>
  <c r="AV20" i="31"/>
  <c r="AX20" i="31" s="1"/>
  <c r="AS20" i="31"/>
  <c r="AU20" i="31" s="1"/>
  <c r="AR20" i="31"/>
  <c r="AT20" i="31" s="1"/>
  <c r="AH20" i="31"/>
  <c r="L20" i="31"/>
  <c r="K20" i="31"/>
  <c r="AW19" i="31"/>
  <c r="AY19" i="31" s="1"/>
  <c r="AV19" i="31"/>
  <c r="AX19" i="31" s="1"/>
  <c r="AS19" i="31"/>
  <c r="AU19" i="31" s="1"/>
  <c r="AR19" i="31"/>
  <c r="AT19" i="31" s="1"/>
  <c r="AH19" i="31"/>
  <c r="L19" i="31"/>
  <c r="K19" i="31"/>
  <c r="AW18" i="31"/>
  <c r="AY18" i="31" s="1"/>
  <c r="AV18" i="31"/>
  <c r="AX18" i="31" s="1"/>
  <c r="AS18" i="31"/>
  <c r="AU18" i="31" s="1"/>
  <c r="AR18" i="31"/>
  <c r="AT18" i="31" s="1"/>
  <c r="AH18" i="31"/>
  <c r="L18" i="31"/>
  <c r="K18" i="31"/>
  <c r="AW17" i="31"/>
  <c r="AY17" i="31" s="1"/>
  <c r="AV17" i="31"/>
  <c r="AX17" i="31" s="1"/>
  <c r="AS17" i="31"/>
  <c r="AU17" i="31" s="1"/>
  <c r="AR17" i="31"/>
  <c r="AT17" i="31" s="1"/>
  <c r="AH17" i="31"/>
  <c r="L17" i="31"/>
  <c r="K17" i="31"/>
  <c r="AW16" i="31"/>
  <c r="AY16" i="31" s="1"/>
  <c r="AV16" i="31"/>
  <c r="AX16" i="31" s="1"/>
  <c r="AU16" i="31"/>
  <c r="AS16" i="31"/>
  <c r="AR16" i="31"/>
  <c r="AT16" i="31" s="1"/>
  <c r="AH16" i="31"/>
  <c r="L16" i="31"/>
  <c r="K16" i="31"/>
  <c r="AW15" i="31"/>
  <c r="AY15" i="31" s="1"/>
  <c r="AV15" i="31"/>
  <c r="AX15" i="31" s="1"/>
  <c r="AT15" i="31"/>
  <c r="AS15" i="31"/>
  <c r="AU15" i="31" s="1"/>
  <c r="AR15" i="31"/>
  <c r="AH15" i="31"/>
  <c r="L15" i="31"/>
  <c r="K15" i="31"/>
  <c r="AW14" i="31"/>
  <c r="AY14" i="31" s="1"/>
  <c r="AV14" i="31"/>
  <c r="AX14" i="31" s="1"/>
  <c r="AT14" i="31"/>
  <c r="AS14" i="31"/>
  <c r="AU14" i="31" s="1"/>
  <c r="AR14" i="31"/>
  <c r="AH14" i="31"/>
  <c r="L14" i="31"/>
  <c r="K14" i="31"/>
  <c r="AW13" i="31"/>
  <c r="AY13" i="31" s="1"/>
  <c r="AV13" i="31"/>
  <c r="AX13" i="31" s="1"/>
  <c r="AS13" i="31"/>
  <c r="AU13" i="31" s="1"/>
  <c r="AR13" i="31"/>
  <c r="AT13" i="31" s="1"/>
  <c r="AH13" i="31"/>
  <c r="L13" i="31"/>
  <c r="K13" i="31"/>
  <c r="AW12" i="31"/>
  <c r="AY12" i="31" s="1"/>
  <c r="AV12" i="31"/>
  <c r="AX12" i="31" s="1"/>
  <c r="AS12" i="31"/>
  <c r="AU12" i="31" s="1"/>
  <c r="AR12" i="31"/>
  <c r="AT12" i="31" s="1"/>
  <c r="AH12" i="31"/>
  <c r="L12" i="31"/>
  <c r="K12" i="31"/>
  <c r="AW11" i="31"/>
  <c r="AY11" i="31" s="1"/>
  <c r="AV11" i="31"/>
  <c r="AX11" i="31" s="1"/>
  <c r="AS11" i="31"/>
  <c r="AU11" i="31" s="1"/>
  <c r="AR11" i="31"/>
  <c r="AT11" i="31" s="1"/>
  <c r="AH11" i="31"/>
  <c r="L11" i="31"/>
  <c r="K11" i="31"/>
  <c r="AW10" i="31"/>
  <c r="AY10" i="31" s="1"/>
  <c r="AV10" i="31"/>
  <c r="AX10" i="31" s="1"/>
  <c r="AS10" i="31"/>
  <c r="AU10" i="31" s="1"/>
  <c r="AR10" i="31"/>
  <c r="AT10" i="31" s="1"/>
  <c r="AH10" i="31"/>
  <c r="L10" i="31"/>
  <c r="K10" i="31"/>
  <c r="AW9" i="31"/>
  <c r="AY9" i="31" s="1"/>
  <c r="AV9" i="31"/>
  <c r="AX9" i="31" s="1"/>
  <c r="AS9" i="31"/>
  <c r="AU9" i="31" s="1"/>
  <c r="AR9" i="31"/>
  <c r="AT9" i="31" s="1"/>
  <c r="AH9" i="31"/>
  <c r="L9" i="31"/>
  <c r="K9" i="31"/>
  <c r="AW8" i="31"/>
  <c r="AY8" i="31" s="1"/>
  <c r="AV8" i="31"/>
  <c r="AX8" i="31" s="1"/>
  <c r="AS8" i="31"/>
  <c r="AU8" i="31" s="1"/>
  <c r="AR8" i="31"/>
  <c r="AT8" i="31" s="1"/>
  <c r="AH8" i="31"/>
  <c r="L8" i="31"/>
  <c r="K8" i="31"/>
  <c r="AW7" i="31"/>
  <c r="AY7" i="31" s="1"/>
  <c r="AV7" i="31"/>
  <c r="AX7" i="31" s="1"/>
  <c r="AS7" i="31"/>
  <c r="AU7" i="31" s="1"/>
  <c r="AR7" i="31"/>
  <c r="AT7" i="31" s="1"/>
  <c r="AH7" i="31"/>
  <c r="L7" i="31"/>
  <c r="K7" i="31"/>
  <c r="AW6" i="31"/>
  <c r="AY6" i="31" s="1"/>
  <c r="AV6" i="31"/>
  <c r="AX6" i="31" s="1"/>
  <c r="AS6" i="31"/>
  <c r="AU6" i="31" s="1"/>
  <c r="AR6" i="31"/>
  <c r="AT6" i="31" s="1"/>
  <c r="AH6" i="31"/>
  <c r="L6" i="31"/>
  <c r="K6" i="31"/>
  <c r="AW5" i="31"/>
  <c r="AY5" i="31" s="1"/>
  <c r="AV5" i="31"/>
  <c r="AX5" i="31" s="1"/>
  <c r="AS5" i="31"/>
  <c r="AU5" i="31" s="1"/>
  <c r="AR5" i="31"/>
  <c r="AT5" i="31" s="1"/>
  <c r="AH5" i="31"/>
  <c r="L5" i="31"/>
  <c r="K5" i="31"/>
  <c r="AW4" i="31"/>
  <c r="AY4" i="31" s="1"/>
  <c r="AV4" i="31"/>
  <c r="AX4" i="31" s="1"/>
  <c r="AS4" i="31"/>
  <c r="AU4" i="31" s="1"/>
  <c r="AR4" i="31"/>
  <c r="AT4" i="31" s="1"/>
  <c r="AH4" i="31"/>
  <c r="L4" i="31"/>
  <c r="K4" i="31"/>
  <c r="AW3" i="31"/>
  <c r="AY3" i="31" s="1"/>
  <c r="AV3" i="31"/>
  <c r="AX3" i="31" s="1"/>
  <c r="AS3" i="31"/>
  <c r="AU3" i="31" s="1"/>
  <c r="AR3" i="31"/>
  <c r="AT3" i="31" s="1"/>
  <c r="AH3" i="31"/>
  <c r="L3" i="31"/>
  <c r="K3" i="31"/>
  <c r="D112" i="37" l="1"/>
  <c r="D118" i="37" s="1"/>
  <c r="H99" i="37"/>
  <c r="D94" i="37"/>
  <c r="H94" i="37"/>
  <c r="H100" i="37" s="1"/>
  <c r="G100" i="37"/>
  <c r="L97" i="37"/>
  <c r="T92" i="37"/>
  <c r="H113" i="37"/>
  <c r="H119" i="37" s="1"/>
  <c r="H80" i="37"/>
  <c r="D97" i="37"/>
  <c r="H97" i="37"/>
  <c r="D111" i="37"/>
  <c r="D117" i="37" s="1"/>
  <c r="H111" i="37"/>
  <c r="P111" i="37"/>
  <c r="P114" i="37" s="1"/>
  <c r="J79" i="37"/>
  <c r="T79" i="37" s="1"/>
  <c r="I111" i="36"/>
  <c r="I114" i="36" s="1"/>
  <c r="Q111" i="36"/>
  <c r="Q114" i="36" s="1"/>
  <c r="G113" i="36"/>
  <c r="G119" i="36" s="1"/>
  <c r="R100" i="36"/>
  <c r="D99" i="36"/>
  <c r="N100" i="36"/>
  <c r="I100" i="36"/>
  <c r="G94" i="36"/>
  <c r="E111" i="36"/>
  <c r="D113" i="36"/>
  <c r="D119" i="36" s="1"/>
  <c r="E75" i="36"/>
  <c r="E81" i="36" s="1"/>
  <c r="M113" i="36"/>
  <c r="M119" i="36" s="1"/>
  <c r="Q75" i="36"/>
  <c r="Q81" i="36" s="1"/>
  <c r="I78" i="36"/>
  <c r="F100" i="36"/>
  <c r="O99" i="36"/>
  <c r="I75" i="35"/>
  <c r="G94" i="35"/>
  <c r="Q78" i="35"/>
  <c r="G113" i="35"/>
  <c r="T113" i="35" s="1"/>
  <c r="H114" i="35"/>
  <c r="D94" i="35"/>
  <c r="E78" i="35"/>
  <c r="D97" i="35"/>
  <c r="H97" i="35"/>
  <c r="P97" i="35"/>
  <c r="H99" i="35"/>
  <c r="T92" i="35"/>
  <c r="O99" i="35"/>
  <c r="M114" i="35"/>
  <c r="J112" i="35"/>
  <c r="T112" i="35" s="1"/>
  <c r="H80" i="35"/>
  <c r="I100" i="35"/>
  <c r="P75" i="35"/>
  <c r="H78" i="35"/>
  <c r="E97" i="35"/>
  <c r="J98" i="35"/>
  <c r="T98" i="35" s="1"/>
  <c r="E117" i="35"/>
  <c r="G119" i="33"/>
  <c r="I75" i="33"/>
  <c r="K100" i="33"/>
  <c r="R100" i="33"/>
  <c r="G94" i="33"/>
  <c r="Q78" i="33"/>
  <c r="Q75" i="33"/>
  <c r="Q81" i="33" s="1"/>
  <c r="E81" i="33"/>
  <c r="I78" i="33"/>
  <c r="O113" i="33"/>
  <c r="O119" i="33" s="1"/>
  <c r="E75" i="33"/>
  <c r="I100" i="33"/>
  <c r="E117" i="33"/>
  <c r="K100" i="34"/>
  <c r="R100" i="34"/>
  <c r="G97" i="34"/>
  <c r="D94" i="34"/>
  <c r="T92" i="34"/>
  <c r="E78" i="34"/>
  <c r="H100" i="34"/>
  <c r="I78" i="34"/>
  <c r="J98" i="34"/>
  <c r="T98" i="34" s="1"/>
  <c r="Q75" i="34"/>
  <c r="Q81" i="34" s="1"/>
  <c r="E81" i="34"/>
  <c r="G94" i="32"/>
  <c r="L97" i="32"/>
  <c r="O100" i="32"/>
  <c r="H97" i="32"/>
  <c r="P97" i="32"/>
  <c r="H99" i="32"/>
  <c r="D79" i="32"/>
  <c r="H80" i="32"/>
  <c r="D94" i="32"/>
  <c r="T74" i="32"/>
  <c r="D97" i="32"/>
  <c r="T92" i="32"/>
  <c r="G100" i="31"/>
  <c r="L97" i="31"/>
  <c r="D98" i="31"/>
  <c r="D94" i="31"/>
  <c r="H94" i="31"/>
  <c r="L111" i="31"/>
  <c r="L114" i="31" s="1"/>
  <c r="D112" i="31"/>
  <c r="D118" i="31" s="1"/>
  <c r="H113" i="31"/>
  <c r="H119" i="31" s="1"/>
  <c r="I78" i="31"/>
  <c r="D119" i="31"/>
  <c r="E75" i="31"/>
  <c r="O119" i="31"/>
  <c r="D111" i="31"/>
  <c r="D117" i="31" s="1"/>
  <c r="H111" i="31"/>
  <c r="P111" i="31"/>
  <c r="P114" i="31" s="1"/>
  <c r="Q75" i="31"/>
  <c r="K100" i="31"/>
  <c r="I117" i="31"/>
  <c r="O113" i="31"/>
  <c r="G97" i="33"/>
  <c r="D113" i="37"/>
  <c r="D119" i="37" s="1"/>
  <c r="D80" i="37"/>
  <c r="E81" i="31"/>
  <c r="Q81" i="31"/>
  <c r="T73" i="31"/>
  <c r="H75" i="31"/>
  <c r="D78" i="31"/>
  <c r="P78" i="31"/>
  <c r="D97" i="31"/>
  <c r="H97" i="31"/>
  <c r="P97" i="31"/>
  <c r="J100" i="31"/>
  <c r="H99" i="31"/>
  <c r="T92" i="31"/>
  <c r="O114" i="31"/>
  <c r="D75" i="32"/>
  <c r="D81" i="32" s="1"/>
  <c r="D94" i="33"/>
  <c r="J112" i="31"/>
  <c r="J114" i="31" s="1"/>
  <c r="N113" i="37"/>
  <c r="N114" i="37" s="1"/>
  <c r="N80" i="37"/>
  <c r="N75" i="37"/>
  <c r="H81" i="31"/>
  <c r="I75" i="31"/>
  <c r="I81" i="31" s="1"/>
  <c r="E78" i="31"/>
  <c r="Q78" i="31"/>
  <c r="E97" i="31"/>
  <c r="H100" i="31"/>
  <c r="J98" i="31"/>
  <c r="T98" i="31" s="1"/>
  <c r="O99" i="31"/>
  <c r="Q117" i="31"/>
  <c r="K111" i="31"/>
  <c r="K114" i="31" s="1"/>
  <c r="R111" i="31"/>
  <c r="R114" i="31" s="1"/>
  <c r="H111" i="32"/>
  <c r="H114" i="32" s="1"/>
  <c r="H75" i="32"/>
  <c r="H81" i="32" s="1"/>
  <c r="P111" i="32"/>
  <c r="P114" i="32" s="1"/>
  <c r="P78" i="32"/>
  <c r="P75" i="32"/>
  <c r="P81" i="32" s="1"/>
  <c r="J112" i="32"/>
  <c r="J114" i="32" s="1"/>
  <c r="T73" i="32"/>
  <c r="E100" i="32"/>
  <c r="G119" i="31"/>
  <c r="P81" i="31"/>
  <c r="P100" i="31"/>
  <c r="P75" i="31"/>
  <c r="H78" i="31"/>
  <c r="D79" i="31"/>
  <c r="H80" i="31"/>
  <c r="T93" i="31"/>
  <c r="H117" i="31"/>
  <c r="T93" i="33"/>
  <c r="G99" i="33"/>
  <c r="O94" i="33"/>
  <c r="O100" i="33" s="1"/>
  <c r="O99" i="33"/>
  <c r="L78" i="32"/>
  <c r="I81" i="32"/>
  <c r="Q81" i="32"/>
  <c r="E111" i="32"/>
  <c r="E114" i="32" s="1"/>
  <c r="I111" i="32"/>
  <c r="I114" i="32" s="1"/>
  <c r="Q111" i="32"/>
  <c r="Q114" i="32" s="1"/>
  <c r="M113" i="32"/>
  <c r="M119" i="32" s="1"/>
  <c r="E75" i="32"/>
  <c r="E81" i="32" s="1"/>
  <c r="M75" i="32"/>
  <c r="M81" i="32" s="1"/>
  <c r="I78" i="32"/>
  <c r="E97" i="32"/>
  <c r="I97" i="32"/>
  <c r="Q97" i="32"/>
  <c r="J98" i="32"/>
  <c r="T98" i="32" s="1"/>
  <c r="N99" i="32"/>
  <c r="H111" i="33"/>
  <c r="H117" i="33" s="1"/>
  <c r="H78" i="33"/>
  <c r="P111" i="33"/>
  <c r="P114" i="33" s="1"/>
  <c r="P75" i="33"/>
  <c r="P81" i="33" s="1"/>
  <c r="H113" i="33"/>
  <c r="H80" i="33"/>
  <c r="D78" i="33"/>
  <c r="G100" i="33"/>
  <c r="D98" i="33"/>
  <c r="P100" i="33"/>
  <c r="P117" i="33"/>
  <c r="F111" i="33"/>
  <c r="F114" i="33" s="1"/>
  <c r="J112" i="33"/>
  <c r="J114" i="33" s="1"/>
  <c r="P81" i="36"/>
  <c r="D111" i="36"/>
  <c r="D117" i="36" s="1"/>
  <c r="D78" i="36"/>
  <c r="H111" i="36"/>
  <c r="H117" i="36" s="1"/>
  <c r="H75" i="36"/>
  <c r="H81" i="36" s="1"/>
  <c r="H78" i="36"/>
  <c r="P111" i="36"/>
  <c r="P114" i="36" s="1"/>
  <c r="P78" i="36"/>
  <c r="J75" i="36"/>
  <c r="T73" i="36"/>
  <c r="J112" i="36"/>
  <c r="T112" i="36" s="1"/>
  <c r="P75" i="36"/>
  <c r="H78" i="32"/>
  <c r="J81" i="32"/>
  <c r="D113" i="32"/>
  <c r="D114" i="32" s="1"/>
  <c r="D99" i="32"/>
  <c r="I100" i="32"/>
  <c r="O99" i="32"/>
  <c r="L117" i="32"/>
  <c r="T112" i="32"/>
  <c r="T73" i="33"/>
  <c r="H75" i="33"/>
  <c r="H81" i="33" s="1"/>
  <c r="E78" i="33"/>
  <c r="D97" i="33"/>
  <c r="H97" i="33"/>
  <c r="P97" i="33"/>
  <c r="J100" i="33"/>
  <c r="H99" i="33"/>
  <c r="E100" i="33"/>
  <c r="T92" i="33"/>
  <c r="J98" i="33"/>
  <c r="T98" i="33" s="1"/>
  <c r="O114" i="33"/>
  <c r="E100" i="34"/>
  <c r="K111" i="34"/>
  <c r="K114" i="34" s="1"/>
  <c r="R111" i="34"/>
  <c r="R114" i="34" s="1"/>
  <c r="N75" i="35"/>
  <c r="N113" i="35"/>
  <c r="P100" i="32"/>
  <c r="H119" i="33"/>
  <c r="K111" i="33"/>
  <c r="K114" i="33" s="1"/>
  <c r="R111" i="33"/>
  <c r="R114" i="33" s="1"/>
  <c r="F75" i="34"/>
  <c r="F111" i="34"/>
  <c r="F114" i="34" s="1"/>
  <c r="F75" i="35"/>
  <c r="F111" i="35"/>
  <c r="F114" i="35" s="1"/>
  <c r="K75" i="35"/>
  <c r="K111" i="35"/>
  <c r="K114" i="35" s="1"/>
  <c r="R75" i="35"/>
  <c r="R111" i="35"/>
  <c r="R114" i="35" s="1"/>
  <c r="H100" i="35"/>
  <c r="G119" i="34"/>
  <c r="P75" i="34"/>
  <c r="P81" i="34" s="1"/>
  <c r="H78" i="34"/>
  <c r="D79" i="34"/>
  <c r="H80" i="34"/>
  <c r="E97" i="34"/>
  <c r="I97" i="34"/>
  <c r="Q97" i="34"/>
  <c r="M99" i="34"/>
  <c r="P117" i="34"/>
  <c r="I81" i="35"/>
  <c r="T74" i="35"/>
  <c r="D79" i="35"/>
  <c r="K100" i="35"/>
  <c r="R100" i="35"/>
  <c r="T93" i="35"/>
  <c r="L97" i="36"/>
  <c r="D98" i="36"/>
  <c r="P100" i="36"/>
  <c r="H94" i="36"/>
  <c r="H100" i="36" s="1"/>
  <c r="J94" i="36"/>
  <c r="J100" i="36" s="1"/>
  <c r="T92" i="36"/>
  <c r="F75" i="37"/>
  <c r="F81" i="37" s="1"/>
  <c r="F111" i="37"/>
  <c r="F114" i="37" s="1"/>
  <c r="P100" i="37"/>
  <c r="I100" i="34"/>
  <c r="T93" i="34"/>
  <c r="O99" i="34"/>
  <c r="J112" i="34"/>
  <c r="J114" i="34" s="1"/>
  <c r="O113" i="34"/>
  <c r="G119" i="35"/>
  <c r="P81" i="35"/>
  <c r="E75" i="35"/>
  <c r="Q75" i="35"/>
  <c r="Q81" i="35" s="1"/>
  <c r="I78" i="35"/>
  <c r="G100" i="35"/>
  <c r="D98" i="35"/>
  <c r="P100" i="35"/>
  <c r="H120" i="35"/>
  <c r="D118" i="35"/>
  <c r="H119" i="35"/>
  <c r="E120" i="35"/>
  <c r="O114" i="35"/>
  <c r="O113" i="35"/>
  <c r="J98" i="36"/>
  <c r="T98" i="36" s="1"/>
  <c r="G75" i="37"/>
  <c r="L111" i="37"/>
  <c r="L114" i="37" s="1"/>
  <c r="L120" i="37" s="1"/>
  <c r="L78" i="37"/>
  <c r="L75" i="37"/>
  <c r="L81" i="37" s="1"/>
  <c r="D112" i="33"/>
  <c r="D118" i="33" s="1"/>
  <c r="D79" i="33"/>
  <c r="E97" i="33"/>
  <c r="I97" i="33"/>
  <c r="Q97" i="33"/>
  <c r="M99" i="33"/>
  <c r="H100" i="33"/>
  <c r="M114" i="33"/>
  <c r="H81" i="34"/>
  <c r="E111" i="34"/>
  <c r="I111" i="34"/>
  <c r="I114" i="34" s="1"/>
  <c r="Q111" i="34"/>
  <c r="Q114" i="34" s="1"/>
  <c r="T73" i="34"/>
  <c r="M113" i="34"/>
  <c r="M114" i="34" s="1"/>
  <c r="H75" i="34"/>
  <c r="D78" i="34"/>
  <c r="P78" i="34"/>
  <c r="G100" i="34"/>
  <c r="D98" i="34"/>
  <c r="O100" i="34"/>
  <c r="P100" i="34"/>
  <c r="D118" i="34"/>
  <c r="H119" i="34"/>
  <c r="J118" i="35"/>
  <c r="E81" i="35"/>
  <c r="T73" i="35"/>
  <c r="H75" i="35"/>
  <c r="H81" i="35" s="1"/>
  <c r="D78" i="35"/>
  <c r="P78" i="35"/>
  <c r="E100" i="35"/>
  <c r="G99" i="35"/>
  <c r="T99" i="35" s="1"/>
  <c r="L111" i="36"/>
  <c r="L114" i="36" s="1"/>
  <c r="D112" i="36"/>
  <c r="D118" i="36" s="1"/>
  <c r="H113" i="36"/>
  <c r="H119" i="36" s="1"/>
  <c r="T93" i="36"/>
  <c r="J112" i="37"/>
  <c r="N99" i="37"/>
  <c r="D97" i="36"/>
  <c r="H97" i="36"/>
  <c r="P97" i="36"/>
  <c r="H99" i="36"/>
  <c r="E100" i="36"/>
  <c r="Q100" i="36"/>
  <c r="O114" i="36"/>
  <c r="J118" i="37"/>
  <c r="N81" i="37"/>
  <c r="J75" i="37"/>
  <c r="J81" i="37" s="1"/>
  <c r="J98" i="37"/>
  <c r="O119" i="36"/>
  <c r="I75" i="36"/>
  <c r="I81" i="36" s="1"/>
  <c r="E78" i="36"/>
  <c r="Q78" i="36"/>
  <c r="E97" i="36"/>
  <c r="I97" i="36"/>
  <c r="Q97" i="36"/>
  <c r="M99" i="36"/>
  <c r="D94" i="36"/>
  <c r="E111" i="37"/>
  <c r="E114" i="37" s="1"/>
  <c r="I111" i="37"/>
  <c r="I114" i="37" s="1"/>
  <c r="Q111" i="37"/>
  <c r="Q114" i="37" s="1"/>
  <c r="D100" i="37"/>
  <c r="J114" i="37"/>
  <c r="T112" i="37"/>
  <c r="M107" i="37"/>
  <c r="M80" i="37"/>
  <c r="M69" i="37"/>
  <c r="T74" i="37"/>
  <c r="G113" i="37"/>
  <c r="M99" i="37"/>
  <c r="M88" i="37"/>
  <c r="M100" i="37" s="1"/>
  <c r="R105" i="37"/>
  <c r="R78" i="37"/>
  <c r="D75" i="37"/>
  <c r="D81" i="37" s="1"/>
  <c r="D78" i="37"/>
  <c r="P78" i="37"/>
  <c r="F97" i="37"/>
  <c r="P108" i="37"/>
  <c r="R111" i="37"/>
  <c r="R114" i="37" s="1"/>
  <c r="K105" i="37"/>
  <c r="K78" i="37"/>
  <c r="K69" i="37"/>
  <c r="K88" i="37"/>
  <c r="K100" i="37" s="1"/>
  <c r="K97" i="37"/>
  <c r="G108" i="37"/>
  <c r="G107" i="37"/>
  <c r="G80" i="37"/>
  <c r="T68" i="37"/>
  <c r="O107" i="37"/>
  <c r="O80" i="37"/>
  <c r="O69" i="37"/>
  <c r="R69" i="37"/>
  <c r="R81" i="37" s="1"/>
  <c r="M113" i="37"/>
  <c r="M114" i="37" s="1"/>
  <c r="M75" i="37"/>
  <c r="F78" i="37"/>
  <c r="T87" i="37"/>
  <c r="L100" i="37"/>
  <c r="T93" i="37"/>
  <c r="R97" i="37"/>
  <c r="H105" i="37"/>
  <c r="T106" i="37"/>
  <c r="T105" i="37"/>
  <c r="E108" i="37"/>
  <c r="I108" i="37"/>
  <c r="Q108" i="37"/>
  <c r="Q120" i="37" s="1"/>
  <c r="O75" i="37"/>
  <c r="O113" i="37"/>
  <c r="O114" i="37" s="1"/>
  <c r="F108" i="37"/>
  <c r="K75" i="37"/>
  <c r="K111" i="37"/>
  <c r="K114" i="37" s="1"/>
  <c r="H75" i="37"/>
  <c r="H81" i="37" s="1"/>
  <c r="P75" i="37"/>
  <c r="P81" i="37" s="1"/>
  <c r="T98" i="37"/>
  <c r="J117" i="37"/>
  <c r="T66" i="37"/>
  <c r="T69" i="37" s="1"/>
  <c r="E69" i="37"/>
  <c r="I69" i="37"/>
  <c r="Q69" i="37"/>
  <c r="T72" i="37"/>
  <c r="E75" i="37"/>
  <c r="I75" i="37"/>
  <c r="Q75" i="37"/>
  <c r="E78" i="37"/>
  <c r="I78" i="37"/>
  <c r="Q78" i="37"/>
  <c r="T85" i="37"/>
  <c r="T88" i="37" s="1"/>
  <c r="E88" i="37"/>
  <c r="E100" i="37" s="1"/>
  <c r="I88" i="37"/>
  <c r="I100" i="37" s="1"/>
  <c r="Q88" i="37"/>
  <c r="Q100" i="37" s="1"/>
  <c r="T91" i="37"/>
  <c r="G97" i="37"/>
  <c r="T97" i="37" s="1"/>
  <c r="G99" i="37"/>
  <c r="O99" i="37"/>
  <c r="G111" i="37"/>
  <c r="G114" i="37" s="1"/>
  <c r="E118" i="37"/>
  <c r="T118" i="37" s="1"/>
  <c r="E119" i="37"/>
  <c r="J108" i="37"/>
  <c r="N108" i="37"/>
  <c r="G69" i="37"/>
  <c r="G81" i="37" s="1"/>
  <c r="G78" i="37"/>
  <c r="L108" i="36"/>
  <c r="K105" i="36"/>
  <c r="K78" i="36"/>
  <c r="K69" i="36"/>
  <c r="M69" i="36"/>
  <c r="G105" i="36"/>
  <c r="G78" i="36"/>
  <c r="G69" i="36"/>
  <c r="N107" i="36"/>
  <c r="N80" i="36"/>
  <c r="N69" i="36"/>
  <c r="N81" i="36" s="1"/>
  <c r="T74" i="36"/>
  <c r="T87" i="36"/>
  <c r="O100" i="36"/>
  <c r="N99" i="36"/>
  <c r="H108" i="36"/>
  <c r="N113" i="36"/>
  <c r="N114" i="36" s="1"/>
  <c r="F105" i="36"/>
  <c r="T105" i="36" s="1"/>
  <c r="T108" i="36" s="1"/>
  <c r="F78" i="36"/>
  <c r="F69" i="36"/>
  <c r="F81" i="36" s="1"/>
  <c r="R105" i="36"/>
  <c r="R78" i="36"/>
  <c r="R69" i="36"/>
  <c r="R81" i="36" s="1"/>
  <c r="G75" i="36"/>
  <c r="G111" i="36"/>
  <c r="T72" i="36"/>
  <c r="G88" i="36"/>
  <c r="G100" i="36" s="1"/>
  <c r="G97" i="36"/>
  <c r="T85" i="36"/>
  <c r="D108" i="36"/>
  <c r="E114" i="36"/>
  <c r="D75" i="36"/>
  <c r="D81" i="36" s="1"/>
  <c r="L75" i="36"/>
  <c r="L81" i="36" s="1"/>
  <c r="D88" i="36"/>
  <c r="L88" i="36"/>
  <c r="L100" i="36" s="1"/>
  <c r="F97" i="36"/>
  <c r="T107" i="36"/>
  <c r="F111" i="36"/>
  <c r="F114" i="36" s="1"/>
  <c r="K75" i="36"/>
  <c r="K111" i="36"/>
  <c r="K114" i="36" s="1"/>
  <c r="M75" i="36"/>
  <c r="L78" i="36"/>
  <c r="D80" i="36"/>
  <c r="M80" i="36"/>
  <c r="K88" i="36"/>
  <c r="K100" i="36" s="1"/>
  <c r="K97" i="36"/>
  <c r="M88" i="36"/>
  <c r="M100" i="36" s="1"/>
  <c r="T91" i="36"/>
  <c r="R97" i="36"/>
  <c r="I117" i="36"/>
  <c r="P108" i="36"/>
  <c r="P120" i="36" s="1"/>
  <c r="R111" i="36"/>
  <c r="R114" i="36" s="1"/>
  <c r="E108" i="36"/>
  <c r="I108" i="36"/>
  <c r="I120" i="36" s="1"/>
  <c r="M108" i="36"/>
  <c r="Q108" i="36"/>
  <c r="E117" i="36"/>
  <c r="E118" i="36"/>
  <c r="E119" i="36"/>
  <c r="J69" i="36"/>
  <c r="J79" i="36"/>
  <c r="T79" i="36" s="1"/>
  <c r="J108" i="36"/>
  <c r="N108" i="36"/>
  <c r="T68" i="36"/>
  <c r="T69" i="36" s="1"/>
  <c r="O69" i="36"/>
  <c r="O81" i="36" s="1"/>
  <c r="G80" i="36"/>
  <c r="O80" i="36"/>
  <c r="O108" i="36"/>
  <c r="O120" i="36" s="1"/>
  <c r="Q117" i="35"/>
  <c r="Q108" i="35"/>
  <c r="Q120" i="35" s="1"/>
  <c r="K105" i="35"/>
  <c r="K78" i="35"/>
  <c r="K69" i="35"/>
  <c r="K81" i="35" s="1"/>
  <c r="R105" i="35"/>
  <c r="R78" i="35"/>
  <c r="R69" i="35"/>
  <c r="L97" i="35"/>
  <c r="L88" i="35"/>
  <c r="L100" i="35" s="1"/>
  <c r="N88" i="35"/>
  <c r="N100" i="35" s="1"/>
  <c r="N99" i="35"/>
  <c r="G105" i="35"/>
  <c r="G78" i="35"/>
  <c r="G69" i="35"/>
  <c r="L105" i="35"/>
  <c r="L78" i="35"/>
  <c r="L69" i="35"/>
  <c r="D107" i="35"/>
  <c r="D80" i="35"/>
  <c r="D69" i="35"/>
  <c r="N107" i="35"/>
  <c r="N119" i="35" s="1"/>
  <c r="N80" i="35"/>
  <c r="N69" i="35"/>
  <c r="T87" i="35"/>
  <c r="I117" i="35"/>
  <c r="I108" i="35"/>
  <c r="I120" i="35" s="1"/>
  <c r="J114" i="35"/>
  <c r="P108" i="35"/>
  <c r="P120" i="35" s="1"/>
  <c r="F105" i="35"/>
  <c r="F78" i="35"/>
  <c r="F69" i="35"/>
  <c r="M107" i="35"/>
  <c r="M119" i="35" s="1"/>
  <c r="M80" i="35"/>
  <c r="T85" i="35"/>
  <c r="T88" i="35" s="1"/>
  <c r="D99" i="35"/>
  <c r="D88" i="35"/>
  <c r="D100" i="35" s="1"/>
  <c r="H117" i="35"/>
  <c r="M69" i="35"/>
  <c r="G75" i="35"/>
  <c r="G111" i="35"/>
  <c r="L111" i="35"/>
  <c r="L114" i="35" s="1"/>
  <c r="L75" i="35"/>
  <c r="T72" i="35"/>
  <c r="D113" i="35"/>
  <c r="D114" i="35" s="1"/>
  <c r="D75" i="35"/>
  <c r="J100" i="35"/>
  <c r="Q100" i="35"/>
  <c r="G97" i="35"/>
  <c r="P117" i="35"/>
  <c r="T107" i="35"/>
  <c r="E119" i="35"/>
  <c r="J119" i="35"/>
  <c r="M108" i="35"/>
  <c r="M120" i="35" s="1"/>
  <c r="N114" i="35"/>
  <c r="O119" i="35"/>
  <c r="K97" i="35"/>
  <c r="R97" i="35"/>
  <c r="T106" i="35"/>
  <c r="R119" i="35"/>
  <c r="M75" i="35"/>
  <c r="M88" i="35"/>
  <c r="M100" i="35" s="1"/>
  <c r="T91" i="35"/>
  <c r="F97" i="35"/>
  <c r="K118" i="35"/>
  <c r="O118" i="35"/>
  <c r="J69" i="35"/>
  <c r="J81" i="35" s="1"/>
  <c r="J79" i="35"/>
  <c r="T79" i="35" s="1"/>
  <c r="J108" i="35"/>
  <c r="N108" i="35"/>
  <c r="T68" i="35"/>
  <c r="T69" i="35" s="1"/>
  <c r="O69" i="35"/>
  <c r="O81" i="35" s="1"/>
  <c r="G80" i="35"/>
  <c r="O80" i="35"/>
  <c r="O108" i="35"/>
  <c r="G75" i="34"/>
  <c r="G111" i="34"/>
  <c r="G114" i="34" s="1"/>
  <c r="L111" i="34"/>
  <c r="L114" i="34" s="1"/>
  <c r="L75" i="34"/>
  <c r="T72" i="34"/>
  <c r="D113" i="34"/>
  <c r="D114" i="34" s="1"/>
  <c r="D75" i="34"/>
  <c r="E119" i="34"/>
  <c r="T74" i="34"/>
  <c r="Q108" i="34"/>
  <c r="G118" i="34"/>
  <c r="P108" i="34"/>
  <c r="P120" i="34" s="1"/>
  <c r="O114" i="34"/>
  <c r="F105" i="34"/>
  <c r="F78" i="34"/>
  <c r="F69" i="34"/>
  <c r="K105" i="34"/>
  <c r="K78" i="34"/>
  <c r="K69" i="34"/>
  <c r="K81" i="34" s="1"/>
  <c r="R105" i="34"/>
  <c r="R78" i="34"/>
  <c r="R69" i="34"/>
  <c r="R81" i="34" s="1"/>
  <c r="M107" i="34"/>
  <c r="M80" i="34"/>
  <c r="L97" i="34"/>
  <c r="L88" i="34"/>
  <c r="L100" i="34" s="1"/>
  <c r="T85" i="34"/>
  <c r="D99" i="34"/>
  <c r="D88" i="34"/>
  <c r="N88" i="34"/>
  <c r="N100" i="34" s="1"/>
  <c r="N99" i="34"/>
  <c r="H117" i="34"/>
  <c r="E108" i="34"/>
  <c r="N113" i="34"/>
  <c r="T113" i="34" s="1"/>
  <c r="D117" i="34"/>
  <c r="G105" i="34"/>
  <c r="G78" i="34"/>
  <c r="G69" i="34"/>
  <c r="G81" i="34" s="1"/>
  <c r="L105" i="34"/>
  <c r="L78" i="34"/>
  <c r="L69" i="34"/>
  <c r="T66" i="34"/>
  <c r="D107" i="34"/>
  <c r="D80" i="34"/>
  <c r="D69" i="34"/>
  <c r="N107" i="34"/>
  <c r="N119" i="34" s="1"/>
  <c r="N80" i="34"/>
  <c r="N69" i="34"/>
  <c r="N81" i="34" s="1"/>
  <c r="I81" i="34"/>
  <c r="T87" i="34"/>
  <c r="I117" i="34"/>
  <c r="I108" i="34"/>
  <c r="I120" i="34" s="1"/>
  <c r="H120" i="34"/>
  <c r="O119" i="34"/>
  <c r="K97" i="34"/>
  <c r="R97" i="34"/>
  <c r="T106" i="34"/>
  <c r="R119" i="34"/>
  <c r="M75" i="34"/>
  <c r="M81" i="34" s="1"/>
  <c r="M88" i="34"/>
  <c r="M100" i="34" s="1"/>
  <c r="T91" i="34"/>
  <c r="F97" i="34"/>
  <c r="K118" i="34"/>
  <c r="O118" i="34"/>
  <c r="J69" i="34"/>
  <c r="J81" i="34" s="1"/>
  <c r="J79" i="34"/>
  <c r="T79" i="34" s="1"/>
  <c r="J108" i="34"/>
  <c r="J120" i="34" s="1"/>
  <c r="N108" i="34"/>
  <c r="T68" i="34"/>
  <c r="O69" i="34"/>
  <c r="O81" i="34" s="1"/>
  <c r="G80" i="34"/>
  <c r="O80" i="34"/>
  <c r="O108" i="34"/>
  <c r="L111" i="33"/>
  <c r="L114" i="33" s="1"/>
  <c r="L75" i="33"/>
  <c r="E119" i="33"/>
  <c r="Q117" i="33"/>
  <c r="Q108" i="33"/>
  <c r="Q120" i="33" s="1"/>
  <c r="F105" i="33"/>
  <c r="F78" i="33"/>
  <c r="F69" i="33"/>
  <c r="F81" i="33" s="1"/>
  <c r="K105" i="33"/>
  <c r="K78" i="33"/>
  <c r="K69" i="33"/>
  <c r="K81" i="33" s="1"/>
  <c r="R105" i="33"/>
  <c r="R78" i="33"/>
  <c r="R69" i="33"/>
  <c r="R81" i="33" s="1"/>
  <c r="M107" i="33"/>
  <c r="M80" i="33"/>
  <c r="L97" i="33"/>
  <c r="L88" i="33"/>
  <c r="L100" i="33" s="1"/>
  <c r="T85" i="33"/>
  <c r="T88" i="33" s="1"/>
  <c r="D99" i="33"/>
  <c r="D88" i="33"/>
  <c r="D100" i="33" s="1"/>
  <c r="N88" i="33"/>
  <c r="N100" i="33" s="1"/>
  <c r="N99" i="33"/>
  <c r="E108" i="33"/>
  <c r="E120" i="33" s="1"/>
  <c r="N113" i="33"/>
  <c r="T113" i="33" s="1"/>
  <c r="D117" i="33"/>
  <c r="G75" i="33"/>
  <c r="G111" i="33"/>
  <c r="G114" i="33" s="1"/>
  <c r="T72" i="33"/>
  <c r="D113" i="33"/>
  <c r="D75" i="33"/>
  <c r="T74" i="33"/>
  <c r="P108" i="33"/>
  <c r="P120" i="33" s="1"/>
  <c r="G105" i="33"/>
  <c r="G78" i="33"/>
  <c r="G69" i="33"/>
  <c r="G81" i="33" s="1"/>
  <c r="L105" i="33"/>
  <c r="L78" i="33"/>
  <c r="L69" i="33"/>
  <c r="T66" i="33"/>
  <c r="D107" i="33"/>
  <c r="D80" i="33"/>
  <c r="D69" i="33"/>
  <c r="D81" i="33" s="1"/>
  <c r="N107" i="33"/>
  <c r="N80" i="33"/>
  <c r="N69" i="33"/>
  <c r="N81" i="33" s="1"/>
  <c r="I81" i="33"/>
  <c r="T87" i="33"/>
  <c r="I117" i="33"/>
  <c r="I108" i="33"/>
  <c r="I120" i="33" s="1"/>
  <c r="H108" i="33"/>
  <c r="K97" i="33"/>
  <c r="R97" i="33"/>
  <c r="J117" i="33"/>
  <c r="T106" i="33"/>
  <c r="R119" i="33"/>
  <c r="M75" i="33"/>
  <c r="M81" i="33" s="1"/>
  <c r="M88" i="33"/>
  <c r="M100" i="33" s="1"/>
  <c r="T91" i="33"/>
  <c r="F97" i="33"/>
  <c r="T105" i="33"/>
  <c r="K118" i="33"/>
  <c r="O118" i="33"/>
  <c r="J69" i="33"/>
  <c r="J81" i="33" s="1"/>
  <c r="J79" i="33"/>
  <c r="T79" i="33" s="1"/>
  <c r="J108" i="33"/>
  <c r="T68" i="33"/>
  <c r="O69" i="33"/>
  <c r="O81" i="33" s="1"/>
  <c r="G80" i="33"/>
  <c r="O80" i="33"/>
  <c r="O108" i="33"/>
  <c r="F94" i="32"/>
  <c r="F100" i="32" s="1"/>
  <c r="T91" i="32"/>
  <c r="F111" i="32"/>
  <c r="F114" i="32" s="1"/>
  <c r="D108" i="32"/>
  <c r="D117" i="32"/>
  <c r="R100" i="32"/>
  <c r="N100" i="32"/>
  <c r="E117" i="32"/>
  <c r="E108" i="32"/>
  <c r="I117" i="32"/>
  <c r="I108" i="32"/>
  <c r="I120" i="32" s="1"/>
  <c r="Q117" i="32"/>
  <c r="Q108" i="32"/>
  <c r="Q120" i="32" s="1"/>
  <c r="P108" i="32"/>
  <c r="R97" i="32"/>
  <c r="H119" i="32"/>
  <c r="L108" i="32"/>
  <c r="L120" i="32" s="1"/>
  <c r="F105" i="32"/>
  <c r="F78" i="32"/>
  <c r="F69" i="32"/>
  <c r="F81" i="32" s="1"/>
  <c r="K105" i="32"/>
  <c r="K78" i="32"/>
  <c r="K69" i="32"/>
  <c r="R105" i="32"/>
  <c r="R78" i="32"/>
  <c r="R69" i="32"/>
  <c r="R81" i="32" s="1"/>
  <c r="L69" i="32"/>
  <c r="K75" i="32"/>
  <c r="K111" i="32"/>
  <c r="K114" i="32" s="1"/>
  <c r="L75" i="32"/>
  <c r="D78" i="32"/>
  <c r="D88" i="32"/>
  <c r="L88" i="32"/>
  <c r="L100" i="32" s="1"/>
  <c r="T93" i="32"/>
  <c r="R111" i="32"/>
  <c r="R114" i="32" s="1"/>
  <c r="G105" i="32"/>
  <c r="G78" i="32"/>
  <c r="G69" i="32"/>
  <c r="T66" i="32"/>
  <c r="T69" i="32" s="1"/>
  <c r="N107" i="32"/>
  <c r="T107" i="32" s="1"/>
  <c r="N80" i="32"/>
  <c r="N69" i="32"/>
  <c r="N81" i="32" s="1"/>
  <c r="G75" i="32"/>
  <c r="G111" i="32"/>
  <c r="T72" i="32"/>
  <c r="D80" i="32"/>
  <c r="M80" i="32"/>
  <c r="K88" i="32"/>
  <c r="K100" i="32" s="1"/>
  <c r="K97" i="32"/>
  <c r="M99" i="32"/>
  <c r="M88" i="32"/>
  <c r="M100" i="32" s="1"/>
  <c r="H105" i="32"/>
  <c r="T106" i="32"/>
  <c r="N113" i="32"/>
  <c r="N114" i="32" s="1"/>
  <c r="G88" i="32"/>
  <c r="G100" i="32" s="1"/>
  <c r="G97" i="32"/>
  <c r="T85" i="32"/>
  <c r="T88" i="32" s="1"/>
  <c r="H100" i="32"/>
  <c r="F97" i="32"/>
  <c r="M108" i="32"/>
  <c r="G113" i="32"/>
  <c r="G119" i="32" s="1"/>
  <c r="O113" i="32"/>
  <c r="O114" i="32" s="1"/>
  <c r="E118" i="32"/>
  <c r="E119" i="32"/>
  <c r="J79" i="32"/>
  <c r="T79" i="32" s="1"/>
  <c r="J108" i="32"/>
  <c r="N108" i="32"/>
  <c r="T68" i="32"/>
  <c r="O69" i="32"/>
  <c r="O81" i="32" s="1"/>
  <c r="G80" i="32"/>
  <c r="O80" i="32"/>
  <c r="O108" i="32"/>
  <c r="L108" i="31"/>
  <c r="L120" i="31" s="1"/>
  <c r="L117" i="31"/>
  <c r="D108" i="31"/>
  <c r="T69" i="31"/>
  <c r="K105" i="31"/>
  <c r="K78" i="31"/>
  <c r="K69" i="31"/>
  <c r="K81" i="31" s="1"/>
  <c r="G97" i="31"/>
  <c r="M108" i="31"/>
  <c r="G105" i="31"/>
  <c r="G78" i="31"/>
  <c r="G69" i="31"/>
  <c r="G81" i="31" s="1"/>
  <c r="N107" i="31"/>
  <c r="N80" i="31"/>
  <c r="N69" i="31"/>
  <c r="N81" i="31" s="1"/>
  <c r="T74" i="31"/>
  <c r="T87" i="31"/>
  <c r="I100" i="31"/>
  <c r="Q100" i="31"/>
  <c r="H108" i="31"/>
  <c r="P108" i="31"/>
  <c r="F111" i="31"/>
  <c r="F114" i="31" s="1"/>
  <c r="E117" i="31"/>
  <c r="R105" i="31"/>
  <c r="R78" i="31"/>
  <c r="R69" i="31"/>
  <c r="R81" i="31" s="1"/>
  <c r="M69" i="31"/>
  <c r="T107" i="31"/>
  <c r="E108" i="31"/>
  <c r="E120" i="31" s="1"/>
  <c r="N113" i="31"/>
  <c r="N114" i="31" s="1"/>
  <c r="D75" i="31"/>
  <c r="L75" i="31"/>
  <c r="D88" i="31"/>
  <c r="D100" i="31" s="1"/>
  <c r="L88" i="31"/>
  <c r="L100" i="31" s="1"/>
  <c r="K97" i="31"/>
  <c r="R97" i="31"/>
  <c r="N99" i="31"/>
  <c r="T106" i="31"/>
  <c r="R119" i="31"/>
  <c r="I108" i="31"/>
  <c r="I120" i="31" s="1"/>
  <c r="Q108" i="31"/>
  <c r="Q120" i="31" s="1"/>
  <c r="G111" i="31"/>
  <c r="G114" i="31" s="1"/>
  <c r="F105" i="31"/>
  <c r="T105" i="31" s="1"/>
  <c r="T108" i="31" s="1"/>
  <c r="F78" i="31"/>
  <c r="F69" i="31"/>
  <c r="F81" i="31" s="1"/>
  <c r="T72" i="31"/>
  <c r="T85" i="31"/>
  <c r="T88" i="31" s="1"/>
  <c r="D69" i="31"/>
  <c r="L69" i="31"/>
  <c r="M113" i="31"/>
  <c r="M119" i="31" s="1"/>
  <c r="M75" i="31"/>
  <c r="L78" i="31"/>
  <c r="D80" i="31"/>
  <c r="M80" i="31"/>
  <c r="M99" i="31"/>
  <c r="E100" i="31"/>
  <c r="M88" i="31"/>
  <c r="M100" i="31" s="1"/>
  <c r="T91" i="31"/>
  <c r="F97" i="31"/>
  <c r="K118" i="31"/>
  <c r="O118" i="31"/>
  <c r="J69" i="31"/>
  <c r="J81" i="31" s="1"/>
  <c r="J79" i="31"/>
  <c r="T79" i="31" s="1"/>
  <c r="J108" i="31"/>
  <c r="N108" i="31"/>
  <c r="T68" i="31"/>
  <c r="O69" i="31"/>
  <c r="O81" i="31" s="1"/>
  <c r="G80" i="31"/>
  <c r="O80" i="31"/>
  <c r="O108" i="31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D114" i="37" l="1"/>
  <c r="D120" i="37" s="1"/>
  <c r="E117" i="37"/>
  <c r="N120" i="37"/>
  <c r="F120" i="37"/>
  <c r="H114" i="37"/>
  <c r="T80" i="37"/>
  <c r="P117" i="37"/>
  <c r="Q117" i="37"/>
  <c r="N119" i="37"/>
  <c r="F117" i="37"/>
  <c r="T99" i="37"/>
  <c r="P120" i="37"/>
  <c r="J114" i="36"/>
  <c r="J118" i="36"/>
  <c r="T118" i="36" s="1"/>
  <c r="E120" i="36"/>
  <c r="P117" i="36"/>
  <c r="T99" i="36"/>
  <c r="Q120" i="36"/>
  <c r="T94" i="36"/>
  <c r="Q117" i="36"/>
  <c r="G114" i="36"/>
  <c r="L120" i="36"/>
  <c r="T80" i="36"/>
  <c r="J120" i="36"/>
  <c r="L117" i="36"/>
  <c r="M114" i="36"/>
  <c r="M120" i="36" s="1"/>
  <c r="T78" i="36"/>
  <c r="T81" i="36" s="1"/>
  <c r="O120" i="35"/>
  <c r="N120" i="35"/>
  <c r="R81" i="35"/>
  <c r="J120" i="35"/>
  <c r="F81" i="35"/>
  <c r="T78" i="35"/>
  <c r="D114" i="33"/>
  <c r="N119" i="33"/>
  <c r="J120" i="33"/>
  <c r="O120" i="33"/>
  <c r="T80" i="33"/>
  <c r="T112" i="33"/>
  <c r="T80" i="34"/>
  <c r="Q120" i="34"/>
  <c r="T94" i="34"/>
  <c r="D100" i="34"/>
  <c r="T112" i="34"/>
  <c r="D81" i="34"/>
  <c r="L81" i="34"/>
  <c r="Q117" i="34"/>
  <c r="F81" i="34"/>
  <c r="M114" i="32"/>
  <c r="T99" i="32"/>
  <c r="N120" i="32"/>
  <c r="D119" i="32"/>
  <c r="D100" i="32"/>
  <c r="T75" i="31"/>
  <c r="P117" i="31"/>
  <c r="D114" i="31"/>
  <c r="D120" i="31" s="1"/>
  <c r="H114" i="31"/>
  <c r="H120" i="31" s="1"/>
  <c r="D81" i="31"/>
  <c r="O120" i="31"/>
  <c r="T94" i="31"/>
  <c r="P120" i="31"/>
  <c r="T99" i="31"/>
  <c r="N114" i="33"/>
  <c r="T97" i="34"/>
  <c r="T80" i="35"/>
  <c r="T81" i="35" s="1"/>
  <c r="T118" i="35"/>
  <c r="T75" i="35"/>
  <c r="T75" i="36"/>
  <c r="T78" i="37"/>
  <c r="I120" i="37"/>
  <c r="K81" i="37"/>
  <c r="H114" i="33"/>
  <c r="H120" i="33" s="1"/>
  <c r="T97" i="33"/>
  <c r="T80" i="31"/>
  <c r="J120" i="31"/>
  <c r="T80" i="32"/>
  <c r="J120" i="32"/>
  <c r="P117" i="32"/>
  <c r="D120" i="32"/>
  <c r="T94" i="33"/>
  <c r="O120" i="34"/>
  <c r="D119" i="34"/>
  <c r="T99" i="34"/>
  <c r="T78" i="34"/>
  <c r="T97" i="35"/>
  <c r="T100" i="35" s="1"/>
  <c r="N81" i="35"/>
  <c r="J81" i="36"/>
  <c r="T113" i="36"/>
  <c r="T97" i="36"/>
  <c r="T100" i="36" s="1"/>
  <c r="H114" i="36"/>
  <c r="H120" i="36" s="1"/>
  <c r="N119" i="36"/>
  <c r="I117" i="37"/>
  <c r="L117" i="37"/>
  <c r="O119" i="37"/>
  <c r="J118" i="33"/>
  <c r="T112" i="31"/>
  <c r="T75" i="33"/>
  <c r="J118" i="31"/>
  <c r="T118" i="31" s="1"/>
  <c r="T97" i="32"/>
  <c r="T100" i="32" s="1"/>
  <c r="P120" i="32"/>
  <c r="T97" i="31"/>
  <c r="T100" i="31" s="1"/>
  <c r="T78" i="31"/>
  <c r="T81" i="31" s="1"/>
  <c r="T111" i="31"/>
  <c r="T75" i="32"/>
  <c r="K81" i="32"/>
  <c r="T78" i="32"/>
  <c r="T81" i="32" s="1"/>
  <c r="T118" i="33"/>
  <c r="T99" i="33"/>
  <c r="T78" i="33"/>
  <c r="T81" i="33" s="1"/>
  <c r="T111" i="34"/>
  <c r="T114" i="34" s="1"/>
  <c r="T94" i="35"/>
  <c r="D119" i="35"/>
  <c r="G81" i="35"/>
  <c r="N120" i="36"/>
  <c r="T119" i="36"/>
  <c r="D100" i="36"/>
  <c r="D114" i="36"/>
  <c r="D120" i="36" s="1"/>
  <c r="K81" i="36"/>
  <c r="J120" i="37"/>
  <c r="E120" i="37"/>
  <c r="T113" i="37"/>
  <c r="M119" i="37"/>
  <c r="E114" i="34"/>
  <c r="E120" i="34" s="1"/>
  <c r="E117" i="34"/>
  <c r="J118" i="34"/>
  <c r="T118" i="34" s="1"/>
  <c r="J118" i="32"/>
  <c r="T118" i="32" s="1"/>
  <c r="T100" i="37"/>
  <c r="G120" i="37"/>
  <c r="R117" i="37"/>
  <c r="R108" i="37"/>
  <c r="R120" i="37" s="1"/>
  <c r="O108" i="37"/>
  <c r="O120" i="37" s="1"/>
  <c r="M108" i="37"/>
  <c r="M120" i="37" s="1"/>
  <c r="T94" i="37"/>
  <c r="Q81" i="37"/>
  <c r="G117" i="37"/>
  <c r="I81" i="37"/>
  <c r="H108" i="37"/>
  <c r="H120" i="37" s="1"/>
  <c r="H117" i="37"/>
  <c r="T111" i="37"/>
  <c r="O81" i="37"/>
  <c r="K117" i="37"/>
  <c r="K108" i="37"/>
  <c r="K120" i="37" s="1"/>
  <c r="M81" i="37"/>
  <c r="T75" i="37"/>
  <c r="E81" i="37"/>
  <c r="T107" i="37"/>
  <c r="T108" i="37" s="1"/>
  <c r="G119" i="37"/>
  <c r="G117" i="36"/>
  <c r="G108" i="36"/>
  <c r="G120" i="36" s="1"/>
  <c r="F117" i="36"/>
  <c r="F108" i="36"/>
  <c r="F120" i="36" s="1"/>
  <c r="K117" i="36"/>
  <c r="K108" i="36"/>
  <c r="K120" i="36" s="1"/>
  <c r="T111" i="36"/>
  <c r="T88" i="36"/>
  <c r="R117" i="36"/>
  <c r="R108" i="36"/>
  <c r="R120" i="36" s="1"/>
  <c r="G81" i="36"/>
  <c r="M81" i="36"/>
  <c r="T119" i="35"/>
  <c r="D108" i="35"/>
  <c r="D120" i="35" s="1"/>
  <c r="L81" i="35"/>
  <c r="R117" i="35"/>
  <c r="R108" i="35"/>
  <c r="R120" i="35" s="1"/>
  <c r="G114" i="35"/>
  <c r="T111" i="35"/>
  <c r="T114" i="35" s="1"/>
  <c r="F117" i="35"/>
  <c r="F108" i="35"/>
  <c r="F120" i="35" s="1"/>
  <c r="D81" i="35"/>
  <c r="G117" i="35"/>
  <c r="G108" i="35"/>
  <c r="M81" i="35"/>
  <c r="K117" i="35"/>
  <c r="K108" i="35"/>
  <c r="K120" i="35" s="1"/>
  <c r="T105" i="35"/>
  <c r="T108" i="35" s="1"/>
  <c r="L108" i="35"/>
  <c r="L120" i="35" s="1"/>
  <c r="L117" i="35"/>
  <c r="T81" i="34"/>
  <c r="L108" i="34"/>
  <c r="L120" i="34" s="1"/>
  <c r="L117" i="34"/>
  <c r="T105" i="34"/>
  <c r="T69" i="34"/>
  <c r="F117" i="34"/>
  <c r="F108" i="34"/>
  <c r="F120" i="34" s="1"/>
  <c r="N114" i="34"/>
  <c r="N120" i="34" s="1"/>
  <c r="T88" i="34"/>
  <c r="M119" i="34"/>
  <c r="T119" i="34" s="1"/>
  <c r="M108" i="34"/>
  <c r="M120" i="34" s="1"/>
  <c r="K117" i="34"/>
  <c r="K108" i="34"/>
  <c r="K120" i="34" s="1"/>
  <c r="D108" i="34"/>
  <c r="D120" i="34" s="1"/>
  <c r="T75" i="34"/>
  <c r="G117" i="34"/>
  <c r="G108" i="34"/>
  <c r="G120" i="34" s="1"/>
  <c r="R117" i="34"/>
  <c r="R108" i="34"/>
  <c r="R120" i="34" s="1"/>
  <c r="T107" i="34"/>
  <c r="R117" i="33"/>
  <c r="R108" i="33"/>
  <c r="R120" i="33" s="1"/>
  <c r="L81" i="33"/>
  <c r="M119" i="33"/>
  <c r="T119" i="33" s="1"/>
  <c r="M108" i="33"/>
  <c r="M120" i="33" s="1"/>
  <c r="G117" i="33"/>
  <c r="G108" i="33"/>
  <c r="G120" i="33" s="1"/>
  <c r="F117" i="33"/>
  <c r="F108" i="33"/>
  <c r="F120" i="33" s="1"/>
  <c r="T69" i="33"/>
  <c r="N108" i="33"/>
  <c r="N120" i="33" s="1"/>
  <c r="T111" i="33"/>
  <c r="T114" i="33" s="1"/>
  <c r="D119" i="33"/>
  <c r="L108" i="33"/>
  <c r="L120" i="33" s="1"/>
  <c r="L117" i="33"/>
  <c r="D108" i="33"/>
  <c r="D120" i="33" s="1"/>
  <c r="K117" i="33"/>
  <c r="K108" i="33"/>
  <c r="K120" i="33" s="1"/>
  <c r="T107" i="33"/>
  <c r="T108" i="33" s="1"/>
  <c r="O120" i="32"/>
  <c r="M120" i="32"/>
  <c r="O119" i="32"/>
  <c r="G81" i="32"/>
  <c r="F117" i="32"/>
  <c r="F108" i="32"/>
  <c r="F120" i="32" s="1"/>
  <c r="T105" i="32"/>
  <c r="T108" i="32" s="1"/>
  <c r="T113" i="32"/>
  <c r="L81" i="32"/>
  <c r="H108" i="32"/>
  <c r="H120" i="32" s="1"/>
  <c r="H117" i="32"/>
  <c r="K117" i="32"/>
  <c r="K108" i="32"/>
  <c r="K120" i="32" s="1"/>
  <c r="T94" i="32"/>
  <c r="G114" i="32"/>
  <c r="N119" i="32"/>
  <c r="T119" i="32" s="1"/>
  <c r="G117" i="32"/>
  <c r="G108" i="32"/>
  <c r="R117" i="32"/>
  <c r="R108" i="32"/>
  <c r="R120" i="32" s="1"/>
  <c r="T111" i="32"/>
  <c r="E120" i="32"/>
  <c r="N119" i="31"/>
  <c r="T119" i="31" s="1"/>
  <c r="K117" i="31"/>
  <c r="K108" i="31"/>
  <c r="K120" i="31" s="1"/>
  <c r="T113" i="31"/>
  <c r="F117" i="31"/>
  <c r="F108" i="31"/>
  <c r="F120" i="31" s="1"/>
  <c r="G117" i="31"/>
  <c r="G108" i="31"/>
  <c r="G120" i="31" s="1"/>
  <c r="L81" i="31"/>
  <c r="R117" i="31"/>
  <c r="R108" i="31"/>
  <c r="R120" i="31" s="1"/>
  <c r="M114" i="31"/>
  <c r="M120" i="31" s="1"/>
  <c r="N120" i="31"/>
  <c r="M81" i="31"/>
  <c r="AR3" i="4"/>
  <c r="AT3" i="4" s="1"/>
  <c r="AS3" i="4"/>
  <c r="AU3" i="4" s="1"/>
  <c r="AV3" i="4"/>
  <c r="AX3" i="4" s="1"/>
  <c r="AW3" i="4"/>
  <c r="AY3" i="4" s="1"/>
  <c r="AR4" i="4"/>
  <c r="AT4" i="4" s="1"/>
  <c r="AS4" i="4"/>
  <c r="AU4" i="4" s="1"/>
  <c r="AV4" i="4"/>
  <c r="AX4" i="4" s="1"/>
  <c r="AW4" i="4"/>
  <c r="AY4" i="4" s="1"/>
  <c r="AR5" i="4"/>
  <c r="AT5" i="4" s="1"/>
  <c r="AS5" i="4"/>
  <c r="AU5" i="4" s="1"/>
  <c r="AV5" i="4"/>
  <c r="AX5" i="4" s="1"/>
  <c r="AW5" i="4"/>
  <c r="AY5" i="4" s="1"/>
  <c r="AR6" i="4"/>
  <c r="AT6" i="4" s="1"/>
  <c r="AS6" i="4"/>
  <c r="AU6" i="4" s="1"/>
  <c r="AV6" i="4"/>
  <c r="AX6" i="4" s="1"/>
  <c r="AW6" i="4"/>
  <c r="AY6" i="4" s="1"/>
  <c r="AR7" i="4"/>
  <c r="AT7" i="4" s="1"/>
  <c r="AS7" i="4"/>
  <c r="AU7" i="4" s="1"/>
  <c r="AV7" i="4"/>
  <c r="AX7" i="4" s="1"/>
  <c r="AW7" i="4"/>
  <c r="AY7" i="4" s="1"/>
  <c r="AR8" i="4"/>
  <c r="AT8" i="4" s="1"/>
  <c r="AS8" i="4"/>
  <c r="AU8" i="4" s="1"/>
  <c r="AV8" i="4"/>
  <c r="AX8" i="4" s="1"/>
  <c r="AW8" i="4"/>
  <c r="AY8" i="4" s="1"/>
  <c r="AR9" i="4"/>
  <c r="AT9" i="4" s="1"/>
  <c r="AS9" i="4"/>
  <c r="AU9" i="4" s="1"/>
  <c r="AV9" i="4"/>
  <c r="AX9" i="4" s="1"/>
  <c r="AW9" i="4"/>
  <c r="AY9" i="4" s="1"/>
  <c r="AR10" i="4"/>
  <c r="AT10" i="4" s="1"/>
  <c r="AS10" i="4"/>
  <c r="AU10" i="4" s="1"/>
  <c r="AV10" i="4"/>
  <c r="AX10" i="4" s="1"/>
  <c r="AW10" i="4"/>
  <c r="AY10" i="4" s="1"/>
  <c r="AR11" i="4"/>
  <c r="AT11" i="4" s="1"/>
  <c r="AS11" i="4"/>
  <c r="AU11" i="4" s="1"/>
  <c r="AV11" i="4"/>
  <c r="AX11" i="4" s="1"/>
  <c r="AW11" i="4"/>
  <c r="AY11" i="4" s="1"/>
  <c r="AR12" i="4"/>
  <c r="AT12" i="4" s="1"/>
  <c r="AS12" i="4"/>
  <c r="AU12" i="4" s="1"/>
  <c r="AV12" i="4"/>
  <c r="AX12" i="4" s="1"/>
  <c r="AW12" i="4"/>
  <c r="AY12" i="4" s="1"/>
  <c r="AR13" i="4"/>
  <c r="AT13" i="4" s="1"/>
  <c r="AS13" i="4"/>
  <c r="AU13" i="4" s="1"/>
  <c r="AV13" i="4"/>
  <c r="AX13" i="4" s="1"/>
  <c r="AW13" i="4"/>
  <c r="AY13" i="4" s="1"/>
  <c r="AR14" i="4"/>
  <c r="AT14" i="4" s="1"/>
  <c r="AS14" i="4"/>
  <c r="AU14" i="4" s="1"/>
  <c r="AV14" i="4"/>
  <c r="AX14" i="4" s="1"/>
  <c r="AW14" i="4"/>
  <c r="AY14" i="4" s="1"/>
  <c r="AR15" i="4"/>
  <c r="AT15" i="4" s="1"/>
  <c r="AS15" i="4"/>
  <c r="AU15" i="4" s="1"/>
  <c r="AV15" i="4"/>
  <c r="AX15" i="4" s="1"/>
  <c r="AW15" i="4"/>
  <c r="AY15" i="4" s="1"/>
  <c r="AR16" i="4"/>
  <c r="AT16" i="4" s="1"/>
  <c r="AS16" i="4"/>
  <c r="AU16" i="4" s="1"/>
  <c r="AV16" i="4"/>
  <c r="AX16" i="4" s="1"/>
  <c r="AW16" i="4"/>
  <c r="AY16" i="4" s="1"/>
  <c r="AR17" i="4"/>
  <c r="AT17" i="4" s="1"/>
  <c r="AS17" i="4"/>
  <c r="AU17" i="4" s="1"/>
  <c r="AV17" i="4"/>
  <c r="AX17" i="4" s="1"/>
  <c r="AW17" i="4"/>
  <c r="AY17" i="4" s="1"/>
  <c r="AR18" i="4"/>
  <c r="AT18" i="4" s="1"/>
  <c r="AS18" i="4"/>
  <c r="AU18" i="4" s="1"/>
  <c r="AV18" i="4"/>
  <c r="AX18" i="4" s="1"/>
  <c r="AW18" i="4"/>
  <c r="AY18" i="4" s="1"/>
  <c r="AR19" i="4"/>
  <c r="AT19" i="4" s="1"/>
  <c r="AS19" i="4"/>
  <c r="AU19" i="4" s="1"/>
  <c r="AV19" i="4"/>
  <c r="AX19" i="4" s="1"/>
  <c r="AW19" i="4"/>
  <c r="AY19" i="4" s="1"/>
  <c r="AR20" i="4"/>
  <c r="AT20" i="4" s="1"/>
  <c r="AS20" i="4"/>
  <c r="AU20" i="4" s="1"/>
  <c r="AV20" i="4"/>
  <c r="AX20" i="4" s="1"/>
  <c r="AW20" i="4"/>
  <c r="AY20" i="4" s="1"/>
  <c r="AR21" i="4"/>
  <c r="AT21" i="4" s="1"/>
  <c r="AS21" i="4"/>
  <c r="AU21" i="4" s="1"/>
  <c r="AV21" i="4"/>
  <c r="AX21" i="4" s="1"/>
  <c r="AW21" i="4"/>
  <c r="AY21" i="4" s="1"/>
  <c r="AR22" i="4"/>
  <c r="AT22" i="4" s="1"/>
  <c r="AS22" i="4"/>
  <c r="AU22" i="4" s="1"/>
  <c r="AV22" i="4"/>
  <c r="AX22" i="4" s="1"/>
  <c r="AW22" i="4"/>
  <c r="AY22" i="4" s="1"/>
  <c r="AR23" i="4"/>
  <c r="AT23" i="4" s="1"/>
  <c r="AS23" i="4"/>
  <c r="AU23" i="4" s="1"/>
  <c r="AV23" i="4"/>
  <c r="AX23" i="4" s="1"/>
  <c r="AW23" i="4"/>
  <c r="AY23" i="4" s="1"/>
  <c r="AR24" i="4"/>
  <c r="AT24" i="4" s="1"/>
  <c r="AS24" i="4"/>
  <c r="AU24" i="4" s="1"/>
  <c r="AV24" i="4"/>
  <c r="AX24" i="4" s="1"/>
  <c r="AW24" i="4"/>
  <c r="AY24" i="4" s="1"/>
  <c r="AR25" i="4"/>
  <c r="AT25" i="4" s="1"/>
  <c r="AS25" i="4"/>
  <c r="AU25" i="4" s="1"/>
  <c r="AV25" i="4"/>
  <c r="AX25" i="4" s="1"/>
  <c r="AW25" i="4"/>
  <c r="AY25" i="4" s="1"/>
  <c r="AR26" i="4"/>
  <c r="AT26" i="4" s="1"/>
  <c r="AS26" i="4"/>
  <c r="AU26" i="4" s="1"/>
  <c r="AV26" i="4"/>
  <c r="AX26" i="4" s="1"/>
  <c r="AW26" i="4"/>
  <c r="AY26" i="4" s="1"/>
  <c r="AR27" i="4"/>
  <c r="AT27" i="4" s="1"/>
  <c r="AS27" i="4"/>
  <c r="AU27" i="4" s="1"/>
  <c r="AV27" i="4"/>
  <c r="AX27" i="4" s="1"/>
  <c r="AW27" i="4"/>
  <c r="AY27" i="4" s="1"/>
  <c r="AR28" i="4"/>
  <c r="AT28" i="4" s="1"/>
  <c r="AS28" i="4"/>
  <c r="AU28" i="4" s="1"/>
  <c r="AV28" i="4"/>
  <c r="AX28" i="4" s="1"/>
  <c r="AW28" i="4"/>
  <c r="AY28" i="4" s="1"/>
  <c r="AR29" i="4"/>
  <c r="AT29" i="4" s="1"/>
  <c r="AS29" i="4"/>
  <c r="AU29" i="4" s="1"/>
  <c r="AV29" i="4"/>
  <c r="AX29" i="4" s="1"/>
  <c r="AW29" i="4"/>
  <c r="AY29" i="4" s="1"/>
  <c r="AR30" i="4"/>
  <c r="AT30" i="4" s="1"/>
  <c r="AS30" i="4"/>
  <c r="AU30" i="4" s="1"/>
  <c r="AV30" i="4"/>
  <c r="AX30" i="4" s="1"/>
  <c r="AW30" i="4"/>
  <c r="AY30" i="4" s="1"/>
  <c r="AR31" i="4"/>
  <c r="AT31" i="4" s="1"/>
  <c r="AS31" i="4"/>
  <c r="AU31" i="4" s="1"/>
  <c r="AV31" i="4"/>
  <c r="AX31" i="4" s="1"/>
  <c r="AW31" i="4"/>
  <c r="AY31" i="4" s="1"/>
  <c r="AR32" i="4"/>
  <c r="AT32" i="4" s="1"/>
  <c r="AS32" i="4"/>
  <c r="AU32" i="4" s="1"/>
  <c r="AV32" i="4"/>
  <c r="AX32" i="4" s="1"/>
  <c r="AW32" i="4"/>
  <c r="AY32" i="4" s="1"/>
  <c r="AR33" i="4"/>
  <c r="AT33" i="4" s="1"/>
  <c r="AS33" i="4"/>
  <c r="AU33" i="4" s="1"/>
  <c r="AV33" i="4"/>
  <c r="AX33" i="4" s="1"/>
  <c r="AW33" i="4"/>
  <c r="AY33" i="4" s="1"/>
  <c r="AR34" i="4"/>
  <c r="AT34" i="4" s="1"/>
  <c r="AS34" i="4"/>
  <c r="AU34" i="4" s="1"/>
  <c r="AV34" i="4"/>
  <c r="AX34" i="4" s="1"/>
  <c r="AW34" i="4"/>
  <c r="AY34" i="4" s="1"/>
  <c r="AR35" i="4"/>
  <c r="AT35" i="4" s="1"/>
  <c r="AS35" i="4"/>
  <c r="AU35" i="4" s="1"/>
  <c r="AV35" i="4"/>
  <c r="AX35" i="4" s="1"/>
  <c r="AW35" i="4"/>
  <c r="AY35" i="4" s="1"/>
  <c r="AR36" i="4"/>
  <c r="AT36" i="4" s="1"/>
  <c r="AS36" i="4"/>
  <c r="AU36" i="4" s="1"/>
  <c r="AV36" i="4"/>
  <c r="AX36" i="4" s="1"/>
  <c r="AW36" i="4"/>
  <c r="AY36" i="4" s="1"/>
  <c r="AR37" i="4"/>
  <c r="AT37" i="4" s="1"/>
  <c r="AS37" i="4"/>
  <c r="AU37" i="4" s="1"/>
  <c r="AV37" i="4"/>
  <c r="AX37" i="4" s="1"/>
  <c r="AW37" i="4"/>
  <c r="AY37" i="4" s="1"/>
  <c r="AR38" i="4"/>
  <c r="AT38" i="4" s="1"/>
  <c r="AS38" i="4"/>
  <c r="AU38" i="4" s="1"/>
  <c r="AV38" i="4"/>
  <c r="AX38" i="4" s="1"/>
  <c r="AW38" i="4"/>
  <c r="AY38" i="4" s="1"/>
  <c r="AR39" i="4"/>
  <c r="AT39" i="4" s="1"/>
  <c r="AS39" i="4"/>
  <c r="AU39" i="4" s="1"/>
  <c r="AV39" i="4"/>
  <c r="AX39" i="4" s="1"/>
  <c r="AW39" i="4"/>
  <c r="AY39" i="4" s="1"/>
  <c r="AR40" i="4"/>
  <c r="AT40" i="4" s="1"/>
  <c r="AS40" i="4"/>
  <c r="AU40" i="4" s="1"/>
  <c r="AV40" i="4"/>
  <c r="AX40" i="4" s="1"/>
  <c r="AW40" i="4"/>
  <c r="AY40" i="4" s="1"/>
  <c r="AR41" i="4"/>
  <c r="AT41" i="4" s="1"/>
  <c r="AS41" i="4"/>
  <c r="AU41" i="4" s="1"/>
  <c r="AV41" i="4"/>
  <c r="AX41" i="4" s="1"/>
  <c r="AW41" i="4"/>
  <c r="AY41" i="4" s="1"/>
  <c r="AR42" i="4"/>
  <c r="AT42" i="4" s="1"/>
  <c r="AS42" i="4"/>
  <c r="AU42" i="4" s="1"/>
  <c r="AV42" i="4"/>
  <c r="AX42" i="4" s="1"/>
  <c r="AW42" i="4"/>
  <c r="AY42" i="4" s="1"/>
  <c r="AR43" i="4"/>
  <c r="AT43" i="4" s="1"/>
  <c r="AS43" i="4"/>
  <c r="AU43" i="4" s="1"/>
  <c r="AV43" i="4"/>
  <c r="AX43" i="4" s="1"/>
  <c r="AW43" i="4"/>
  <c r="AY43" i="4" s="1"/>
  <c r="AR44" i="4"/>
  <c r="AT44" i="4" s="1"/>
  <c r="AS44" i="4"/>
  <c r="AU44" i="4" s="1"/>
  <c r="AV44" i="4"/>
  <c r="AX44" i="4" s="1"/>
  <c r="AW44" i="4"/>
  <c r="AY44" i="4" s="1"/>
  <c r="AR45" i="4"/>
  <c r="AT45" i="4" s="1"/>
  <c r="AS45" i="4"/>
  <c r="AU45" i="4" s="1"/>
  <c r="AV45" i="4"/>
  <c r="AX45" i="4" s="1"/>
  <c r="AW45" i="4"/>
  <c r="AY45" i="4" s="1"/>
  <c r="AR46" i="4"/>
  <c r="AT46" i="4" s="1"/>
  <c r="AS46" i="4"/>
  <c r="AU46" i="4" s="1"/>
  <c r="AV46" i="4"/>
  <c r="AX46" i="4" s="1"/>
  <c r="AW46" i="4"/>
  <c r="AY46" i="4" s="1"/>
  <c r="AR47" i="4"/>
  <c r="AT47" i="4" s="1"/>
  <c r="AS47" i="4"/>
  <c r="AU47" i="4" s="1"/>
  <c r="AV47" i="4"/>
  <c r="AX47" i="4" s="1"/>
  <c r="AW47" i="4"/>
  <c r="AY47" i="4" s="1"/>
  <c r="AR48" i="4"/>
  <c r="AT48" i="4" s="1"/>
  <c r="AS48" i="4"/>
  <c r="AU48" i="4" s="1"/>
  <c r="AV48" i="4"/>
  <c r="AX48" i="4" s="1"/>
  <c r="AW48" i="4"/>
  <c r="AY48" i="4" s="1"/>
  <c r="AR49" i="4"/>
  <c r="AT49" i="4" s="1"/>
  <c r="AS49" i="4"/>
  <c r="AU49" i="4" s="1"/>
  <c r="AV49" i="4"/>
  <c r="AX49" i="4" s="1"/>
  <c r="AW49" i="4"/>
  <c r="AY49" i="4" s="1"/>
  <c r="AR50" i="4"/>
  <c r="AT50" i="4" s="1"/>
  <c r="AS50" i="4"/>
  <c r="AU50" i="4" s="1"/>
  <c r="AV50" i="4"/>
  <c r="AX50" i="4" s="1"/>
  <c r="AW50" i="4"/>
  <c r="AY50" i="4" s="1"/>
  <c r="AR51" i="4"/>
  <c r="AT51" i="4" s="1"/>
  <c r="AS51" i="4"/>
  <c r="AU51" i="4" s="1"/>
  <c r="AV51" i="4"/>
  <c r="AX51" i="4" s="1"/>
  <c r="AW51" i="4"/>
  <c r="AY51" i="4" s="1"/>
  <c r="T81" i="37" l="1"/>
  <c r="T119" i="37"/>
  <c r="T114" i="37"/>
  <c r="T114" i="36"/>
  <c r="T117" i="36"/>
  <c r="T120" i="36" s="1"/>
  <c r="T100" i="33"/>
  <c r="G120" i="32"/>
  <c r="T114" i="32"/>
  <c r="T114" i="31"/>
  <c r="T117" i="31"/>
  <c r="T120" i="31" s="1"/>
  <c r="T117" i="32"/>
  <c r="T120" i="32" s="1"/>
  <c r="T117" i="37"/>
  <c r="T120" i="37" s="1"/>
  <c r="T100" i="34"/>
  <c r="G120" i="35"/>
  <c r="T117" i="35"/>
  <c r="T120" i="35" s="1"/>
  <c r="T117" i="34"/>
  <c r="T120" i="34" s="1"/>
  <c r="T108" i="34"/>
  <c r="T117" i="33"/>
  <c r="T120" i="33" s="1"/>
  <c r="AH4" i="4" l="1"/>
  <c r="AH10" i="4"/>
  <c r="AH14" i="4"/>
  <c r="AH18" i="4"/>
  <c r="AH22" i="4"/>
  <c r="AH26" i="4"/>
  <c r="AH30" i="4"/>
  <c r="AH34" i="4"/>
  <c r="AH38" i="4"/>
  <c r="AH42" i="4"/>
  <c r="AH46" i="4"/>
  <c r="AH50" i="4"/>
  <c r="AH3" i="4"/>
  <c r="AH5" i="4"/>
  <c r="AH6" i="4"/>
  <c r="AH7" i="4"/>
  <c r="AH8" i="4"/>
  <c r="AH9" i="4"/>
  <c r="AH11" i="4"/>
  <c r="AH12" i="4"/>
  <c r="AH13" i="4"/>
  <c r="AH15" i="4"/>
  <c r="AH16" i="4"/>
  <c r="AH17" i="4"/>
  <c r="AH19" i="4"/>
  <c r="AH20" i="4"/>
  <c r="AH21" i="4"/>
  <c r="AH23" i="4"/>
  <c r="AH24" i="4"/>
  <c r="AH25" i="4"/>
  <c r="AH27" i="4"/>
  <c r="AH28" i="4"/>
  <c r="AH29" i="4"/>
  <c r="AH31" i="4"/>
  <c r="AH32" i="4"/>
  <c r="AH33" i="4"/>
  <c r="AH35" i="4"/>
  <c r="AH36" i="4"/>
  <c r="AH37" i="4"/>
  <c r="AH39" i="4"/>
  <c r="AH40" i="4"/>
  <c r="AH41" i="4"/>
  <c r="AH43" i="4"/>
  <c r="AH44" i="4"/>
  <c r="AH45" i="4"/>
  <c r="AH47" i="4"/>
  <c r="AH48" i="4"/>
  <c r="AH49" i="4"/>
  <c r="AH51" i="4"/>
  <c r="D7" i="2" l="1"/>
  <c r="D16" i="2" s="1"/>
  <c r="Q7" i="2"/>
  <c r="M7" i="2"/>
  <c r="J7" i="2"/>
  <c r="C7" i="2"/>
  <c r="C16" i="2" s="1"/>
  <c r="O84" i="4"/>
  <c r="O85" i="4" s="1"/>
  <c r="N84" i="4"/>
  <c r="N85" i="4" s="1"/>
  <c r="M84" i="4"/>
  <c r="M85" i="4" s="1"/>
  <c r="H84" i="4"/>
  <c r="G84" i="4"/>
  <c r="J83" i="4"/>
  <c r="J85" i="4" s="1"/>
  <c r="D83" i="4"/>
  <c r="R82" i="4"/>
  <c r="R85" i="4" s="1"/>
  <c r="Q82" i="4"/>
  <c r="Q85" i="4" s="1"/>
  <c r="P82" i="4"/>
  <c r="P85" i="4" s="1"/>
  <c r="L82" i="4"/>
  <c r="L85" i="4" s="1"/>
  <c r="K82" i="4"/>
  <c r="K85" i="4" s="1"/>
  <c r="I82" i="4"/>
  <c r="I85" i="4" s="1"/>
  <c r="H82" i="4"/>
  <c r="G82" i="4"/>
  <c r="F82" i="4"/>
  <c r="F85" i="4" s="1"/>
  <c r="E82" i="4"/>
  <c r="E85" i="4" s="1"/>
  <c r="D84" i="4"/>
  <c r="D82" i="4"/>
  <c r="O65" i="4"/>
  <c r="O66" i="4" s="1"/>
  <c r="N65" i="4"/>
  <c r="N66" i="4" s="1"/>
  <c r="M65" i="4"/>
  <c r="H65" i="4"/>
  <c r="G65" i="4"/>
  <c r="D65" i="4"/>
  <c r="J64" i="4"/>
  <c r="D64" i="4"/>
  <c r="R63" i="4"/>
  <c r="R66" i="4" s="1"/>
  <c r="Q63" i="4"/>
  <c r="P63" i="4"/>
  <c r="P66" i="4" s="1"/>
  <c r="L63" i="4"/>
  <c r="L66" i="4" s="1"/>
  <c r="K63" i="4"/>
  <c r="K66" i="4" s="1"/>
  <c r="I63" i="4"/>
  <c r="H63" i="4"/>
  <c r="G63" i="4"/>
  <c r="F63" i="4"/>
  <c r="E63" i="4"/>
  <c r="D63" i="4"/>
  <c r="E15" i="6"/>
  <c r="E14" i="6"/>
  <c r="E13" i="6"/>
  <c r="E12" i="6"/>
  <c r="E11" i="6"/>
  <c r="E10" i="6"/>
  <c r="E9" i="6"/>
  <c r="E8" i="6"/>
  <c r="E7" i="6"/>
  <c r="E6" i="6"/>
  <c r="E5" i="6"/>
  <c r="E4" i="6"/>
  <c r="J4" i="3"/>
  <c r="J12" i="3" s="1"/>
  <c r="I4" i="3"/>
  <c r="I12" i="3" s="1"/>
  <c r="G4" i="3"/>
  <c r="E4" i="3"/>
  <c r="R104" i="4"/>
  <c r="Q104" i="4"/>
  <c r="P104" i="4"/>
  <c r="L104" i="4"/>
  <c r="K104" i="4"/>
  <c r="J104" i="4"/>
  <c r="I104" i="4"/>
  <c r="F104" i="4"/>
  <c r="E104" i="4"/>
  <c r="R103" i="4"/>
  <c r="Q103" i="4"/>
  <c r="P103" i="4"/>
  <c r="O103" i="4"/>
  <c r="N103" i="4"/>
  <c r="M103" i="4"/>
  <c r="L103" i="4"/>
  <c r="K103" i="4"/>
  <c r="I103" i="4"/>
  <c r="H103" i="4"/>
  <c r="G103" i="4"/>
  <c r="F103" i="4"/>
  <c r="E103" i="4"/>
  <c r="O102" i="4"/>
  <c r="N102" i="4"/>
  <c r="M102" i="4"/>
  <c r="J102" i="4"/>
  <c r="R98" i="4"/>
  <c r="Q98" i="4"/>
  <c r="P98" i="4"/>
  <c r="L98" i="4"/>
  <c r="K98" i="4"/>
  <c r="J98" i="4"/>
  <c r="I98" i="4"/>
  <c r="F98" i="4"/>
  <c r="E98" i="4"/>
  <c r="R97" i="4"/>
  <c r="Q97" i="4"/>
  <c r="P97" i="4"/>
  <c r="O97" i="4"/>
  <c r="N97" i="4"/>
  <c r="M97" i="4"/>
  <c r="L97" i="4"/>
  <c r="K97" i="4"/>
  <c r="I97" i="4"/>
  <c r="H97" i="4"/>
  <c r="G97" i="4"/>
  <c r="F97" i="4"/>
  <c r="E97" i="4"/>
  <c r="O96" i="4"/>
  <c r="N96" i="4"/>
  <c r="M96" i="4"/>
  <c r="J96" i="4"/>
  <c r="R90" i="4"/>
  <c r="Q90" i="4"/>
  <c r="P90" i="4"/>
  <c r="L90" i="4"/>
  <c r="K90" i="4"/>
  <c r="J90" i="4"/>
  <c r="I90" i="4"/>
  <c r="F90" i="4"/>
  <c r="E90" i="4"/>
  <c r="R89" i="4"/>
  <c r="Q89" i="4"/>
  <c r="P89" i="4"/>
  <c r="O89" i="4"/>
  <c r="N89" i="4"/>
  <c r="M89" i="4"/>
  <c r="L89" i="4"/>
  <c r="K89" i="4"/>
  <c r="I89" i="4"/>
  <c r="H89" i="4"/>
  <c r="G89" i="4"/>
  <c r="F89" i="4"/>
  <c r="E89" i="4"/>
  <c r="O88" i="4"/>
  <c r="N88" i="4"/>
  <c r="M88" i="4"/>
  <c r="J88" i="4"/>
  <c r="O78" i="4"/>
  <c r="O79" i="4" s="1"/>
  <c r="N78" i="4"/>
  <c r="M78" i="4"/>
  <c r="H78" i="4"/>
  <c r="G78" i="4"/>
  <c r="D78" i="4"/>
  <c r="J77" i="4"/>
  <c r="J79" i="4" s="1"/>
  <c r="D77" i="4"/>
  <c r="R76" i="4"/>
  <c r="R79" i="4" s="1"/>
  <c r="Q76" i="4"/>
  <c r="P76" i="4"/>
  <c r="P79" i="4" s="1"/>
  <c r="L76" i="4"/>
  <c r="K76" i="4"/>
  <c r="I76" i="4"/>
  <c r="H76" i="4"/>
  <c r="G76" i="4"/>
  <c r="F76" i="4"/>
  <c r="F79" i="4" s="1"/>
  <c r="E76" i="4"/>
  <c r="D76" i="4"/>
  <c r="R71" i="4"/>
  <c r="Q71" i="4"/>
  <c r="P71" i="4"/>
  <c r="L71" i="4"/>
  <c r="K71" i="4"/>
  <c r="J71" i="4"/>
  <c r="I71" i="4"/>
  <c r="F71" i="4"/>
  <c r="E71" i="4"/>
  <c r="R70" i="4"/>
  <c r="Q70" i="4"/>
  <c r="P70" i="4"/>
  <c r="O70" i="4"/>
  <c r="N70" i="4"/>
  <c r="M70" i="4"/>
  <c r="L70" i="4"/>
  <c r="K70" i="4"/>
  <c r="I70" i="4"/>
  <c r="H70" i="4"/>
  <c r="G70" i="4"/>
  <c r="F70" i="4"/>
  <c r="E70" i="4"/>
  <c r="O69" i="4"/>
  <c r="N69" i="4"/>
  <c r="M69" i="4"/>
  <c r="J69" i="4"/>
  <c r="O59" i="4"/>
  <c r="O60" i="4" s="1"/>
  <c r="N59" i="4"/>
  <c r="N60" i="4" s="1"/>
  <c r="M59" i="4"/>
  <c r="H59" i="4"/>
  <c r="G59" i="4"/>
  <c r="D59" i="4"/>
  <c r="J58" i="4"/>
  <c r="D58" i="4"/>
  <c r="R57" i="4"/>
  <c r="Q57" i="4"/>
  <c r="P57" i="4"/>
  <c r="L57" i="4"/>
  <c r="K57" i="4"/>
  <c r="K60" i="4" s="1"/>
  <c r="I57" i="4"/>
  <c r="H57" i="4"/>
  <c r="G57" i="4"/>
  <c r="F57" i="4"/>
  <c r="E57" i="4"/>
  <c r="D57" i="4"/>
  <c r="Q81" i="4"/>
  <c r="P62" i="4"/>
  <c r="O95" i="4"/>
  <c r="M75" i="4"/>
  <c r="K107" i="4"/>
  <c r="I101" i="4"/>
  <c r="H75" i="4"/>
  <c r="G107" i="4"/>
  <c r="AO12" i="3"/>
  <c r="AB12" i="3"/>
  <c r="AB13" i="3" s="1"/>
  <c r="K11" i="3"/>
  <c r="G11" i="3"/>
  <c r="E10" i="3"/>
  <c r="AA10" i="3"/>
  <c r="Y10" i="3"/>
  <c r="Q10" i="3"/>
  <c r="D10" i="3"/>
  <c r="AA9" i="3"/>
  <c r="Y9" i="3"/>
  <c r="W9" i="3"/>
  <c r="Q9" i="3"/>
  <c r="D9" i="3"/>
  <c r="AA8" i="3"/>
  <c r="Y8" i="3"/>
  <c r="W8" i="3"/>
  <c r="Q8" i="3"/>
  <c r="D8" i="3"/>
  <c r="E7" i="3"/>
  <c r="Q7" i="3"/>
  <c r="Y7" i="3"/>
  <c r="AA6" i="3"/>
  <c r="Y6" i="3"/>
  <c r="W6" i="3"/>
  <c r="Q6" i="3"/>
  <c r="D6" i="3"/>
  <c r="AA5" i="3"/>
  <c r="Q5" i="3"/>
  <c r="D5" i="3"/>
  <c r="X16" i="2"/>
  <c r="B16" i="2"/>
  <c r="Z4" i="3" l="1"/>
  <c r="Z12" i="3" s="1"/>
  <c r="Y5" i="3"/>
  <c r="E5" i="3"/>
  <c r="E12" i="3" s="1"/>
  <c r="E8" i="3"/>
  <c r="H8" i="3" s="1"/>
  <c r="K8" i="3" s="1"/>
  <c r="H5" i="3"/>
  <c r="K5" i="3" s="1"/>
  <c r="W5" i="3"/>
  <c r="E9" i="3"/>
  <c r="T9" i="3" s="1"/>
  <c r="E6" i="3"/>
  <c r="T6" i="3" s="1"/>
  <c r="H10" i="3"/>
  <c r="K10" i="3" s="1"/>
  <c r="W10" i="3"/>
  <c r="T7" i="2"/>
  <c r="T16" i="2" s="1"/>
  <c r="N90" i="4"/>
  <c r="U7" i="2"/>
  <c r="U16" i="2" s="1"/>
  <c r="D70" i="4"/>
  <c r="P69" i="4"/>
  <c r="G109" i="4"/>
  <c r="L109" i="4"/>
  <c r="P109" i="4"/>
  <c r="L110" i="4"/>
  <c r="O108" i="4"/>
  <c r="H109" i="4"/>
  <c r="M109" i="4"/>
  <c r="Q109" i="4"/>
  <c r="I110" i="4"/>
  <c r="P110" i="4"/>
  <c r="D89" i="4"/>
  <c r="D88" i="4"/>
  <c r="K95" i="4"/>
  <c r="Q88" i="4"/>
  <c r="Q87" i="4"/>
  <c r="I88" i="4"/>
  <c r="S7" i="2"/>
  <c r="L88" i="4"/>
  <c r="G69" i="4"/>
  <c r="N98" i="4"/>
  <c r="N99" i="4" s="1"/>
  <c r="G66" i="4"/>
  <c r="O71" i="4"/>
  <c r="H90" i="4"/>
  <c r="R7" i="2"/>
  <c r="AN4" i="3"/>
  <c r="AN12" i="3" s="1"/>
  <c r="D104" i="4"/>
  <c r="J91" i="4"/>
  <c r="R91" i="4"/>
  <c r="P91" i="4"/>
  <c r="F91" i="4"/>
  <c r="E88" i="4"/>
  <c r="D90" i="4"/>
  <c r="L69" i="4"/>
  <c r="H69" i="4"/>
  <c r="D66" i="4"/>
  <c r="D4" i="3" s="1"/>
  <c r="AG4" i="3"/>
  <c r="AG12" i="3" s="1"/>
  <c r="G60" i="4"/>
  <c r="G72" i="4" s="1"/>
  <c r="O72" i="4"/>
  <c r="AH4" i="3"/>
  <c r="AH12" i="3" s="1"/>
  <c r="T65" i="4"/>
  <c r="M108" i="4"/>
  <c r="F109" i="4"/>
  <c r="K109" i="4"/>
  <c r="O109" i="4"/>
  <c r="K110" i="4"/>
  <c r="AE4" i="3"/>
  <c r="AE12" i="3" s="1"/>
  <c r="AI4" i="3"/>
  <c r="AI12" i="3" s="1"/>
  <c r="AM4" i="3"/>
  <c r="AM12" i="3" s="1"/>
  <c r="D60" i="4"/>
  <c r="N72" i="4"/>
  <c r="AC4" i="3"/>
  <c r="AC12" i="3" s="1"/>
  <c r="AC13" i="3" s="1"/>
  <c r="AK4" i="3"/>
  <c r="AK12" i="3" s="1"/>
  <c r="J108" i="4"/>
  <c r="I109" i="4"/>
  <c r="J110" i="4"/>
  <c r="Q110" i="4"/>
  <c r="AD4" i="3"/>
  <c r="AD12" i="3" s="1"/>
  <c r="AL4" i="3"/>
  <c r="AL12" i="3" s="1"/>
  <c r="D71" i="4"/>
  <c r="P60" i="4"/>
  <c r="P72" i="4" s="1"/>
  <c r="L60" i="4"/>
  <c r="L72" i="4" s="1"/>
  <c r="N71" i="4"/>
  <c r="AF4" i="3"/>
  <c r="AF12" i="3" s="1"/>
  <c r="AJ4" i="3"/>
  <c r="AJ12" i="3" s="1"/>
  <c r="G79" i="4"/>
  <c r="G102" i="4"/>
  <c r="L102" i="4"/>
  <c r="L105" i="4" s="1"/>
  <c r="O4" i="3" s="1"/>
  <c r="O12" i="3" s="1"/>
  <c r="D103" i="4"/>
  <c r="D85" i="4"/>
  <c r="H85" i="4"/>
  <c r="F102" i="4"/>
  <c r="F105" i="4" s="1"/>
  <c r="K102" i="4"/>
  <c r="K105" i="4" s="1"/>
  <c r="G104" i="4"/>
  <c r="O104" i="4"/>
  <c r="O105" i="4" s="1"/>
  <c r="G85" i="4"/>
  <c r="K96" i="4"/>
  <c r="R96" i="4"/>
  <c r="R99" i="4" s="1"/>
  <c r="M104" i="4"/>
  <c r="M105" i="4" s="1"/>
  <c r="L79" i="4"/>
  <c r="L91" i="4" s="1"/>
  <c r="F96" i="4"/>
  <c r="G98" i="4"/>
  <c r="O98" i="4"/>
  <c r="D102" i="4"/>
  <c r="H102" i="4"/>
  <c r="P102" i="4"/>
  <c r="P105" i="4" s="1"/>
  <c r="T77" i="4"/>
  <c r="N79" i="4"/>
  <c r="N91" i="4" s="1"/>
  <c r="T83" i="4"/>
  <c r="F88" i="4"/>
  <c r="G96" i="4"/>
  <c r="G108" i="4" s="1"/>
  <c r="L96" i="4"/>
  <c r="L108" i="4" s="1"/>
  <c r="R102" i="4"/>
  <c r="N104" i="4"/>
  <c r="N105" i="4" s="1"/>
  <c r="D96" i="4"/>
  <c r="H96" i="4"/>
  <c r="T84" i="4"/>
  <c r="J89" i="4"/>
  <c r="T89" i="4" s="1"/>
  <c r="D98" i="4"/>
  <c r="D110" i="4" s="1"/>
  <c r="L101" i="4"/>
  <c r="L87" i="4"/>
  <c r="L81" i="4"/>
  <c r="L107" i="4"/>
  <c r="L95" i="4"/>
  <c r="L75" i="4"/>
  <c r="E96" i="4"/>
  <c r="E69" i="4"/>
  <c r="E60" i="4"/>
  <c r="T57" i="4"/>
  <c r="Q96" i="4"/>
  <c r="Q69" i="4"/>
  <c r="Q60" i="4"/>
  <c r="L62" i="4"/>
  <c r="K72" i="4"/>
  <c r="H98" i="4"/>
  <c r="H71" i="4"/>
  <c r="H60" i="4"/>
  <c r="T59" i="4"/>
  <c r="J66" i="4"/>
  <c r="J103" i="4"/>
  <c r="J105" i="4" s="1"/>
  <c r="P4" i="3" s="1"/>
  <c r="P12" i="3" s="1"/>
  <c r="T64" i="4"/>
  <c r="H88" i="4"/>
  <c r="H79" i="4"/>
  <c r="P88" i="4"/>
  <c r="P96" i="4"/>
  <c r="D79" i="4"/>
  <c r="D91" i="4" s="1"/>
  <c r="H101" i="4"/>
  <c r="H87" i="4"/>
  <c r="H81" i="4"/>
  <c r="H107" i="4"/>
  <c r="H95" i="4"/>
  <c r="P101" i="4"/>
  <c r="P87" i="4"/>
  <c r="P81" i="4"/>
  <c r="P107" i="4"/>
  <c r="P95" i="4"/>
  <c r="P75" i="4"/>
  <c r="I96" i="4"/>
  <c r="I69" i="4"/>
  <c r="I60" i="4"/>
  <c r="H104" i="4"/>
  <c r="H66" i="4"/>
  <c r="J97" i="4"/>
  <c r="T97" i="4" s="1"/>
  <c r="J60" i="4"/>
  <c r="J70" i="4"/>
  <c r="T70" i="4" s="1"/>
  <c r="T58" i="4"/>
  <c r="H62" i="4"/>
  <c r="E102" i="4"/>
  <c r="E66" i="4"/>
  <c r="T63" i="4"/>
  <c r="I102" i="4"/>
  <c r="I105" i="4" s="1"/>
  <c r="I66" i="4"/>
  <c r="Q102" i="4"/>
  <c r="Q105" i="4" s="1"/>
  <c r="Q66" i="4"/>
  <c r="E107" i="4"/>
  <c r="E95" i="4"/>
  <c r="I107" i="4"/>
  <c r="I95" i="4"/>
  <c r="M107" i="4"/>
  <c r="M95" i="4"/>
  <c r="Q107" i="4"/>
  <c r="Q95" i="4"/>
  <c r="M98" i="4"/>
  <c r="M110" i="4" s="1"/>
  <c r="M71" i="4"/>
  <c r="E62" i="4"/>
  <c r="I62" i="4"/>
  <c r="M62" i="4"/>
  <c r="Q62" i="4"/>
  <c r="D69" i="4"/>
  <c r="R69" i="4"/>
  <c r="I75" i="4"/>
  <c r="O75" i="4"/>
  <c r="M90" i="4"/>
  <c r="M79" i="4"/>
  <c r="M91" i="4" s="1"/>
  <c r="E81" i="4"/>
  <c r="E87" i="4"/>
  <c r="M101" i="4"/>
  <c r="F107" i="4"/>
  <c r="F95" i="4"/>
  <c r="F101" i="4"/>
  <c r="F87" i="4"/>
  <c r="F81" i="4"/>
  <c r="F75" i="4"/>
  <c r="J107" i="4"/>
  <c r="J95" i="4"/>
  <c r="J101" i="4"/>
  <c r="J87" i="4"/>
  <c r="J81" i="4"/>
  <c r="J75" i="4"/>
  <c r="N107" i="4"/>
  <c r="N95" i="4"/>
  <c r="N101" i="4"/>
  <c r="N87" i="4"/>
  <c r="N81" i="4"/>
  <c r="N75" i="4"/>
  <c r="R107" i="4"/>
  <c r="R95" i="4"/>
  <c r="R101" i="4"/>
  <c r="R87" i="4"/>
  <c r="R81" i="4"/>
  <c r="R75" i="4"/>
  <c r="M60" i="4"/>
  <c r="F62" i="4"/>
  <c r="J62" i="4"/>
  <c r="N62" i="4"/>
  <c r="R62" i="4"/>
  <c r="M66" i="4"/>
  <c r="G71" i="4"/>
  <c r="E75" i="4"/>
  <c r="K75" i="4"/>
  <c r="K79" i="4"/>
  <c r="K91" i="4" s="1"/>
  <c r="K88" i="4"/>
  <c r="I81" i="4"/>
  <c r="I87" i="4"/>
  <c r="R88" i="4"/>
  <c r="D97" i="4"/>
  <c r="F110" i="4"/>
  <c r="R110" i="4"/>
  <c r="Q101" i="4"/>
  <c r="G101" i="4"/>
  <c r="G87" i="4"/>
  <c r="G81" i="4"/>
  <c r="K101" i="4"/>
  <c r="K87" i="4"/>
  <c r="K81" i="4"/>
  <c r="O101" i="4"/>
  <c r="O87" i="4"/>
  <c r="O81" i="4"/>
  <c r="F60" i="4"/>
  <c r="R60" i="4"/>
  <c r="R72" i="4" s="1"/>
  <c r="G62" i="4"/>
  <c r="K62" i="4"/>
  <c r="O62" i="4"/>
  <c r="F66" i="4"/>
  <c r="F69" i="4"/>
  <c r="K69" i="4"/>
  <c r="G75" i="4"/>
  <c r="Q75" i="4"/>
  <c r="T78" i="4"/>
  <c r="O91" i="4"/>
  <c r="M81" i="4"/>
  <c r="M87" i="4"/>
  <c r="G95" i="4"/>
  <c r="N108" i="4"/>
  <c r="N109" i="4"/>
  <c r="R109" i="4"/>
  <c r="E101" i="4"/>
  <c r="O107" i="4"/>
  <c r="T76" i="4"/>
  <c r="E79" i="4"/>
  <c r="E91" i="4" s="1"/>
  <c r="I79" i="4"/>
  <c r="I91" i="4" s="1"/>
  <c r="Q79" i="4"/>
  <c r="Q91" i="4" s="1"/>
  <c r="T82" i="4"/>
  <c r="G88" i="4"/>
  <c r="G90" i="4"/>
  <c r="O90" i="4"/>
  <c r="E109" i="4"/>
  <c r="E110" i="4"/>
  <c r="G7" i="3"/>
  <c r="T7" i="3"/>
  <c r="S7" i="3"/>
  <c r="T10" i="3"/>
  <c r="S10" i="3"/>
  <c r="G10" i="3"/>
  <c r="R10" i="3" s="1"/>
  <c r="S5" i="3"/>
  <c r="T5" i="3"/>
  <c r="G8" i="3"/>
  <c r="R8" i="3" s="1"/>
  <c r="T8" i="3"/>
  <c r="G9" i="3"/>
  <c r="R9" i="3" s="1"/>
  <c r="S9" i="3"/>
  <c r="H9" i="3"/>
  <c r="K9" i="3" s="1"/>
  <c r="H6" i="3"/>
  <c r="K6" i="3" s="1"/>
  <c r="G6" i="3"/>
  <c r="R6" i="3" s="1"/>
  <c r="H7" i="3"/>
  <c r="K7" i="3" s="1"/>
  <c r="W7" i="3"/>
  <c r="AA7" i="3"/>
  <c r="F4" i="3"/>
  <c r="D7" i="3"/>
  <c r="Z7" i="2"/>
  <c r="M16" i="2"/>
  <c r="N7" i="2"/>
  <c r="V7" i="2"/>
  <c r="F7" i="2"/>
  <c r="H91" i="4" l="1"/>
  <c r="G110" i="4"/>
  <c r="S6" i="3"/>
  <c r="S8" i="3"/>
  <c r="G5" i="3"/>
  <c r="R5" i="3" s="1"/>
  <c r="O110" i="4"/>
  <c r="U4" i="3"/>
  <c r="O99" i="4"/>
  <c r="O111" i="4" s="1"/>
  <c r="R4" i="3"/>
  <c r="O7" i="2"/>
  <c r="G7" i="2"/>
  <c r="L7" i="2"/>
  <c r="G91" i="4"/>
  <c r="F108" i="4"/>
  <c r="AD13" i="3"/>
  <c r="AE13" i="3" s="1"/>
  <c r="AF13" i="3" s="1"/>
  <c r="K108" i="4"/>
  <c r="D12" i="3"/>
  <c r="M72" i="4"/>
  <c r="X4" i="3" s="1"/>
  <c r="V4" i="3"/>
  <c r="R108" i="4"/>
  <c r="F72" i="4"/>
  <c r="N110" i="4"/>
  <c r="I72" i="4"/>
  <c r="D109" i="4"/>
  <c r="T71" i="4"/>
  <c r="G99" i="4"/>
  <c r="L99" i="4"/>
  <c r="L111" i="4" s="1"/>
  <c r="M4" i="3" s="1"/>
  <c r="M12" i="3" s="1"/>
  <c r="K99" i="4"/>
  <c r="K111" i="4" s="1"/>
  <c r="T69" i="4"/>
  <c r="G105" i="4"/>
  <c r="D72" i="4"/>
  <c r="C4" i="3" s="1"/>
  <c r="B4" i="3"/>
  <c r="E7" i="2" s="1"/>
  <c r="T104" i="4"/>
  <c r="H105" i="4"/>
  <c r="H108" i="4"/>
  <c r="D105" i="4"/>
  <c r="T88" i="4"/>
  <c r="F99" i="4"/>
  <c r="F111" i="4" s="1"/>
  <c r="D108" i="4"/>
  <c r="D99" i="4"/>
  <c r="T85" i="4"/>
  <c r="R105" i="4"/>
  <c r="R111" i="4" s="1"/>
  <c r="N111" i="4"/>
  <c r="T103" i="4"/>
  <c r="T98" i="4"/>
  <c r="J109" i="4"/>
  <c r="T109" i="4" s="1"/>
  <c r="J99" i="4"/>
  <c r="J111" i="4" s="1"/>
  <c r="T90" i="4"/>
  <c r="E105" i="4"/>
  <c r="T102" i="4"/>
  <c r="J72" i="4"/>
  <c r="I108" i="4"/>
  <c r="I99" i="4"/>
  <c r="I111" i="4" s="1"/>
  <c r="H72" i="4"/>
  <c r="T60" i="4"/>
  <c r="H110" i="4"/>
  <c r="H99" i="4"/>
  <c r="T66" i="4"/>
  <c r="P108" i="4"/>
  <c r="P99" i="4"/>
  <c r="P111" i="4" s="1"/>
  <c r="Q108" i="4"/>
  <c r="Q99" i="4"/>
  <c r="Q111" i="4" s="1"/>
  <c r="T96" i="4"/>
  <c r="E108" i="4"/>
  <c r="E99" i="4"/>
  <c r="E111" i="4" s="1"/>
  <c r="M99" i="4"/>
  <c r="M111" i="4" s="1"/>
  <c r="T79" i="4"/>
  <c r="Q72" i="4"/>
  <c r="E72" i="4"/>
  <c r="F12" i="3"/>
  <c r="R7" i="3"/>
  <c r="G12" i="3"/>
  <c r="F16" i="2"/>
  <c r="Z16" i="2"/>
  <c r="AA7" i="2"/>
  <c r="AA16" i="2" s="1"/>
  <c r="V16" i="2"/>
  <c r="Y7" i="2"/>
  <c r="Y16" i="2" s="1"/>
  <c r="W7" i="2"/>
  <c r="K7" i="2"/>
  <c r="C12" i="3" l="1"/>
  <c r="H7" i="2"/>
  <c r="I7" i="2" s="1"/>
  <c r="P7" i="2"/>
  <c r="T91" i="4"/>
  <c r="D111" i="4"/>
  <c r="T72" i="4"/>
  <c r="T105" i="4"/>
  <c r="Q4" i="3"/>
  <c r="Y4" i="3"/>
  <c r="Y12" i="3" s="1"/>
  <c r="X12" i="3"/>
  <c r="V12" i="3"/>
  <c r="W4" i="3"/>
  <c r="W12" i="3" s="1"/>
  <c r="G111" i="4"/>
  <c r="H111" i="4"/>
  <c r="N4" i="3"/>
  <c r="N12" i="3" s="1"/>
  <c r="T110" i="4"/>
  <c r="H4" i="3"/>
  <c r="B12" i="3"/>
  <c r="AF14" i="3" s="1"/>
  <c r="T4" i="3"/>
  <c r="S4" i="3"/>
  <c r="AA4" i="3"/>
  <c r="T108" i="4"/>
  <c r="T99" i="4"/>
  <c r="AG13" i="3"/>
  <c r="Q12" i="3"/>
  <c r="R12" i="3"/>
  <c r="AE14" i="3" l="1"/>
  <c r="T111" i="4"/>
  <c r="L4" i="3"/>
  <c r="L12" i="3" s="1"/>
  <c r="E17" i="3"/>
  <c r="AC14" i="3"/>
  <c r="AD14" i="3"/>
  <c r="AA12" i="3"/>
  <c r="S12" i="3"/>
  <c r="AB14" i="3"/>
  <c r="T12" i="3"/>
  <c r="K4" i="3"/>
  <c r="K12" i="3" s="1"/>
  <c r="H12" i="3"/>
  <c r="AG14" i="3"/>
  <c r="AH13" i="3"/>
  <c r="AH14" i="3" l="1"/>
  <c r="AI13" i="3"/>
  <c r="AI14" i="3" l="1"/>
  <c r="AJ13" i="3"/>
  <c r="AJ14" i="3" l="1"/>
  <c r="AK13" i="3"/>
  <c r="AK14" i="3" l="1"/>
  <c r="AL13" i="3"/>
  <c r="AL14" i="3" l="1"/>
  <c r="AM13" i="3"/>
  <c r="AM14" i="3" l="1"/>
  <c r="AN13" i="3"/>
  <c r="AN14" i="3" l="1"/>
  <c r="AO13" i="3"/>
  <c r="AO14" i="3" s="1"/>
</calcChain>
</file>

<file path=xl/sharedStrings.xml><?xml version="1.0" encoding="utf-8"?>
<sst xmlns="http://schemas.openxmlformats.org/spreadsheetml/2006/main" count="1879" uniqueCount="242">
  <si>
    <t>Budget comptable du portefeuille</t>
  </si>
  <si>
    <t>Appuis</t>
  </si>
  <si>
    <t>Budget Définitif</t>
  </si>
  <si>
    <t>Budget</t>
  </si>
  <si>
    <t>Nombre</t>
  </si>
  <si>
    <t>Budget exercice 
décalé</t>
  </si>
  <si>
    <t>en % du portefeuille
 total</t>
  </si>
  <si>
    <t>Dossiers</t>
  </si>
  <si>
    <t>Avancement décalés</t>
  </si>
  <si>
    <t>Budget 31/12</t>
  </si>
  <si>
    <t>en % du portefeuille</t>
  </si>
  <si>
    <t>Avancement 31/12</t>
  </si>
  <si>
    <t>BONI</t>
  </si>
  <si>
    <t>MALI</t>
  </si>
  <si>
    <t>Disponibilités</t>
  </si>
  <si>
    <t>Réalisés</t>
  </si>
  <si>
    <t>Disponibilités après appuis</t>
  </si>
  <si>
    <t>y compris dispo</t>
  </si>
  <si>
    <t>Sur ou sous réalisation</t>
  </si>
  <si>
    <t>Budget validé
 par DT début
 de campagne</t>
  </si>
  <si>
    <t>Montant lettre de mission</t>
  </si>
  <si>
    <t xml:space="preserve">Budget du comptable 
portefeuille </t>
  </si>
  <si>
    <t>Dossiers
total</t>
  </si>
  <si>
    <t xml:space="preserve">Montant </t>
  </si>
  <si>
    <t xml:space="preserve">% </t>
  </si>
  <si>
    <t>%</t>
  </si>
  <si>
    <t>Montant</t>
  </si>
  <si>
    <t>Tps 
restant
nécessaire</t>
  </si>
  <si>
    <t>Tps
restant
nécessaire</t>
  </si>
  <si>
    <t>Heures</t>
  </si>
  <si>
    <t>affectation pic</t>
  </si>
  <si>
    <t>Aurélie</t>
  </si>
  <si>
    <t>Total</t>
  </si>
  <si>
    <t>SIGNATURES</t>
  </si>
  <si>
    <t>Dossiers restant à produire</t>
  </si>
  <si>
    <t>Nombre de dossiers</t>
  </si>
  <si>
    <t>Réalisées</t>
  </si>
  <si>
    <t>Solde</t>
  </si>
  <si>
    <t>Base visa V5</t>
  </si>
  <si>
    <t>Nombre de dossier</t>
  </si>
  <si>
    <t>DECALES</t>
  </si>
  <si>
    <t xml:space="preserve">Avancement </t>
  </si>
  <si>
    <t>NOMBRE total</t>
  </si>
  <si>
    <t>NOMBRE de décalés</t>
  </si>
  <si>
    <t>NOMBRE de dossiers
31 12</t>
  </si>
  <si>
    <t>NOMBRE SIGNE CE JOUR</t>
  </si>
  <si>
    <t>NOMBRE de dossiers décalés</t>
  </si>
  <si>
    <t xml:space="preserve">Nombre de dossiers 31 12 </t>
  </si>
  <si>
    <t>RESTE A SIGNER</t>
  </si>
  <si>
    <t xml:space="preserve">Dossier en attente de visa
SM </t>
  </si>
  <si>
    <t xml:space="preserve">Dossier en attente de visa
FM </t>
  </si>
  <si>
    <t>Reste à signer en déduction des visas en attente dans la base</t>
  </si>
  <si>
    <t>SARL / SAS/
INDIV / ASSO /
EARL / SCEA / ETA</t>
  </si>
  <si>
    <t xml:space="preserve">SCI </t>
  </si>
  <si>
    <t>SARL / SAS/
INDIV / ASSO</t>
  </si>
  <si>
    <t>BNC
/
PROF LIB</t>
  </si>
  <si>
    <t>Avancement% décalés</t>
  </si>
  <si>
    <t>Avancement %
31/12/2019</t>
  </si>
  <si>
    <t>Avancement Total du Portefeuille</t>
  </si>
  <si>
    <t>Avancement y compris dossiers en attente base</t>
  </si>
  <si>
    <t>DELAI MOYEN
en jours
(à titre indicatif)</t>
  </si>
  <si>
    <t>NOMBRE PCR</t>
  </si>
  <si>
    <t>% PCR</t>
  </si>
  <si>
    <t>NOMBRE RA NOS</t>
  </si>
  <si>
    <t>% RA NOS</t>
  </si>
  <si>
    <t>REFUS</t>
  </si>
  <si>
    <t>% REFUS</t>
  </si>
  <si>
    <t>DOSSIERS SIGNES AVANT JUIN</t>
  </si>
  <si>
    <t>DOSSIERS SIGNES EN JUIN</t>
  </si>
  <si>
    <t>DOSSIERS SIGNES EN JUILLET</t>
  </si>
  <si>
    <t>DOSSIERS SIGNES EN AOUT</t>
  </si>
  <si>
    <t>DOSSIERS SIGNES EN SEPTEMBRE</t>
  </si>
  <si>
    <t>DOSSIERS SIGNES EN OCTOBRE</t>
  </si>
  <si>
    <t>DOSSIERS SIGNES EN NOVEMBRE</t>
  </si>
  <si>
    <t>DOSSIERS SIGNES EN DECEMBRE</t>
  </si>
  <si>
    <t>DOSSIERS SIGNES EN  JANVIER</t>
  </si>
  <si>
    <t>DOSSIERS SIGNES EN FEVRIER</t>
  </si>
  <si>
    <t>DOSSIERS SIGNES EN MARS</t>
  </si>
  <si>
    <t>DOSSIERS SIGNES EN AVRIL</t>
  </si>
  <si>
    <t>DOSSIERS SIGNES EN MAI</t>
  </si>
  <si>
    <t>Delphine</t>
  </si>
  <si>
    <t>Frédérique</t>
  </si>
  <si>
    <t>Sébastien</t>
  </si>
  <si>
    <t>Eric</t>
  </si>
  <si>
    <t>Guillaume</t>
  </si>
  <si>
    <t>Marie-Pierre</t>
  </si>
  <si>
    <t>TOTAL</t>
  </si>
  <si>
    <t>CUMUL</t>
  </si>
  <si>
    <t>% AVANCEMENT</t>
  </si>
  <si>
    <t>N° DOSSIER</t>
  </si>
  <si>
    <t>NOM DOSSIER</t>
  </si>
  <si>
    <t>TYPE DE MARCHE</t>
  </si>
  <si>
    <t>DATE DE CLOTURE</t>
  </si>
  <si>
    <t>REGIME JURIDIQUE</t>
  </si>
  <si>
    <t>REGIME IMPOSITION</t>
  </si>
  <si>
    <t>DATE
DE DEPOT</t>
  </si>
  <si>
    <t>DATE SIGNATURE</t>
  </si>
  <si>
    <t>MOIS</t>
  </si>
  <si>
    <t>DELAI</t>
  </si>
  <si>
    <t>PCR</t>
  </si>
  <si>
    <t>RA NOS</t>
  </si>
  <si>
    <t xml:space="preserve">QUI </t>
  </si>
  <si>
    <t>CR</t>
  </si>
  <si>
    <t>CR FAIT PAR LE COMPTABLE</t>
  </si>
  <si>
    <t>Prénom
AAC</t>
  </si>
  <si>
    <t>GRILLE ENJEUX</t>
  </si>
  <si>
    <t>Visa
Validé
enjeu 4 ou attestation enjeu</t>
  </si>
  <si>
    <t>VISA VCOMPTA</t>
  </si>
  <si>
    <t>MOTIF</t>
  </si>
  <si>
    <t>ACS</t>
  </si>
  <si>
    <t>SNC</t>
  </si>
  <si>
    <t>IR</t>
  </si>
  <si>
    <t>SARL</t>
  </si>
  <si>
    <t>COMPTABLE</t>
  </si>
  <si>
    <t>IS</t>
  </si>
  <si>
    <t>EURL</t>
  </si>
  <si>
    <t>INDIVIDUEL</t>
  </si>
  <si>
    <t>CONSEILLER</t>
  </si>
  <si>
    <t>SAS</t>
  </si>
  <si>
    <t>SCI</t>
  </si>
  <si>
    <t>PORTEFEUILLE</t>
  </si>
  <si>
    <t>BNC</t>
  </si>
  <si>
    <t>AGRI</t>
  </si>
  <si>
    <t>TOTAL DOSSIERS</t>
  </si>
  <si>
    <t>Association</t>
  </si>
  <si>
    <t>PROFESSION LIBERALE</t>
  </si>
  <si>
    <t>EARL</t>
  </si>
  <si>
    <t>ETA</t>
  </si>
  <si>
    <t>SCEA</t>
  </si>
  <si>
    <t>GROUPEMENT</t>
  </si>
  <si>
    <t>EIRL</t>
  </si>
  <si>
    <t>AUTRE</t>
  </si>
  <si>
    <t>dossiers déposés</t>
  </si>
  <si>
    <t>Reste à produire</t>
  </si>
  <si>
    <t>Données</t>
  </si>
  <si>
    <t>Année de campagne</t>
  </si>
  <si>
    <t>ASSOCIATION</t>
  </si>
  <si>
    <t>AUTRES</t>
  </si>
  <si>
    <t>DELPHINE</t>
  </si>
  <si>
    <t>FREDERIQUE</t>
  </si>
  <si>
    <t>SEBASTIEN</t>
  </si>
  <si>
    <t>ERIC</t>
  </si>
  <si>
    <t>GUILLAUME</t>
  </si>
  <si>
    <t>AURELIE T</t>
  </si>
  <si>
    <t>MARIE PIERRE</t>
  </si>
  <si>
    <t>AG
SIGNEE</t>
  </si>
  <si>
    <t>COMMENTAIRES</t>
  </si>
  <si>
    <t>Attestation
à faire signer par l'EC</t>
  </si>
  <si>
    <t>AAC</t>
  </si>
  <si>
    <t>AURELIE S</t>
  </si>
  <si>
    <t>PRENOM CONSEILLER</t>
  </si>
  <si>
    <t>THOMAS B</t>
  </si>
  <si>
    <t>KARINE V</t>
  </si>
  <si>
    <t>SYLVIE B</t>
  </si>
  <si>
    <t>OLIVIER F</t>
  </si>
  <si>
    <t>DIAN D</t>
  </si>
  <si>
    <t>HENRI A</t>
  </si>
  <si>
    <t>PCR COMPTABLE €</t>
  </si>
  <si>
    <t>PCR CONSEILLER €</t>
  </si>
  <si>
    <t>RA FAIT PAR LE
COMPTABLE €</t>
  </si>
  <si>
    <t>RA FAITE PAR LE CONSEILLER €</t>
  </si>
  <si>
    <t>POINT DE PILOTAGE €</t>
  </si>
  <si>
    <t>SAISIE PAR UNE AAC €</t>
  </si>
  <si>
    <t>SAISIE PAR LE COMPTABLE €</t>
  </si>
  <si>
    <t>TRAVAUX 
DE REVISION €</t>
  </si>
  <si>
    <t>DECLARATION TVA AAC €</t>
  </si>
  <si>
    <t>DECLARATION TVA COMPTABLE €</t>
  </si>
  <si>
    <t>MONTANT
RESPONSABLE RELATION CLIENT €</t>
  </si>
  <si>
    <t xml:space="preserve">TPS PASSE
COMPTABLE H
</t>
  </si>
  <si>
    <t>TPS PASSE 
AAC H</t>
  </si>
  <si>
    <t>BONI COMPTABLE</t>
  </si>
  <si>
    <t>MALI COMPTABLE</t>
  </si>
  <si>
    <t>BONI AAC</t>
  </si>
  <si>
    <t>MALI AAC</t>
  </si>
  <si>
    <t>Taux Horaire compta</t>
  </si>
  <si>
    <t>Taux Horaire AAC</t>
  </si>
  <si>
    <t>PRENOM DU COMPTABLE</t>
  </si>
  <si>
    <t>YANN L</t>
  </si>
  <si>
    <t>MONTANT TOTAL LETTRE DE MISION €</t>
  </si>
  <si>
    <t>ECART DE SAISE avec LETTRE DE MISSION €</t>
  </si>
  <si>
    <t>NBRE DOSSIER MALI AAC</t>
  </si>
  <si>
    <t>NOMBRE DOSSIER BONI AAC</t>
  </si>
  <si>
    <t>NOMBRE DOSSIER BONI COMPTABLE</t>
  </si>
  <si>
    <t>NOMBRE DE DOSSIER MALI COMPTABLE</t>
  </si>
  <si>
    <t>ABONNE COURT 
ABONNE LONG</t>
  </si>
  <si>
    <t>RECONDUCTION AUTOMATIQUE OS</t>
  </si>
  <si>
    <t>MISE EN PLACE SCAN BY CERFRANCE</t>
  </si>
  <si>
    <t>PRENOM PERSONNE AYANT DEPLOYEE SCAN BY CERFRANCE</t>
  </si>
  <si>
    <t>PICKING</t>
  </si>
  <si>
    <t>SCAN BY CERFRANCE</t>
  </si>
  <si>
    <t>SECRETAIRE</t>
  </si>
  <si>
    <t>MARIE M</t>
  </si>
  <si>
    <t>FABIENNE R</t>
  </si>
  <si>
    <t>LISTES</t>
  </si>
  <si>
    <t>SECRETAIRES AAC COMPTABLES</t>
  </si>
  <si>
    <t>Non car le client souhaite garder le scan</t>
  </si>
  <si>
    <t>Non – Cessation d’activité</t>
  </si>
  <si>
    <t>Non – Arrêt de travaux pour le moment</t>
  </si>
  <si>
    <t>essai1</t>
  </si>
  <si>
    <t>ABONNE COURT</t>
  </si>
  <si>
    <t>OUI</t>
  </si>
  <si>
    <t>Non car pour le moment pas disponible</t>
  </si>
  <si>
    <t>Non car dossier trop volumineux</t>
  </si>
  <si>
    <t>Non car le client fait la saisie sur place</t>
  </si>
  <si>
    <t>ESSAI3</t>
  </si>
  <si>
    <t>NON</t>
  </si>
  <si>
    <t>DECLARATION DE TVA</t>
  </si>
  <si>
    <t>PRENOM REALISATION TVA</t>
  </si>
  <si>
    <t>MENSUELLE</t>
  </si>
  <si>
    <t>X</t>
  </si>
  <si>
    <t>essai2</t>
  </si>
  <si>
    <t>AGOA COMPTABLE €</t>
  </si>
  <si>
    <t>AGOA CONSEILLER €</t>
  </si>
  <si>
    <t>VISA JURIDIQUE €</t>
  </si>
  <si>
    <t>Oui  ( CFC + SCAN BY CERFRANCE)</t>
  </si>
  <si>
    <t>N/C</t>
  </si>
  <si>
    <t>EDI</t>
  </si>
  <si>
    <t>Colonne1</t>
  </si>
  <si>
    <t>SUIVI RSA</t>
  </si>
  <si>
    <t>RSA EN DATE DU</t>
  </si>
  <si>
    <t>DIVERS</t>
  </si>
  <si>
    <t>Réponses</t>
  </si>
  <si>
    <t>A FAIRE</t>
  </si>
  <si>
    <t>A TERMINER</t>
  </si>
  <si>
    <t>N/A</t>
  </si>
  <si>
    <t>AURELIE_T</t>
  </si>
  <si>
    <t>MARIE_PIERRE</t>
  </si>
  <si>
    <t>AUTRE COMPTABLE</t>
  </si>
  <si>
    <t>FEDERIQUE</t>
  </si>
  <si>
    <t>DECLARATION DES REVENUS</t>
  </si>
  <si>
    <t>NOMBRE DE DECLARATION</t>
  </si>
  <si>
    <t>860070</t>
  </si>
  <si>
    <t>860072</t>
  </si>
  <si>
    <t/>
  </si>
  <si>
    <t>01/02/2020</t>
  </si>
  <si>
    <t>essai23</t>
  </si>
  <si>
    <t>01012020</t>
  </si>
  <si>
    <t>fffffff</t>
  </si>
  <si>
    <t>860073</t>
  </si>
  <si>
    <t>esssi2</t>
  </si>
  <si>
    <t>860065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</si>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</sst>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0"/>
    <numFmt numFmtId="166" formatCode="#,##0\ &quot;€&quot;"/>
    <numFmt numFmtId="167" formatCode="_-* #,##0\ &quot;€&quot;_-;\-* #,##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u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color indexed="8"/>
      <name val="MS Sans Serif"/>
      <family val="2"/>
    </font>
    <font>
      <sz val="11"/>
      <color indexed="10"/>
      <name val="Calibri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45B5ED"/>
        <bgColor indexed="64"/>
      </patternFill>
    </fill>
    <fill>
      <patternFill patternType="solid">
        <fgColor rgb="FF3AF6F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5" fillId="0" borderId="0"/>
    <xf numFmtId="0" fontId="10" fillId="0" borderId="0"/>
    <xf numFmtId="0" fontId="5" fillId="0" borderId="0" applyNumberFormat="0" applyFont="0" applyFill="0" applyBorder="0" applyAlignment="0" applyProtection="0"/>
    <xf numFmtId="44" fontId="13" fillId="0" borderId="0" applyFont="0" applyFill="0" applyBorder="0" applyAlignment="0" applyProtection="0"/>
  </cellStyleXfs>
  <cellXfs count="283">
    <xf numFmtId="0" fontId="0" fillId="0" borderId="0" xfId="0"/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4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8" borderId="4" xfId="0" applyFill="1" applyBorder="1"/>
    <xf numFmtId="0" fontId="0" fillId="5" borderId="4" xfId="0" applyFill="1" applyBorder="1"/>
    <xf numFmtId="0" fontId="0" fillId="9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wrapText="1"/>
    </xf>
    <xf numFmtId="0" fontId="0" fillId="6" borderId="7" xfId="0" applyFill="1" applyBorder="1" applyAlignment="1"/>
    <xf numFmtId="0" fontId="0" fillId="6" borderId="7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0" fillId="3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0" fontId="0" fillId="9" borderId="8" xfId="0" applyFill="1" applyBorder="1"/>
    <xf numFmtId="44" fontId="1" fillId="9" borderId="9" xfId="1" applyFont="1" applyFill="1" applyBorder="1"/>
    <xf numFmtId="44" fontId="1" fillId="2" borderId="9" xfId="1" applyFont="1" applyFill="1" applyBorder="1"/>
    <xf numFmtId="0" fontId="0" fillId="2" borderId="9" xfId="0" applyFill="1" applyBorder="1"/>
    <xf numFmtId="0" fontId="0" fillId="6" borderId="9" xfId="0" applyFill="1" applyBorder="1" applyAlignment="1">
      <alignment horizontal="center"/>
    </xf>
    <xf numFmtId="9" fontId="1" fillId="6" borderId="9" xfId="2" applyFont="1" applyFill="1" applyBorder="1" applyAlignment="1">
      <alignment horizontal="center"/>
    </xf>
    <xf numFmtId="0" fontId="1" fillId="6" borderId="9" xfId="2" applyNumberFormat="1" applyFont="1" applyFill="1" applyBorder="1" applyAlignment="1">
      <alignment horizontal="center"/>
    </xf>
    <xf numFmtId="44" fontId="1" fillId="7" borderId="9" xfId="1" applyFont="1" applyFill="1" applyBorder="1" applyAlignment="1">
      <alignment horizontal="center"/>
    </xf>
    <xf numFmtId="9" fontId="1" fillId="7" borderId="9" xfId="2" applyFont="1" applyFill="1" applyBorder="1" applyAlignment="1">
      <alignment horizontal="center"/>
    </xf>
    <xf numFmtId="0" fontId="1" fillId="7" borderId="9" xfId="2" applyNumberFormat="1" applyFont="1" applyFill="1" applyBorder="1" applyAlignment="1">
      <alignment horizontal="center"/>
    </xf>
    <xf numFmtId="0" fontId="0" fillId="6" borderId="9" xfId="0" applyFill="1" applyBorder="1"/>
    <xf numFmtId="9" fontId="1" fillId="6" borderId="10" xfId="2" applyFont="1" applyFill="1" applyBorder="1"/>
    <xf numFmtId="44" fontId="1" fillId="7" borderId="10" xfId="1" applyFont="1" applyFill="1" applyBorder="1"/>
    <xf numFmtId="9" fontId="1" fillId="7" borderId="10" xfId="2" applyFont="1" applyFill="1" applyBorder="1" applyAlignment="1">
      <alignment horizontal="center" vertical="center"/>
    </xf>
    <xf numFmtId="0" fontId="1" fillId="7" borderId="10" xfId="2" applyNumberFormat="1" applyFont="1" applyFill="1" applyBorder="1" applyAlignment="1">
      <alignment horizontal="center" vertical="center"/>
    </xf>
    <xf numFmtId="44" fontId="1" fillId="3" borderId="10" xfId="1" applyFont="1" applyFill="1" applyBorder="1"/>
    <xf numFmtId="44" fontId="1" fillId="8" borderId="9" xfId="1" applyFont="1" applyFill="1" applyBorder="1" applyAlignment="1">
      <alignment horizontal="center"/>
    </xf>
    <xf numFmtId="0" fontId="1" fillId="8" borderId="9" xfId="1" applyNumberFormat="1" applyFont="1" applyFill="1" applyBorder="1" applyAlignment="1">
      <alignment horizontal="center"/>
    </xf>
    <xf numFmtId="44" fontId="1" fillId="5" borderId="9" xfId="1" applyFont="1" applyFill="1" applyBorder="1"/>
    <xf numFmtId="44" fontId="0" fillId="8" borderId="11" xfId="0" applyNumberFormat="1" applyFill="1" applyBorder="1"/>
    <xf numFmtId="0" fontId="0" fillId="9" borderId="12" xfId="0" applyFill="1" applyBorder="1"/>
    <xf numFmtId="44" fontId="1" fillId="9" borderId="4" xfId="1" applyFont="1" applyFill="1" applyBorder="1"/>
    <xf numFmtId="44" fontId="1" fillId="2" borderId="4" xfId="1" applyFont="1" applyFill="1" applyBorder="1"/>
    <xf numFmtId="0" fontId="0" fillId="2" borderId="4" xfId="0" applyFill="1" applyBorder="1"/>
    <xf numFmtId="0" fontId="0" fillId="6" borderId="4" xfId="0" applyFill="1" applyBorder="1"/>
    <xf numFmtId="0" fontId="0" fillId="6" borderId="4" xfId="0" applyNumberFormat="1" applyFill="1" applyBorder="1"/>
    <xf numFmtId="44" fontId="1" fillId="7" borderId="4" xfId="1" applyFont="1" applyFill="1" applyBorder="1"/>
    <xf numFmtId="0" fontId="0" fillId="7" borderId="4" xfId="0" applyNumberFormat="1" applyFill="1" applyBorder="1"/>
    <xf numFmtId="0" fontId="0" fillId="6" borderId="1" xfId="0" applyFill="1" applyBorder="1"/>
    <xf numFmtId="44" fontId="1" fillId="7" borderId="1" xfId="1" applyFont="1" applyFill="1" applyBorder="1"/>
    <xf numFmtId="0" fontId="0" fillId="7" borderId="1" xfId="0" applyFill="1" applyBorder="1"/>
    <xf numFmtId="0" fontId="0" fillId="7" borderId="1" xfId="0" applyNumberFormat="1" applyFill="1" applyBorder="1"/>
    <xf numFmtId="44" fontId="1" fillId="3" borderId="1" xfId="1" applyFont="1" applyFill="1" applyBorder="1"/>
    <xf numFmtId="44" fontId="1" fillId="8" borderId="4" xfId="1" applyFont="1" applyFill="1" applyBorder="1" applyAlignment="1">
      <alignment horizontal="center"/>
    </xf>
    <xf numFmtId="0" fontId="1" fillId="8" borderId="4" xfId="1" applyNumberFormat="1" applyFont="1" applyFill="1" applyBorder="1" applyAlignment="1">
      <alignment horizontal="center"/>
    </xf>
    <xf numFmtId="44" fontId="1" fillId="5" borderId="4" xfId="1" applyFont="1" applyFill="1" applyBorder="1"/>
    <xf numFmtId="0" fontId="0" fillId="5" borderId="13" xfId="0" applyFill="1" applyBorder="1"/>
    <xf numFmtId="0" fontId="0" fillId="9" borderId="14" xfId="0" applyFill="1" applyBorder="1"/>
    <xf numFmtId="44" fontId="1" fillId="9" borderId="7" xfId="1" applyFont="1" applyFill="1" applyBorder="1"/>
    <xf numFmtId="44" fontId="1" fillId="2" borderId="7" xfId="1" applyFont="1" applyFill="1" applyBorder="1"/>
    <xf numFmtId="0" fontId="0" fillId="2" borderId="7" xfId="0" applyFill="1" applyBorder="1"/>
    <xf numFmtId="0" fontId="0" fillId="6" borderId="7" xfId="0" applyFill="1" applyBorder="1"/>
    <xf numFmtId="0" fontId="0" fillId="6" borderId="7" xfId="0" applyNumberFormat="1" applyFill="1" applyBorder="1"/>
    <xf numFmtId="44" fontId="1" fillId="7" borderId="7" xfId="1" applyFont="1" applyFill="1" applyBorder="1"/>
    <xf numFmtId="0" fontId="0" fillId="9" borderId="15" xfId="0" applyFill="1" applyBorder="1"/>
    <xf numFmtId="44" fontId="1" fillId="9" borderId="16" xfId="1" applyFont="1" applyFill="1" applyBorder="1"/>
    <xf numFmtId="44" fontId="1" fillId="2" borderId="16" xfId="1" applyFont="1" applyFill="1" applyBorder="1"/>
    <xf numFmtId="0" fontId="0" fillId="2" borderId="16" xfId="0" applyFill="1" applyBorder="1"/>
    <xf numFmtId="0" fontId="0" fillId="6" borderId="16" xfId="0" applyFill="1" applyBorder="1"/>
    <xf numFmtId="0" fontId="0" fillId="6" borderId="16" xfId="0" applyNumberFormat="1" applyFill="1" applyBorder="1"/>
    <xf numFmtId="44" fontId="1" fillId="7" borderId="16" xfId="1" applyFont="1" applyFill="1" applyBorder="1"/>
    <xf numFmtId="0" fontId="0" fillId="7" borderId="16" xfId="0" applyNumberFormat="1" applyFill="1" applyBorder="1"/>
    <xf numFmtId="0" fontId="0" fillId="6" borderId="17" xfId="0" applyFill="1" applyBorder="1"/>
    <xf numFmtId="44" fontId="1" fillId="7" borderId="17" xfId="1" applyFont="1" applyFill="1" applyBorder="1"/>
    <xf numFmtId="0" fontId="0" fillId="7" borderId="17" xfId="0" applyFill="1" applyBorder="1"/>
    <xf numFmtId="0" fontId="0" fillId="7" borderId="17" xfId="0" applyNumberFormat="1" applyFill="1" applyBorder="1"/>
    <xf numFmtId="44" fontId="1" fillId="3" borderId="17" xfId="1" applyFont="1" applyFill="1" applyBorder="1"/>
    <xf numFmtId="44" fontId="1" fillId="8" borderId="16" xfId="1" applyFont="1" applyFill="1" applyBorder="1" applyAlignment="1">
      <alignment horizontal="center"/>
    </xf>
    <xf numFmtId="0" fontId="1" fillId="8" borderId="16" xfId="1" applyNumberFormat="1" applyFont="1" applyFill="1" applyBorder="1" applyAlignment="1">
      <alignment horizontal="center"/>
    </xf>
    <xf numFmtId="44" fontId="1" fillId="5" borderId="16" xfId="1" applyFont="1" applyFill="1" applyBorder="1"/>
    <xf numFmtId="0" fontId="0" fillId="5" borderId="18" xfId="0" applyFill="1" applyBorder="1"/>
    <xf numFmtId="0" fontId="0" fillId="9" borderId="19" xfId="0" applyFill="1" applyBorder="1"/>
    <xf numFmtId="0" fontId="0" fillId="2" borderId="19" xfId="0" applyFill="1" applyBorder="1"/>
    <xf numFmtId="0" fontId="0" fillId="2" borderId="20" xfId="0" applyFill="1" applyBorder="1"/>
    <xf numFmtId="44" fontId="0" fillId="3" borderId="20" xfId="0" applyNumberFormat="1" applyFill="1" applyBorder="1"/>
    <xf numFmtId="44" fontId="0" fillId="4" borderId="19" xfId="0" applyNumberFormat="1" applyFill="1" applyBorder="1"/>
    <xf numFmtId="44" fontId="0" fillId="5" borderId="19" xfId="0" applyNumberFormat="1" applyFill="1" applyBorder="1"/>
    <xf numFmtId="0" fontId="0" fillId="0" borderId="0" xfId="0" applyAlignment="1"/>
    <xf numFmtId="0" fontId="0" fillId="0" borderId="0" xfId="0" applyFont="1"/>
    <xf numFmtId="0" fontId="0" fillId="0" borderId="0" xfId="0" applyFont="1" applyFill="1"/>
    <xf numFmtId="0" fontId="2" fillId="4" borderId="20" xfId="0" applyFont="1" applyFill="1" applyBorder="1" applyAlignment="1">
      <alignment horizontal="center" vertical="center"/>
    </xf>
    <xf numFmtId="0" fontId="4" fillId="10" borderId="4" xfId="0" applyFont="1" applyFill="1" applyBorder="1" applyAlignment="1"/>
    <xf numFmtId="0" fontId="6" fillId="0" borderId="4" xfId="3" applyFont="1" applyBorder="1" applyAlignment="1">
      <alignment horizontal="center" vertical="center" wrapText="1"/>
    </xf>
    <xf numFmtId="0" fontId="6" fillId="9" borderId="4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11" borderId="4" xfId="3" applyFont="1" applyFill="1" applyBorder="1" applyAlignment="1">
      <alignment horizontal="center" vertical="center" wrapText="1"/>
    </xf>
    <xf numFmtId="0" fontId="6" fillId="10" borderId="4" xfId="3" applyFont="1" applyFill="1" applyBorder="1" applyAlignment="1">
      <alignment horizontal="center" vertical="center" wrapText="1"/>
    </xf>
    <xf numFmtId="0" fontId="6" fillId="6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left" vertical="center" wrapText="1"/>
    </xf>
    <xf numFmtId="0" fontId="6" fillId="9" borderId="4" xfId="3" applyFont="1" applyFill="1" applyBorder="1"/>
    <xf numFmtId="0" fontId="6" fillId="4" borderId="4" xfId="3" applyFont="1" applyFill="1" applyBorder="1"/>
    <xf numFmtId="0" fontId="7" fillId="4" borderId="4" xfId="3" applyFont="1" applyFill="1" applyBorder="1"/>
    <xf numFmtId="0" fontId="0" fillId="11" borderId="4" xfId="0" applyFont="1" applyFill="1" applyBorder="1"/>
    <xf numFmtId="0" fontId="7" fillId="10" borderId="4" xfId="3" applyFont="1" applyFill="1" applyBorder="1"/>
    <xf numFmtId="0" fontId="7" fillId="10" borderId="4" xfId="3" applyFont="1" applyFill="1" applyBorder="1" applyAlignment="1">
      <alignment horizontal="right"/>
    </xf>
    <xf numFmtId="10" fontId="6" fillId="6" borderId="4" xfId="3" applyNumberFormat="1" applyFont="1" applyFill="1" applyBorder="1"/>
    <xf numFmtId="0" fontId="6" fillId="0" borderId="4" xfId="3" applyFont="1" applyBorder="1"/>
    <xf numFmtId="9" fontId="6" fillId="0" borderId="4" xfId="2" applyFont="1" applyBorder="1" applyAlignment="1">
      <alignment horizontal="center" vertical="center"/>
    </xf>
    <xf numFmtId="0" fontId="6" fillId="0" borderId="4" xfId="3" applyFont="1" applyFill="1" applyBorder="1"/>
    <xf numFmtId="0" fontId="6" fillId="11" borderId="4" xfId="3" applyFont="1" applyFill="1" applyBorder="1"/>
    <xf numFmtId="0" fontId="6" fillId="6" borderId="4" xfId="3" applyFont="1" applyFill="1" applyBorder="1"/>
    <xf numFmtId="9" fontId="6" fillId="0" borderId="4" xfId="2" applyFont="1" applyBorder="1"/>
    <xf numFmtId="0" fontId="7" fillId="12" borderId="4" xfId="3" applyFont="1" applyFill="1" applyBorder="1"/>
    <xf numFmtId="10" fontId="7" fillId="12" borderId="4" xfId="3" applyNumberFormat="1" applyFont="1" applyFill="1" applyBorder="1"/>
    <xf numFmtId="9" fontId="7" fillId="12" borderId="4" xfId="2" applyFont="1" applyFill="1" applyBorder="1"/>
    <xf numFmtId="10" fontId="7" fillId="12" borderId="4" xfId="2" applyNumberFormat="1" applyFont="1" applyFill="1" applyBorder="1"/>
    <xf numFmtId="0" fontId="8" fillId="0" borderId="0" xfId="3" applyFont="1"/>
    <xf numFmtId="0" fontId="6" fillId="0" borderId="0" xfId="3" applyFont="1"/>
    <xf numFmtId="0" fontId="6" fillId="0" borderId="4" xfId="0" applyFont="1" applyFill="1" applyBorder="1"/>
    <xf numFmtId="0" fontId="0" fillId="0" borderId="4" xfId="0" applyFont="1" applyBorder="1"/>
    <xf numFmtId="0" fontId="0" fillId="0" borderId="4" xfId="0" applyFont="1" applyFill="1" applyBorder="1"/>
    <xf numFmtId="0" fontId="0" fillId="0" borderId="4" xfId="0" applyBorder="1"/>
    <xf numFmtId="0" fontId="0" fillId="0" borderId="3" xfId="0" applyFont="1" applyFill="1" applyBorder="1"/>
    <xf numFmtId="0" fontId="4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0" fillId="0" borderId="2" xfId="0" applyFont="1" applyFill="1" applyBorder="1" applyAlignment="1"/>
    <xf numFmtId="0" fontId="0" fillId="0" borderId="3" xfId="0" applyFont="1" applyFill="1" applyBorder="1" applyAlignment="1"/>
    <xf numFmtId="0" fontId="0" fillId="0" borderId="2" xfId="0" applyFont="1" applyFill="1" applyBorder="1"/>
    <xf numFmtId="0" fontId="0" fillId="10" borderId="0" xfId="0" applyFont="1" applyFill="1"/>
    <xf numFmtId="0" fontId="0" fillId="10" borderId="4" xfId="0" applyFont="1" applyFill="1" applyBorder="1"/>
    <xf numFmtId="0" fontId="0" fillId="10" borderId="0" xfId="0" applyFont="1" applyFill="1" applyBorder="1"/>
    <xf numFmtId="0" fontId="4" fillId="10" borderId="1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10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 vertical="center"/>
    </xf>
    <xf numFmtId="0" fontId="6" fillId="10" borderId="4" xfId="0" applyFont="1" applyFill="1" applyBorder="1"/>
    <xf numFmtId="0" fontId="0" fillId="10" borderId="1" xfId="0" applyNumberFormat="1" applyFont="1" applyFill="1" applyBorder="1"/>
    <xf numFmtId="0" fontId="0" fillId="10" borderId="3" xfId="0" applyFont="1" applyFill="1" applyBorder="1"/>
    <xf numFmtId="0" fontId="0" fillId="10" borderId="1" xfId="0" applyFont="1" applyFill="1" applyBorder="1" applyAlignment="1">
      <alignment horizontal="center"/>
    </xf>
    <xf numFmtId="0" fontId="0" fillId="10" borderId="2" xfId="0" applyFont="1" applyFill="1" applyBorder="1" applyAlignment="1">
      <alignment horizontal="center"/>
    </xf>
    <xf numFmtId="0" fontId="0" fillId="10" borderId="3" xfId="0" applyFont="1" applyFill="1" applyBorder="1" applyAlignment="1">
      <alignment horizontal="center"/>
    </xf>
    <xf numFmtId="0" fontId="0" fillId="10" borderId="1" xfId="0" applyFont="1" applyFill="1" applyBorder="1"/>
    <xf numFmtId="0" fontId="0" fillId="10" borderId="1" xfId="0" applyFont="1" applyFill="1" applyBorder="1" applyAlignment="1"/>
    <xf numFmtId="0" fontId="0" fillId="10" borderId="2" xfId="0" applyFont="1" applyFill="1" applyBorder="1" applyAlignment="1"/>
    <xf numFmtId="0" fontId="0" fillId="10" borderId="3" xfId="0" applyFont="1" applyFill="1" applyBorder="1" applyAlignment="1"/>
    <xf numFmtId="0" fontId="0" fillId="10" borderId="2" xfId="0" applyFont="1" applyFill="1" applyBorder="1"/>
    <xf numFmtId="0" fontId="4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/>
    <xf numFmtId="0" fontId="0" fillId="0" borderId="4" xfId="0" applyFill="1" applyBorder="1"/>
    <xf numFmtId="0" fontId="0" fillId="0" borderId="1" xfId="0" applyNumberFormat="1" applyBorder="1"/>
    <xf numFmtId="0" fontId="0" fillId="0" borderId="1" xfId="0" applyFill="1" applyBorder="1"/>
    <xf numFmtId="0" fontId="0" fillId="0" borderId="0" xfId="0" applyFont="1" applyBorder="1" applyAlignment="1"/>
    <xf numFmtId="0" fontId="6" fillId="0" borderId="4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19" xfId="0" applyFont="1" applyBorder="1" applyAlignment="1" applyProtection="1">
      <alignment horizontal="center"/>
      <protection locked="0"/>
    </xf>
    <xf numFmtId="0" fontId="6" fillId="0" borderId="3" xfId="0" applyNumberFormat="1" applyFont="1" applyFill="1" applyBorder="1" applyAlignment="1" applyProtection="1">
      <alignment horizontal="center"/>
      <protection locked="0"/>
    </xf>
    <xf numFmtId="14" fontId="6" fillId="0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Font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horizontal="center"/>
      <protection locked="0"/>
    </xf>
    <xf numFmtId="0" fontId="12" fillId="0" borderId="4" xfId="6" quotePrefix="1" applyNumberFormat="1" applyFont="1" applyFill="1" applyBorder="1" applyAlignment="1" applyProtection="1">
      <alignment horizontal="center" vertical="top"/>
      <protection locked="0"/>
    </xf>
    <xf numFmtId="0" fontId="6" fillId="0" borderId="4" xfId="0" applyFont="1" applyFill="1" applyBorder="1" applyAlignment="1" applyProtection="1">
      <alignment horizontal="center" vertical="top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165" fontId="6" fillId="0" borderId="3" xfId="6" applyNumberFormat="1" applyFont="1" applyFill="1" applyBorder="1" applyAlignment="1" applyProtection="1">
      <alignment horizontal="center" vertical="center"/>
      <protection locked="0"/>
    </xf>
    <xf numFmtId="49" fontId="1" fillId="0" borderId="3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49" fontId="6" fillId="0" borderId="3" xfId="0" applyNumberFormat="1" applyFont="1" applyFill="1" applyBorder="1" applyAlignment="1" applyProtection="1">
      <alignment horizontal="center"/>
      <protection locked="0"/>
    </xf>
    <xf numFmtId="49" fontId="0" fillId="0" borderId="3" xfId="0" applyNumberFormat="1" applyFont="1" applyFill="1" applyBorder="1" applyAlignment="1" applyProtection="1">
      <alignment horizontal="center"/>
      <protection locked="0"/>
    </xf>
    <xf numFmtId="0" fontId="6" fillId="0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14" fontId="6" fillId="0" borderId="7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Border="1" applyAlignment="1" applyProtection="1">
      <alignment horizontal="center" vertical="center"/>
      <protection locked="0"/>
    </xf>
    <xf numFmtId="14" fontId="6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ont="1" applyBorder="1" applyAlignment="1" applyProtection="1">
      <alignment horizontal="center" vertical="center"/>
      <protection locked="0"/>
    </xf>
    <xf numFmtId="14" fontId="0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166" fontId="6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Fill="1" applyBorder="1" applyAlignment="1" applyProtection="1">
      <alignment horizontal="center" vertical="center"/>
      <protection locked="0"/>
    </xf>
    <xf numFmtId="166" fontId="11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7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Border="1" applyAlignment="1" applyProtection="1">
      <alignment horizontal="center" vertical="center"/>
      <protection locked="0"/>
    </xf>
    <xf numFmtId="166" fontId="0" fillId="0" borderId="7" xfId="0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Fill="1" applyBorder="1" applyAlignment="1" applyProtection="1">
      <alignment horizontal="center" vertical="center"/>
      <protection locked="0"/>
    </xf>
    <xf numFmtId="167" fontId="11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7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Border="1" applyAlignment="1" applyProtection="1">
      <alignment horizontal="center" vertical="center"/>
      <protection locked="0"/>
    </xf>
    <xf numFmtId="167" fontId="0" fillId="0" borderId="7" xfId="7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protection locked="0"/>
    </xf>
    <xf numFmtId="167" fontId="0" fillId="0" borderId="4" xfId="7" applyNumberFormat="1" applyFont="1" applyFill="1" applyBorder="1" applyAlignment="1" applyProtection="1">
      <protection locked="0"/>
    </xf>
    <xf numFmtId="167" fontId="11" fillId="0" borderId="4" xfId="7" applyNumberFormat="1" applyFont="1" applyFill="1" applyBorder="1" applyAlignment="1" applyProtection="1">
      <protection locked="0"/>
    </xf>
    <xf numFmtId="167" fontId="0" fillId="0" borderId="7" xfId="7" applyNumberFormat="1" applyFont="1" applyFill="1" applyBorder="1" applyAlignment="1" applyProtection="1">
      <protection locked="0"/>
    </xf>
    <xf numFmtId="167" fontId="0" fillId="0" borderId="4" xfId="7" applyNumberFormat="1" applyFont="1" applyBorder="1" applyAlignment="1" applyProtection="1">
      <protection locked="0"/>
    </xf>
    <xf numFmtId="167" fontId="0" fillId="0" borderId="7" xfId="7" applyNumberFormat="1" applyFont="1" applyBorder="1" applyAlignment="1" applyProtection="1">
      <protection locked="0"/>
    </xf>
    <xf numFmtId="167" fontId="6" fillId="0" borderId="4" xfId="7" applyNumberFormat="1" applyFont="1" applyFill="1" applyBorder="1" applyAlignment="1" applyProtection="1">
      <alignment horizontal="center" vertical="center"/>
    </xf>
    <xf numFmtId="0" fontId="9" fillId="13" borderId="4" xfId="3" applyFont="1" applyFill="1" applyBorder="1" applyAlignment="1" applyProtection="1">
      <alignment horizontal="center" vertical="center" wrapText="1"/>
    </xf>
    <xf numFmtId="0" fontId="9" fillId="14" borderId="4" xfId="3" applyFont="1" applyFill="1" applyBorder="1" applyAlignment="1" applyProtection="1">
      <alignment horizontal="center" vertical="center" wrapText="1"/>
    </xf>
    <xf numFmtId="0" fontId="9" fillId="14" borderId="21" xfId="3" applyFont="1" applyFill="1" applyBorder="1" applyAlignment="1" applyProtection="1">
      <alignment horizontal="center" vertical="center" wrapText="1"/>
    </xf>
    <xf numFmtId="0" fontId="9" fillId="13" borderId="4" xfId="4" applyFont="1" applyFill="1" applyBorder="1" applyAlignment="1" applyProtection="1">
      <alignment horizontal="center" vertical="center" wrapText="1"/>
    </xf>
    <xf numFmtId="0" fontId="9" fillId="13" borderId="4" xfId="3" applyNumberFormat="1" applyFont="1" applyFill="1" applyBorder="1" applyAlignment="1" applyProtection="1">
      <alignment horizontal="center" vertical="center" wrapText="1"/>
    </xf>
    <xf numFmtId="0" fontId="9" fillId="13" borderId="4" xfId="5" applyNumberFormat="1" applyFont="1" applyFill="1" applyBorder="1" applyAlignment="1" applyProtection="1">
      <alignment horizontal="center" vertical="center" wrapText="1"/>
    </xf>
    <xf numFmtId="164" fontId="9" fillId="13" borderId="4" xfId="3" applyNumberFormat="1" applyFont="1" applyFill="1" applyBorder="1" applyAlignment="1" applyProtection="1">
      <alignment horizontal="center" vertical="center" wrapText="1"/>
    </xf>
    <xf numFmtId="0" fontId="9" fillId="15" borderId="21" xfId="3" applyFont="1" applyFill="1" applyBorder="1" applyAlignment="1" applyProtection="1">
      <alignment horizontal="center" vertical="center" wrapText="1"/>
    </xf>
    <xf numFmtId="0" fontId="6" fillId="15" borderId="3" xfId="3" applyFont="1" applyFill="1" applyBorder="1" applyAlignment="1" applyProtection="1">
      <alignment horizontal="center" vertical="center" wrapText="1"/>
    </xf>
    <xf numFmtId="0" fontId="6" fillId="15" borderId="4" xfId="3" applyFont="1" applyFill="1" applyBorder="1" applyAlignment="1" applyProtection="1">
      <alignment horizontal="center" vertical="center" wrapText="1"/>
    </xf>
    <xf numFmtId="0" fontId="9" fillId="15" borderId="4" xfId="4" applyFont="1" applyFill="1" applyBorder="1" applyAlignment="1" applyProtection="1">
      <alignment horizontal="center" vertical="center" wrapText="1"/>
    </xf>
    <xf numFmtId="0" fontId="9" fillId="15" borderId="4" xfId="5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16" borderId="4" xfId="0" applyFont="1" applyFill="1" applyBorder="1"/>
    <xf numFmtId="0" fontId="4" fillId="10" borderId="4" xfId="0" applyFont="1" applyFill="1" applyBorder="1" applyAlignment="1">
      <alignment horizontal="center"/>
    </xf>
    <xf numFmtId="0" fontId="0" fillId="0" borderId="0" xfId="0"/>
    <xf numFmtId="0" fontId="15" fillId="0" borderId="0" xfId="0" applyFont="1" applyFill="1" applyAlignment="1"/>
    <xf numFmtId="0" fontId="14" fillId="0" borderId="0" xfId="0" applyFont="1" applyFill="1" applyAlignment="1"/>
    <xf numFmtId="0" fontId="0" fillId="0" borderId="19" xfId="0" applyBorder="1"/>
    <xf numFmtId="0" fontId="0" fillId="0" borderId="21" xfId="0" applyFill="1" applyBorder="1"/>
    <xf numFmtId="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2" xfId="0" applyFill="1" applyBorder="1" applyAlignment="1">
      <alignment horizontal="center" wrapText="1"/>
    </xf>
    <xf numFmtId="0" fontId="0" fillId="7" borderId="3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16" fontId="4" fillId="1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16" fontId="0" fillId="0" borderId="7" xfId="0" applyNumberFormat="1" applyFont="1" applyFill="1" applyBorder="1" applyAlignment="1">
      <alignment horizontal="center" vertical="center"/>
    </xf>
    <xf numFmtId="0" fontId="0" fillId="10" borderId="7" xfId="0" applyFont="1" applyFill="1" applyBorder="1" applyAlignment="1">
      <alignment horizontal="center" vertical="center"/>
    </xf>
    <xf numFmtId="0" fontId="0" fillId="0" borderId="0" xfId="0"/>
    <xf numFmtId="16" fontId="0" fillId="0" borderId="0" xfId="0" applyNumberFormat="1"/>
  </cellXfs>
  <cellStyles count="8">
    <cellStyle name="Monétaire" xfId="7" builtinId="4"/>
    <cellStyle name="Monétaire 2" xfId="1"/>
    <cellStyle name="Normal" xfId="0" builtinId="0"/>
    <cellStyle name="Normal 16" xfId="3"/>
    <cellStyle name="Normal 2" xfId="6"/>
    <cellStyle name="Normal 2 6" xfId="5"/>
    <cellStyle name="Normal 3" xfId="4"/>
    <cellStyle name="Pourcentage 2" xfId="2"/>
  </cellStyles>
  <dxfs count="59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45B5ED"/>
      <color rgb="FF3AF6F6"/>
      <color rgb="FFFFD72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809625</xdr:colOff>
      <xdr:row>16</xdr:row>
      <xdr:rowOff>66675</xdr:rowOff>
    </xdr:from>
    <xdr:to>
      <xdr:col>13</xdr:col>
      <xdr:colOff>2228850</xdr:colOff>
      <xdr:row>19</xdr:row>
      <xdr:rowOff>95250</xdr:rowOff>
    </xdr:to>
    <xdr:sp macro="[0]!OuvreFormulaire" textlink="">
      <xdr:nvSpPr>
        <xdr:cNvPr id="2" name="Rectangle à coins arrondis 1"/>
        <xdr:cNvSpPr/>
      </xdr:nvSpPr>
      <xdr:spPr>
        <a:xfrm>
          <a:off x="14068425" y="3114675"/>
          <a:ext cx="229552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695325</xdr:colOff>
      <xdr:row>8</xdr:row>
      <xdr:rowOff>57150</xdr:rowOff>
    </xdr:from>
    <xdr:to>
      <xdr:col>5</xdr:col>
      <xdr:colOff>219075</xdr:colOff>
      <xdr:row>10</xdr:row>
      <xdr:rowOff>38100</xdr:rowOff>
    </xdr:to>
    <xdr:sp macro="[0]!Recherche_Modif" textlink="">
      <xdr:nvSpPr>
        <xdr:cNvPr id="2" name="ZoneTexte 1"/>
        <xdr:cNvSpPr txBox="1"/>
      </xdr:nvSpPr>
      <xdr:spPr>
        <a:xfrm>
          <a:off x="2219325" y="1581150"/>
          <a:ext cx="1809750" cy="361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 - Modification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72331" y="0"/>
          <a:ext cx="1224000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4" name="Rectangle avec coins arrondis du même côté 3"/>
        <xdr:cNvSpPr/>
      </xdr:nvSpPr>
      <xdr:spPr>
        <a:xfrm>
          <a:off x="35719" y="0"/>
          <a:ext cx="1607343" cy="440531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5" name="Rectangle avec coins arrondis du même côté 4"/>
        <xdr:cNvSpPr/>
      </xdr:nvSpPr>
      <xdr:spPr>
        <a:xfrm>
          <a:off x="3095625" y="0"/>
          <a:ext cx="1666875" cy="440531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4904471" y="0"/>
          <a:ext cx="3877235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9" name="Rectangle avec coins arrondis du même côté 8"/>
        <xdr:cNvSpPr/>
      </xdr:nvSpPr>
      <xdr:spPr>
        <a:xfrm>
          <a:off x="13704794" y="0"/>
          <a:ext cx="1601040" cy="437029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3" name="Flèche gauche 2"/>
        <xdr:cNvSpPr/>
      </xdr:nvSpPr>
      <xdr:spPr>
        <a:xfrm>
          <a:off x="65285471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10" name="Rectangle avec coins arrondis du même côté 9"/>
        <xdr:cNvSpPr/>
      </xdr:nvSpPr>
      <xdr:spPr>
        <a:xfrm>
          <a:off x="6241676" y="0"/>
          <a:ext cx="1243853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11" name="Flèche droite 10"/>
        <xdr:cNvSpPr/>
      </xdr:nvSpPr>
      <xdr:spPr>
        <a:xfrm>
          <a:off x="7138147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2" name="Rectangle avec coins arrondis du même côté 11"/>
        <xdr:cNvSpPr/>
      </xdr:nvSpPr>
      <xdr:spPr>
        <a:xfrm>
          <a:off x="7530353" y="0"/>
          <a:ext cx="1230303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6" name="Rectangle avec coins arrondis du même côté 15"/>
        <xdr:cNvSpPr/>
      </xdr:nvSpPr>
      <xdr:spPr>
        <a:xfrm>
          <a:off x="4784912" y="0"/>
          <a:ext cx="1434353" cy="437029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7" name="Flèche droite 16"/>
        <xdr:cNvSpPr/>
      </xdr:nvSpPr>
      <xdr:spPr>
        <a:xfrm>
          <a:off x="5950323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21" name="Rectangle avec coins arrondis du même côté 20"/>
        <xdr:cNvSpPr/>
      </xdr:nvSpPr>
      <xdr:spPr>
        <a:xfrm>
          <a:off x="68792912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22" name="Flèche gauche 21"/>
        <xdr:cNvSpPr/>
      </xdr:nvSpPr>
      <xdr:spPr>
        <a:xfrm>
          <a:off x="68882559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134471</xdr:colOff>
      <xdr:row>0</xdr:row>
      <xdr:rowOff>78441</xdr:rowOff>
    </xdr:from>
    <xdr:to>
      <xdr:col>6</xdr:col>
      <xdr:colOff>1277471</xdr:colOff>
      <xdr:row>0</xdr:row>
      <xdr:rowOff>392206</xdr:rowOff>
    </xdr:to>
    <xdr:sp macro="[0]!OuvreFormulaire" textlink="">
      <xdr:nvSpPr>
        <xdr:cNvPr id="7" name="Rectangle à coins arrondis 6"/>
        <xdr:cNvSpPr/>
      </xdr:nvSpPr>
      <xdr:spPr>
        <a:xfrm>
          <a:off x="8875059" y="78441"/>
          <a:ext cx="1143000" cy="3137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 Visa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ORTEFEUILLE_DELPHINE" displayName="PORTEFEUILLE_DELPHINE" ref="A2:BK51" totalsRowShown="0" headerRowDxfId="593" dataDxfId="592" tableBorderDxfId="591" headerRowCellStyle="Normal 16">
  <autoFilter ref="A2:BK51"/>
  <tableColumns count="63">
    <tableColumn id="48" name="PRENOM DU COMPTABLE" dataDxfId="590"/>
    <tableColumn id="1" name="N° DOSSIER" dataDxfId="589"/>
    <tableColumn id="2" name="NOM DOSSIER" dataDxfId="588"/>
    <tableColumn id="3" name="TYPE DE MARCHE" dataDxfId="587"/>
    <tableColumn id="4" name="DATE DE CLOTURE" dataDxfId="586"/>
    <tableColumn id="5" name="REGIME JURIDIQUE" dataDxfId="585"/>
    <tableColumn id="6" name="REGIME IMPOSITION" dataDxfId="584"/>
    <tableColumn id="56" name="DECLARATION DE TVA" dataDxfId="583"/>
    <tableColumn id="7" name="DATE_x000a_DE DEPOT" dataDxfId="66"/>
    <tableColumn id="8" name="DATE SIGNATURE" dataDxfId="67"/>
    <tableColumn id="9" name="MOIS" dataDxfId="582">
      <calculatedColumnFormula>IF(I3="","",MONTH(I3))</calculatedColumnFormula>
    </tableColumn>
    <tableColumn id="10" name="DELAI" dataDxfId="581">
      <calculatedColumnFormula>IF(I3="","",DAYS360(E3,I3))</calculatedColumnFormula>
    </tableColumn>
    <tableColumn id="11" name="PCR" dataDxfId="580"/>
    <tableColumn id="12" name="RA NOS" dataDxfId="579"/>
    <tableColumn id="13" name="QUI " dataDxfId="578"/>
    <tableColumn id="14" name="CR" dataDxfId="577"/>
    <tableColumn id="15" name="CR FAIT PAR LE COMPTABLE" dataDxfId="576"/>
    <tableColumn id="16" name="AG_x000a_SIGNEE" dataDxfId="575"/>
    <tableColumn id="17" name="PCR COMPTABLE €" dataDxfId="574" dataCellStyle="Monétaire"/>
    <tableColumn id="18" name="PCR CONSEILLER €" dataDxfId="573"/>
    <tableColumn id="19" name="RA FAIT PAR LE_x000a_COMPTABLE €" dataDxfId="572" dataCellStyle="Monétaire"/>
    <tableColumn id="41" name="RA FAITE PAR LE CONSEILLER €" dataDxfId="571" dataCellStyle="Monétaire"/>
    <tableColumn id="21" name="POINT DE PILOTAGE €" dataDxfId="570" dataCellStyle="Monétaire"/>
    <tableColumn id="20" name="AGOA COMPTABLE €" dataDxfId="569" dataCellStyle="Monétaire"/>
    <tableColumn id="59" name="AGOA CONSEILLER €" dataDxfId="568" dataCellStyle="Monétaire"/>
    <tableColumn id="60" name="VISA JURIDIQUE €" dataDxfId="567" dataCellStyle="Monétaire"/>
    <tableColumn id="38" name="SAISIE PAR UNE AAC €" dataDxfId="566" dataCellStyle="Monétaire"/>
    <tableColumn id="43" name="SAISIE PAR LE COMPTABLE €" dataDxfId="565" dataCellStyle="Monétaire"/>
    <tableColumn id="39" name="TRAVAUX _x000a_DE REVISION €" dataDxfId="564" dataCellStyle="Monétaire"/>
    <tableColumn id="42" name="DECLARATION TVA AAC €" dataDxfId="563" dataCellStyle="Monétaire"/>
    <tableColumn id="45" name="DECLARATION TVA COMPTABLE €" dataDxfId="562" dataCellStyle="Monétaire"/>
    <tableColumn id="40" name="MONTANT_x000a_RESPONSABLE RELATION CLIENT €" dataDxfId="561" dataCellStyle="Monétaire"/>
    <tableColumn id="33" name="MONTANT TOTAL LETTRE DE MISION €" dataDxfId="560" dataCellStyle="Monétaire">
      <calculatedColumnFormula>SUM(PORTEFEUILLE_DELPHINE[[#This Row],[PCR COMPTABLE €]:[MONTANT
RESPONSABLE RELATION CLIENT €]])</calculatedColumnFormula>
    </tableColumn>
    <tableColumn id="34" name="ECART DE SAISE avec LETTRE DE MISSION €" dataDxfId="559" dataCellStyle="Monétaire">
      <calculatedColumnFormula>SUM(PORTEFEUILLE_DELPHINE[[#This Row],[PCR COMPTABLE €]:[MONTANT
RESPONSABLE RELATION CLIENT €]])-PORTEFEUILLE_DELPHINE[[#This Row],[MONTANT TOTAL LETTRE DE MISION €]]</calculatedColumnFormula>
    </tableColumn>
    <tableColumn id="22" name="Prénom_x000a_AAC" dataDxfId="558"/>
    <tableColumn id="36" name="PRENOM CONSEILLER" dataDxfId="557"/>
    <tableColumn id="57" name="PRENOM REALISATION TVA" dataDxfId="556"/>
    <tableColumn id="63" name="DECLARATION DES REVENUS" dataDxfId="555"/>
    <tableColumn id="61" name="NOMBRE DE DECLARATION" dataDxfId="554"/>
    <tableColumn id="54" name="ABONNE COURT _x000a_ABONNE LONG" dataDxfId="553"/>
    <tableColumn id="55" name="RECONDUCTION AUTOMATIQUE OS" dataDxfId="552"/>
    <tableColumn id="23" name="TPS PASSE_x000a_COMPTABLE H_x000a_" dataDxfId="551"/>
    <tableColumn id="37" name="TPS PASSE _x000a_AAC H" dataDxfId="550"/>
    <tableColumn id="47" name="BONI AAC" dataDxfId="549" dataCellStyle="Monétaire">
      <calculatedColumnFormula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calculatedColumnFormula>
    </tableColumn>
    <tableColumn id="46" name="MALI AAC" dataDxfId="548" dataCellStyle="Monétaire">
      <calculatedColumnFormula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calculatedColumnFormula>
    </tableColumn>
    <tableColumn id="44" name="NOMBRE DOSSIER BONI AAC" dataDxfId="547">
      <calculatedColumnFormula>IF(PORTEFEUILLE_DELPHINE[[#This Row],[BONI AAC]]&lt;&gt;0,1,"")</calculatedColumnFormula>
    </tableColumn>
    <tableColumn id="35" name="NBRE DOSSIER MALI AAC" dataDxfId="546">
      <calculatedColumnFormula>IF(PORTEFEUILLE_DELPHINE[[#This Row],[MALI AAC]]&lt;&gt;0,1,"")</calculatedColumnFormula>
    </tableColumn>
    <tableColumn id="24" name="BONI COMPTABLE" dataDxfId="545" dataCellStyle="Monétaire">
      <calculatedColumnFormula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calculatedColumnFormula>
    </tableColumn>
    <tableColumn id="25" name="MALI COMPTABLE" dataDxfId="544" dataCellStyle="Monétaire">
      <calculatedColumnFormula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calculatedColumnFormula>
    </tableColumn>
    <tableColumn id="53" name="NOMBRE DOSSIER BONI COMPTABLE" dataDxfId="543">
      <calculatedColumnFormula>IF(PORTEFEUILLE_DELPHINE[[#This Row],[BONI COMPTABLE]]&lt;&gt;0,1,"")</calculatedColumnFormula>
    </tableColumn>
    <tableColumn id="52" name="NOMBRE DE DOSSIER MALI COMPTABLE" dataDxfId="542">
      <calculatedColumnFormula>IF(PORTEFEUILLE_DELPHINE[[#This Row],[MALI COMPTABLE]]&lt;&gt;0,1,"")</calculatedColumnFormula>
    </tableColumn>
    <tableColumn id="26" name="GRILLE ENJEUX" dataDxfId="541"/>
    <tableColumn id="27" name="Visa_x000a_Validé_x000a_enjeu 4 ou attestation enjeu" dataDxfId="540"/>
    <tableColumn id="28" name="VISA VCOMPTA" dataDxfId="539"/>
    <tableColumn id="29" name="REFUS" dataDxfId="538"/>
    <tableColumn id="30" name="MOTIF" dataDxfId="537"/>
    <tableColumn id="31" name="COMMENTAIRES" dataDxfId="536"/>
    <tableColumn id="32" name="DIVERS" dataDxfId="535"/>
    <tableColumn id="49" name="MISE EN PLACE SCAN BY CERFRANCE" dataDxfId="534"/>
    <tableColumn id="50" name="PRENOM PERSONNE AYANT DEPLOYEE SCAN BY CERFRANCE" dataDxfId="533"/>
    <tableColumn id="51" name="PICKING" dataDxfId="532"/>
    <tableColumn id="58" name="EDI" dataDxfId="531"/>
    <tableColumn id="62" name="Colonne1" dataDxfId="5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PORTEFEUILLE_FREDERIQUE" displayName="PORTEFEUILLE_FREDERIQUE" ref="A2:BK60" totalsRowShown="0" headerRowDxfId="529" dataDxfId="528" tableBorderDxfId="527" headerRowCellStyle="Normal 16">
  <autoFilter ref="A2:BK60"/>
  <tableColumns count="63">
    <tableColumn id="48" name="PRENOM DU COMPTABLE" dataDxfId="526"/>
    <tableColumn id="1" name="N° DOSSIER" dataDxfId="525"/>
    <tableColumn id="2" name="NOM DOSSIER" dataDxfId="524"/>
    <tableColumn id="3" name="TYPE DE MARCHE" dataDxfId="523"/>
    <tableColumn id="4" name="DATE DE CLOTURE" dataDxfId="522"/>
    <tableColumn id="5" name="REGIME JURIDIQUE" dataDxfId="521"/>
    <tableColumn id="6" name="REGIME IMPOSITION" dataDxfId="520"/>
    <tableColumn id="56" name="DECLARATION DE TVA" dataDxfId="519"/>
    <tableColumn id="7" name="DATE_x000a_DE DEPOT" dataDxfId="518"/>
    <tableColumn id="8" name="DATE SIGNATURE" dataDxfId="517"/>
    <tableColumn id="9" name="MOIS" dataDxfId="516">
      <calculatedColumnFormula>IF(I3="","",MONTH(I3))</calculatedColumnFormula>
    </tableColumn>
    <tableColumn id="10" name="DELAI" dataDxfId="515">
      <calculatedColumnFormula>IF(I3="","",DAYS360(E3,I3))</calculatedColumnFormula>
    </tableColumn>
    <tableColumn id="11" name="PCR" dataDxfId="514"/>
    <tableColumn id="12" name="RA NOS" dataDxfId="513"/>
    <tableColumn id="13" name="QUI " dataDxfId="512"/>
    <tableColumn id="14" name="CR" dataDxfId="511"/>
    <tableColumn id="15" name="CR FAIT PAR LE COMPTABLE" dataDxfId="510"/>
    <tableColumn id="16" name="AG_x000a_SIGNEE" dataDxfId="509"/>
    <tableColumn id="17" name="PCR COMPTABLE €" dataDxfId="508" dataCellStyle="Monétaire"/>
    <tableColumn id="18" name="PCR CONSEILLER €" dataDxfId="507"/>
    <tableColumn id="19" name="RA FAIT PAR LE_x000a_COMPTABLE €" dataDxfId="506" dataCellStyle="Monétaire"/>
    <tableColumn id="41" name="RA FAITE PAR LE CONSEILLER €" dataDxfId="505" dataCellStyle="Monétaire"/>
    <tableColumn id="21" name="POINT DE PILOTAGE €" dataDxfId="504" dataCellStyle="Monétaire"/>
    <tableColumn id="20" name="AGOA COMPTABLE €" dataDxfId="503" dataCellStyle="Monétaire"/>
    <tableColumn id="59" name="AGOA CONSEILLER €" dataDxfId="502" dataCellStyle="Monétaire"/>
    <tableColumn id="60" name="VISA JURIDIQUE €" dataDxfId="501" dataCellStyle="Monétaire"/>
    <tableColumn id="38" name="SAISIE PAR UNE AAC €" dataDxfId="500" dataCellStyle="Monétaire"/>
    <tableColumn id="43" name="SAISIE PAR LE COMPTABLE €" dataDxfId="499" dataCellStyle="Monétaire"/>
    <tableColumn id="39" name="TRAVAUX _x000a_DE REVISION €" dataDxfId="498" dataCellStyle="Monétaire"/>
    <tableColumn id="42" name="DECLARATION TVA AAC €" dataDxfId="497" dataCellStyle="Monétaire"/>
    <tableColumn id="45" name="DECLARATION TVA COMPTABLE €" dataDxfId="496" dataCellStyle="Monétaire"/>
    <tableColumn id="40" name="MONTANT_x000a_RESPONSABLE RELATION CLIENT €" dataDxfId="495" dataCellStyle="Monétaire"/>
    <tableColumn id="33" name="MONTANT TOTAL LETTRE DE MISION €" dataDxfId="494" dataCellStyle="Monétaire">
      <calculatedColumnFormula>SUM(PORTEFEUILLE_FREDERIQUE[[#This Row],[PCR COMPTABLE €]:[MONTANT
RESPONSABLE RELATION CLIENT €]])</calculatedColumnFormula>
    </tableColumn>
    <tableColumn id="34" name="ECART DE SAISE avec LETTRE DE MISSION €" dataDxfId="493" dataCellStyle="Monétaire">
      <calculatedColumnFormula>SUM(PORTEFEUILLE_FREDERIQUE[[#This Row],[PCR COMPTABLE €]:[MONTANT
RESPONSABLE RELATION CLIENT €]])-PORTEFEUILLE_FREDERIQUE[[#This Row],[MONTANT TOTAL LETTRE DE MISION €]]</calculatedColumnFormula>
    </tableColumn>
    <tableColumn id="22" name="Prénom_x000a_AAC" dataDxfId="492"/>
    <tableColumn id="36" name="PRENOM CONSEILLER" dataDxfId="491"/>
    <tableColumn id="57" name="PRENOM REALISATION TVA" dataDxfId="490"/>
    <tableColumn id="63" name="DECLARATION DES REVENUS" dataDxfId="489"/>
    <tableColumn id="61" name="NOMBRE DE DECLARATION" dataDxfId="488"/>
    <tableColumn id="54" name="ABONNE COURT _x000a_ABONNE LONG" dataDxfId="487"/>
    <tableColumn id="55" name="RECONDUCTION AUTOMATIQUE OS" dataDxfId="486"/>
    <tableColumn id="23" name="TPS PASSE_x000a_COMPTABLE H_x000a_" dataDxfId="485"/>
    <tableColumn id="37" name="TPS PASSE _x000a_AAC H" dataDxfId="484"/>
    <tableColumn id="47" name="BONI AAC" dataDxfId="483" dataCellStyle="Monétaire">
      <calculatedColumnFormula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calculatedColumnFormula>
    </tableColumn>
    <tableColumn id="46" name="MALI AAC" dataDxfId="482" dataCellStyle="Monétaire">
      <calculatedColumnFormula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calculatedColumnFormula>
    </tableColumn>
    <tableColumn id="44" name="NOMBRE DOSSIER BONI AAC" dataDxfId="481">
      <calculatedColumnFormula>IF(PORTEFEUILLE_FREDERIQUE[[#This Row],[BONI AAC]]&lt;&gt;0,1,"")</calculatedColumnFormula>
    </tableColumn>
    <tableColumn id="35" name="NBRE DOSSIER MALI AAC" dataDxfId="480">
      <calculatedColumnFormula>IF(PORTEFEUILLE_FREDERIQUE[[#This Row],[MALI AAC]]&lt;&gt;0,1,"")</calculatedColumnFormula>
    </tableColumn>
    <tableColumn id="24" name="BONI COMPTABLE" dataDxfId="479" dataCellStyle="Monétaire">
      <calculatedColumnFormula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calculatedColumnFormula>
    </tableColumn>
    <tableColumn id="25" name="MALI COMPTABLE" dataDxfId="478" dataCellStyle="Monétaire">
      <calculatedColumnFormula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calculatedColumnFormula>
    </tableColumn>
    <tableColumn id="53" name="NOMBRE DOSSIER BONI COMPTABLE" dataDxfId="477">
      <calculatedColumnFormula>IF(PORTEFEUILLE_FREDERIQUE[[#This Row],[BONI COMPTABLE]]&lt;&gt;0,1,"")</calculatedColumnFormula>
    </tableColumn>
    <tableColumn id="52" name="NOMBRE DE DOSSIER MALI COMPTABLE" dataDxfId="476">
      <calculatedColumnFormula>IF(PORTEFEUILLE_FREDERIQUE[[#This Row],[MALI COMPTABLE]]&lt;&gt;0,1,"")</calculatedColumnFormula>
    </tableColumn>
    <tableColumn id="26" name="GRILLE ENJEUX" dataDxfId="475"/>
    <tableColumn id="27" name="Visa_x000a_Validé_x000a_enjeu 4 ou attestation enjeu" dataDxfId="474"/>
    <tableColumn id="28" name="VISA VCOMPTA" dataDxfId="473"/>
    <tableColumn id="29" name="REFUS" dataDxfId="472"/>
    <tableColumn id="30" name="MOTIF" dataDxfId="471"/>
    <tableColumn id="31" name="COMMENTAIRES" dataDxfId="470"/>
    <tableColumn id="32" name="Attestation_x000a_à faire signer par l'EC" dataDxfId="469"/>
    <tableColumn id="49" name="MISE EN PLACE SCAN BY CERFRANCE" dataDxfId="468"/>
    <tableColumn id="50" name="PRENOM PERSONNE AYANT DEPLOYEE SCAN BY CERFRANCE" dataDxfId="467"/>
    <tableColumn id="51" name="PICKING" dataDxfId="466"/>
    <tableColumn id="58" name="EDI" dataDxfId="465"/>
    <tableColumn id="62" name="Colonne1" dataDxfId="46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PORTEFEUILLE_AURELIE_T" displayName="PORTEFEUILLE_AURELIE_T" ref="A2:BK60" totalsRowShown="0" headerRowDxfId="463" dataDxfId="462" tableBorderDxfId="461" headerRowCellStyle="Normal 16">
  <autoFilter ref="A2:BK60"/>
  <tableColumns count="63">
    <tableColumn id="48" name="PRENOM DU COMPTABLE" dataDxfId="460"/>
    <tableColumn id="1" name="N° DOSSIER" dataDxfId="459"/>
    <tableColumn id="2" name="NOM DOSSIER" dataDxfId="458"/>
    <tableColumn id="3" name="TYPE DE MARCHE" dataDxfId="457"/>
    <tableColumn id="4" name="DATE DE CLOTURE" dataDxfId="456"/>
    <tableColumn id="5" name="REGIME JURIDIQUE" dataDxfId="455"/>
    <tableColumn id="6" name="REGIME IMPOSITION" dataDxfId="454"/>
    <tableColumn id="56" name="DECLARATION DE TVA" dataDxfId="453"/>
    <tableColumn id="7" name="DATE_x000a_DE DEPOT" dataDxfId="452"/>
    <tableColumn id="8" name="DATE SIGNATURE" dataDxfId="451"/>
    <tableColumn id="9" name="MOIS" dataDxfId="450">
      <calculatedColumnFormula>IF(I3="","",MONTH(I3))</calculatedColumnFormula>
    </tableColumn>
    <tableColumn id="10" name="DELAI" dataDxfId="449">
      <calculatedColumnFormula>IF(I3="","",DAYS360(E3,I3))</calculatedColumnFormula>
    </tableColumn>
    <tableColumn id="11" name="PCR" dataDxfId="448"/>
    <tableColumn id="12" name="RA NOS" dataDxfId="447"/>
    <tableColumn id="13" name="QUI " dataDxfId="446"/>
    <tableColumn id="14" name="CR" dataDxfId="445"/>
    <tableColumn id="15" name="CR FAIT PAR LE COMPTABLE" dataDxfId="444"/>
    <tableColumn id="16" name="AG_x000a_SIGNEE" dataDxfId="443"/>
    <tableColumn id="17" name="PCR COMPTABLE €" dataDxfId="442" dataCellStyle="Monétaire"/>
    <tableColumn id="18" name="PCR CONSEILLER €" dataDxfId="441"/>
    <tableColumn id="19" name="RA FAIT PAR LE_x000a_COMPTABLE €" dataDxfId="440" dataCellStyle="Monétaire"/>
    <tableColumn id="41" name="RA FAITE PAR LE CONSEILLER €" dataDxfId="439" dataCellStyle="Monétaire"/>
    <tableColumn id="21" name="POINT DE PILOTAGE €" dataDxfId="438" dataCellStyle="Monétaire"/>
    <tableColumn id="20" name="AGOA COMPTABLE €" dataDxfId="437" dataCellStyle="Monétaire"/>
    <tableColumn id="59" name="AGOA CONSEILLER €" dataDxfId="436" dataCellStyle="Monétaire"/>
    <tableColumn id="60" name="VISA JURIDIQUE €" dataDxfId="435" dataCellStyle="Monétaire"/>
    <tableColumn id="38" name="SAISIE PAR UNE AAC €" dataDxfId="434" dataCellStyle="Monétaire"/>
    <tableColumn id="43" name="SAISIE PAR LE COMPTABLE €" dataDxfId="433" dataCellStyle="Monétaire"/>
    <tableColumn id="39" name="TRAVAUX _x000a_DE REVISION €" dataDxfId="432" dataCellStyle="Monétaire"/>
    <tableColumn id="42" name="DECLARATION TVA AAC €" dataDxfId="431" dataCellStyle="Monétaire"/>
    <tableColumn id="45" name="DECLARATION TVA COMPTABLE €" dataDxfId="430" dataCellStyle="Monétaire"/>
    <tableColumn id="40" name="MONTANT_x000a_RESPONSABLE RELATION CLIENT €" dataDxfId="429" dataCellStyle="Monétaire"/>
    <tableColumn id="33" name="MONTANT TOTAL LETTRE DE MISION €" dataDxfId="428" dataCellStyle="Monétaire">
      <calculatedColumnFormula>SUM(PORTEFEUILLE_AURELIE_T[[#This Row],[PCR COMPTABLE €]:[MONTANT
RESPONSABLE RELATION CLIENT €]])</calculatedColumnFormula>
    </tableColumn>
    <tableColumn id="34" name="ECART DE SAISE avec LETTRE DE MISSION €" dataDxfId="427" dataCellStyle="Monétaire">
      <calculatedColumnFormula>SUM(PORTEFEUILLE_AURELIE_T[[#This Row],[PCR COMPTABLE €]:[MONTANT
RESPONSABLE RELATION CLIENT €]])-PORTEFEUILLE_AURELIE_T[[#This Row],[MONTANT TOTAL LETTRE DE MISION €]]</calculatedColumnFormula>
    </tableColumn>
    <tableColumn id="22" name="Prénom_x000a_AAC" dataDxfId="426"/>
    <tableColumn id="36" name="PRENOM CONSEILLER" dataDxfId="425"/>
    <tableColumn id="57" name="PRENOM REALISATION TVA" dataDxfId="424"/>
    <tableColumn id="63" name="DECLARATION DES REVENUS" dataDxfId="423"/>
    <tableColumn id="61" name="NOMBRE DE DECLARATION" dataDxfId="422"/>
    <tableColumn id="54" name="ABONNE COURT _x000a_ABONNE LONG" dataDxfId="421"/>
    <tableColumn id="55" name="RECONDUCTION AUTOMATIQUE OS" dataDxfId="420"/>
    <tableColumn id="23" name="TPS PASSE_x000a_COMPTABLE H_x000a_" dataDxfId="419"/>
    <tableColumn id="37" name="TPS PASSE _x000a_AAC H" dataDxfId="418"/>
    <tableColumn id="47" name="BONI AAC" dataDxfId="417" dataCellStyle="Monétaire">
      <calculatedColumnFormula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calculatedColumnFormula>
    </tableColumn>
    <tableColumn id="46" name="MALI AAC" dataDxfId="416" dataCellStyle="Monétaire">
      <calculatedColumnFormula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calculatedColumnFormula>
    </tableColumn>
    <tableColumn id="44" name="NOMBRE DOSSIER BONI AAC" dataDxfId="415">
      <calculatedColumnFormula>IF(PORTEFEUILLE_AURELIE_T[[#This Row],[BONI AAC]]&lt;&gt;0,1,"")</calculatedColumnFormula>
    </tableColumn>
    <tableColumn id="35" name="NBRE DOSSIER MALI AAC" dataDxfId="414">
      <calculatedColumnFormula>IF(PORTEFEUILLE_AURELIE_T[[#This Row],[MALI AAC]]&lt;&gt;0,1,"")</calculatedColumnFormula>
    </tableColumn>
    <tableColumn id="24" name="BONI COMPTABLE" dataDxfId="413" dataCellStyle="Monétaire">
      <calculatedColumnFormula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calculatedColumnFormula>
    </tableColumn>
    <tableColumn id="25" name="MALI COMPTABLE" dataDxfId="412" dataCellStyle="Monétaire">
      <calculatedColumnFormula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calculatedColumnFormula>
    </tableColumn>
    <tableColumn id="53" name="NOMBRE DOSSIER BONI COMPTABLE" dataDxfId="411">
      <calculatedColumnFormula>IF(PORTEFEUILLE_AURELIE_T[[#This Row],[BONI COMPTABLE]]&lt;&gt;0,1,"")</calculatedColumnFormula>
    </tableColumn>
    <tableColumn id="52" name="NOMBRE DE DOSSIER MALI COMPTABLE" dataDxfId="410">
      <calculatedColumnFormula>IF(PORTEFEUILLE_AURELIE_T[[#This Row],[MALI COMPTABLE]]&lt;&gt;0,1,"")</calculatedColumnFormula>
    </tableColumn>
    <tableColumn id="26" name="GRILLE ENJEUX" dataDxfId="409"/>
    <tableColumn id="27" name="Visa_x000a_Validé_x000a_enjeu 4 ou attestation enjeu" dataDxfId="408"/>
    <tableColumn id="28" name="VISA VCOMPTA" dataDxfId="407"/>
    <tableColumn id="29" name="REFUS" dataDxfId="406"/>
    <tableColumn id="30" name="MOTIF" dataDxfId="405"/>
    <tableColumn id="31" name="COMMENTAIRES" dataDxfId="404"/>
    <tableColumn id="32" name="Attestation_x000a_à faire signer par l'EC" dataDxfId="403"/>
    <tableColumn id="49" name="MISE EN PLACE SCAN BY CERFRANCE" dataDxfId="402"/>
    <tableColumn id="50" name="PRENOM PERSONNE AYANT DEPLOYEE SCAN BY CERFRANCE" dataDxfId="401"/>
    <tableColumn id="51" name="PICKING" dataDxfId="400"/>
    <tableColumn id="58" name="EDI" dataDxfId="399"/>
    <tableColumn id="62" name="Colonne1" dataDxfId="39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PORTEFEUILLE_ERIC" displayName="PORTEFEUILLE_ERIC" ref="A2:BK60" totalsRowShown="0" headerRowDxfId="397" dataDxfId="396" tableBorderDxfId="395" headerRowCellStyle="Normal 16">
  <autoFilter ref="A2:BK60"/>
  <tableColumns count="63">
    <tableColumn id="48" name="PRENOM DU COMPTABLE" dataDxfId="394"/>
    <tableColumn id="1" name="N° DOSSIER" dataDxfId="393"/>
    <tableColumn id="2" name="NOM DOSSIER" dataDxfId="392"/>
    <tableColumn id="3" name="TYPE DE MARCHE" dataDxfId="391"/>
    <tableColumn id="4" name="DATE DE CLOTURE" dataDxfId="390"/>
    <tableColumn id="5" name="REGIME JURIDIQUE" dataDxfId="389"/>
    <tableColumn id="6" name="REGIME IMPOSITION" dataDxfId="388"/>
    <tableColumn id="56" name="DECLARATION DE TVA" dataDxfId="387"/>
    <tableColumn id="7" name="DATE_x000a_DE DEPOT" dataDxfId="386"/>
    <tableColumn id="8" name="DATE SIGNATURE" dataDxfId="385"/>
    <tableColumn id="9" name="MOIS" dataDxfId="384">
      <calculatedColumnFormula>IF(I3="","",MONTH(I3))</calculatedColumnFormula>
    </tableColumn>
    <tableColumn id="10" name="DELAI" dataDxfId="383">
      <calculatedColumnFormula>IF(I3="","",DAYS360(E3,I3))</calculatedColumnFormula>
    </tableColumn>
    <tableColumn id="11" name="PCR" dataDxfId="382"/>
    <tableColumn id="12" name="RA NOS" dataDxfId="381"/>
    <tableColumn id="13" name="QUI " dataDxfId="380"/>
    <tableColumn id="14" name="CR" dataDxfId="379"/>
    <tableColumn id="15" name="CR FAIT PAR LE COMPTABLE" dataDxfId="378"/>
    <tableColumn id="16" name="AG_x000a_SIGNEE" dataDxfId="377"/>
    <tableColumn id="17" name="PCR COMPTABLE €" dataDxfId="376" dataCellStyle="Monétaire"/>
    <tableColumn id="18" name="PCR CONSEILLER €" dataDxfId="375"/>
    <tableColumn id="19" name="RA FAIT PAR LE_x000a_COMPTABLE €" dataDxfId="374" dataCellStyle="Monétaire"/>
    <tableColumn id="41" name="RA FAITE PAR LE CONSEILLER €" dataDxfId="373" dataCellStyle="Monétaire"/>
    <tableColumn id="21" name="POINT DE PILOTAGE €" dataDxfId="372" dataCellStyle="Monétaire"/>
    <tableColumn id="20" name="AGOA COMPTABLE €" dataDxfId="371" dataCellStyle="Monétaire"/>
    <tableColumn id="59" name="AGOA CONSEILLER €" dataDxfId="370" dataCellStyle="Monétaire"/>
    <tableColumn id="60" name="VISA JURIDIQUE €" dataDxfId="369" dataCellStyle="Monétaire"/>
    <tableColumn id="38" name="SAISIE PAR UNE AAC €" dataDxfId="368" dataCellStyle="Monétaire"/>
    <tableColumn id="43" name="SAISIE PAR LE COMPTABLE €" dataDxfId="367" dataCellStyle="Monétaire"/>
    <tableColumn id="39" name="TRAVAUX _x000a_DE REVISION €" dataDxfId="366" dataCellStyle="Monétaire"/>
    <tableColumn id="42" name="DECLARATION TVA AAC €" dataDxfId="365" dataCellStyle="Monétaire"/>
    <tableColumn id="45" name="DECLARATION TVA COMPTABLE €" dataDxfId="364" dataCellStyle="Monétaire"/>
    <tableColumn id="40" name="MONTANT_x000a_RESPONSABLE RELATION CLIENT €" dataDxfId="363" dataCellStyle="Monétaire"/>
    <tableColumn id="33" name="MONTANT TOTAL LETTRE DE MISION €" dataDxfId="362" dataCellStyle="Monétaire">
      <calculatedColumnFormula>SUM(PORTEFEUILLE_ERIC[[#This Row],[PCR COMPTABLE €]:[MONTANT
RESPONSABLE RELATION CLIENT €]])</calculatedColumnFormula>
    </tableColumn>
    <tableColumn id="34" name="ECART DE SAISE avec LETTRE DE MISSION €" dataDxfId="361" dataCellStyle="Monétaire">
      <calculatedColumnFormula>SUM(PORTEFEUILLE_ERIC[[#This Row],[PCR COMPTABLE €]:[MONTANT
RESPONSABLE RELATION CLIENT €]])-PORTEFEUILLE_ERIC[[#This Row],[MONTANT TOTAL LETTRE DE MISION €]]</calculatedColumnFormula>
    </tableColumn>
    <tableColumn id="22" name="Prénom_x000a_AAC" dataDxfId="360"/>
    <tableColumn id="36" name="PRENOM CONSEILLER" dataDxfId="359"/>
    <tableColumn id="57" name="PRENOM REALISATION TVA" dataDxfId="358"/>
    <tableColumn id="63" name="DECLARATION DES REVENUS" dataDxfId="357"/>
    <tableColumn id="61" name="NOMBRE DE DECLARATION" dataDxfId="356"/>
    <tableColumn id="54" name="ABONNE COURT _x000a_ABONNE LONG" dataDxfId="355"/>
    <tableColumn id="55" name="RECONDUCTION AUTOMATIQUE OS" dataDxfId="354"/>
    <tableColumn id="23" name="TPS PASSE_x000a_COMPTABLE H_x000a_" dataDxfId="353"/>
    <tableColumn id="37" name="TPS PASSE _x000a_AAC H" dataDxfId="352"/>
    <tableColumn id="47" name="BONI AAC" dataDxfId="351" dataCellStyle="Monétaire">
      <calculatedColumnFormula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calculatedColumnFormula>
    </tableColumn>
    <tableColumn id="46" name="MALI AAC" dataDxfId="350" dataCellStyle="Monétaire">
      <calculatedColumnFormula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calculatedColumnFormula>
    </tableColumn>
    <tableColumn id="44" name="NOMBRE DOSSIER BONI AAC" dataDxfId="349">
      <calculatedColumnFormula>IF(PORTEFEUILLE_ERIC[[#This Row],[BONI AAC]]&lt;&gt;0,1,"")</calculatedColumnFormula>
    </tableColumn>
    <tableColumn id="35" name="NBRE DOSSIER MALI AAC" dataDxfId="348">
      <calculatedColumnFormula>IF(PORTEFEUILLE_ERIC[[#This Row],[MALI AAC]]&lt;&gt;0,1,"")</calculatedColumnFormula>
    </tableColumn>
    <tableColumn id="24" name="BONI COMPTABLE" dataDxfId="347" dataCellStyle="Monétaire">
      <calculatedColumnFormula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calculatedColumnFormula>
    </tableColumn>
    <tableColumn id="25" name="MALI COMPTABLE" dataDxfId="346" dataCellStyle="Monétaire">
      <calculatedColumnFormula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calculatedColumnFormula>
    </tableColumn>
    <tableColumn id="53" name="NOMBRE DOSSIER BONI COMPTABLE" dataDxfId="345">
      <calculatedColumnFormula>IF(PORTEFEUILLE_ERIC[[#This Row],[BONI COMPTABLE]]&lt;&gt;0,1,"")</calculatedColumnFormula>
    </tableColumn>
    <tableColumn id="52" name="NOMBRE DE DOSSIER MALI COMPTABLE" dataDxfId="344">
      <calculatedColumnFormula>IF(PORTEFEUILLE_ERIC[[#This Row],[MALI COMPTABLE]]&lt;&gt;0,1,"")</calculatedColumnFormula>
    </tableColumn>
    <tableColumn id="26" name="GRILLE ENJEUX" dataDxfId="343"/>
    <tableColumn id="27" name="Visa_x000a_Validé_x000a_enjeu 4 ou attestation enjeu" dataDxfId="342"/>
    <tableColumn id="28" name="VISA VCOMPTA" dataDxfId="341"/>
    <tableColumn id="29" name="REFUS" dataDxfId="340"/>
    <tableColumn id="30" name="MOTIF" dataDxfId="339"/>
    <tableColumn id="31" name="COMMENTAIRES" dataDxfId="338"/>
    <tableColumn id="32" name="Attestation_x000a_à faire signer par l'EC" dataDxfId="337"/>
    <tableColumn id="49" name="MISE EN PLACE SCAN BY CERFRANCE" dataDxfId="336"/>
    <tableColumn id="50" name="PRENOM PERSONNE AYANT DEPLOYEE SCAN BY CERFRANCE" dataDxfId="335"/>
    <tableColumn id="51" name="PICKING" dataDxfId="334"/>
    <tableColumn id="58" name="EDI" dataDxfId="333"/>
    <tableColumn id="62" name="Colonne1" dataDxfId="3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PORTEFEUILLE_MARIE_PIERRE" displayName="PORTEFEUILLE_MARIE_PIERRE" ref="A2:BK60" totalsRowShown="0" headerRowDxfId="331" dataDxfId="330" tableBorderDxfId="329" headerRowCellStyle="Normal 16">
  <autoFilter ref="A2:BK60"/>
  <tableColumns count="63">
    <tableColumn id="48" name="PRENOM DU COMPTABLE" dataDxfId="328"/>
    <tableColumn id="1" name="N° DOSSIER" dataDxfId="327"/>
    <tableColumn id="2" name="NOM DOSSIER" dataDxfId="326"/>
    <tableColumn id="3" name="TYPE DE MARCHE" dataDxfId="325"/>
    <tableColumn id="4" name="DATE DE CLOTURE" dataDxfId="324"/>
    <tableColumn id="5" name="REGIME JURIDIQUE" dataDxfId="323"/>
    <tableColumn id="6" name="REGIME IMPOSITION" dataDxfId="322"/>
    <tableColumn id="56" name="DECLARATION DE TVA" dataDxfId="321"/>
    <tableColumn id="7" name="DATE_x000a_DE DEPOT" dataDxfId="320"/>
    <tableColumn id="8" name="DATE SIGNATURE" dataDxfId="319"/>
    <tableColumn id="9" name="MOIS" dataDxfId="318">
      <calculatedColumnFormula>IF(I3="","",MONTH(I3))</calculatedColumnFormula>
    </tableColumn>
    <tableColumn id="10" name="DELAI" dataDxfId="317">
      <calculatedColumnFormula>IF(I3="","",DAYS360(E3,I3))</calculatedColumnFormula>
    </tableColumn>
    <tableColumn id="11" name="PCR" dataDxfId="316"/>
    <tableColumn id="12" name="RA NOS" dataDxfId="315"/>
    <tableColumn id="13" name="QUI " dataDxfId="314"/>
    <tableColumn id="14" name="CR" dataDxfId="313"/>
    <tableColumn id="15" name="CR FAIT PAR LE COMPTABLE" dataDxfId="312"/>
    <tableColumn id="16" name="AG_x000a_SIGNEE" dataDxfId="311"/>
    <tableColumn id="17" name="PCR COMPTABLE €" dataDxfId="310" dataCellStyle="Monétaire"/>
    <tableColumn id="18" name="PCR CONSEILLER €" dataDxfId="309"/>
    <tableColumn id="19" name="RA FAIT PAR LE_x000a_COMPTABLE €" dataDxfId="308" dataCellStyle="Monétaire"/>
    <tableColumn id="41" name="RA FAITE PAR LE CONSEILLER €" dataDxfId="307" dataCellStyle="Monétaire"/>
    <tableColumn id="21" name="POINT DE PILOTAGE €" dataDxfId="306" dataCellStyle="Monétaire"/>
    <tableColumn id="20" name="AGOA COMPTABLE €" dataDxfId="305" dataCellStyle="Monétaire"/>
    <tableColumn id="59" name="AGOA CONSEILLER €" dataDxfId="304" dataCellStyle="Monétaire"/>
    <tableColumn id="60" name="VISA JURIDIQUE €" dataDxfId="303" dataCellStyle="Monétaire"/>
    <tableColumn id="38" name="SAISIE PAR UNE AAC €" dataDxfId="302" dataCellStyle="Monétaire"/>
    <tableColumn id="43" name="SAISIE PAR LE COMPTABLE €" dataDxfId="301" dataCellStyle="Monétaire"/>
    <tableColumn id="39" name="TRAVAUX _x000a_DE REVISION €" dataDxfId="300" dataCellStyle="Monétaire"/>
    <tableColumn id="42" name="DECLARATION TVA AAC €" dataDxfId="299" dataCellStyle="Monétaire"/>
    <tableColumn id="45" name="DECLARATION TVA COMPTABLE €" dataDxfId="298" dataCellStyle="Monétaire"/>
    <tableColumn id="40" name="MONTANT_x000a_RESPONSABLE RELATION CLIENT €" dataDxfId="297" dataCellStyle="Monétaire"/>
    <tableColumn id="33" name="MONTANT TOTAL LETTRE DE MISION €" dataDxfId="296" dataCellStyle="Monétaire">
      <calculatedColumnFormula>SUM(PORTEFEUILLE_MARIE_PIERRE[[#This Row],[PCR COMPTABLE €]:[MONTANT
RESPONSABLE RELATION CLIENT €]])</calculatedColumnFormula>
    </tableColumn>
    <tableColumn id="34" name="ECART DE SAISE avec LETTRE DE MISSION €" dataDxfId="295" dataCellStyle="Monétaire">
      <calculatedColumnFormula>SUM(PORTEFEUILLE_MARIE_PIERRE[[#This Row],[PCR COMPTABLE €]:[MONTANT
RESPONSABLE RELATION CLIENT €]])-PORTEFEUILLE_MARIE_PIERRE[[#This Row],[MONTANT TOTAL LETTRE DE MISION €]]</calculatedColumnFormula>
    </tableColumn>
    <tableColumn id="22" name="Prénom_x000a_AAC" dataDxfId="294"/>
    <tableColumn id="36" name="PRENOM CONSEILLER" dataDxfId="293"/>
    <tableColumn id="57" name="PRENOM REALISATION TVA" dataDxfId="292"/>
    <tableColumn id="63" name="DECLARATION DES REVENUS" dataDxfId="291"/>
    <tableColumn id="61" name="NOMBRE DE DECLARATION" dataDxfId="290"/>
    <tableColumn id="54" name="ABONNE COURT _x000a_ABONNE LONG" dataDxfId="289"/>
    <tableColumn id="55" name="RECONDUCTION AUTOMATIQUE OS" dataDxfId="288"/>
    <tableColumn id="23" name="TPS PASSE_x000a_COMPTABLE H_x000a_" dataDxfId="287"/>
    <tableColumn id="37" name="TPS PASSE _x000a_AAC H" dataDxfId="286"/>
    <tableColumn id="47" name="BONI AAC" dataDxfId="285" dataCellStyle="Monétaire">
      <calculatedColumnFormula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calculatedColumnFormula>
    </tableColumn>
    <tableColumn id="46" name="MALI AAC" dataDxfId="284" dataCellStyle="Monétaire">
      <calculatedColumnFormula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calculatedColumnFormula>
    </tableColumn>
    <tableColumn id="44" name="NOMBRE DOSSIER BONI AAC" dataDxfId="283">
      <calculatedColumnFormula>IF(PORTEFEUILLE_MARIE_PIERRE[[#This Row],[BONI AAC]]&lt;&gt;0,1,"")</calculatedColumnFormula>
    </tableColumn>
    <tableColumn id="35" name="NBRE DOSSIER MALI AAC" dataDxfId="282">
      <calculatedColumnFormula>IF(PORTEFEUILLE_MARIE_PIERRE[[#This Row],[MALI AAC]]&lt;&gt;0,1,"")</calculatedColumnFormula>
    </tableColumn>
    <tableColumn id="24" name="BONI COMPTABLE" dataDxfId="281" dataCellStyle="Monétaire">
      <calculatedColumnFormula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calculatedColumnFormula>
    </tableColumn>
    <tableColumn id="25" name="MALI COMPTABLE" dataDxfId="280" dataCellStyle="Monétaire">
      <calculatedColumnFormula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calculatedColumnFormula>
    </tableColumn>
    <tableColumn id="53" name="NOMBRE DOSSIER BONI COMPTABLE" dataDxfId="279">
      <calculatedColumnFormula>IF(PORTEFEUILLE_MARIE_PIERRE[[#This Row],[BONI COMPTABLE]]&lt;&gt;0,1,"")</calculatedColumnFormula>
    </tableColumn>
    <tableColumn id="52" name="NOMBRE DE DOSSIER MALI COMPTABLE" dataDxfId="278">
      <calculatedColumnFormula>IF(PORTEFEUILLE_MARIE_PIERRE[[#This Row],[MALI COMPTABLE]]&lt;&gt;0,1,"")</calculatedColumnFormula>
    </tableColumn>
    <tableColumn id="26" name="GRILLE ENJEUX" dataDxfId="277"/>
    <tableColumn id="27" name="Visa_x000a_Validé_x000a_enjeu 4 ou attestation enjeu" dataDxfId="276"/>
    <tableColumn id="28" name="VISA VCOMPTA" dataDxfId="275"/>
    <tableColumn id="29" name="REFUS" dataDxfId="274"/>
    <tableColumn id="30" name="MOTIF" dataDxfId="273"/>
    <tableColumn id="31" name="COMMENTAIRES" dataDxfId="272"/>
    <tableColumn id="32" name="Attestation_x000a_à faire signer par l'EC" dataDxfId="271"/>
    <tableColumn id="49" name="MISE EN PLACE SCAN BY CERFRANCE" dataDxfId="270"/>
    <tableColumn id="50" name="PRENOM PERSONNE AYANT DEPLOYEE SCAN BY CERFRANCE" dataDxfId="269"/>
    <tableColumn id="51" name="PICKING" dataDxfId="268"/>
    <tableColumn id="58" name="EDI" dataDxfId="267"/>
    <tableColumn id="62" name="Colonne1" dataDxfId="26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PORTEFEUILLE_GUILLAUME" displayName="PORTEFEUILLE_GUILLAUME" ref="A2:BK60" totalsRowShown="0" headerRowDxfId="265" dataDxfId="264" tableBorderDxfId="263" headerRowCellStyle="Normal 16">
  <autoFilter ref="A2:BK60"/>
  <tableColumns count="63">
    <tableColumn id="48" name="PRENOM DU COMPTABLE" dataDxfId="262"/>
    <tableColumn id="1" name="N° DOSSIER" dataDxfId="261"/>
    <tableColumn id="2" name="NOM DOSSIER" dataDxfId="260"/>
    <tableColumn id="3" name="TYPE DE MARCHE" dataDxfId="259"/>
    <tableColumn id="4" name="DATE DE CLOTURE" dataDxfId="258"/>
    <tableColumn id="5" name="REGIME JURIDIQUE" dataDxfId="257"/>
    <tableColumn id="6" name="REGIME IMPOSITION" dataDxfId="256"/>
    <tableColumn id="56" name="DECLARATION DE TVA" dataDxfId="255"/>
    <tableColumn id="7" name="DATE_x000a_DE DEPOT" dataDxfId="254"/>
    <tableColumn id="8" name="DATE SIGNATURE" dataDxfId="253"/>
    <tableColumn id="9" name="MOIS" dataDxfId="252">
      <calculatedColumnFormula>IF(I3="","",MONTH(I3))</calculatedColumnFormula>
    </tableColumn>
    <tableColumn id="10" name="DELAI" dataDxfId="251">
      <calculatedColumnFormula>IF(I3="","",DAYS360(E3,I3))</calculatedColumnFormula>
    </tableColumn>
    <tableColumn id="11" name="PCR" dataDxfId="250"/>
    <tableColumn id="12" name="RA NOS" dataDxfId="249"/>
    <tableColumn id="13" name="QUI " dataDxfId="248"/>
    <tableColumn id="14" name="CR" dataDxfId="247"/>
    <tableColumn id="15" name="CR FAIT PAR LE COMPTABLE" dataDxfId="246"/>
    <tableColumn id="16" name="AG_x000a_SIGNEE" dataDxfId="245"/>
    <tableColumn id="17" name="PCR COMPTABLE €" dataDxfId="244" dataCellStyle="Monétaire"/>
    <tableColumn id="18" name="PCR CONSEILLER €" dataDxfId="243"/>
    <tableColumn id="19" name="RA FAIT PAR LE_x000a_COMPTABLE €" dataDxfId="242" dataCellStyle="Monétaire"/>
    <tableColumn id="41" name="RA FAITE PAR LE CONSEILLER €" dataDxfId="241" dataCellStyle="Monétaire"/>
    <tableColumn id="21" name="POINT DE PILOTAGE €" dataDxfId="240" dataCellStyle="Monétaire"/>
    <tableColumn id="20" name="AGOA COMPTABLE €" dataDxfId="239" dataCellStyle="Monétaire"/>
    <tableColumn id="59" name="AGOA CONSEILLER €" dataDxfId="238" dataCellStyle="Monétaire"/>
    <tableColumn id="60" name="VISA JURIDIQUE €" dataDxfId="237" dataCellStyle="Monétaire"/>
    <tableColumn id="38" name="SAISIE PAR UNE AAC €" dataDxfId="236" dataCellStyle="Monétaire"/>
    <tableColumn id="43" name="SAISIE PAR LE COMPTABLE €" dataDxfId="235" dataCellStyle="Monétaire"/>
    <tableColumn id="39" name="TRAVAUX _x000a_DE REVISION €" dataDxfId="234" dataCellStyle="Monétaire"/>
    <tableColumn id="42" name="DECLARATION TVA AAC €" dataDxfId="233" dataCellStyle="Monétaire"/>
    <tableColumn id="45" name="DECLARATION TVA COMPTABLE €" dataDxfId="232" dataCellStyle="Monétaire"/>
    <tableColumn id="40" name="MONTANT_x000a_RESPONSABLE RELATION CLIENT €" dataDxfId="231" dataCellStyle="Monétaire"/>
    <tableColumn id="33" name="MONTANT TOTAL LETTRE DE MISION €" dataDxfId="230" dataCellStyle="Monétaire">
      <calculatedColumnFormula>SUM(PORTEFEUILLE_GUILLAUME[[#This Row],[PCR COMPTABLE €]:[MONTANT
RESPONSABLE RELATION CLIENT €]])</calculatedColumnFormula>
    </tableColumn>
    <tableColumn id="34" name="ECART DE SAISE avec LETTRE DE MISSION €" dataDxfId="229" dataCellStyle="Monétaire">
      <calculatedColumnFormula>SUM(PORTEFEUILLE_GUILLAUME[[#This Row],[PCR COMPTABLE €]:[MONTANT
RESPONSABLE RELATION CLIENT €]])-PORTEFEUILLE_GUILLAUME[[#This Row],[MONTANT TOTAL LETTRE DE MISION €]]</calculatedColumnFormula>
    </tableColumn>
    <tableColumn id="22" name="Prénom_x000a_AAC" dataDxfId="228"/>
    <tableColumn id="36" name="PRENOM CONSEILLER" dataDxfId="227"/>
    <tableColumn id="57" name="PRENOM REALISATION TVA" dataDxfId="226"/>
    <tableColumn id="63" name="DECLARATION DES REVENUS" dataDxfId="225"/>
    <tableColumn id="61" name="NOMBRE DE DECLARATION" dataDxfId="224"/>
    <tableColumn id="54" name="ABONNE COURT _x000a_ABONNE LONG" dataDxfId="223"/>
    <tableColumn id="55" name="RECONDUCTION AUTOMATIQUE OS" dataDxfId="222"/>
    <tableColumn id="23" name="TPS PASSE_x000a_COMPTABLE H_x000a_" dataDxfId="221"/>
    <tableColumn id="37" name="TPS PASSE _x000a_AAC H" dataDxfId="220"/>
    <tableColumn id="47" name="BONI AAC" dataDxfId="219" dataCellStyle="Monétaire">
      <calculatedColumnFormula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calculatedColumnFormula>
    </tableColumn>
    <tableColumn id="46" name="MALI AAC" dataDxfId="218" dataCellStyle="Monétaire">
      <calculatedColumnFormula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calculatedColumnFormula>
    </tableColumn>
    <tableColumn id="44" name="NOMBRE DOSSIER BONI AAC" dataDxfId="217">
      <calculatedColumnFormula>IF(PORTEFEUILLE_GUILLAUME[[#This Row],[BONI AAC]]&lt;&gt;0,1,"")</calculatedColumnFormula>
    </tableColumn>
    <tableColumn id="35" name="NBRE DOSSIER MALI AAC" dataDxfId="216">
      <calculatedColumnFormula>IF(PORTEFEUILLE_GUILLAUME[[#This Row],[MALI AAC]]&lt;&gt;0,1,"")</calculatedColumnFormula>
    </tableColumn>
    <tableColumn id="24" name="BONI COMPTABLE" dataDxfId="215" dataCellStyle="Monétaire">
      <calculatedColumnFormula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calculatedColumnFormula>
    </tableColumn>
    <tableColumn id="25" name="MALI COMPTABLE" dataDxfId="214" dataCellStyle="Monétaire">
      <calculatedColumnFormula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calculatedColumnFormula>
    </tableColumn>
    <tableColumn id="53" name="NOMBRE DOSSIER BONI COMPTABLE" dataDxfId="213">
      <calculatedColumnFormula>IF(PORTEFEUILLE_GUILLAUME[[#This Row],[BONI COMPTABLE]]&lt;&gt;0,1,"")</calculatedColumnFormula>
    </tableColumn>
    <tableColumn id="52" name="NOMBRE DE DOSSIER MALI COMPTABLE" dataDxfId="212">
      <calculatedColumnFormula>IF(PORTEFEUILLE_GUILLAUME[[#This Row],[MALI COMPTABLE]]&lt;&gt;0,1,"")</calculatedColumnFormula>
    </tableColumn>
    <tableColumn id="26" name="GRILLE ENJEUX" dataDxfId="211"/>
    <tableColumn id="27" name="Visa_x000a_Validé_x000a_enjeu 4 ou attestation enjeu" dataDxfId="210"/>
    <tableColumn id="28" name="VISA VCOMPTA" dataDxfId="209"/>
    <tableColumn id="29" name="REFUS" dataDxfId="208"/>
    <tableColumn id="30" name="MOTIF" dataDxfId="207"/>
    <tableColumn id="31" name="COMMENTAIRES" dataDxfId="206"/>
    <tableColumn id="32" name="Attestation_x000a_à faire signer par l'EC" dataDxfId="205"/>
    <tableColumn id="49" name="MISE EN PLACE SCAN BY CERFRANCE" dataDxfId="204"/>
    <tableColumn id="50" name="PRENOM PERSONNE AYANT DEPLOYEE SCAN BY CERFRANCE" dataDxfId="203"/>
    <tableColumn id="51" name="PICKING" dataDxfId="202"/>
    <tableColumn id="58" name="EDI" dataDxfId="201"/>
    <tableColumn id="62" name="Colonne1" dataDxfId="20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PORTEFEUILLE_SEBASTIEN" displayName="PORTEFEUILLE_SEBASTIEN" ref="A2:BK60" totalsRowShown="0" headerRowDxfId="199" dataDxfId="198" tableBorderDxfId="197" headerRowCellStyle="Normal 16">
  <autoFilter ref="A2:BK60"/>
  <tableColumns count="63">
    <tableColumn id="48" name="PRENOM DU COMPTABLE" dataDxfId="196"/>
    <tableColumn id="1" name="N° DOSSIER" dataDxfId="195"/>
    <tableColumn id="2" name="NOM DOSSIER" dataDxfId="194"/>
    <tableColumn id="3" name="TYPE DE MARCHE" dataDxfId="193"/>
    <tableColumn id="4" name="DATE DE CLOTURE" dataDxfId="192"/>
    <tableColumn id="5" name="REGIME JURIDIQUE" dataDxfId="191"/>
    <tableColumn id="6" name="REGIME IMPOSITION" dataDxfId="190"/>
    <tableColumn id="56" name="DECLARATION DE TVA" dataDxfId="189"/>
    <tableColumn id="7" name="DATE_x000a_DE DEPOT" dataDxfId="188"/>
    <tableColumn id="8" name="DATE SIGNATURE" dataDxfId="187"/>
    <tableColumn id="9" name="MOIS" dataDxfId="186">
      <calculatedColumnFormula>IF(I3="","",MONTH(I3))</calculatedColumnFormula>
    </tableColumn>
    <tableColumn id="10" name="DELAI" dataDxfId="185">
      <calculatedColumnFormula>IF(I3="","",DAYS360(E3,I3))</calculatedColumnFormula>
    </tableColumn>
    <tableColumn id="11" name="PCR" dataDxfId="184"/>
    <tableColumn id="12" name="RA NOS" dataDxfId="183"/>
    <tableColumn id="13" name="QUI " dataDxfId="182"/>
    <tableColumn id="14" name="CR" dataDxfId="181"/>
    <tableColumn id="15" name="CR FAIT PAR LE COMPTABLE" dataDxfId="180"/>
    <tableColumn id="16" name="AG_x000a_SIGNEE" dataDxfId="179"/>
    <tableColumn id="17" name="PCR COMPTABLE €" dataDxfId="178" dataCellStyle="Monétaire"/>
    <tableColumn id="18" name="PCR CONSEILLER €" dataDxfId="177"/>
    <tableColumn id="19" name="RA FAIT PAR LE_x000a_COMPTABLE €" dataDxfId="176" dataCellStyle="Monétaire"/>
    <tableColumn id="41" name="RA FAITE PAR LE CONSEILLER €" dataDxfId="175" dataCellStyle="Monétaire"/>
    <tableColumn id="21" name="POINT DE PILOTAGE €" dataDxfId="174" dataCellStyle="Monétaire"/>
    <tableColumn id="20" name="AGOA COMPTABLE €" dataDxfId="173" dataCellStyle="Monétaire"/>
    <tableColumn id="59" name="AGOA CONSEILLER €" dataDxfId="172" dataCellStyle="Monétaire"/>
    <tableColumn id="60" name="VISA JURIDIQUE €" dataDxfId="171" dataCellStyle="Monétaire"/>
    <tableColumn id="38" name="SAISIE PAR UNE AAC €" dataDxfId="170" dataCellStyle="Monétaire"/>
    <tableColumn id="43" name="SAISIE PAR LE COMPTABLE €" dataDxfId="169" dataCellStyle="Monétaire"/>
    <tableColumn id="39" name="TRAVAUX _x000a_DE REVISION €" dataDxfId="168" dataCellStyle="Monétaire"/>
    <tableColumn id="42" name="DECLARATION TVA AAC €" dataDxfId="167" dataCellStyle="Monétaire"/>
    <tableColumn id="45" name="DECLARATION TVA COMPTABLE €" dataDxfId="166" dataCellStyle="Monétaire"/>
    <tableColumn id="40" name="MONTANT_x000a_RESPONSABLE RELATION CLIENT €" dataDxfId="165" dataCellStyle="Monétaire"/>
    <tableColumn id="33" name="MONTANT TOTAL LETTRE DE MISION €" dataDxfId="164" dataCellStyle="Monétaire">
      <calculatedColumnFormula>SUM(PORTEFEUILLE_SEBASTIEN[[#This Row],[PCR COMPTABLE €]:[MONTANT
RESPONSABLE RELATION CLIENT €]])</calculatedColumnFormula>
    </tableColumn>
    <tableColumn id="34" name="ECART DE SAISE avec LETTRE DE MISSION €" dataDxfId="163" dataCellStyle="Monétaire">
      <calculatedColumnFormula>SUM(PORTEFEUILLE_SEBASTIEN[[#This Row],[PCR COMPTABLE €]:[MONTANT
RESPONSABLE RELATION CLIENT €]])-PORTEFEUILLE_SEBASTIEN[[#This Row],[MONTANT TOTAL LETTRE DE MISION €]]</calculatedColumnFormula>
    </tableColumn>
    <tableColumn id="22" name="Prénom_x000a_AAC" dataDxfId="162"/>
    <tableColumn id="36" name="PRENOM CONSEILLER" dataDxfId="161"/>
    <tableColumn id="57" name="PRENOM REALISATION TVA" dataDxfId="160"/>
    <tableColumn id="63" name="DECLARATION DES REVENUS" dataDxfId="159"/>
    <tableColumn id="61" name="NOMBRE DE DECLARATION" dataDxfId="158"/>
    <tableColumn id="54" name="ABONNE COURT _x000a_ABONNE LONG" dataDxfId="157"/>
    <tableColumn id="55" name="RECONDUCTION AUTOMATIQUE OS" dataDxfId="156"/>
    <tableColumn id="23" name="TPS PASSE_x000a_COMPTABLE H_x000a_" dataDxfId="155"/>
    <tableColumn id="37" name="TPS PASSE _x000a_AAC H" dataDxfId="154"/>
    <tableColumn id="47" name="BONI AAC" dataDxfId="153" dataCellStyle="Monétaire">
      <calculatedColumnFormula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calculatedColumnFormula>
    </tableColumn>
    <tableColumn id="46" name="MALI AAC" dataDxfId="152" dataCellStyle="Monétaire">
      <calculatedColumnFormula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calculatedColumnFormula>
    </tableColumn>
    <tableColumn id="44" name="NOMBRE DOSSIER BONI AAC" dataDxfId="151">
      <calculatedColumnFormula>IF(PORTEFEUILLE_SEBASTIEN[[#This Row],[BONI AAC]]&lt;&gt;0,1,"")</calculatedColumnFormula>
    </tableColumn>
    <tableColumn id="35" name="NBRE DOSSIER MALI AAC" dataDxfId="150">
      <calculatedColumnFormula>IF(PORTEFEUILLE_SEBASTIEN[[#This Row],[MALI AAC]]&lt;&gt;0,1,"")</calculatedColumnFormula>
    </tableColumn>
    <tableColumn id="24" name="BONI COMPTABLE" dataDxfId="149" dataCellStyle="Monétaire">
      <calculatedColumnFormula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calculatedColumnFormula>
    </tableColumn>
    <tableColumn id="25" name="MALI COMPTABLE" dataDxfId="148" dataCellStyle="Monétaire">
      <calculatedColumnFormula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calculatedColumnFormula>
    </tableColumn>
    <tableColumn id="53" name="NOMBRE DOSSIER BONI COMPTABLE" dataDxfId="147">
      <calculatedColumnFormula>IF(PORTEFEUILLE_SEBASTIEN[[#This Row],[BONI COMPTABLE]]&lt;&gt;0,1,"")</calculatedColumnFormula>
    </tableColumn>
    <tableColumn id="52" name="NOMBRE DE DOSSIER MALI COMPTABLE" dataDxfId="146">
      <calculatedColumnFormula>IF(PORTEFEUILLE_SEBASTIEN[[#This Row],[MALI COMPTABLE]]&lt;&gt;0,1,"")</calculatedColumnFormula>
    </tableColumn>
    <tableColumn id="26" name="GRILLE ENJEUX" dataDxfId="145"/>
    <tableColumn id="27" name="Visa_x000a_Validé_x000a_enjeu 4 ou attestation enjeu" dataDxfId="144"/>
    <tableColumn id="28" name="VISA VCOMPTA" dataDxfId="143"/>
    <tableColumn id="29" name="REFUS" dataDxfId="142"/>
    <tableColumn id="30" name="MOTIF" dataDxfId="141"/>
    <tableColumn id="31" name="COMMENTAIRES" dataDxfId="140"/>
    <tableColumn id="32" name="Attestation_x000a_à faire signer par l'EC" dataDxfId="139"/>
    <tableColumn id="49" name="MISE EN PLACE SCAN BY CERFRANCE" dataDxfId="138"/>
    <tableColumn id="50" name="PRENOM PERSONNE AYANT DEPLOYEE SCAN BY CERFRANCE" dataDxfId="137"/>
    <tableColumn id="51" name="PICKING" dataDxfId="136"/>
    <tableColumn id="58" name="EDI" dataDxfId="135"/>
    <tableColumn id="62" name="Colonne1" dataDxfId="13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5" name="PORTEFEUILLE_AUTRE_COMPTABLE" displayName="PORTEFEUILLE_AUTRE_COMPTABLE" ref="A2:BK60" totalsRowShown="0" headerRowDxfId="133" dataDxfId="132" tableBorderDxfId="131" headerRowCellStyle="Normal 16">
  <autoFilter ref="A2:BK60"/>
  <tableColumns count="63">
    <tableColumn id="48" name="PRENOM DU COMPTABLE" dataDxfId="130"/>
    <tableColumn id="1" name="N° DOSSIER" dataDxfId="129"/>
    <tableColumn id="2" name="NOM DOSSIER" dataDxfId="128"/>
    <tableColumn id="3" name="TYPE DE MARCHE" dataDxfId="127"/>
    <tableColumn id="4" name="DATE DE CLOTURE" dataDxfId="126"/>
    <tableColumn id="5" name="REGIME JURIDIQUE" dataDxfId="125"/>
    <tableColumn id="6" name="REGIME IMPOSITION" dataDxfId="124"/>
    <tableColumn id="56" name="DECLARATION DE TVA" dataDxfId="123"/>
    <tableColumn id="7" name="DATE_x000a_DE DEPOT" dataDxfId="122"/>
    <tableColumn id="8" name="DATE SIGNATURE" dataDxfId="121"/>
    <tableColumn id="9" name="MOIS" dataDxfId="120">
      <calculatedColumnFormula>IF(I3="","",MONTH(I3))</calculatedColumnFormula>
    </tableColumn>
    <tableColumn id="10" name="DELAI" dataDxfId="119">
      <calculatedColumnFormula>IF(I3="","",DAYS360(E3,I3))</calculatedColumnFormula>
    </tableColumn>
    <tableColumn id="11" name="PCR" dataDxfId="118"/>
    <tableColumn id="12" name="RA NOS" dataDxfId="117"/>
    <tableColumn id="13" name="QUI " dataDxfId="116"/>
    <tableColumn id="14" name="CR" dataDxfId="115"/>
    <tableColumn id="15" name="CR FAIT PAR LE COMPTABLE" dataDxfId="114"/>
    <tableColumn id="16" name="AG_x000a_SIGNEE" dataDxfId="113"/>
    <tableColumn id="17" name="PCR COMPTABLE €" dataDxfId="112" dataCellStyle="Monétaire"/>
    <tableColumn id="18" name="PCR CONSEILLER €" dataDxfId="111"/>
    <tableColumn id="19" name="RA FAIT PAR LE_x000a_COMPTABLE €" dataDxfId="110" dataCellStyle="Monétaire"/>
    <tableColumn id="41" name="RA FAITE PAR LE CONSEILLER €" dataDxfId="109" dataCellStyle="Monétaire"/>
    <tableColumn id="21" name="POINT DE PILOTAGE €" dataDxfId="108" dataCellStyle="Monétaire"/>
    <tableColumn id="20" name="AGOA COMPTABLE €" dataDxfId="107" dataCellStyle="Monétaire"/>
    <tableColumn id="59" name="AGOA CONSEILLER €" dataDxfId="106" dataCellStyle="Monétaire"/>
    <tableColumn id="60" name="VISA JURIDIQUE €" dataDxfId="105" dataCellStyle="Monétaire"/>
    <tableColumn id="38" name="SAISIE PAR UNE AAC €" dataDxfId="104" dataCellStyle="Monétaire"/>
    <tableColumn id="43" name="SAISIE PAR LE COMPTABLE €" dataDxfId="103" dataCellStyle="Monétaire"/>
    <tableColumn id="39" name="TRAVAUX _x000a_DE REVISION €" dataDxfId="102" dataCellStyle="Monétaire"/>
    <tableColumn id="42" name="DECLARATION TVA AAC €" dataDxfId="101" dataCellStyle="Monétaire"/>
    <tableColumn id="45" name="DECLARATION TVA COMPTABLE €" dataDxfId="100" dataCellStyle="Monétaire"/>
    <tableColumn id="40" name="MONTANT_x000a_RESPONSABLE RELATION CLIENT €" dataDxfId="99" dataCellStyle="Monétaire"/>
    <tableColumn id="33" name="MONTANT TOTAL LETTRE DE MISION €" dataDxfId="98" dataCellStyle="Monétaire">
      <calculatedColumnFormula>SUM(PORTEFEUILLE_AUTRE_COMPTABLE[[#This Row],[PCR COMPTABLE €]:[MONTANT
RESPONSABLE RELATION CLIENT €]])</calculatedColumnFormula>
    </tableColumn>
    <tableColumn id="34" name="ECART DE SAISE avec LETTRE DE MISSION €" dataDxfId="97" dataCellStyle="Monétaire">
      <calculatedColumnFormula>SUM(PORTEFEUILLE_AUTRE_COMPTABLE[[#This Row],[PCR COMPTABLE €]:[MONTANT
RESPONSABLE RELATION CLIENT €]])-PORTEFEUILLE_AUTRE_COMPTABLE[[#This Row],[MONTANT TOTAL LETTRE DE MISION €]]</calculatedColumnFormula>
    </tableColumn>
    <tableColumn id="22" name="Prénom_x000a_AAC" dataDxfId="96"/>
    <tableColumn id="36" name="PRENOM CONSEILLER" dataDxfId="95"/>
    <tableColumn id="57" name="PRENOM REALISATION TVA" dataDxfId="94"/>
    <tableColumn id="63" name="DECLARATION DES REVENUS" dataDxfId="93"/>
    <tableColumn id="61" name="NOMBRE DE DECLARATION" dataDxfId="92"/>
    <tableColumn id="54" name="ABONNE COURT _x000a_ABONNE LONG" dataDxfId="91"/>
    <tableColumn id="55" name="RECONDUCTION AUTOMATIQUE OS" dataDxfId="90"/>
    <tableColumn id="23" name="TPS PASSE_x000a_COMPTABLE H_x000a_" dataDxfId="89"/>
    <tableColumn id="37" name="TPS PASSE _x000a_AAC H" dataDxfId="88"/>
    <tableColumn id="47" name="BONI AAC" dataDxfId="87" dataCellStyle="Monétaire">
      <calculatedColumnFormula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calculatedColumnFormula>
    </tableColumn>
    <tableColumn id="46" name="MALI AAC" dataDxfId="86" dataCellStyle="Monétaire">
      <calculatedColumnFormula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calculatedColumnFormula>
    </tableColumn>
    <tableColumn id="44" name="NOMBRE DOSSIER BONI AAC" dataDxfId="85">
      <calculatedColumnFormula>IF(PORTEFEUILLE_AUTRE_COMPTABLE[[#This Row],[BONI AAC]]&lt;&gt;0,1,"")</calculatedColumnFormula>
    </tableColumn>
    <tableColumn id="35" name="NBRE DOSSIER MALI AAC" dataDxfId="84">
      <calculatedColumnFormula>IF(PORTEFEUILLE_AUTRE_COMPTABLE[[#This Row],[MALI AAC]]&lt;&gt;0,1,"")</calculatedColumnFormula>
    </tableColumn>
    <tableColumn id="24" name="BONI COMPTABLE" dataDxfId="83" dataCellStyle="Monétaire">
      <calculatedColumnFormula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calculatedColumnFormula>
    </tableColumn>
    <tableColumn id="25" name="MALI COMPTABLE" dataDxfId="82" dataCellStyle="Monétaire">
      <calculatedColumnFormula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calculatedColumnFormula>
    </tableColumn>
    <tableColumn id="53" name="NOMBRE DOSSIER BONI COMPTABLE" dataDxfId="81">
      <calculatedColumnFormula>IF(PORTEFEUILLE_AUTRE_COMPTABLE[[#This Row],[BONI COMPTABLE]]&lt;&gt;0,1,"")</calculatedColumnFormula>
    </tableColumn>
    <tableColumn id="52" name="NOMBRE DE DOSSIER MALI COMPTABLE" dataDxfId="80">
      <calculatedColumnFormula>IF(PORTEFEUILLE_AUTRE_COMPTABLE[[#This Row],[MALI COMPTABLE]]&lt;&gt;0,1,"")</calculatedColumnFormula>
    </tableColumn>
    <tableColumn id="26" name="GRILLE ENJEUX" dataDxfId="79"/>
    <tableColumn id="27" name="Visa_x000a_Validé_x000a_enjeu 4 ou attestation enjeu" dataDxfId="78"/>
    <tableColumn id="28" name="VISA VCOMPTA" dataDxfId="77"/>
    <tableColumn id="29" name="REFUS" dataDxfId="76"/>
    <tableColumn id="30" name="MOTIF" dataDxfId="75"/>
    <tableColumn id="31" name="COMMENTAIRES" dataDxfId="74"/>
    <tableColumn id="32" name="Attestation_x000a_à faire signer par l'EC" dataDxfId="73"/>
    <tableColumn id="49" name="MISE EN PLACE SCAN BY CERFRANCE" dataDxfId="72"/>
    <tableColumn id="50" name="PRENOM PERSONNE AYANT DEPLOYEE SCAN BY CERFRANCE" dataDxfId="71"/>
    <tableColumn id="51" name="PICKING" dataDxfId="70"/>
    <tableColumn id="58" name="EDI" dataDxfId="69"/>
    <tableColumn id="62" name="Colonne1" dataDxfId="6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AD20"/>
  <sheetViews>
    <sheetView zoomScale="115" zoomScaleNormal="115" workbookViewId="0">
      <pane xSplit="1" ySplit="6" topLeftCell="B7" activePane="bottomRight" state="frozen"/>
      <selection pane="topRight" activeCell="C1" sqref="C1"/>
      <selection pane="bottomLeft" activeCell="A7" sqref="A7"/>
      <selection pane="bottomRight" activeCell="D12" sqref="D12"/>
    </sheetView>
  </sheetViews>
  <sheetFormatPr baseColWidth="10" defaultRowHeight="15" x14ac:dyDescent="0.25"/>
  <cols>
    <col min="2" max="2" width="14" bestFit="1" customWidth="1"/>
    <col min="3" max="3" width="13.140625" customWidth="1"/>
    <col min="4" max="4" width="14.85546875" customWidth="1"/>
    <col min="6" max="6" width="15.140625" bestFit="1" customWidth="1"/>
    <col min="7" max="7" width="19.28515625" bestFit="1" customWidth="1"/>
    <col min="8" max="8" width="8.28515625" bestFit="1" customWidth="1"/>
    <col min="9" max="9" width="4.85546875" bestFit="1" customWidth="1"/>
    <col min="10" max="10" width="13.28515625" customWidth="1"/>
    <col min="11" max="11" width="9.7109375" customWidth="1"/>
    <col min="12" max="12" width="11.85546875" customWidth="1"/>
    <col min="13" max="13" width="12.5703125" bestFit="1" customWidth="1"/>
    <col min="14" max="14" width="19.28515625" bestFit="1" customWidth="1"/>
    <col min="15" max="15" width="8.28515625" bestFit="1" customWidth="1"/>
    <col min="16" max="16" width="4.85546875" bestFit="1" customWidth="1"/>
    <col min="17" max="17" width="12" customWidth="1"/>
    <col min="18" max="18" width="8.28515625" customWidth="1"/>
    <col min="19" max="19" width="11.140625" customWidth="1"/>
    <col min="20" max="21" width="11.7109375" bestFit="1" customWidth="1"/>
    <col min="22" max="22" width="17.28515625" bestFit="1" customWidth="1"/>
    <col min="23" max="23" width="17.28515625" customWidth="1"/>
    <col min="24" max="24" width="13.7109375" bestFit="1" customWidth="1"/>
    <col min="25" max="25" width="25.140625" bestFit="1" customWidth="1"/>
    <col min="26" max="26" width="15.140625" bestFit="1" customWidth="1"/>
    <col min="27" max="27" width="21" bestFit="1" customWidth="1"/>
    <col min="258" max="258" width="14" bestFit="1" customWidth="1"/>
    <col min="259" max="259" width="13.140625" customWidth="1"/>
    <col min="260" max="260" width="14.85546875" customWidth="1"/>
    <col min="262" max="262" width="15.140625" bestFit="1" customWidth="1"/>
    <col min="263" max="263" width="19.28515625" bestFit="1" customWidth="1"/>
    <col min="264" max="264" width="8.28515625" bestFit="1" customWidth="1"/>
    <col min="265" max="265" width="4.85546875" bestFit="1" customWidth="1"/>
    <col min="266" max="266" width="13.28515625" customWidth="1"/>
    <col min="267" max="267" width="9.7109375" customWidth="1"/>
    <col min="268" max="268" width="11.85546875" customWidth="1"/>
    <col min="269" max="269" width="12.5703125" bestFit="1" customWidth="1"/>
    <col min="270" max="270" width="19.28515625" bestFit="1" customWidth="1"/>
    <col min="271" max="271" width="8.28515625" bestFit="1" customWidth="1"/>
    <col min="272" max="272" width="4.85546875" bestFit="1" customWidth="1"/>
    <col min="273" max="273" width="12" customWidth="1"/>
    <col min="274" max="274" width="8.28515625" customWidth="1"/>
    <col min="275" max="275" width="11.140625" customWidth="1"/>
    <col min="276" max="277" width="11.7109375" bestFit="1" customWidth="1"/>
    <col min="278" max="278" width="17.28515625" bestFit="1" customWidth="1"/>
    <col min="279" max="279" width="17.28515625" customWidth="1"/>
    <col min="280" max="280" width="13.7109375" bestFit="1" customWidth="1"/>
    <col min="281" max="281" width="25.140625" bestFit="1" customWidth="1"/>
    <col min="282" max="282" width="15.140625" bestFit="1" customWidth="1"/>
    <col min="283" max="283" width="21" bestFit="1" customWidth="1"/>
    <col min="514" max="514" width="14" bestFit="1" customWidth="1"/>
    <col min="515" max="515" width="13.140625" customWidth="1"/>
    <col min="516" max="516" width="14.85546875" customWidth="1"/>
    <col min="518" max="518" width="15.140625" bestFit="1" customWidth="1"/>
    <col min="519" max="519" width="19.28515625" bestFit="1" customWidth="1"/>
    <col min="520" max="520" width="8.28515625" bestFit="1" customWidth="1"/>
    <col min="521" max="521" width="4.85546875" bestFit="1" customWidth="1"/>
    <col min="522" max="522" width="13.28515625" customWidth="1"/>
    <col min="523" max="523" width="9.7109375" customWidth="1"/>
    <col min="524" max="524" width="11.85546875" customWidth="1"/>
    <col min="525" max="525" width="12.5703125" bestFit="1" customWidth="1"/>
    <col min="526" max="526" width="19.28515625" bestFit="1" customWidth="1"/>
    <col min="527" max="527" width="8.28515625" bestFit="1" customWidth="1"/>
    <col min="528" max="528" width="4.85546875" bestFit="1" customWidth="1"/>
    <col min="529" max="529" width="12" customWidth="1"/>
    <col min="530" max="530" width="8.28515625" customWidth="1"/>
    <col min="531" max="531" width="11.140625" customWidth="1"/>
    <col min="532" max="533" width="11.7109375" bestFit="1" customWidth="1"/>
    <col min="534" max="534" width="17.28515625" bestFit="1" customWidth="1"/>
    <col min="535" max="535" width="17.28515625" customWidth="1"/>
    <col min="536" max="536" width="13.7109375" bestFit="1" customWidth="1"/>
    <col min="537" max="537" width="25.140625" bestFit="1" customWidth="1"/>
    <col min="538" max="538" width="15.140625" bestFit="1" customWidth="1"/>
    <col min="539" max="539" width="21" bestFit="1" customWidth="1"/>
    <col min="770" max="770" width="14" bestFit="1" customWidth="1"/>
    <col min="771" max="771" width="13.140625" customWidth="1"/>
    <col min="772" max="772" width="14.85546875" customWidth="1"/>
    <col min="774" max="774" width="15.140625" bestFit="1" customWidth="1"/>
    <col min="775" max="775" width="19.28515625" bestFit="1" customWidth="1"/>
    <col min="776" max="776" width="8.28515625" bestFit="1" customWidth="1"/>
    <col min="777" max="777" width="4.85546875" bestFit="1" customWidth="1"/>
    <col min="778" max="778" width="13.28515625" customWidth="1"/>
    <col min="779" max="779" width="9.7109375" customWidth="1"/>
    <col min="780" max="780" width="11.85546875" customWidth="1"/>
    <col min="781" max="781" width="12.5703125" bestFit="1" customWidth="1"/>
    <col min="782" max="782" width="19.28515625" bestFit="1" customWidth="1"/>
    <col min="783" max="783" width="8.28515625" bestFit="1" customWidth="1"/>
    <col min="784" max="784" width="4.85546875" bestFit="1" customWidth="1"/>
    <col min="785" max="785" width="12" customWidth="1"/>
    <col min="786" max="786" width="8.28515625" customWidth="1"/>
    <col min="787" max="787" width="11.140625" customWidth="1"/>
    <col min="788" max="789" width="11.7109375" bestFit="1" customWidth="1"/>
    <col min="790" max="790" width="17.28515625" bestFit="1" customWidth="1"/>
    <col min="791" max="791" width="17.28515625" customWidth="1"/>
    <col min="792" max="792" width="13.7109375" bestFit="1" customWidth="1"/>
    <col min="793" max="793" width="25.140625" bestFit="1" customWidth="1"/>
    <col min="794" max="794" width="15.140625" bestFit="1" customWidth="1"/>
    <col min="795" max="795" width="21" bestFit="1" customWidth="1"/>
    <col min="1026" max="1026" width="14" bestFit="1" customWidth="1"/>
    <col min="1027" max="1027" width="13.140625" customWidth="1"/>
    <col min="1028" max="1028" width="14.85546875" customWidth="1"/>
    <col min="1030" max="1030" width="15.140625" bestFit="1" customWidth="1"/>
    <col min="1031" max="1031" width="19.28515625" bestFit="1" customWidth="1"/>
    <col min="1032" max="1032" width="8.28515625" bestFit="1" customWidth="1"/>
    <col min="1033" max="1033" width="4.85546875" bestFit="1" customWidth="1"/>
    <col min="1034" max="1034" width="13.28515625" customWidth="1"/>
    <col min="1035" max="1035" width="9.7109375" customWidth="1"/>
    <col min="1036" max="1036" width="11.85546875" customWidth="1"/>
    <col min="1037" max="1037" width="12.5703125" bestFit="1" customWidth="1"/>
    <col min="1038" max="1038" width="19.28515625" bestFit="1" customWidth="1"/>
    <col min="1039" max="1039" width="8.28515625" bestFit="1" customWidth="1"/>
    <col min="1040" max="1040" width="4.85546875" bestFit="1" customWidth="1"/>
    <col min="1041" max="1041" width="12" customWidth="1"/>
    <col min="1042" max="1042" width="8.28515625" customWidth="1"/>
    <col min="1043" max="1043" width="11.140625" customWidth="1"/>
    <col min="1044" max="1045" width="11.7109375" bestFit="1" customWidth="1"/>
    <col min="1046" max="1046" width="17.28515625" bestFit="1" customWidth="1"/>
    <col min="1047" max="1047" width="17.28515625" customWidth="1"/>
    <col min="1048" max="1048" width="13.7109375" bestFit="1" customWidth="1"/>
    <col min="1049" max="1049" width="25.140625" bestFit="1" customWidth="1"/>
    <col min="1050" max="1050" width="15.140625" bestFit="1" customWidth="1"/>
    <col min="1051" max="1051" width="21" bestFit="1" customWidth="1"/>
    <col min="1282" max="1282" width="14" bestFit="1" customWidth="1"/>
    <col min="1283" max="1283" width="13.140625" customWidth="1"/>
    <col min="1284" max="1284" width="14.85546875" customWidth="1"/>
    <col min="1286" max="1286" width="15.140625" bestFit="1" customWidth="1"/>
    <col min="1287" max="1287" width="19.28515625" bestFit="1" customWidth="1"/>
    <col min="1288" max="1288" width="8.28515625" bestFit="1" customWidth="1"/>
    <col min="1289" max="1289" width="4.85546875" bestFit="1" customWidth="1"/>
    <col min="1290" max="1290" width="13.28515625" customWidth="1"/>
    <col min="1291" max="1291" width="9.7109375" customWidth="1"/>
    <col min="1292" max="1292" width="11.85546875" customWidth="1"/>
    <col min="1293" max="1293" width="12.5703125" bestFit="1" customWidth="1"/>
    <col min="1294" max="1294" width="19.28515625" bestFit="1" customWidth="1"/>
    <col min="1295" max="1295" width="8.28515625" bestFit="1" customWidth="1"/>
    <col min="1296" max="1296" width="4.85546875" bestFit="1" customWidth="1"/>
    <col min="1297" max="1297" width="12" customWidth="1"/>
    <col min="1298" max="1298" width="8.28515625" customWidth="1"/>
    <col min="1299" max="1299" width="11.140625" customWidth="1"/>
    <col min="1300" max="1301" width="11.7109375" bestFit="1" customWidth="1"/>
    <col min="1302" max="1302" width="17.28515625" bestFit="1" customWidth="1"/>
    <col min="1303" max="1303" width="17.28515625" customWidth="1"/>
    <col min="1304" max="1304" width="13.7109375" bestFit="1" customWidth="1"/>
    <col min="1305" max="1305" width="25.140625" bestFit="1" customWidth="1"/>
    <col min="1306" max="1306" width="15.140625" bestFit="1" customWidth="1"/>
    <col min="1307" max="1307" width="21" bestFit="1" customWidth="1"/>
    <col min="1538" max="1538" width="14" bestFit="1" customWidth="1"/>
    <col min="1539" max="1539" width="13.140625" customWidth="1"/>
    <col min="1540" max="1540" width="14.85546875" customWidth="1"/>
    <col min="1542" max="1542" width="15.140625" bestFit="1" customWidth="1"/>
    <col min="1543" max="1543" width="19.28515625" bestFit="1" customWidth="1"/>
    <col min="1544" max="1544" width="8.28515625" bestFit="1" customWidth="1"/>
    <col min="1545" max="1545" width="4.85546875" bestFit="1" customWidth="1"/>
    <col min="1546" max="1546" width="13.28515625" customWidth="1"/>
    <col min="1547" max="1547" width="9.7109375" customWidth="1"/>
    <col min="1548" max="1548" width="11.85546875" customWidth="1"/>
    <col min="1549" max="1549" width="12.5703125" bestFit="1" customWidth="1"/>
    <col min="1550" max="1550" width="19.28515625" bestFit="1" customWidth="1"/>
    <col min="1551" max="1551" width="8.28515625" bestFit="1" customWidth="1"/>
    <col min="1552" max="1552" width="4.85546875" bestFit="1" customWidth="1"/>
    <col min="1553" max="1553" width="12" customWidth="1"/>
    <col min="1554" max="1554" width="8.28515625" customWidth="1"/>
    <col min="1555" max="1555" width="11.140625" customWidth="1"/>
    <col min="1556" max="1557" width="11.7109375" bestFit="1" customWidth="1"/>
    <col min="1558" max="1558" width="17.28515625" bestFit="1" customWidth="1"/>
    <col min="1559" max="1559" width="17.28515625" customWidth="1"/>
    <col min="1560" max="1560" width="13.7109375" bestFit="1" customWidth="1"/>
    <col min="1561" max="1561" width="25.140625" bestFit="1" customWidth="1"/>
    <col min="1562" max="1562" width="15.140625" bestFit="1" customWidth="1"/>
    <col min="1563" max="1563" width="21" bestFit="1" customWidth="1"/>
    <col min="1794" max="1794" width="14" bestFit="1" customWidth="1"/>
    <col min="1795" max="1795" width="13.140625" customWidth="1"/>
    <col min="1796" max="1796" width="14.85546875" customWidth="1"/>
    <col min="1798" max="1798" width="15.140625" bestFit="1" customWidth="1"/>
    <col min="1799" max="1799" width="19.28515625" bestFit="1" customWidth="1"/>
    <col min="1800" max="1800" width="8.28515625" bestFit="1" customWidth="1"/>
    <col min="1801" max="1801" width="4.85546875" bestFit="1" customWidth="1"/>
    <col min="1802" max="1802" width="13.28515625" customWidth="1"/>
    <col min="1803" max="1803" width="9.7109375" customWidth="1"/>
    <col min="1804" max="1804" width="11.85546875" customWidth="1"/>
    <col min="1805" max="1805" width="12.5703125" bestFit="1" customWidth="1"/>
    <col min="1806" max="1806" width="19.28515625" bestFit="1" customWidth="1"/>
    <col min="1807" max="1807" width="8.28515625" bestFit="1" customWidth="1"/>
    <col min="1808" max="1808" width="4.85546875" bestFit="1" customWidth="1"/>
    <col min="1809" max="1809" width="12" customWidth="1"/>
    <col min="1810" max="1810" width="8.28515625" customWidth="1"/>
    <col min="1811" max="1811" width="11.140625" customWidth="1"/>
    <col min="1812" max="1813" width="11.7109375" bestFit="1" customWidth="1"/>
    <col min="1814" max="1814" width="17.28515625" bestFit="1" customWidth="1"/>
    <col min="1815" max="1815" width="17.28515625" customWidth="1"/>
    <col min="1816" max="1816" width="13.7109375" bestFit="1" customWidth="1"/>
    <col min="1817" max="1817" width="25.140625" bestFit="1" customWidth="1"/>
    <col min="1818" max="1818" width="15.140625" bestFit="1" customWidth="1"/>
    <col min="1819" max="1819" width="21" bestFit="1" customWidth="1"/>
    <col min="2050" max="2050" width="14" bestFit="1" customWidth="1"/>
    <col min="2051" max="2051" width="13.140625" customWidth="1"/>
    <col min="2052" max="2052" width="14.85546875" customWidth="1"/>
    <col min="2054" max="2054" width="15.140625" bestFit="1" customWidth="1"/>
    <col min="2055" max="2055" width="19.28515625" bestFit="1" customWidth="1"/>
    <col min="2056" max="2056" width="8.28515625" bestFit="1" customWidth="1"/>
    <col min="2057" max="2057" width="4.85546875" bestFit="1" customWidth="1"/>
    <col min="2058" max="2058" width="13.28515625" customWidth="1"/>
    <col min="2059" max="2059" width="9.7109375" customWidth="1"/>
    <col min="2060" max="2060" width="11.85546875" customWidth="1"/>
    <col min="2061" max="2061" width="12.5703125" bestFit="1" customWidth="1"/>
    <col min="2062" max="2062" width="19.28515625" bestFit="1" customWidth="1"/>
    <col min="2063" max="2063" width="8.28515625" bestFit="1" customWidth="1"/>
    <col min="2064" max="2064" width="4.85546875" bestFit="1" customWidth="1"/>
    <col min="2065" max="2065" width="12" customWidth="1"/>
    <col min="2066" max="2066" width="8.28515625" customWidth="1"/>
    <col min="2067" max="2067" width="11.140625" customWidth="1"/>
    <col min="2068" max="2069" width="11.7109375" bestFit="1" customWidth="1"/>
    <col min="2070" max="2070" width="17.28515625" bestFit="1" customWidth="1"/>
    <col min="2071" max="2071" width="17.28515625" customWidth="1"/>
    <col min="2072" max="2072" width="13.7109375" bestFit="1" customWidth="1"/>
    <col min="2073" max="2073" width="25.140625" bestFit="1" customWidth="1"/>
    <col min="2074" max="2074" width="15.140625" bestFit="1" customWidth="1"/>
    <col min="2075" max="2075" width="21" bestFit="1" customWidth="1"/>
    <col min="2306" max="2306" width="14" bestFit="1" customWidth="1"/>
    <col min="2307" max="2307" width="13.140625" customWidth="1"/>
    <col min="2308" max="2308" width="14.85546875" customWidth="1"/>
    <col min="2310" max="2310" width="15.140625" bestFit="1" customWidth="1"/>
    <col min="2311" max="2311" width="19.28515625" bestFit="1" customWidth="1"/>
    <col min="2312" max="2312" width="8.28515625" bestFit="1" customWidth="1"/>
    <col min="2313" max="2313" width="4.85546875" bestFit="1" customWidth="1"/>
    <col min="2314" max="2314" width="13.28515625" customWidth="1"/>
    <col min="2315" max="2315" width="9.7109375" customWidth="1"/>
    <col min="2316" max="2316" width="11.85546875" customWidth="1"/>
    <col min="2317" max="2317" width="12.5703125" bestFit="1" customWidth="1"/>
    <col min="2318" max="2318" width="19.28515625" bestFit="1" customWidth="1"/>
    <col min="2319" max="2319" width="8.28515625" bestFit="1" customWidth="1"/>
    <col min="2320" max="2320" width="4.85546875" bestFit="1" customWidth="1"/>
    <col min="2321" max="2321" width="12" customWidth="1"/>
    <col min="2322" max="2322" width="8.28515625" customWidth="1"/>
    <col min="2323" max="2323" width="11.140625" customWidth="1"/>
    <col min="2324" max="2325" width="11.7109375" bestFit="1" customWidth="1"/>
    <col min="2326" max="2326" width="17.28515625" bestFit="1" customWidth="1"/>
    <col min="2327" max="2327" width="17.28515625" customWidth="1"/>
    <col min="2328" max="2328" width="13.7109375" bestFit="1" customWidth="1"/>
    <col min="2329" max="2329" width="25.140625" bestFit="1" customWidth="1"/>
    <col min="2330" max="2330" width="15.140625" bestFit="1" customWidth="1"/>
    <col min="2331" max="2331" width="21" bestFit="1" customWidth="1"/>
    <col min="2562" max="2562" width="14" bestFit="1" customWidth="1"/>
    <col min="2563" max="2563" width="13.140625" customWidth="1"/>
    <col min="2564" max="2564" width="14.85546875" customWidth="1"/>
    <col min="2566" max="2566" width="15.140625" bestFit="1" customWidth="1"/>
    <col min="2567" max="2567" width="19.28515625" bestFit="1" customWidth="1"/>
    <col min="2568" max="2568" width="8.28515625" bestFit="1" customWidth="1"/>
    <col min="2569" max="2569" width="4.85546875" bestFit="1" customWidth="1"/>
    <col min="2570" max="2570" width="13.28515625" customWidth="1"/>
    <col min="2571" max="2571" width="9.7109375" customWidth="1"/>
    <col min="2572" max="2572" width="11.85546875" customWidth="1"/>
    <col min="2573" max="2573" width="12.5703125" bestFit="1" customWidth="1"/>
    <col min="2574" max="2574" width="19.28515625" bestFit="1" customWidth="1"/>
    <col min="2575" max="2575" width="8.28515625" bestFit="1" customWidth="1"/>
    <col min="2576" max="2576" width="4.85546875" bestFit="1" customWidth="1"/>
    <col min="2577" max="2577" width="12" customWidth="1"/>
    <col min="2578" max="2578" width="8.28515625" customWidth="1"/>
    <col min="2579" max="2579" width="11.140625" customWidth="1"/>
    <col min="2580" max="2581" width="11.7109375" bestFit="1" customWidth="1"/>
    <col min="2582" max="2582" width="17.28515625" bestFit="1" customWidth="1"/>
    <col min="2583" max="2583" width="17.28515625" customWidth="1"/>
    <col min="2584" max="2584" width="13.7109375" bestFit="1" customWidth="1"/>
    <col min="2585" max="2585" width="25.140625" bestFit="1" customWidth="1"/>
    <col min="2586" max="2586" width="15.140625" bestFit="1" customWidth="1"/>
    <col min="2587" max="2587" width="21" bestFit="1" customWidth="1"/>
    <col min="2818" max="2818" width="14" bestFit="1" customWidth="1"/>
    <col min="2819" max="2819" width="13.140625" customWidth="1"/>
    <col min="2820" max="2820" width="14.85546875" customWidth="1"/>
    <col min="2822" max="2822" width="15.140625" bestFit="1" customWidth="1"/>
    <col min="2823" max="2823" width="19.28515625" bestFit="1" customWidth="1"/>
    <col min="2824" max="2824" width="8.28515625" bestFit="1" customWidth="1"/>
    <col min="2825" max="2825" width="4.85546875" bestFit="1" customWidth="1"/>
    <col min="2826" max="2826" width="13.28515625" customWidth="1"/>
    <col min="2827" max="2827" width="9.7109375" customWidth="1"/>
    <col min="2828" max="2828" width="11.85546875" customWidth="1"/>
    <col min="2829" max="2829" width="12.5703125" bestFit="1" customWidth="1"/>
    <col min="2830" max="2830" width="19.28515625" bestFit="1" customWidth="1"/>
    <col min="2831" max="2831" width="8.28515625" bestFit="1" customWidth="1"/>
    <col min="2832" max="2832" width="4.85546875" bestFit="1" customWidth="1"/>
    <col min="2833" max="2833" width="12" customWidth="1"/>
    <col min="2834" max="2834" width="8.28515625" customWidth="1"/>
    <col min="2835" max="2835" width="11.140625" customWidth="1"/>
    <col min="2836" max="2837" width="11.7109375" bestFit="1" customWidth="1"/>
    <col min="2838" max="2838" width="17.28515625" bestFit="1" customWidth="1"/>
    <col min="2839" max="2839" width="17.28515625" customWidth="1"/>
    <col min="2840" max="2840" width="13.7109375" bestFit="1" customWidth="1"/>
    <col min="2841" max="2841" width="25.140625" bestFit="1" customWidth="1"/>
    <col min="2842" max="2842" width="15.140625" bestFit="1" customWidth="1"/>
    <col min="2843" max="2843" width="21" bestFit="1" customWidth="1"/>
    <col min="3074" max="3074" width="14" bestFit="1" customWidth="1"/>
    <col min="3075" max="3075" width="13.140625" customWidth="1"/>
    <col min="3076" max="3076" width="14.85546875" customWidth="1"/>
    <col min="3078" max="3078" width="15.140625" bestFit="1" customWidth="1"/>
    <col min="3079" max="3079" width="19.28515625" bestFit="1" customWidth="1"/>
    <col min="3080" max="3080" width="8.28515625" bestFit="1" customWidth="1"/>
    <col min="3081" max="3081" width="4.85546875" bestFit="1" customWidth="1"/>
    <col min="3082" max="3082" width="13.28515625" customWidth="1"/>
    <col min="3083" max="3083" width="9.7109375" customWidth="1"/>
    <col min="3084" max="3084" width="11.85546875" customWidth="1"/>
    <col min="3085" max="3085" width="12.5703125" bestFit="1" customWidth="1"/>
    <col min="3086" max="3086" width="19.28515625" bestFit="1" customWidth="1"/>
    <col min="3087" max="3087" width="8.28515625" bestFit="1" customWidth="1"/>
    <col min="3088" max="3088" width="4.85546875" bestFit="1" customWidth="1"/>
    <col min="3089" max="3089" width="12" customWidth="1"/>
    <col min="3090" max="3090" width="8.28515625" customWidth="1"/>
    <col min="3091" max="3091" width="11.140625" customWidth="1"/>
    <col min="3092" max="3093" width="11.7109375" bestFit="1" customWidth="1"/>
    <col min="3094" max="3094" width="17.28515625" bestFit="1" customWidth="1"/>
    <col min="3095" max="3095" width="17.28515625" customWidth="1"/>
    <col min="3096" max="3096" width="13.7109375" bestFit="1" customWidth="1"/>
    <col min="3097" max="3097" width="25.140625" bestFit="1" customWidth="1"/>
    <col min="3098" max="3098" width="15.140625" bestFit="1" customWidth="1"/>
    <col min="3099" max="3099" width="21" bestFit="1" customWidth="1"/>
    <col min="3330" max="3330" width="14" bestFit="1" customWidth="1"/>
    <col min="3331" max="3331" width="13.140625" customWidth="1"/>
    <col min="3332" max="3332" width="14.85546875" customWidth="1"/>
    <col min="3334" max="3334" width="15.140625" bestFit="1" customWidth="1"/>
    <col min="3335" max="3335" width="19.28515625" bestFit="1" customWidth="1"/>
    <col min="3336" max="3336" width="8.28515625" bestFit="1" customWidth="1"/>
    <col min="3337" max="3337" width="4.85546875" bestFit="1" customWidth="1"/>
    <col min="3338" max="3338" width="13.28515625" customWidth="1"/>
    <col min="3339" max="3339" width="9.7109375" customWidth="1"/>
    <col min="3340" max="3340" width="11.85546875" customWidth="1"/>
    <col min="3341" max="3341" width="12.5703125" bestFit="1" customWidth="1"/>
    <col min="3342" max="3342" width="19.28515625" bestFit="1" customWidth="1"/>
    <col min="3343" max="3343" width="8.28515625" bestFit="1" customWidth="1"/>
    <col min="3344" max="3344" width="4.85546875" bestFit="1" customWidth="1"/>
    <col min="3345" max="3345" width="12" customWidth="1"/>
    <col min="3346" max="3346" width="8.28515625" customWidth="1"/>
    <col min="3347" max="3347" width="11.140625" customWidth="1"/>
    <col min="3348" max="3349" width="11.7109375" bestFit="1" customWidth="1"/>
    <col min="3350" max="3350" width="17.28515625" bestFit="1" customWidth="1"/>
    <col min="3351" max="3351" width="17.28515625" customWidth="1"/>
    <col min="3352" max="3352" width="13.7109375" bestFit="1" customWidth="1"/>
    <col min="3353" max="3353" width="25.140625" bestFit="1" customWidth="1"/>
    <col min="3354" max="3354" width="15.140625" bestFit="1" customWidth="1"/>
    <col min="3355" max="3355" width="21" bestFit="1" customWidth="1"/>
    <col min="3586" max="3586" width="14" bestFit="1" customWidth="1"/>
    <col min="3587" max="3587" width="13.140625" customWidth="1"/>
    <col min="3588" max="3588" width="14.85546875" customWidth="1"/>
    <col min="3590" max="3590" width="15.140625" bestFit="1" customWidth="1"/>
    <col min="3591" max="3591" width="19.28515625" bestFit="1" customWidth="1"/>
    <col min="3592" max="3592" width="8.28515625" bestFit="1" customWidth="1"/>
    <col min="3593" max="3593" width="4.85546875" bestFit="1" customWidth="1"/>
    <col min="3594" max="3594" width="13.28515625" customWidth="1"/>
    <col min="3595" max="3595" width="9.7109375" customWidth="1"/>
    <col min="3596" max="3596" width="11.85546875" customWidth="1"/>
    <col min="3597" max="3597" width="12.5703125" bestFit="1" customWidth="1"/>
    <col min="3598" max="3598" width="19.28515625" bestFit="1" customWidth="1"/>
    <col min="3599" max="3599" width="8.28515625" bestFit="1" customWidth="1"/>
    <col min="3600" max="3600" width="4.85546875" bestFit="1" customWidth="1"/>
    <col min="3601" max="3601" width="12" customWidth="1"/>
    <col min="3602" max="3602" width="8.28515625" customWidth="1"/>
    <col min="3603" max="3603" width="11.140625" customWidth="1"/>
    <col min="3604" max="3605" width="11.7109375" bestFit="1" customWidth="1"/>
    <col min="3606" max="3606" width="17.28515625" bestFit="1" customWidth="1"/>
    <col min="3607" max="3607" width="17.28515625" customWidth="1"/>
    <col min="3608" max="3608" width="13.7109375" bestFit="1" customWidth="1"/>
    <col min="3609" max="3609" width="25.140625" bestFit="1" customWidth="1"/>
    <col min="3610" max="3610" width="15.140625" bestFit="1" customWidth="1"/>
    <col min="3611" max="3611" width="21" bestFit="1" customWidth="1"/>
    <col min="3842" max="3842" width="14" bestFit="1" customWidth="1"/>
    <col min="3843" max="3843" width="13.140625" customWidth="1"/>
    <col min="3844" max="3844" width="14.85546875" customWidth="1"/>
    <col min="3846" max="3846" width="15.140625" bestFit="1" customWidth="1"/>
    <col min="3847" max="3847" width="19.28515625" bestFit="1" customWidth="1"/>
    <col min="3848" max="3848" width="8.28515625" bestFit="1" customWidth="1"/>
    <col min="3849" max="3849" width="4.85546875" bestFit="1" customWidth="1"/>
    <col min="3850" max="3850" width="13.28515625" customWidth="1"/>
    <col min="3851" max="3851" width="9.7109375" customWidth="1"/>
    <col min="3852" max="3852" width="11.85546875" customWidth="1"/>
    <col min="3853" max="3853" width="12.5703125" bestFit="1" customWidth="1"/>
    <col min="3854" max="3854" width="19.28515625" bestFit="1" customWidth="1"/>
    <col min="3855" max="3855" width="8.28515625" bestFit="1" customWidth="1"/>
    <col min="3856" max="3856" width="4.85546875" bestFit="1" customWidth="1"/>
    <col min="3857" max="3857" width="12" customWidth="1"/>
    <col min="3858" max="3858" width="8.28515625" customWidth="1"/>
    <col min="3859" max="3859" width="11.140625" customWidth="1"/>
    <col min="3860" max="3861" width="11.7109375" bestFit="1" customWidth="1"/>
    <col min="3862" max="3862" width="17.28515625" bestFit="1" customWidth="1"/>
    <col min="3863" max="3863" width="17.28515625" customWidth="1"/>
    <col min="3864" max="3864" width="13.7109375" bestFit="1" customWidth="1"/>
    <col min="3865" max="3865" width="25.140625" bestFit="1" customWidth="1"/>
    <col min="3866" max="3866" width="15.140625" bestFit="1" customWidth="1"/>
    <col min="3867" max="3867" width="21" bestFit="1" customWidth="1"/>
    <col min="4098" max="4098" width="14" bestFit="1" customWidth="1"/>
    <col min="4099" max="4099" width="13.140625" customWidth="1"/>
    <col min="4100" max="4100" width="14.85546875" customWidth="1"/>
    <col min="4102" max="4102" width="15.140625" bestFit="1" customWidth="1"/>
    <col min="4103" max="4103" width="19.28515625" bestFit="1" customWidth="1"/>
    <col min="4104" max="4104" width="8.28515625" bestFit="1" customWidth="1"/>
    <col min="4105" max="4105" width="4.85546875" bestFit="1" customWidth="1"/>
    <col min="4106" max="4106" width="13.28515625" customWidth="1"/>
    <col min="4107" max="4107" width="9.7109375" customWidth="1"/>
    <col min="4108" max="4108" width="11.85546875" customWidth="1"/>
    <col min="4109" max="4109" width="12.5703125" bestFit="1" customWidth="1"/>
    <col min="4110" max="4110" width="19.28515625" bestFit="1" customWidth="1"/>
    <col min="4111" max="4111" width="8.28515625" bestFit="1" customWidth="1"/>
    <col min="4112" max="4112" width="4.85546875" bestFit="1" customWidth="1"/>
    <col min="4113" max="4113" width="12" customWidth="1"/>
    <col min="4114" max="4114" width="8.28515625" customWidth="1"/>
    <col min="4115" max="4115" width="11.140625" customWidth="1"/>
    <col min="4116" max="4117" width="11.7109375" bestFit="1" customWidth="1"/>
    <col min="4118" max="4118" width="17.28515625" bestFit="1" customWidth="1"/>
    <col min="4119" max="4119" width="17.28515625" customWidth="1"/>
    <col min="4120" max="4120" width="13.7109375" bestFit="1" customWidth="1"/>
    <col min="4121" max="4121" width="25.140625" bestFit="1" customWidth="1"/>
    <col min="4122" max="4122" width="15.140625" bestFit="1" customWidth="1"/>
    <col min="4123" max="4123" width="21" bestFit="1" customWidth="1"/>
    <col min="4354" max="4354" width="14" bestFit="1" customWidth="1"/>
    <col min="4355" max="4355" width="13.140625" customWidth="1"/>
    <col min="4356" max="4356" width="14.85546875" customWidth="1"/>
    <col min="4358" max="4358" width="15.140625" bestFit="1" customWidth="1"/>
    <col min="4359" max="4359" width="19.28515625" bestFit="1" customWidth="1"/>
    <col min="4360" max="4360" width="8.28515625" bestFit="1" customWidth="1"/>
    <col min="4361" max="4361" width="4.85546875" bestFit="1" customWidth="1"/>
    <col min="4362" max="4362" width="13.28515625" customWidth="1"/>
    <col min="4363" max="4363" width="9.7109375" customWidth="1"/>
    <col min="4364" max="4364" width="11.85546875" customWidth="1"/>
    <col min="4365" max="4365" width="12.5703125" bestFit="1" customWidth="1"/>
    <col min="4366" max="4366" width="19.28515625" bestFit="1" customWidth="1"/>
    <col min="4367" max="4367" width="8.28515625" bestFit="1" customWidth="1"/>
    <col min="4368" max="4368" width="4.85546875" bestFit="1" customWidth="1"/>
    <col min="4369" max="4369" width="12" customWidth="1"/>
    <col min="4370" max="4370" width="8.28515625" customWidth="1"/>
    <col min="4371" max="4371" width="11.140625" customWidth="1"/>
    <col min="4372" max="4373" width="11.7109375" bestFit="1" customWidth="1"/>
    <col min="4374" max="4374" width="17.28515625" bestFit="1" customWidth="1"/>
    <col min="4375" max="4375" width="17.28515625" customWidth="1"/>
    <col min="4376" max="4376" width="13.7109375" bestFit="1" customWidth="1"/>
    <col min="4377" max="4377" width="25.140625" bestFit="1" customWidth="1"/>
    <col min="4378" max="4378" width="15.140625" bestFit="1" customWidth="1"/>
    <col min="4379" max="4379" width="21" bestFit="1" customWidth="1"/>
    <col min="4610" max="4610" width="14" bestFit="1" customWidth="1"/>
    <col min="4611" max="4611" width="13.140625" customWidth="1"/>
    <col min="4612" max="4612" width="14.85546875" customWidth="1"/>
    <col min="4614" max="4614" width="15.140625" bestFit="1" customWidth="1"/>
    <col min="4615" max="4615" width="19.28515625" bestFit="1" customWidth="1"/>
    <col min="4616" max="4616" width="8.28515625" bestFit="1" customWidth="1"/>
    <col min="4617" max="4617" width="4.85546875" bestFit="1" customWidth="1"/>
    <col min="4618" max="4618" width="13.28515625" customWidth="1"/>
    <col min="4619" max="4619" width="9.7109375" customWidth="1"/>
    <col min="4620" max="4620" width="11.85546875" customWidth="1"/>
    <col min="4621" max="4621" width="12.5703125" bestFit="1" customWidth="1"/>
    <col min="4622" max="4622" width="19.28515625" bestFit="1" customWidth="1"/>
    <col min="4623" max="4623" width="8.28515625" bestFit="1" customWidth="1"/>
    <col min="4624" max="4624" width="4.85546875" bestFit="1" customWidth="1"/>
    <col min="4625" max="4625" width="12" customWidth="1"/>
    <col min="4626" max="4626" width="8.28515625" customWidth="1"/>
    <col min="4627" max="4627" width="11.140625" customWidth="1"/>
    <col min="4628" max="4629" width="11.7109375" bestFit="1" customWidth="1"/>
    <col min="4630" max="4630" width="17.28515625" bestFit="1" customWidth="1"/>
    <col min="4631" max="4631" width="17.28515625" customWidth="1"/>
    <col min="4632" max="4632" width="13.7109375" bestFit="1" customWidth="1"/>
    <col min="4633" max="4633" width="25.140625" bestFit="1" customWidth="1"/>
    <col min="4634" max="4634" width="15.140625" bestFit="1" customWidth="1"/>
    <col min="4635" max="4635" width="21" bestFit="1" customWidth="1"/>
    <col min="4866" max="4866" width="14" bestFit="1" customWidth="1"/>
    <col min="4867" max="4867" width="13.140625" customWidth="1"/>
    <col min="4868" max="4868" width="14.85546875" customWidth="1"/>
    <col min="4870" max="4870" width="15.140625" bestFit="1" customWidth="1"/>
    <col min="4871" max="4871" width="19.28515625" bestFit="1" customWidth="1"/>
    <col min="4872" max="4872" width="8.28515625" bestFit="1" customWidth="1"/>
    <col min="4873" max="4873" width="4.85546875" bestFit="1" customWidth="1"/>
    <col min="4874" max="4874" width="13.28515625" customWidth="1"/>
    <col min="4875" max="4875" width="9.7109375" customWidth="1"/>
    <col min="4876" max="4876" width="11.85546875" customWidth="1"/>
    <col min="4877" max="4877" width="12.5703125" bestFit="1" customWidth="1"/>
    <col min="4878" max="4878" width="19.28515625" bestFit="1" customWidth="1"/>
    <col min="4879" max="4879" width="8.28515625" bestFit="1" customWidth="1"/>
    <col min="4880" max="4880" width="4.85546875" bestFit="1" customWidth="1"/>
    <col min="4881" max="4881" width="12" customWidth="1"/>
    <col min="4882" max="4882" width="8.28515625" customWidth="1"/>
    <col min="4883" max="4883" width="11.140625" customWidth="1"/>
    <col min="4884" max="4885" width="11.7109375" bestFit="1" customWidth="1"/>
    <col min="4886" max="4886" width="17.28515625" bestFit="1" customWidth="1"/>
    <col min="4887" max="4887" width="17.28515625" customWidth="1"/>
    <col min="4888" max="4888" width="13.7109375" bestFit="1" customWidth="1"/>
    <col min="4889" max="4889" width="25.140625" bestFit="1" customWidth="1"/>
    <col min="4890" max="4890" width="15.140625" bestFit="1" customWidth="1"/>
    <col min="4891" max="4891" width="21" bestFit="1" customWidth="1"/>
    <col min="5122" max="5122" width="14" bestFit="1" customWidth="1"/>
    <col min="5123" max="5123" width="13.140625" customWidth="1"/>
    <col min="5124" max="5124" width="14.85546875" customWidth="1"/>
    <col min="5126" max="5126" width="15.140625" bestFit="1" customWidth="1"/>
    <col min="5127" max="5127" width="19.28515625" bestFit="1" customWidth="1"/>
    <col min="5128" max="5128" width="8.28515625" bestFit="1" customWidth="1"/>
    <col min="5129" max="5129" width="4.85546875" bestFit="1" customWidth="1"/>
    <col min="5130" max="5130" width="13.28515625" customWidth="1"/>
    <col min="5131" max="5131" width="9.7109375" customWidth="1"/>
    <col min="5132" max="5132" width="11.85546875" customWidth="1"/>
    <col min="5133" max="5133" width="12.5703125" bestFit="1" customWidth="1"/>
    <col min="5134" max="5134" width="19.28515625" bestFit="1" customWidth="1"/>
    <col min="5135" max="5135" width="8.28515625" bestFit="1" customWidth="1"/>
    <col min="5136" max="5136" width="4.85546875" bestFit="1" customWidth="1"/>
    <col min="5137" max="5137" width="12" customWidth="1"/>
    <col min="5138" max="5138" width="8.28515625" customWidth="1"/>
    <col min="5139" max="5139" width="11.140625" customWidth="1"/>
    <col min="5140" max="5141" width="11.7109375" bestFit="1" customWidth="1"/>
    <col min="5142" max="5142" width="17.28515625" bestFit="1" customWidth="1"/>
    <col min="5143" max="5143" width="17.28515625" customWidth="1"/>
    <col min="5144" max="5144" width="13.7109375" bestFit="1" customWidth="1"/>
    <col min="5145" max="5145" width="25.140625" bestFit="1" customWidth="1"/>
    <col min="5146" max="5146" width="15.140625" bestFit="1" customWidth="1"/>
    <col min="5147" max="5147" width="21" bestFit="1" customWidth="1"/>
    <col min="5378" max="5378" width="14" bestFit="1" customWidth="1"/>
    <col min="5379" max="5379" width="13.140625" customWidth="1"/>
    <col min="5380" max="5380" width="14.85546875" customWidth="1"/>
    <col min="5382" max="5382" width="15.140625" bestFit="1" customWidth="1"/>
    <col min="5383" max="5383" width="19.28515625" bestFit="1" customWidth="1"/>
    <col min="5384" max="5384" width="8.28515625" bestFit="1" customWidth="1"/>
    <col min="5385" max="5385" width="4.85546875" bestFit="1" customWidth="1"/>
    <col min="5386" max="5386" width="13.28515625" customWidth="1"/>
    <col min="5387" max="5387" width="9.7109375" customWidth="1"/>
    <col min="5388" max="5388" width="11.85546875" customWidth="1"/>
    <col min="5389" max="5389" width="12.5703125" bestFit="1" customWidth="1"/>
    <col min="5390" max="5390" width="19.28515625" bestFit="1" customWidth="1"/>
    <col min="5391" max="5391" width="8.28515625" bestFit="1" customWidth="1"/>
    <col min="5392" max="5392" width="4.85546875" bestFit="1" customWidth="1"/>
    <col min="5393" max="5393" width="12" customWidth="1"/>
    <col min="5394" max="5394" width="8.28515625" customWidth="1"/>
    <col min="5395" max="5395" width="11.140625" customWidth="1"/>
    <col min="5396" max="5397" width="11.7109375" bestFit="1" customWidth="1"/>
    <col min="5398" max="5398" width="17.28515625" bestFit="1" customWidth="1"/>
    <col min="5399" max="5399" width="17.28515625" customWidth="1"/>
    <col min="5400" max="5400" width="13.7109375" bestFit="1" customWidth="1"/>
    <col min="5401" max="5401" width="25.140625" bestFit="1" customWidth="1"/>
    <col min="5402" max="5402" width="15.140625" bestFit="1" customWidth="1"/>
    <col min="5403" max="5403" width="21" bestFit="1" customWidth="1"/>
    <col min="5634" max="5634" width="14" bestFit="1" customWidth="1"/>
    <col min="5635" max="5635" width="13.140625" customWidth="1"/>
    <col min="5636" max="5636" width="14.85546875" customWidth="1"/>
    <col min="5638" max="5638" width="15.140625" bestFit="1" customWidth="1"/>
    <col min="5639" max="5639" width="19.28515625" bestFit="1" customWidth="1"/>
    <col min="5640" max="5640" width="8.28515625" bestFit="1" customWidth="1"/>
    <col min="5641" max="5641" width="4.85546875" bestFit="1" customWidth="1"/>
    <col min="5642" max="5642" width="13.28515625" customWidth="1"/>
    <col min="5643" max="5643" width="9.7109375" customWidth="1"/>
    <col min="5644" max="5644" width="11.85546875" customWidth="1"/>
    <col min="5645" max="5645" width="12.5703125" bestFit="1" customWidth="1"/>
    <col min="5646" max="5646" width="19.28515625" bestFit="1" customWidth="1"/>
    <col min="5647" max="5647" width="8.28515625" bestFit="1" customWidth="1"/>
    <col min="5648" max="5648" width="4.85546875" bestFit="1" customWidth="1"/>
    <col min="5649" max="5649" width="12" customWidth="1"/>
    <col min="5650" max="5650" width="8.28515625" customWidth="1"/>
    <col min="5651" max="5651" width="11.140625" customWidth="1"/>
    <col min="5652" max="5653" width="11.7109375" bestFit="1" customWidth="1"/>
    <col min="5654" max="5654" width="17.28515625" bestFit="1" customWidth="1"/>
    <col min="5655" max="5655" width="17.28515625" customWidth="1"/>
    <col min="5656" max="5656" width="13.7109375" bestFit="1" customWidth="1"/>
    <col min="5657" max="5657" width="25.140625" bestFit="1" customWidth="1"/>
    <col min="5658" max="5658" width="15.140625" bestFit="1" customWidth="1"/>
    <col min="5659" max="5659" width="21" bestFit="1" customWidth="1"/>
    <col min="5890" max="5890" width="14" bestFit="1" customWidth="1"/>
    <col min="5891" max="5891" width="13.140625" customWidth="1"/>
    <col min="5892" max="5892" width="14.85546875" customWidth="1"/>
    <col min="5894" max="5894" width="15.140625" bestFit="1" customWidth="1"/>
    <col min="5895" max="5895" width="19.28515625" bestFit="1" customWidth="1"/>
    <col min="5896" max="5896" width="8.28515625" bestFit="1" customWidth="1"/>
    <col min="5897" max="5897" width="4.85546875" bestFit="1" customWidth="1"/>
    <col min="5898" max="5898" width="13.28515625" customWidth="1"/>
    <col min="5899" max="5899" width="9.7109375" customWidth="1"/>
    <col min="5900" max="5900" width="11.85546875" customWidth="1"/>
    <col min="5901" max="5901" width="12.5703125" bestFit="1" customWidth="1"/>
    <col min="5902" max="5902" width="19.28515625" bestFit="1" customWidth="1"/>
    <col min="5903" max="5903" width="8.28515625" bestFit="1" customWidth="1"/>
    <col min="5904" max="5904" width="4.85546875" bestFit="1" customWidth="1"/>
    <col min="5905" max="5905" width="12" customWidth="1"/>
    <col min="5906" max="5906" width="8.28515625" customWidth="1"/>
    <col min="5907" max="5907" width="11.140625" customWidth="1"/>
    <col min="5908" max="5909" width="11.7109375" bestFit="1" customWidth="1"/>
    <col min="5910" max="5910" width="17.28515625" bestFit="1" customWidth="1"/>
    <col min="5911" max="5911" width="17.28515625" customWidth="1"/>
    <col min="5912" max="5912" width="13.7109375" bestFit="1" customWidth="1"/>
    <col min="5913" max="5913" width="25.140625" bestFit="1" customWidth="1"/>
    <col min="5914" max="5914" width="15.140625" bestFit="1" customWidth="1"/>
    <col min="5915" max="5915" width="21" bestFit="1" customWidth="1"/>
    <col min="6146" max="6146" width="14" bestFit="1" customWidth="1"/>
    <col min="6147" max="6147" width="13.140625" customWidth="1"/>
    <col min="6148" max="6148" width="14.85546875" customWidth="1"/>
    <col min="6150" max="6150" width="15.140625" bestFit="1" customWidth="1"/>
    <col min="6151" max="6151" width="19.28515625" bestFit="1" customWidth="1"/>
    <col min="6152" max="6152" width="8.28515625" bestFit="1" customWidth="1"/>
    <col min="6153" max="6153" width="4.85546875" bestFit="1" customWidth="1"/>
    <col min="6154" max="6154" width="13.28515625" customWidth="1"/>
    <col min="6155" max="6155" width="9.7109375" customWidth="1"/>
    <col min="6156" max="6156" width="11.85546875" customWidth="1"/>
    <col min="6157" max="6157" width="12.5703125" bestFit="1" customWidth="1"/>
    <col min="6158" max="6158" width="19.28515625" bestFit="1" customWidth="1"/>
    <col min="6159" max="6159" width="8.28515625" bestFit="1" customWidth="1"/>
    <col min="6160" max="6160" width="4.85546875" bestFit="1" customWidth="1"/>
    <col min="6161" max="6161" width="12" customWidth="1"/>
    <col min="6162" max="6162" width="8.28515625" customWidth="1"/>
    <col min="6163" max="6163" width="11.140625" customWidth="1"/>
    <col min="6164" max="6165" width="11.7109375" bestFit="1" customWidth="1"/>
    <col min="6166" max="6166" width="17.28515625" bestFit="1" customWidth="1"/>
    <col min="6167" max="6167" width="17.28515625" customWidth="1"/>
    <col min="6168" max="6168" width="13.7109375" bestFit="1" customWidth="1"/>
    <col min="6169" max="6169" width="25.140625" bestFit="1" customWidth="1"/>
    <col min="6170" max="6170" width="15.140625" bestFit="1" customWidth="1"/>
    <col min="6171" max="6171" width="21" bestFit="1" customWidth="1"/>
    <col min="6402" max="6402" width="14" bestFit="1" customWidth="1"/>
    <col min="6403" max="6403" width="13.140625" customWidth="1"/>
    <col min="6404" max="6404" width="14.85546875" customWidth="1"/>
    <col min="6406" max="6406" width="15.140625" bestFit="1" customWidth="1"/>
    <col min="6407" max="6407" width="19.28515625" bestFit="1" customWidth="1"/>
    <col min="6408" max="6408" width="8.28515625" bestFit="1" customWidth="1"/>
    <col min="6409" max="6409" width="4.85546875" bestFit="1" customWidth="1"/>
    <col min="6410" max="6410" width="13.28515625" customWidth="1"/>
    <col min="6411" max="6411" width="9.7109375" customWidth="1"/>
    <col min="6412" max="6412" width="11.85546875" customWidth="1"/>
    <col min="6413" max="6413" width="12.5703125" bestFit="1" customWidth="1"/>
    <col min="6414" max="6414" width="19.28515625" bestFit="1" customWidth="1"/>
    <col min="6415" max="6415" width="8.28515625" bestFit="1" customWidth="1"/>
    <col min="6416" max="6416" width="4.85546875" bestFit="1" customWidth="1"/>
    <col min="6417" max="6417" width="12" customWidth="1"/>
    <col min="6418" max="6418" width="8.28515625" customWidth="1"/>
    <col min="6419" max="6419" width="11.140625" customWidth="1"/>
    <col min="6420" max="6421" width="11.7109375" bestFit="1" customWidth="1"/>
    <col min="6422" max="6422" width="17.28515625" bestFit="1" customWidth="1"/>
    <col min="6423" max="6423" width="17.28515625" customWidth="1"/>
    <col min="6424" max="6424" width="13.7109375" bestFit="1" customWidth="1"/>
    <col min="6425" max="6425" width="25.140625" bestFit="1" customWidth="1"/>
    <col min="6426" max="6426" width="15.140625" bestFit="1" customWidth="1"/>
    <col min="6427" max="6427" width="21" bestFit="1" customWidth="1"/>
    <col min="6658" max="6658" width="14" bestFit="1" customWidth="1"/>
    <col min="6659" max="6659" width="13.140625" customWidth="1"/>
    <col min="6660" max="6660" width="14.85546875" customWidth="1"/>
    <col min="6662" max="6662" width="15.140625" bestFit="1" customWidth="1"/>
    <col min="6663" max="6663" width="19.28515625" bestFit="1" customWidth="1"/>
    <col min="6664" max="6664" width="8.28515625" bestFit="1" customWidth="1"/>
    <col min="6665" max="6665" width="4.85546875" bestFit="1" customWidth="1"/>
    <col min="6666" max="6666" width="13.28515625" customWidth="1"/>
    <col min="6667" max="6667" width="9.7109375" customWidth="1"/>
    <col min="6668" max="6668" width="11.85546875" customWidth="1"/>
    <col min="6669" max="6669" width="12.5703125" bestFit="1" customWidth="1"/>
    <col min="6670" max="6670" width="19.28515625" bestFit="1" customWidth="1"/>
    <col min="6671" max="6671" width="8.28515625" bestFit="1" customWidth="1"/>
    <col min="6672" max="6672" width="4.85546875" bestFit="1" customWidth="1"/>
    <col min="6673" max="6673" width="12" customWidth="1"/>
    <col min="6674" max="6674" width="8.28515625" customWidth="1"/>
    <col min="6675" max="6675" width="11.140625" customWidth="1"/>
    <col min="6676" max="6677" width="11.7109375" bestFit="1" customWidth="1"/>
    <col min="6678" max="6678" width="17.28515625" bestFit="1" customWidth="1"/>
    <col min="6679" max="6679" width="17.28515625" customWidth="1"/>
    <col min="6680" max="6680" width="13.7109375" bestFit="1" customWidth="1"/>
    <col min="6681" max="6681" width="25.140625" bestFit="1" customWidth="1"/>
    <col min="6682" max="6682" width="15.140625" bestFit="1" customWidth="1"/>
    <col min="6683" max="6683" width="21" bestFit="1" customWidth="1"/>
    <col min="6914" max="6914" width="14" bestFit="1" customWidth="1"/>
    <col min="6915" max="6915" width="13.140625" customWidth="1"/>
    <col min="6916" max="6916" width="14.85546875" customWidth="1"/>
    <col min="6918" max="6918" width="15.140625" bestFit="1" customWidth="1"/>
    <col min="6919" max="6919" width="19.28515625" bestFit="1" customWidth="1"/>
    <col min="6920" max="6920" width="8.28515625" bestFit="1" customWidth="1"/>
    <col min="6921" max="6921" width="4.85546875" bestFit="1" customWidth="1"/>
    <col min="6922" max="6922" width="13.28515625" customWidth="1"/>
    <col min="6923" max="6923" width="9.7109375" customWidth="1"/>
    <col min="6924" max="6924" width="11.85546875" customWidth="1"/>
    <col min="6925" max="6925" width="12.5703125" bestFit="1" customWidth="1"/>
    <col min="6926" max="6926" width="19.28515625" bestFit="1" customWidth="1"/>
    <col min="6927" max="6927" width="8.28515625" bestFit="1" customWidth="1"/>
    <col min="6928" max="6928" width="4.85546875" bestFit="1" customWidth="1"/>
    <col min="6929" max="6929" width="12" customWidth="1"/>
    <col min="6930" max="6930" width="8.28515625" customWidth="1"/>
    <col min="6931" max="6931" width="11.140625" customWidth="1"/>
    <col min="6932" max="6933" width="11.7109375" bestFit="1" customWidth="1"/>
    <col min="6934" max="6934" width="17.28515625" bestFit="1" customWidth="1"/>
    <col min="6935" max="6935" width="17.28515625" customWidth="1"/>
    <col min="6936" max="6936" width="13.7109375" bestFit="1" customWidth="1"/>
    <col min="6937" max="6937" width="25.140625" bestFit="1" customWidth="1"/>
    <col min="6938" max="6938" width="15.140625" bestFit="1" customWidth="1"/>
    <col min="6939" max="6939" width="21" bestFit="1" customWidth="1"/>
    <col min="7170" max="7170" width="14" bestFit="1" customWidth="1"/>
    <col min="7171" max="7171" width="13.140625" customWidth="1"/>
    <col min="7172" max="7172" width="14.85546875" customWidth="1"/>
    <col min="7174" max="7174" width="15.140625" bestFit="1" customWidth="1"/>
    <col min="7175" max="7175" width="19.28515625" bestFit="1" customWidth="1"/>
    <col min="7176" max="7176" width="8.28515625" bestFit="1" customWidth="1"/>
    <col min="7177" max="7177" width="4.85546875" bestFit="1" customWidth="1"/>
    <col min="7178" max="7178" width="13.28515625" customWidth="1"/>
    <col min="7179" max="7179" width="9.7109375" customWidth="1"/>
    <col min="7180" max="7180" width="11.85546875" customWidth="1"/>
    <col min="7181" max="7181" width="12.5703125" bestFit="1" customWidth="1"/>
    <col min="7182" max="7182" width="19.28515625" bestFit="1" customWidth="1"/>
    <col min="7183" max="7183" width="8.28515625" bestFit="1" customWidth="1"/>
    <col min="7184" max="7184" width="4.85546875" bestFit="1" customWidth="1"/>
    <col min="7185" max="7185" width="12" customWidth="1"/>
    <col min="7186" max="7186" width="8.28515625" customWidth="1"/>
    <col min="7187" max="7187" width="11.140625" customWidth="1"/>
    <col min="7188" max="7189" width="11.7109375" bestFit="1" customWidth="1"/>
    <col min="7190" max="7190" width="17.28515625" bestFit="1" customWidth="1"/>
    <col min="7191" max="7191" width="17.28515625" customWidth="1"/>
    <col min="7192" max="7192" width="13.7109375" bestFit="1" customWidth="1"/>
    <col min="7193" max="7193" width="25.140625" bestFit="1" customWidth="1"/>
    <col min="7194" max="7194" width="15.140625" bestFit="1" customWidth="1"/>
    <col min="7195" max="7195" width="21" bestFit="1" customWidth="1"/>
    <col min="7426" max="7426" width="14" bestFit="1" customWidth="1"/>
    <col min="7427" max="7427" width="13.140625" customWidth="1"/>
    <col min="7428" max="7428" width="14.85546875" customWidth="1"/>
    <col min="7430" max="7430" width="15.140625" bestFit="1" customWidth="1"/>
    <col min="7431" max="7431" width="19.28515625" bestFit="1" customWidth="1"/>
    <col min="7432" max="7432" width="8.28515625" bestFit="1" customWidth="1"/>
    <col min="7433" max="7433" width="4.85546875" bestFit="1" customWidth="1"/>
    <col min="7434" max="7434" width="13.28515625" customWidth="1"/>
    <col min="7435" max="7435" width="9.7109375" customWidth="1"/>
    <col min="7436" max="7436" width="11.85546875" customWidth="1"/>
    <col min="7437" max="7437" width="12.5703125" bestFit="1" customWidth="1"/>
    <col min="7438" max="7438" width="19.28515625" bestFit="1" customWidth="1"/>
    <col min="7439" max="7439" width="8.28515625" bestFit="1" customWidth="1"/>
    <col min="7440" max="7440" width="4.85546875" bestFit="1" customWidth="1"/>
    <col min="7441" max="7441" width="12" customWidth="1"/>
    <col min="7442" max="7442" width="8.28515625" customWidth="1"/>
    <col min="7443" max="7443" width="11.140625" customWidth="1"/>
    <col min="7444" max="7445" width="11.7109375" bestFit="1" customWidth="1"/>
    <col min="7446" max="7446" width="17.28515625" bestFit="1" customWidth="1"/>
    <col min="7447" max="7447" width="17.28515625" customWidth="1"/>
    <col min="7448" max="7448" width="13.7109375" bestFit="1" customWidth="1"/>
    <col min="7449" max="7449" width="25.140625" bestFit="1" customWidth="1"/>
    <col min="7450" max="7450" width="15.140625" bestFit="1" customWidth="1"/>
    <col min="7451" max="7451" width="21" bestFit="1" customWidth="1"/>
    <col min="7682" max="7682" width="14" bestFit="1" customWidth="1"/>
    <col min="7683" max="7683" width="13.140625" customWidth="1"/>
    <col min="7684" max="7684" width="14.85546875" customWidth="1"/>
    <col min="7686" max="7686" width="15.140625" bestFit="1" customWidth="1"/>
    <col min="7687" max="7687" width="19.28515625" bestFit="1" customWidth="1"/>
    <col min="7688" max="7688" width="8.28515625" bestFit="1" customWidth="1"/>
    <col min="7689" max="7689" width="4.85546875" bestFit="1" customWidth="1"/>
    <col min="7690" max="7690" width="13.28515625" customWidth="1"/>
    <col min="7691" max="7691" width="9.7109375" customWidth="1"/>
    <col min="7692" max="7692" width="11.85546875" customWidth="1"/>
    <col min="7693" max="7693" width="12.5703125" bestFit="1" customWidth="1"/>
    <col min="7694" max="7694" width="19.28515625" bestFit="1" customWidth="1"/>
    <col min="7695" max="7695" width="8.28515625" bestFit="1" customWidth="1"/>
    <col min="7696" max="7696" width="4.85546875" bestFit="1" customWidth="1"/>
    <col min="7697" max="7697" width="12" customWidth="1"/>
    <col min="7698" max="7698" width="8.28515625" customWidth="1"/>
    <col min="7699" max="7699" width="11.140625" customWidth="1"/>
    <col min="7700" max="7701" width="11.7109375" bestFit="1" customWidth="1"/>
    <col min="7702" max="7702" width="17.28515625" bestFit="1" customWidth="1"/>
    <col min="7703" max="7703" width="17.28515625" customWidth="1"/>
    <col min="7704" max="7704" width="13.7109375" bestFit="1" customWidth="1"/>
    <col min="7705" max="7705" width="25.140625" bestFit="1" customWidth="1"/>
    <col min="7706" max="7706" width="15.140625" bestFit="1" customWidth="1"/>
    <col min="7707" max="7707" width="21" bestFit="1" customWidth="1"/>
    <col min="7938" max="7938" width="14" bestFit="1" customWidth="1"/>
    <col min="7939" max="7939" width="13.140625" customWidth="1"/>
    <col min="7940" max="7940" width="14.85546875" customWidth="1"/>
    <col min="7942" max="7942" width="15.140625" bestFit="1" customWidth="1"/>
    <col min="7943" max="7943" width="19.28515625" bestFit="1" customWidth="1"/>
    <col min="7944" max="7944" width="8.28515625" bestFit="1" customWidth="1"/>
    <col min="7945" max="7945" width="4.85546875" bestFit="1" customWidth="1"/>
    <col min="7946" max="7946" width="13.28515625" customWidth="1"/>
    <col min="7947" max="7947" width="9.7109375" customWidth="1"/>
    <col min="7948" max="7948" width="11.85546875" customWidth="1"/>
    <col min="7949" max="7949" width="12.5703125" bestFit="1" customWidth="1"/>
    <col min="7950" max="7950" width="19.28515625" bestFit="1" customWidth="1"/>
    <col min="7951" max="7951" width="8.28515625" bestFit="1" customWidth="1"/>
    <col min="7952" max="7952" width="4.85546875" bestFit="1" customWidth="1"/>
    <col min="7953" max="7953" width="12" customWidth="1"/>
    <col min="7954" max="7954" width="8.28515625" customWidth="1"/>
    <col min="7955" max="7955" width="11.140625" customWidth="1"/>
    <col min="7956" max="7957" width="11.7109375" bestFit="1" customWidth="1"/>
    <col min="7958" max="7958" width="17.28515625" bestFit="1" customWidth="1"/>
    <col min="7959" max="7959" width="17.28515625" customWidth="1"/>
    <col min="7960" max="7960" width="13.7109375" bestFit="1" customWidth="1"/>
    <col min="7961" max="7961" width="25.140625" bestFit="1" customWidth="1"/>
    <col min="7962" max="7962" width="15.140625" bestFit="1" customWidth="1"/>
    <col min="7963" max="7963" width="21" bestFit="1" customWidth="1"/>
    <col min="8194" max="8194" width="14" bestFit="1" customWidth="1"/>
    <col min="8195" max="8195" width="13.140625" customWidth="1"/>
    <col min="8196" max="8196" width="14.85546875" customWidth="1"/>
    <col min="8198" max="8198" width="15.140625" bestFit="1" customWidth="1"/>
    <col min="8199" max="8199" width="19.28515625" bestFit="1" customWidth="1"/>
    <col min="8200" max="8200" width="8.28515625" bestFit="1" customWidth="1"/>
    <col min="8201" max="8201" width="4.85546875" bestFit="1" customWidth="1"/>
    <col min="8202" max="8202" width="13.28515625" customWidth="1"/>
    <col min="8203" max="8203" width="9.7109375" customWidth="1"/>
    <col min="8204" max="8204" width="11.85546875" customWidth="1"/>
    <col min="8205" max="8205" width="12.5703125" bestFit="1" customWidth="1"/>
    <col min="8206" max="8206" width="19.28515625" bestFit="1" customWidth="1"/>
    <col min="8207" max="8207" width="8.28515625" bestFit="1" customWidth="1"/>
    <col min="8208" max="8208" width="4.85546875" bestFit="1" customWidth="1"/>
    <col min="8209" max="8209" width="12" customWidth="1"/>
    <col min="8210" max="8210" width="8.28515625" customWidth="1"/>
    <col min="8211" max="8211" width="11.140625" customWidth="1"/>
    <col min="8212" max="8213" width="11.7109375" bestFit="1" customWidth="1"/>
    <col min="8214" max="8214" width="17.28515625" bestFit="1" customWidth="1"/>
    <col min="8215" max="8215" width="17.28515625" customWidth="1"/>
    <col min="8216" max="8216" width="13.7109375" bestFit="1" customWidth="1"/>
    <col min="8217" max="8217" width="25.140625" bestFit="1" customWidth="1"/>
    <col min="8218" max="8218" width="15.140625" bestFit="1" customWidth="1"/>
    <col min="8219" max="8219" width="21" bestFit="1" customWidth="1"/>
    <col min="8450" max="8450" width="14" bestFit="1" customWidth="1"/>
    <col min="8451" max="8451" width="13.140625" customWidth="1"/>
    <col min="8452" max="8452" width="14.85546875" customWidth="1"/>
    <col min="8454" max="8454" width="15.140625" bestFit="1" customWidth="1"/>
    <col min="8455" max="8455" width="19.28515625" bestFit="1" customWidth="1"/>
    <col min="8456" max="8456" width="8.28515625" bestFit="1" customWidth="1"/>
    <col min="8457" max="8457" width="4.85546875" bestFit="1" customWidth="1"/>
    <col min="8458" max="8458" width="13.28515625" customWidth="1"/>
    <col min="8459" max="8459" width="9.7109375" customWidth="1"/>
    <col min="8460" max="8460" width="11.85546875" customWidth="1"/>
    <col min="8461" max="8461" width="12.5703125" bestFit="1" customWidth="1"/>
    <col min="8462" max="8462" width="19.28515625" bestFit="1" customWidth="1"/>
    <col min="8463" max="8463" width="8.28515625" bestFit="1" customWidth="1"/>
    <col min="8464" max="8464" width="4.85546875" bestFit="1" customWidth="1"/>
    <col min="8465" max="8465" width="12" customWidth="1"/>
    <col min="8466" max="8466" width="8.28515625" customWidth="1"/>
    <col min="8467" max="8467" width="11.140625" customWidth="1"/>
    <col min="8468" max="8469" width="11.7109375" bestFit="1" customWidth="1"/>
    <col min="8470" max="8470" width="17.28515625" bestFit="1" customWidth="1"/>
    <col min="8471" max="8471" width="17.28515625" customWidth="1"/>
    <col min="8472" max="8472" width="13.7109375" bestFit="1" customWidth="1"/>
    <col min="8473" max="8473" width="25.140625" bestFit="1" customWidth="1"/>
    <col min="8474" max="8474" width="15.140625" bestFit="1" customWidth="1"/>
    <col min="8475" max="8475" width="21" bestFit="1" customWidth="1"/>
    <col min="8706" max="8706" width="14" bestFit="1" customWidth="1"/>
    <col min="8707" max="8707" width="13.140625" customWidth="1"/>
    <col min="8708" max="8708" width="14.85546875" customWidth="1"/>
    <col min="8710" max="8710" width="15.140625" bestFit="1" customWidth="1"/>
    <col min="8711" max="8711" width="19.28515625" bestFit="1" customWidth="1"/>
    <col min="8712" max="8712" width="8.28515625" bestFit="1" customWidth="1"/>
    <col min="8713" max="8713" width="4.85546875" bestFit="1" customWidth="1"/>
    <col min="8714" max="8714" width="13.28515625" customWidth="1"/>
    <col min="8715" max="8715" width="9.7109375" customWidth="1"/>
    <col min="8716" max="8716" width="11.85546875" customWidth="1"/>
    <col min="8717" max="8717" width="12.5703125" bestFit="1" customWidth="1"/>
    <col min="8718" max="8718" width="19.28515625" bestFit="1" customWidth="1"/>
    <col min="8719" max="8719" width="8.28515625" bestFit="1" customWidth="1"/>
    <col min="8720" max="8720" width="4.85546875" bestFit="1" customWidth="1"/>
    <col min="8721" max="8721" width="12" customWidth="1"/>
    <col min="8722" max="8722" width="8.28515625" customWidth="1"/>
    <col min="8723" max="8723" width="11.140625" customWidth="1"/>
    <col min="8724" max="8725" width="11.7109375" bestFit="1" customWidth="1"/>
    <col min="8726" max="8726" width="17.28515625" bestFit="1" customWidth="1"/>
    <col min="8727" max="8727" width="17.28515625" customWidth="1"/>
    <col min="8728" max="8728" width="13.7109375" bestFit="1" customWidth="1"/>
    <col min="8729" max="8729" width="25.140625" bestFit="1" customWidth="1"/>
    <col min="8730" max="8730" width="15.140625" bestFit="1" customWidth="1"/>
    <col min="8731" max="8731" width="21" bestFit="1" customWidth="1"/>
    <col min="8962" max="8962" width="14" bestFit="1" customWidth="1"/>
    <col min="8963" max="8963" width="13.140625" customWidth="1"/>
    <col min="8964" max="8964" width="14.85546875" customWidth="1"/>
    <col min="8966" max="8966" width="15.140625" bestFit="1" customWidth="1"/>
    <col min="8967" max="8967" width="19.28515625" bestFit="1" customWidth="1"/>
    <col min="8968" max="8968" width="8.28515625" bestFit="1" customWidth="1"/>
    <col min="8969" max="8969" width="4.85546875" bestFit="1" customWidth="1"/>
    <col min="8970" max="8970" width="13.28515625" customWidth="1"/>
    <col min="8971" max="8971" width="9.7109375" customWidth="1"/>
    <col min="8972" max="8972" width="11.85546875" customWidth="1"/>
    <col min="8973" max="8973" width="12.5703125" bestFit="1" customWidth="1"/>
    <col min="8974" max="8974" width="19.28515625" bestFit="1" customWidth="1"/>
    <col min="8975" max="8975" width="8.28515625" bestFit="1" customWidth="1"/>
    <col min="8976" max="8976" width="4.85546875" bestFit="1" customWidth="1"/>
    <col min="8977" max="8977" width="12" customWidth="1"/>
    <col min="8978" max="8978" width="8.28515625" customWidth="1"/>
    <col min="8979" max="8979" width="11.140625" customWidth="1"/>
    <col min="8980" max="8981" width="11.7109375" bestFit="1" customWidth="1"/>
    <col min="8982" max="8982" width="17.28515625" bestFit="1" customWidth="1"/>
    <col min="8983" max="8983" width="17.28515625" customWidth="1"/>
    <col min="8984" max="8984" width="13.7109375" bestFit="1" customWidth="1"/>
    <col min="8985" max="8985" width="25.140625" bestFit="1" customWidth="1"/>
    <col min="8986" max="8986" width="15.140625" bestFit="1" customWidth="1"/>
    <col min="8987" max="8987" width="21" bestFit="1" customWidth="1"/>
    <col min="9218" max="9218" width="14" bestFit="1" customWidth="1"/>
    <col min="9219" max="9219" width="13.140625" customWidth="1"/>
    <col min="9220" max="9220" width="14.85546875" customWidth="1"/>
    <col min="9222" max="9222" width="15.140625" bestFit="1" customWidth="1"/>
    <col min="9223" max="9223" width="19.28515625" bestFit="1" customWidth="1"/>
    <col min="9224" max="9224" width="8.28515625" bestFit="1" customWidth="1"/>
    <col min="9225" max="9225" width="4.85546875" bestFit="1" customWidth="1"/>
    <col min="9226" max="9226" width="13.28515625" customWidth="1"/>
    <col min="9227" max="9227" width="9.7109375" customWidth="1"/>
    <col min="9228" max="9228" width="11.85546875" customWidth="1"/>
    <col min="9229" max="9229" width="12.5703125" bestFit="1" customWidth="1"/>
    <col min="9230" max="9230" width="19.28515625" bestFit="1" customWidth="1"/>
    <col min="9231" max="9231" width="8.28515625" bestFit="1" customWidth="1"/>
    <col min="9232" max="9232" width="4.85546875" bestFit="1" customWidth="1"/>
    <col min="9233" max="9233" width="12" customWidth="1"/>
    <col min="9234" max="9234" width="8.28515625" customWidth="1"/>
    <col min="9235" max="9235" width="11.140625" customWidth="1"/>
    <col min="9236" max="9237" width="11.7109375" bestFit="1" customWidth="1"/>
    <col min="9238" max="9238" width="17.28515625" bestFit="1" customWidth="1"/>
    <col min="9239" max="9239" width="17.28515625" customWidth="1"/>
    <col min="9240" max="9240" width="13.7109375" bestFit="1" customWidth="1"/>
    <col min="9241" max="9241" width="25.140625" bestFit="1" customWidth="1"/>
    <col min="9242" max="9242" width="15.140625" bestFit="1" customWidth="1"/>
    <col min="9243" max="9243" width="21" bestFit="1" customWidth="1"/>
    <col min="9474" max="9474" width="14" bestFit="1" customWidth="1"/>
    <col min="9475" max="9475" width="13.140625" customWidth="1"/>
    <col min="9476" max="9476" width="14.85546875" customWidth="1"/>
    <col min="9478" max="9478" width="15.140625" bestFit="1" customWidth="1"/>
    <col min="9479" max="9479" width="19.28515625" bestFit="1" customWidth="1"/>
    <col min="9480" max="9480" width="8.28515625" bestFit="1" customWidth="1"/>
    <col min="9481" max="9481" width="4.85546875" bestFit="1" customWidth="1"/>
    <col min="9482" max="9482" width="13.28515625" customWidth="1"/>
    <col min="9483" max="9483" width="9.7109375" customWidth="1"/>
    <col min="9484" max="9484" width="11.85546875" customWidth="1"/>
    <col min="9485" max="9485" width="12.5703125" bestFit="1" customWidth="1"/>
    <col min="9486" max="9486" width="19.28515625" bestFit="1" customWidth="1"/>
    <col min="9487" max="9487" width="8.28515625" bestFit="1" customWidth="1"/>
    <col min="9488" max="9488" width="4.85546875" bestFit="1" customWidth="1"/>
    <col min="9489" max="9489" width="12" customWidth="1"/>
    <col min="9490" max="9490" width="8.28515625" customWidth="1"/>
    <col min="9491" max="9491" width="11.140625" customWidth="1"/>
    <col min="9492" max="9493" width="11.7109375" bestFit="1" customWidth="1"/>
    <col min="9494" max="9494" width="17.28515625" bestFit="1" customWidth="1"/>
    <col min="9495" max="9495" width="17.28515625" customWidth="1"/>
    <col min="9496" max="9496" width="13.7109375" bestFit="1" customWidth="1"/>
    <col min="9497" max="9497" width="25.140625" bestFit="1" customWidth="1"/>
    <col min="9498" max="9498" width="15.140625" bestFit="1" customWidth="1"/>
    <col min="9499" max="9499" width="21" bestFit="1" customWidth="1"/>
    <col min="9730" max="9730" width="14" bestFit="1" customWidth="1"/>
    <col min="9731" max="9731" width="13.140625" customWidth="1"/>
    <col min="9732" max="9732" width="14.85546875" customWidth="1"/>
    <col min="9734" max="9734" width="15.140625" bestFit="1" customWidth="1"/>
    <col min="9735" max="9735" width="19.28515625" bestFit="1" customWidth="1"/>
    <col min="9736" max="9736" width="8.28515625" bestFit="1" customWidth="1"/>
    <col min="9737" max="9737" width="4.85546875" bestFit="1" customWidth="1"/>
    <col min="9738" max="9738" width="13.28515625" customWidth="1"/>
    <col min="9739" max="9739" width="9.7109375" customWidth="1"/>
    <col min="9740" max="9740" width="11.85546875" customWidth="1"/>
    <col min="9741" max="9741" width="12.5703125" bestFit="1" customWidth="1"/>
    <col min="9742" max="9742" width="19.28515625" bestFit="1" customWidth="1"/>
    <col min="9743" max="9743" width="8.28515625" bestFit="1" customWidth="1"/>
    <col min="9744" max="9744" width="4.85546875" bestFit="1" customWidth="1"/>
    <col min="9745" max="9745" width="12" customWidth="1"/>
    <col min="9746" max="9746" width="8.28515625" customWidth="1"/>
    <col min="9747" max="9747" width="11.140625" customWidth="1"/>
    <col min="9748" max="9749" width="11.7109375" bestFit="1" customWidth="1"/>
    <col min="9750" max="9750" width="17.28515625" bestFit="1" customWidth="1"/>
    <col min="9751" max="9751" width="17.28515625" customWidth="1"/>
    <col min="9752" max="9752" width="13.7109375" bestFit="1" customWidth="1"/>
    <col min="9753" max="9753" width="25.140625" bestFit="1" customWidth="1"/>
    <col min="9754" max="9754" width="15.140625" bestFit="1" customWidth="1"/>
    <col min="9755" max="9755" width="21" bestFit="1" customWidth="1"/>
    <col min="9986" max="9986" width="14" bestFit="1" customWidth="1"/>
    <col min="9987" max="9987" width="13.140625" customWidth="1"/>
    <col min="9988" max="9988" width="14.85546875" customWidth="1"/>
    <col min="9990" max="9990" width="15.140625" bestFit="1" customWidth="1"/>
    <col min="9991" max="9991" width="19.28515625" bestFit="1" customWidth="1"/>
    <col min="9992" max="9992" width="8.28515625" bestFit="1" customWidth="1"/>
    <col min="9993" max="9993" width="4.85546875" bestFit="1" customWidth="1"/>
    <col min="9994" max="9994" width="13.28515625" customWidth="1"/>
    <col min="9995" max="9995" width="9.7109375" customWidth="1"/>
    <col min="9996" max="9996" width="11.85546875" customWidth="1"/>
    <col min="9997" max="9997" width="12.5703125" bestFit="1" customWidth="1"/>
    <col min="9998" max="9998" width="19.28515625" bestFit="1" customWidth="1"/>
    <col min="9999" max="9999" width="8.28515625" bestFit="1" customWidth="1"/>
    <col min="10000" max="10000" width="4.85546875" bestFit="1" customWidth="1"/>
    <col min="10001" max="10001" width="12" customWidth="1"/>
    <col min="10002" max="10002" width="8.28515625" customWidth="1"/>
    <col min="10003" max="10003" width="11.140625" customWidth="1"/>
    <col min="10004" max="10005" width="11.7109375" bestFit="1" customWidth="1"/>
    <col min="10006" max="10006" width="17.28515625" bestFit="1" customWidth="1"/>
    <col min="10007" max="10007" width="17.28515625" customWidth="1"/>
    <col min="10008" max="10008" width="13.7109375" bestFit="1" customWidth="1"/>
    <col min="10009" max="10009" width="25.140625" bestFit="1" customWidth="1"/>
    <col min="10010" max="10010" width="15.140625" bestFit="1" customWidth="1"/>
    <col min="10011" max="10011" width="21" bestFit="1" customWidth="1"/>
    <col min="10242" max="10242" width="14" bestFit="1" customWidth="1"/>
    <col min="10243" max="10243" width="13.140625" customWidth="1"/>
    <col min="10244" max="10244" width="14.85546875" customWidth="1"/>
    <col min="10246" max="10246" width="15.140625" bestFit="1" customWidth="1"/>
    <col min="10247" max="10247" width="19.28515625" bestFit="1" customWidth="1"/>
    <col min="10248" max="10248" width="8.28515625" bestFit="1" customWidth="1"/>
    <col min="10249" max="10249" width="4.85546875" bestFit="1" customWidth="1"/>
    <col min="10250" max="10250" width="13.28515625" customWidth="1"/>
    <col min="10251" max="10251" width="9.7109375" customWidth="1"/>
    <col min="10252" max="10252" width="11.85546875" customWidth="1"/>
    <col min="10253" max="10253" width="12.5703125" bestFit="1" customWidth="1"/>
    <col min="10254" max="10254" width="19.28515625" bestFit="1" customWidth="1"/>
    <col min="10255" max="10255" width="8.28515625" bestFit="1" customWidth="1"/>
    <col min="10256" max="10256" width="4.85546875" bestFit="1" customWidth="1"/>
    <col min="10257" max="10257" width="12" customWidth="1"/>
    <col min="10258" max="10258" width="8.28515625" customWidth="1"/>
    <col min="10259" max="10259" width="11.140625" customWidth="1"/>
    <col min="10260" max="10261" width="11.7109375" bestFit="1" customWidth="1"/>
    <col min="10262" max="10262" width="17.28515625" bestFit="1" customWidth="1"/>
    <col min="10263" max="10263" width="17.28515625" customWidth="1"/>
    <col min="10264" max="10264" width="13.7109375" bestFit="1" customWidth="1"/>
    <col min="10265" max="10265" width="25.140625" bestFit="1" customWidth="1"/>
    <col min="10266" max="10266" width="15.140625" bestFit="1" customWidth="1"/>
    <col min="10267" max="10267" width="21" bestFit="1" customWidth="1"/>
    <col min="10498" max="10498" width="14" bestFit="1" customWidth="1"/>
    <col min="10499" max="10499" width="13.140625" customWidth="1"/>
    <col min="10500" max="10500" width="14.85546875" customWidth="1"/>
    <col min="10502" max="10502" width="15.140625" bestFit="1" customWidth="1"/>
    <col min="10503" max="10503" width="19.28515625" bestFit="1" customWidth="1"/>
    <col min="10504" max="10504" width="8.28515625" bestFit="1" customWidth="1"/>
    <col min="10505" max="10505" width="4.85546875" bestFit="1" customWidth="1"/>
    <col min="10506" max="10506" width="13.28515625" customWidth="1"/>
    <col min="10507" max="10507" width="9.7109375" customWidth="1"/>
    <col min="10508" max="10508" width="11.85546875" customWidth="1"/>
    <col min="10509" max="10509" width="12.5703125" bestFit="1" customWidth="1"/>
    <col min="10510" max="10510" width="19.28515625" bestFit="1" customWidth="1"/>
    <col min="10511" max="10511" width="8.28515625" bestFit="1" customWidth="1"/>
    <col min="10512" max="10512" width="4.85546875" bestFit="1" customWidth="1"/>
    <col min="10513" max="10513" width="12" customWidth="1"/>
    <col min="10514" max="10514" width="8.28515625" customWidth="1"/>
    <col min="10515" max="10515" width="11.140625" customWidth="1"/>
    <col min="10516" max="10517" width="11.7109375" bestFit="1" customWidth="1"/>
    <col min="10518" max="10518" width="17.28515625" bestFit="1" customWidth="1"/>
    <col min="10519" max="10519" width="17.28515625" customWidth="1"/>
    <col min="10520" max="10520" width="13.7109375" bestFit="1" customWidth="1"/>
    <col min="10521" max="10521" width="25.140625" bestFit="1" customWidth="1"/>
    <col min="10522" max="10522" width="15.140625" bestFit="1" customWidth="1"/>
    <col min="10523" max="10523" width="21" bestFit="1" customWidth="1"/>
    <col min="10754" max="10754" width="14" bestFit="1" customWidth="1"/>
    <col min="10755" max="10755" width="13.140625" customWidth="1"/>
    <col min="10756" max="10756" width="14.85546875" customWidth="1"/>
    <col min="10758" max="10758" width="15.140625" bestFit="1" customWidth="1"/>
    <col min="10759" max="10759" width="19.28515625" bestFit="1" customWidth="1"/>
    <col min="10760" max="10760" width="8.28515625" bestFit="1" customWidth="1"/>
    <col min="10761" max="10761" width="4.85546875" bestFit="1" customWidth="1"/>
    <col min="10762" max="10762" width="13.28515625" customWidth="1"/>
    <col min="10763" max="10763" width="9.7109375" customWidth="1"/>
    <col min="10764" max="10764" width="11.85546875" customWidth="1"/>
    <col min="10765" max="10765" width="12.5703125" bestFit="1" customWidth="1"/>
    <col min="10766" max="10766" width="19.28515625" bestFit="1" customWidth="1"/>
    <col min="10767" max="10767" width="8.28515625" bestFit="1" customWidth="1"/>
    <col min="10768" max="10768" width="4.85546875" bestFit="1" customWidth="1"/>
    <col min="10769" max="10769" width="12" customWidth="1"/>
    <col min="10770" max="10770" width="8.28515625" customWidth="1"/>
    <col min="10771" max="10771" width="11.140625" customWidth="1"/>
    <col min="10772" max="10773" width="11.7109375" bestFit="1" customWidth="1"/>
    <col min="10774" max="10774" width="17.28515625" bestFit="1" customWidth="1"/>
    <col min="10775" max="10775" width="17.28515625" customWidth="1"/>
    <col min="10776" max="10776" width="13.7109375" bestFit="1" customWidth="1"/>
    <col min="10777" max="10777" width="25.140625" bestFit="1" customWidth="1"/>
    <col min="10778" max="10778" width="15.140625" bestFit="1" customWidth="1"/>
    <col min="10779" max="10779" width="21" bestFit="1" customWidth="1"/>
    <col min="11010" max="11010" width="14" bestFit="1" customWidth="1"/>
    <col min="11011" max="11011" width="13.140625" customWidth="1"/>
    <col min="11012" max="11012" width="14.85546875" customWidth="1"/>
    <col min="11014" max="11014" width="15.140625" bestFit="1" customWidth="1"/>
    <col min="11015" max="11015" width="19.28515625" bestFit="1" customWidth="1"/>
    <col min="11016" max="11016" width="8.28515625" bestFit="1" customWidth="1"/>
    <col min="11017" max="11017" width="4.85546875" bestFit="1" customWidth="1"/>
    <col min="11018" max="11018" width="13.28515625" customWidth="1"/>
    <col min="11019" max="11019" width="9.7109375" customWidth="1"/>
    <col min="11020" max="11020" width="11.85546875" customWidth="1"/>
    <col min="11021" max="11021" width="12.5703125" bestFit="1" customWidth="1"/>
    <col min="11022" max="11022" width="19.28515625" bestFit="1" customWidth="1"/>
    <col min="11023" max="11023" width="8.28515625" bestFit="1" customWidth="1"/>
    <col min="11024" max="11024" width="4.85546875" bestFit="1" customWidth="1"/>
    <col min="11025" max="11025" width="12" customWidth="1"/>
    <col min="11026" max="11026" width="8.28515625" customWidth="1"/>
    <col min="11027" max="11027" width="11.140625" customWidth="1"/>
    <col min="11028" max="11029" width="11.7109375" bestFit="1" customWidth="1"/>
    <col min="11030" max="11030" width="17.28515625" bestFit="1" customWidth="1"/>
    <col min="11031" max="11031" width="17.28515625" customWidth="1"/>
    <col min="11032" max="11032" width="13.7109375" bestFit="1" customWidth="1"/>
    <col min="11033" max="11033" width="25.140625" bestFit="1" customWidth="1"/>
    <col min="11034" max="11034" width="15.140625" bestFit="1" customWidth="1"/>
    <col min="11035" max="11035" width="21" bestFit="1" customWidth="1"/>
    <col min="11266" max="11266" width="14" bestFit="1" customWidth="1"/>
    <col min="11267" max="11267" width="13.140625" customWidth="1"/>
    <col min="11268" max="11268" width="14.85546875" customWidth="1"/>
    <col min="11270" max="11270" width="15.140625" bestFit="1" customWidth="1"/>
    <col min="11271" max="11271" width="19.28515625" bestFit="1" customWidth="1"/>
    <col min="11272" max="11272" width="8.28515625" bestFit="1" customWidth="1"/>
    <col min="11273" max="11273" width="4.85546875" bestFit="1" customWidth="1"/>
    <col min="11274" max="11274" width="13.28515625" customWidth="1"/>
    <col min="11275" max="11275" width="9.7109375" customWidth="1"/>
    <col min="11276" max="11276" width="11.85546875" customWidth="1"/>
    <col min="11277" max="11277" width="12.5703125" bestFit="1" customWidth="1"/>
    <col min="11278" max="11278" width="19.28515625" bestFit="1" customWidth="1"/>
    <col min="11279" max="11279" width="8.28515625" bestFit="1" customWidth="1"/>
    <col min="11280" max="11280" width="4.85546875" bestFit="1" customWidth="1"/>
    <col min="11281" max="11281" width="12" customWidth="1"/>
    <col min="11282" max="11282" width="8.28515625" customWidth="1"/>
    <col min="11283" max="11283" width="11.140625" customWidth="1"/>
    <col min="11284" max="11285" width="11.7109375" bestFit="1" customWidth="1"/>
    <col min="11286" max="11286" width="17.28515625" bestFit="1" customWidth="1"/>
    <col min="11287" max="11287" width="17.28515625" customWidth="1"/>
    <col min="11288" max="11288" width="13.7109375" bestFit="1" customWidth="1"/>
    <col min="11289" max="11289" width="25.140625" bestFit="1" customWidth="1"/>
    <col min="11290" max="11290" width="15.140625" bestFit="1" customWidth="1"/>
    <col min="11291" max="11291" width="21" bestFit="1" customWidth="1"/>
    <col min="11522" max="11522" width="14" bestFit="1" customWidth="1"/>
    <col min="11523" max="11523" width="13.140625" customWidth="1"/>
    <col min="11524" max="11524" width="14.85546875" customWidth="1"/>
    <col min="11526" max="11526" width="15.140625" bestFit="1" customWidth="1"/>
    <col min="11527" max="11527" width="19.28515625" bestFit="1" customWidth="1"/>
    <col min="11528" max="11528" width="8.28515625" bestFit="1" customWidth="1"/>
    <col min="11529" max="11529" width="4.85546875" bestFit="1" customWidth="1"/>
    <col min="11530" max="11530" width="13.28515625" customWidth="1"/>
    <col min="11531" max="11531" width="9.7109375" customWidth="1"/>
    <col min="11532" max="11532" width="11.85546875" customWidth="1"/>
    <col min="11533" max="11533" width="12.5703125" bestFit="1" customWidth="1"/>
    <col min="11534" max="11534" width="19.28515625" bestFit="1" customWidth="1"/>
    <col min="11535" max="11535" width="8.28515625" bestFit="1" customWidth="1"/>
    <col min="11536" max="11536" width="4.85546875" bestFit="1" customWidth="1"/>
    <col min="11537" max="11537" width="12" customWidth="1"/>
    <col min="11538" max="11538" width="8.28515625" customWidth="1"/>
    <col min="11539" max="11539" width="11.140625" customWidth="1"/>
    <col min="11540" max="11541" width="11.7109375" bestFit="1" customWidth="1"/>
    <col min="11542" max="11542" width="17.28515625" bestFit="1" customWidth="1"/>
    <col min="11543" max="11543" width="17.28515625" customWidth="1"/>
    <col min="11544" max="11544" width="13.7109375" bestFit="1" customWidth="1"/>
    <col min="11545" max="11545" width="25.140625" bestFit="1" customWidth="1"/>
    <col min="11546" max="11546" width="15.140625" bestFit="1" customWidth="1"/>
    <col min="11547" max="11547" width="21" bestFit="1" customWidth="1"/>
    <col min="11778" max="11778" width="14" bestFit="1" customWidth="1"/>
    <col min="11779" max="11779" width="13.140625" customWidth="1"/>
    <col min="11780" max="11780" width="14.85546875" customWidth="1"/>
    <col min="11782" max="11782" width="15.140625" bestFit="1" customWidth="1"/>
    <col min="11783" max="11783" width="19.28515625" bestFit="1" customWidth="1"/>
    <col min="11784" max="11784" width="8.28515625" bestFit="1" customWidth="1"/>
    <col min="11785" max="11785" width="4.85546875" bestFit="1" customWidth="1"/>
    <col min="11786" max="11786" width="13.28515625" customWidth="1"/>
    <col min="11787" max="11787" width="9.7109375" customWidth="1"/>
    <col min="11788" max="11788" width="11.85546875" customWidth="1"/>
    <col min="11789" max="11789" width="12.5703125" bestFit="1" customWidth="1"/>
    <col min="11790" max="11790" width="19.28515625" bestFit="1" customWidth="1"/>
    <col min="11791" max="11791" width="8.28515625" bestFit="1" customWidth="1"/>
    <col min="11792" max="11792" width="4.85546875" bestFit="1" customWidth="1"/>
    <col min="11793" max="11793" width="12" customWidth="1"/>
    <col min="11794" max="11794" width="8.28515625" customWidth="1"/>
    <col min="11795" max="11795" width="11.140625" customWidth="1"/>
    <col min="11796" max="11797" width="11.7109375" bestFit="1" customWidth="1"/>
    <col min="11798" max="11798" width="17.28515625" bestFit="1" customWidth="1"/>
    <col min="11799" max="11799" width="17.28515625" customWidth="1"/>
    <col min="11800" max="11800" width="13.7109375" bestFit="1" customWidth="1"/>
    <col min="11801" max="11801" width="25.140625" bestFit="1" customWidth="1"/>
    <col min="11802" max="11802" width="15.140625" bestFit="1" customWidth="1"/>
    <col min="11803" max="11803" width="21" bestFit="1" customWidth="1"/>
    <col min="12034" max="12034" width="14" bestFit="1" customWidth="1"/>
    <col min="12035" max="12035" width="13.140625" customWidth="1"/>
    <col min="12036" max="12036" width="14.85546875" customWidth="1"/>
    <col min="12038" max="12038" width="15.140625" bestFit="1" customWidth="1"/>
    <col min="12039" max="12039" width="19.28515625" bestFit="1" customWidth="1"/>
    <col min="12040" max="12040" width="8.28515625" bestFit="1" customWidth="1"/>
    <col min="12041" max="12041" width="4.85546875" bestFit="1" customWidth="1"/>
    <col min="12042" max="12042" width="13.28515625" customWidth="1"/>
    <col min="12043" max="12043" width="9.7109375" customWidth="1"/>
    <col min="12044" max="12044" width="11.85546875" customWidth="1"/>
    <col min="12045" max="12045" width="12.5703125" bestFit="1" customWidth="1"/>
    <col min="12046" max="12046" width="19.28515625" bestFit="1" customWidth="1"/>
    <col min="12047" max="12047" width="8.28515625" bestFit="1" customWidth="1"/>
    <col min="12048" max="12048" width="4.85546875" bestFit="1" customWidth="1"/>
    <col min="12049" max="12049" width="12" customWidth="1"/>
    <col min="12050" max="12050" width="8.28515625" customWidth="1"/>
    <col min="12051" max="12051" width="11.140625" customWidth="1"/>
    <col min="12052" max="12053" width="11.7109375" bestFit="1" customWidth="1"/>
    <col min="12054" max="12054" width="17.28515625" bestFit="1" customWidth="1"/>
    <col min="12055" max="12055" width="17.28515625" customWidth="1"/>
    <col min="12056" max="12056" width="13.7109375" bestFit="1" customWidth="1"/>
    <col min="12057" max="12057" width="25.140625" bestFit="1" customWidth="1"/>
    <col min="12058" max="12058" width="15.140625" bestFit="1" customWidth="1"/>
    <col min="12059" max="12059" width="21" bestFit="1" customWidth="1"/>
    <col min="12290" max="12290" width="14" bestFit="1" customWidth="1"/>
    <col min="12291" max="12291" width="13.140625" customWidth="1"/>
    <col min="12292" max="12292" width="14.85546875" customWidth="1"/>
    <col min="12294" max="12294" width="15.140625" bestFit="1" customWidth="1"/>
    <col min="12295" max="12295" width="19.28515625" bestFit="1" customWidth="1"/>
    <col min="12296" max="12296" width="8.28515625" bestFit="1" customWidth="1"/>
    <col min="12297" max="12297" width="4.85546875" bestFit="1" customWidth="1"/>
    <col min="12298" max="12298" width="13.28515625" customWidth="1"/>
    <col min="12299" max="12299" width="9.7109375" customWidth="1"/>
    <col min="12300" max="12300" width="11.85546875" customWidth="1"/>
    <col min="12301" max="12301" width="12.5703125" bestFit="1" customWidth="1"/>
    <col min="12302" max="12302" width="19.28515625" bestFit="1" customWidth="1"/>
    <col min="12303" max="12303" width="8.28515625" bestFit="1" customWidth="1"/>
    <col min="12304" max="12304" width="4.85546875" bestFit="1" customWidth="1"/>
    <col min="12305" max="12305" width="12" customWidth="1"/>
    <col min="12306" max="12306" width="8.28515625" customWidth="1"/>
    <col min="12307" max="12307" width="11.140625" customWidth="1"/>
    <col min="12308" max="12309" width="11.7109375" bestFit="1" customWidth="1"/>
    <col min="12310" max="12310" width="17.28515625" bestFit="1" customWidth="1"/>
    <col min="12311" max="12311" width="17.28515625" customWidth="1"/>
    <col min="12312" max="12312" width="13.7109375" bestFit="1" customWidth="1"/>
    <col min="12313" max="12313" width="25.140625" bestFit="1" customWidth="1"/>
    <col min="12314" max="12314" width="15.140625" bestFit="1" customWidth="1"/>
    <col min="12315" max="12315" width="21" bestFit="1" customWidth="1"/>
    <col min="12546" max="12546" width="14" bestFit="1" customWidth="1"/>
    <col min="12547" max="12547" width="13.140625" customWidth="1"/>
    <col min="12548" max="12548" width="14.85546875" customWidth="1"/>
    <col min="12550" max="12550" width="15.140625" bestFit="1" customWidth="1"/>
    <col min="12551" max="12551" width="19.28515625" bestFit="1" customWidth="1"/>
    <col min="12552" max="12552" width="8.28515625" bestFit="1" customWidth="1"/>
    <col min="12553" max="12553" width="4.85546875" bestFit="1" customWidth="1"/>
    <col min="12554" max="12554" width="13.28515625" customWidth="1"/>
    <col min="12555" max="12555" width="9.7109375" customWidth="1"/>
    <col min="12556" max="12556" width="11.85546875" customWidth="1"/>
    <col min="12557" max="12557" width="12.5703125" bestFit="1" customWidth="1"/>
    <col min="12558" max="12558" width="19.28515625" bestFit="1" customWidth="1"/>
    <col min="12559" max="12559" width="8.28515625" bestFit="1" customWidth="1"/>
    <col min="12560" max="12560" width="4.85546875" bestFit="1" customWidth="1"/>
    <col min="12561" max="12561" width="12" customWidth="1"/>
    <col min="12562" max="12562" width="8.28515625" customWidth="1"/>
    <col min="12563" max="12563" width="11.140625" customWidth="1"/>
    <col min="12564" max="12565" width="11.7109375" bestFit="1" customWidth="1"/>
    <col min="12566" max="12566" width="17.28515625" bestFit="1" customWidth="1"/>
    <col min="12567" max="12567" width="17.28515625" customWidth="1"/>
    <col min="12568" max="12568" width="13.7109375" bestFit="1" customWidth="1"/>
    <col min="12569" max="12569" width="25.140625" bestFit="1" customWidth="1"/>
    <col min="12570" max="12570" width="15.140625" bestFit="1" customWidth="1"/>
    <col min="12571" max="12571" width="21" bestFit="1" customWidth="1"/>
    <col min="12802" max="12802" width="14" bestFit="1" customWidth="1"/>
    <col min="12803" max="12803" width="13.140625" customWidth="1"/>
    <col min="12804" max="12804" width="14.85546875" customWidth="1"/>
    <col min="12806" max="12806" width="15.140625" bestFit="1" customWidth="1"/>
    <col min="12807" max="12807" width="19.28515625" bestFit="1" customWidth="1"/>
    <col min="12808" max="12808" width="8.28515625" bestFit="1" customWidth="1"/>
    <col min="12809" max="12809" width="4.85546875" bestFit="1" customWidth="1"/>
    <col min="12810" max="12810" width="13.28515625" customWidth="1"/>
    <col min="12811" max="12811" width="9.7109375" customWidth="1"/>
    <col min="12812" max="12812" width="11.85546875" customWidth="1"/>
    <col min="12813" max="12813" width="12.5703125" bestFit="1" customWidth="1"/>
    <col min="12814" max="12814" width="19.28515625" bestFit="1" customWidth="1"/>
    <col min="12815" max="12815" width="8.28515625" bestFit="1" customWidth="1"/>
    <col min="12816" max="12816" width="4.85546875" bestFit="1" customWidth="1"/>
    <col min="12817" max="12817" width="12" customWidth="1"/>
    <col min="12818" max="12818" width="8.28515625" customWidth="1"/>
    <col min="12819" max="12819" width="11.140625" customWidth="1"/>
    <col min="12820" max="12821" width="11.7109375" bestFit="1" customWidth="1"/>
    <col min="12822" max="12822" width="17.28515625" bestFit="1" customWidth="1"/>
    <col min="12823" max="12823" width="17.28515625" customWidth="1"/>
    <col min="12824" max="12824" width="13.7109375" bestFit="1" customWidth="1"/>
    <col min="12825" max="12825" width="25.140625" bestFit="1" customWidth="1"/>
    <col min="12826" max="12826" width="15.140625" bestFit="1" customWidth="1"/>
    <col min="12827" max="12827" width="21" bestFit="1" customWidth="1"/>
    <col min="13058" max="13058" width="14" bestFit="1" customWidth="1"/>
    <col min="13059" max="13059" width="13.140625" customWidth="1"/>
    <col min="13060" max="13060" width="14.85546875" customWidth="1"/>
    <col min="13062" max="13062" width="15.140625" bestFit="1" customWidth="1"/>
    <col min="13063" max="13063" width="19.28515625" bestFit="1" customWidth="1"/>
    <col min="13064" max="13064" width="8.28515625" bestFit="1" customWidth="1"/>
    <col min="13065" max="13065" width="4.85546875" bestFit="1" customWidth="1"/>
    <col min="13066" max="13066" width="13.28515625" customWidth="1"/>
    <col min="13067" max="13067" width="9.7109375" customWidth="1"/>
    <col min="13068" max="13068" width="11.85546875" customWidth="1"/>
    <col min="13069" max="13069" width="12.5703125" bestFit="1" customWidth="1"/>
    <col min="13070" max="13070" width="19.28515625" bestFit="1" customWidth="1"/>
    <col min="13071" max="13071" width="8.28515625" bestFit="1" customWidth="1"/>
    <col min="13072" max="13072" width="4.85546875" bestFit="1" customWidth="1"/>
    <col min="13073" max="13073" width="12" customWidth="1"/>
    <col min="13074" max="13074" width="8.28515625" customWidth="1"/>
    <col min="13075" max="13075" width="11.140625" customWidth="1"/>
    <col min="13076" max="13077" width="11.7109375" bestFit="1" customWidth="1"/>
    <col min="13078" max="13078" width="17.28515625" bestFit="1" customWidth="1"/>
    <col min="13079" max="13079" width="17.28515625" customWidth="1"/>
    <col min="13080" max="13080" width="13.7109375" bestFit="1" customWidth="1"/>
    <col min="13081" max="13081" width="25.140625" bestFit="1" customWidth="1"/>
    <col min="13082" max="13082" width="15.140625" bestFit="1" customWidth="1"/>
    <col min="13083" max="13083" width="21" bestFit="1" customWidth="1"/>
    <col min="13314" max="13314" width="14" bestFit="1" customWidth="1"/>
    <col min="13315" max="13315" width="13.140625" customWidth="1"/>
    <col min="13316" max="13316" width="14.85546875" customWidth="1"/>
    <col min="13318" max="13318" width="15.140625" bestFit="1" customWidth="1"/>
    <col min="13319" max="13319" width="19.28515625" bestFit="1" customWidth="1"/>
    <col min="13320" max="13320" width="8.28515625" bestFit="1" customWidth="1"/>
    <col min="13321" max="13321" width="4.85546875" bestFit="1" customWidth="1"/>
    <col min="13322" max="13322" width="13.28515625" customWidth="1"/>
    <col min="13323" max="13323" width="9.7109375" customWidth="1"/>
    <col min="13324" max="13324" width="11.85546875" customWidth="1"/>
    <col min="13325" max="13325" width="12.5703125" bestFit="1" customWidth="1"/>
    <col min="13326" max="13326" width="19.28515625" bestFit="1" customWidth="1"/>
    <col min="13327" max="13327" width="8.28515625" bestFit="1" customWidth="1"/>
    <col min="13328" max="13328" width="4.85546875" bestFit="1" customWidth="1"/>
    <col min="13329" max="13329" width="12" customWidth="1"/>
    <col min="13330" max="13330" width="8.28515625" customWidth="1"/>
    <col min="13331" max="13331" width="11.140625" customWidth="1"/>
    <col min="13332" max="13333" width="11.7109375" bestFit="1" customWidth="1"/>
    <col min="13334" max="13334" width="17.28515625" bestFit="1" customWidth="1"/>
    <col min="13335" max="13335" width="17.28515625" customWidth="1"/>
    <col min="13336" max="13336" width="13.7109375" bestFit="1" customWidth="1"/>
    <col min="13337" max="13337" width="25.140625" bestFit="1" customWidth="1"/>
    <col min="13338" max="13338" width="15.140625" bestFit="1" customWidth="1"/>
    <col min="13339" max="13339" width="21" bestFit="1" customWidth="1"/>
    <col min="13570" max="13570" width="14" bestFit="1" customWidth="1"/>
    <col min="13571" max="13571" width="13.140625" customWidth="1"/>
    <col min="13572" max="13572" width="14.85546875" customWidth="1"/>
    <col min="13574" max="13574" width="15.140625" bestFit="1" customWidth="1"/>
    <col min="13575" max="13575" width="19.28515625" bestFit="1" customWidth="1"/>
    <col min="13576" max="13576" width="8.28515625" bestFit="1" customWidth="1"/>
    <col min="13577" max="13577" width="4.85546875" bestFit="1" customWidth="1"/>
    <col min="13578" max="13578" width="13.28515625" customWidth="1"/>
    <col min="13579" max="13579" width="9.7109375" customWidth="1"/>
    <col min="13580" max="13580" width="11.85546875" customWidth="1"/>
    <col min="13581" max="13581" width="12.5703125" bestFit="1" customWidth="1"/>
    <col min="13582" max="13582" width="19.28515625" bestFit="1" customWidth="1"/>
    <col min="13583" max="13583" width="8.28515625" bestFit="1" customWidth="1"/>
    <col min="13584" max="13584" width="4.85546875" bestFit="1" customWidth="1"/>
    <col min="13585" max="13585" width="12" customWidth="1"/>
    <col min="13586" max="13586" width="8.28515625" customWidth="1"/>
    <col min="13587" max="13587" width="11.140625" customWidth="1"/>
    <col min="13588" max="13589" width="11.7109375" bestFit="1" customWidth="1"/>
    <col min="13590" max="13590" width="17.28515625" bestFit="1" customWidth="1"/>
    <col min="13591" max="13591" width="17.28515625" customWidth="1"/>
    <col min="13592" max="13592" width="13.7109375" bestFit="1" customWidth="1"/>
    <col min="13593" max="13593" width="25.140625" bestFit="1" customWidth="1"/>
    <col min="13594" max="13594" width="15.140625" bestFit="1" customWidth="1"/>
    <col min="13595" max="13595" width="21" bestFit="1" customWidth="1"/>
    <col min="13826" max="13826" width="14" bestFit="1" customWidth="1"/>
    <col min="13827" max="13827" width="13.140625" customWidth="1"/>
    <col min="13828" max="13828" width="14.85546875" customWidth="1"/>
    <col min="13830" max="13830" width="15.140625" bestFit="1" customWidth="1"/>
    <col min="13831" max="13831" width="19.28515625" bestFit="1" customWidth="1"/>
    <col min="13832" max="13832" width="8.28515625" bestFit="1" customWidth="1"/>
    <col min="13833" max="13833" width="4.85546875" bestFit="1" customWidth="1"/>
    <col min="13834" max="13834" width="13.28515625" customWidth="1"/>
    <col min="13835" max="13835" width="9.7109375" customWidth="1"/>
    <col min="13836" max="13836" width="11.85546875" customWidth="1"/>
    <col min="13837" max="13837" width="12.5703125" bestFit="1" customWidth="1"/>
    <col min="13838" max="13838" width="19.28515625" bestFit="1" customWidth="1"/>
    <col min="13839" max="13839" width="8.28515625" bestFit="1" customWidth="1"/>
    <col min="13840" max="13840" width="4.85546875" bestFit="1" customWidth="1"/>
    <col min="13841" max="13841" width="12" customWidth="1"/>
    <col min="13842" max="13842" width="8.28515625" customWidth="1"/>
    <col min="13843" max="13843" width="11.140625" customWidth="1"/>
    <col min="13844" max="13845" width="11.7109375" bestFit="1" customWidth="1"/>
    <col min="13846" max="13846" width="17.28515625" bestFit="1" customWidth="1"/>
    <col min="13847" max="13847" width="17.28515625" customWidth="1"/>
    <col min="13848" max="13848" width="13.7109375" bestFit="1" customWidth="1"/>
    <col min="13849" max="13849" width="25.140625" bestFit="1" customWidth="1"/>
    <col min="13850" max="13850" width="15.140625" bestFit="1" customWidth="1"/>
    <col min="13851" max="13851" width="21" bestFit="1" customWidth="1"/>
    <col min="14082" max="14082" width="14" bestFit="1" customWidth="1"/>
    <col min="14083" max="14083" width="13.140625" customWidth="1"/>
    <col min="14084" max="14084" width="14.85546875" customWidth="1"/>
    <col min="14086" max="14086" width="15.140625" bestFit="1" customWidth="1"/>
    <col min="14087" max="14087" width="19.28515625" bestFit="1" customWidth="1"/>
    <col min="14088" max="14088" width="8.28515625" bestFit="1" customWidth="1"/>
    <col min="14089" max="14089" width="4.85546875" bestFit="1" customWidth="1"/>
    <col min="14090" max="14090" width="13.28515625" customWidth="1"/>
    <col min="14091" max="14091" width="9.7109375" customWidth="1"/>
    <col min="14092" max="14092" width="11.85546875" customWidth="1"/>
    <col min="14093" max="14093" width="12.5703125" bestFit="1" customWidth="1"/>
    <col min="14094" max="14094" width="19.28515625" bestFit="1" customWidth="1"/>
    <col min="14095" max="14095" width="8.28515625" bestFit="1" customWidth="1"/>
    <col min="14096" max="14096" width="4.85546875" bestFit="1" customWidth="1"/>
    <col min="14097" max="14097" width="12" customWidth="1"/>
    <col min="14098" max="14098" width="8.28515625" customWidth="1"/>
    <col min="14099" max="14099" width="11.140625" customWidth="1"/>
    <col min="14100" max="14101" width="11.7109375" bestFit="1" customWidth="1"/>
    <col min="14102" max="14102" width="17.28515625" bestFit="1" customWidth="1"/>
    <col min="14103" max="14103" width="17.28515625" customWidth="1"/>
    <col min="14104" max="14104" width="13.7109375" bestFit="1" customWidth="1"/>
    <col min="14105" max="14105" width="25.140625" bestFit="1" customWidth="1"/>
    <col min="14106" max="14106" width="15.140625" bestFit="1" customWidth="1"/>
    <col min="14107" max="14107" width="21" bestFit="1" customWidth="1"/>
    <col min="14338" max="14338" width="14" bestFit="1" customWidth="1"/>
    <col min="14339" max="14339" width="13.140625" customWidth="1"/>
    <col min="14340" max="14340" width="14.85546875" customWidth="1"/>
    <col min="14342" max="14342" width="15.140625" bestFit="1" customWidth="1"/>
    <col min="14343" max="14343" width="19.28515625" bestFit="1" customWidth="1"/>
    <col min="14344" max="14344" width="8.28515625" bestFit="1" customWidth="1"/>
    <col min="14345" max="14345" width="4.85546875" bestFit="1" customWidth="1"/>
    <col min="14346" max="14346" width="13.28515625" customWidth="1"/>
    <col min="14347" max="14347" width="9.7109375" customWidth="1"/>
    <col min="14348" max="14348" width="11.85546875" customWidth="1"/>
    <col min="14349" max="14349" width="12.5703125" bestFit="1" customWidth="1"/>
    <col min="14350" max="14350" width="19.28515625" bestFit="1" customWidth="1"/>
    <col min="14351" max="14351" width="8.28515625" bestFit="1" customWidth="1"/>
    <col min="14352" max="14352" width="4.85546875" bestFit="1" customWidth="1"/>
    <col min="14353" max="14353" width="12" customWidth="1"/>
    <col min="14354" max="14354" width="8.28515625" customWidth="1"/>
    <col min="14355" max="14355" width="11.140625" customWidth="1"/>
    <col min="14356" max="14357" width="11.7109375" bestFit="1" customWidth="1"/>
    <col min="14358" max="14358" width="17.28515625" bestFit="1" customWidth="1"/>
    <col min="14359" max="14359" width="17.28515625" customWidth="1"/>
    <col min="14360" max="14360" width="13.7109375" bestFit="1" customWidth="1"/>
    <col min="14361" max="14361" width="25.140625" bestFit="1" customWidth="1"/>
    <col min="14362" max="14362" width="15.140625" bestFit="1" customWidth="1"/>
    <col min="14363" max="14363" width="21" bestFit="1" customWidth="1"/>
    <col min="14594" max="14594" width="14" bestFit="1" customWidth="1"/>
    <col min="14595" max="14595" width="13.140625" customWidth="1"/>
    <col min="14596" max="14596" width="14.85546875" customWidth="1"/>
    <col min="14598" max="14598" width="15.140625" bestFit="1" customWidth="1"/>
    <col min="14599" max="14599" width="19.28515625" bestFit="1" customWidth="1"/>
    <col min="14600" max="14600" width="8.28515625" bestFit="1" customWidth="1"/>
    <col min="14601" max="14601" width="4.85546875" bestFit="1" customWidth="1"/>
    <col min="14602" max="14602" width="13.28515625" customWidth="1"/>
    <col min="14603" max="14603" width="9.7109375" customWidth="1"/>
    <col min="14604" max="14604" width="11.85546875" customWidth="1"/>
    <col min="14605" max="14605" width="12.5703125" bestFit="1" customWidth="1"/>
    <col min="14606" max="14606" width="19.28515625" bestFit="1" customWidth="1"/>
    <col min="14607" max="14607" width="8.28515625" bestFit="1" customWidth="1"/>
    <col min="14608" max="14608" width="4.85546875" bestFit="1" customWidth="1"/>
    <col min="14609" max="14609" width="12" customWidth="1"/>
    <col min="14610" max="14610" width="8.28515625" customWidth="1"/>
    <col min="14611" max="14611" width="11.140625" customWidth="1"/>
    <col min="14612" max="14613" width="11.7109375" bestFit="1" customWidth="1"/>
    <col min="14614" max="14614" width="17.28515625" bestFit="1" customWidth="1"/>
    <col min="14615" max="14615" width="17.28515625" customWidth="1"/>
    <col min="14616" max="14616" width="13.7109375" bestFit="1" customWidth="1"/>
    <col min="14617" max="14617" width="25.140625" bestFit="1" customWidth="1"/>
    <col min="14618" max="14618" width="15.140625" bestFit="1" customWidth="1"/>
    <col min="14619" max="14619" width="21" bestFit="1" customWidth="1"/>
    <col min="14850" max="14850" width="14" bestFit="1" customWidth="1"/>
    <col min="14851" max="14851" width="13.140625" customWidth="1"/>
    <col min="14852" max="14852" width="14.85546875" customWidth="1"/>
    <col min="14854" max="14854" width="15.140625" bestFit="1" customWidth="1"/>
    <col min="14855" max="14855" width="19.28515625" bestFit="1" customWidth="1"/>
    <col min="14856" max="14856" width="8.28515625" bestFit="1" customWidth="1"/>
    <col min="14857" max="14857" width="4.85546875" bestFit="1" customWidth="1"/>
    <col min="14858" max="14858" width="13.28515625" customWidth="1"/>
    <col min="14859" max="14859" width="9.7109375" customWidth="1"/>
    <col min="14860" max="14860" width="11.85546875" customWidth="1"/>
    <col min="14861" max="14861" width="12.5703125" bestFit="1" customWidth="1"/>
    <col min="14862" max="14862" width="19.28515625" bestFit="1" customWidth="1"/>
    <col min="14863" max="14863" width="8.28515625" bestFit="1" customWidth="1"/>
    <col min="14864" max="14864" width="4.85546875" bestFit="1" customWidth="1"/>
    <col min="14865" max="14865" width="12" customWidth="1"/>
    <col min="14866" max="14866" width="8.28515625" customWidth="1"/>
    <col min="14867" max="14867" width="11.140625" customWidth="1"/>
    <col min="14868" max="14869" width="11.7109375" bestFit="1" customWidth="1"/>
    <col min="14870" max="14870" width="17.28515625" bestFit="1" customWidth="1"/>
    <col min="14871" max="14871" width="17.28515625" customWidth="1"/>
    <col min="14872" max="14872" width="13.7109375" bestFit="1" customWidth="1"/>
    <col min="14873" max="14873" width="25.140625" bestFit="1" customWidth="1"/>
    <col min="14874" max="14874" width="15.140625" bestFit="1" customWidth="1"/>
    <col min="14875" max="14875" width="21" bestFit="1" customWidth="1"/>
    <col min="15106" max="15106" width="14" bestFit="1" customWidth="1"/>
    <col min="15107" max="15107" width="13.140625" customWidth="1"/>
    <col min="15108" max="15108" width="14.85546875" customWidth="1"/>
    <col min="15110" max="15110" width="15.140625" bestFit="1" customWidth="1"/>
    <col min="15111" max="15111" width="19.28515625" bestFit="1" customWidth="1"/>
    <col min="15112" max="15112" width="8.28515625" bestFit="1" customWidth="1"/>
    <col min="15113" max="15113" width="4.85546875" bestFit="1" customWidth="1"/>
    <col min="15114" max="15114" width="13.28515625" customWidth="1"/>
    <col min="15115" max="15115" width="9.7109375" customWidth="1"/>
    <col min="15116" max="15116" width="11.85546875" customWidth="1"/>
    <col min="15117" max="15117" width="12.5703125" bestFit="1" customWidth="1"/>
    <col min="15118" max="15118" width="19.28515625" bestFit="1" customWidth="1"/>
    <col min="15119" max="15119" width="8.28515625" bestFit="1" customWidth="1"/>
    <col min="15120" max="15120" width="4.85546875" bestFit="1" customWidth="1"/>
    <col min="15121" max="15121" width="12" customWidth="1"/>
    <col min="15122" max="15122" width="8.28515625" customWidth="1"/>
    <col min="15123" max="15123" width="11.140625" customWidth="1"/>
    <col min="15124" max="15125" width="11.7109375" bestFit="1" customWidth="1"/>
    <col min="15126" max="15126" width="17.28515625" bestFit="1" customWidth="1"/>
    <col min="15127" max="15127" width="17.28515625" customWidth="1"/>
    <col min="15128" max="15128" width="13.7109375" bestFit="1" customWidth="1"/>
    <col min="15129" max="15129" width="25.140625" bestFit="1" customWidth="1"/>
    <col min="15130" max="15130" width="15.140625" bestFit="1" customWidth="1"/>
    <col min="15131" max="15131" width="21" bestFit="1" customWidth="1"/>
    <col min="15362" max="15362" width="14" bestFit="1" customWidth="1"/>
    <col min="15363" max="15363" width="13.140625" customWidth="1"/>
    <col min="15364" max="15364" width="14.85546875" customWidth="1"/>
    <col min="15366" max="15366" width="15.140625" bestFit="1" customWidth="1"/>
    <col min="15367" max="15367" width="19.28515625" bestFit="1" customWidth="1"/>
    <col min="15368" max="15368" width="8.28515625" bestFit="1" customWidth="1"/>
    <col min="15369" max="15369" width="4.85546875" bestFit="1" customWidth="1"/>
    <col min="15370" max="15370" width="13.28515625" customWidth="1"/>
    <col min="15371" max="15371" width="9.7109375" customWidth="1"/>
    <col min="15372" max="15372" width="11.85546875" customWidth="1"/>
    <col min="15373" max="15373" width="12.5703125" bestFit="1" customWidth="1"/>
    <col min="15374" max="15374" width="19.28515625" bestFit="1" customWidth="1"/>
    <col min="15375" max="15375" width="8.28515625" bestFit="1" customWidth="1"/>
    <col min="15376" max="15376" width="4.85546875" bestFit="1" customWidth="1"/>
    <col min="15377" max="15377" width="12" customWidth="1"/>
    <col min="15378" max="15378" width="8.28515625" customWidth="1"/>
    <col min="15379" max="15379" width="11.140625" customWidth="1"/>
    <col min="15380" max="15381" width="11.7109375" bestFit="1" customWidth="1"/>
    <col min="15382" max="15382" width="17.28515625" bestFit="1" customWidth="1"/>
    <col min="15383" max="15383" width="17.28515625" customWidth="1"/>
    <col min="15384" max="15384" width="13.7109375" bestFit="1" customWidth="1"/>
    <col min="15385" max="15385" width="25.140625" bestFit="1" customWidth="1"/>
    <col min="15386" max="15386" width="15.140625" bestFit="1" customWidth="1"/>
    <col min="15387" max="15387" width="21" bestFit="1" customWidth="1"/>
    <col min="15618" max="15618" width="14" bestFit="1" customWidth="1"/>
    <col min="15619" max="15619" width="13.140625" customWidth="1"/>
    <col min="15620" max="15620" width="14.85546875" customWidth="1"/>
    <col min="15622" max="15622" width="15.140625" bestFit="1" customWidth="1"/>
    <col min="15623" max="15623" width="19.28515625" bestFit="1" customWidth="1"/>
    <col min="15624" max="15624" width="8.28515625" bestFit="1" customWidth="1"/>
    <col min="15625" max="15625" width="4.85546875" bestFit="1" customWidth="1"/>
    <col min="15626" max="15626" width="13.28515625" customWidth="1"/>
    <col min="15627" max="15627" width="9.7109375" customWidth="1"/>
    <col min="15628" max="15628" width="11.85546875" customWidth="1"/>
    <col min="15629" max="15629" width="12.5703125" bestFit="1" customWidth="1"/>
    <col min="15630" max="15630" width="19.28515625" bestFit="1" customWidth="1"/>
    <col min="15631" max="15631" width="8.28515625" bestFit="1" customWidth="1"/>
    <col min="15632" max="15632" width="4.85546875" bestFit="1" customWidth="1"/>
    <col min="15633" max="15633" width="12" customWidth="1"/>
    <col min="15634" max="15634" width="8.28515625" customWidth="1"/>
    <col min="15635" max="15635" width="11.140625" customWidth="1"/>
    <col min="15636" max="15637" width="11.7109375" bestFit="1" customWidth="1"/>
    <col min="15638" max="15638" width="17.28515625" bestFit="1" customWidth="1"/>
    <col min="15639" max="15639" width="17.28515625" customWidth="1"/>
    <col min="15640" max="15640" width="13.7109375" bestFit="1" customWidth="1"/>
    <col min="15641" max="15641" width="25.140625" bestFit="1" customWidth="1"/>
    <col min="15642" max="15642" width="15.140625" bestFit="1" customWidth="1"/>
    <col min="15643" max="15643" width="21" bestFit="1" customWidth="1"/>
    <col min="15874" max="15874" width="14" bestFit="1" customWidth="1"/>
    <col min="15875" max="15875" width="13.140625" customWidth="1"/>
    <col min="15876" max="15876" width="14.85546875" customWidth="1"/>
    <col min="15878" max="15878" width="15.140625" bestFit="1" customWidth="1"/>
    <col min="15879" max="15879" width="19.28515625" bestFit="1" customWidth="1"/>
    <col min="15880" max="15880" width="8.28515625" bestFit="1" customWidth="1"/>
    <col min="15881" max="15881" width="4.85546875" bestFit="1" customWidth="1"/>
    <col min="15882" max="15882" width="13.28515625" customWidth="1"/>
    <col min="15883" max="15883" width="9.7109375" customWidth="1"/>
    <col min="15884" max="15884" width="11.85546875" customWidth="1"/>
    <col min="15885" max="15885" width="12.5703125" bestFit="1" customWidth="1"/>
    <col min="15886" max="15886" width="19.28515625" bestFit="1" customWidth="1"/>
    <col min="15887" max="15887" width="8.28515625" bestFit="1" customWidth="1"/>
    <col min="15888" max="15888" width="4.85546875" bestFit="1" customWidth="1"/>
    <col min="15889" max="15889" width="12" customWidth="1"/>
    <col min="15890" max="15890" width="8.28515625" customWidth="1"/>
    <col min="15891" max="15891" width="11.140625" customWidth="1"/>
    <col min="15892" max="15893" width="11.7109375" bestFit="1" customWidth="1"/>
    <col min="15894" max="15894" width="17.28515625" bestFit="1" customWidth="1"/>
    <col min="15895" max="15895" width="17.28515625" customWidth="1"/>
    <col min="15896" max="15896" width="13.7109375" bestFit="1" customWidth="1"/>
    <col min="15897" max="15897" width="25.140625" bestFit="1" customWidth="1"/>
    <col min="15898" max="15898" width="15.140625" bestFit="1" customWidth="1"/>
    <col min="15899" max="15899" width="21" bestFit="1" customWidth="1"/>
    <col min="16130" max="16130" width="14" bestFit="1" customWidth="1"/>
    <col min="16131" max="16131" width="13.140625" customWidth="1"/>
    <col min="16132" max="16132" width="14.85546875" customWidth="1"/>
    <col min="16134" max="16134" width="15.140625" bestFit="1" customWidth="1"/>
    <col min="16135" max="16135" width="19.28515625" bestFit="1" customWidth="1"/>
    <col min="16136" max="16136" width="8.28515625" bestFit="1" customWidth="1"/>
    <col min="16137" max="16137" width="4.85546875" bestFit="1" customWidth="1"/>
    <col min="16138" max="16138" width="13.28515625" customWidth="1"/>
    <col min="16139" max="16139" width="9.7109375" customWidth="1"/>
    <col min="16140" max="16140" width="11.85546875" customWidth="1"/>
    <col min="16141" max="16141" width="12.5703125" bestFit="1" customWidth="1"/>
    <col min="16142" max="16142" width="19.28515625" bestFit="1" customWidth="1"/>
    <col min="16143" max="16143" width="8.28515625" bestFit="1" customWidth="1"/>
    <col min="16144" max="16144" width="4.85546875" bestFit="1" customWidth="1"/>
    <col min="16145" max="16145" width="12" customWidth="1"/>
    <col min="16146" max="16146" width="8.28515625" customWidth="1"/>
    <col min="16147" max="16147" width="11.140625" customWidth="1"/>
    <col min="16148" max="16149" width="11.7109375" bestFit="1" customWidth="1"/>
    <col min="16150" max="16150" width="17.28515625" bestFit="1" customWidth="1"/>
    <col min="16151" max="16151" width="17.28515625" customWidth="1"/>
    <col min="16152" max="16152" width="13.7109375" bestFit="1" customWidth="1"/>
    <col min="16153" max="16153" width="25.140625" bestFit="1" customWidth="1"/>
    <col min="16154" max="16154" width="15.140625" bestFit="1" customWidth="1"/>
    <col min="16155" max="16155" width="21" bestFit="1" customWidth="1"/>
  </cols>
  <sheetData>
    <row r="4" spans="1:27" x14ac:dyDescent="0.25">
      <c r="D4" s="247" t="s">
        <v>0</v>
      </c>
      <c r="E4" s="248"/>
      <c r="F4" s="248"/>
      <c r="G4" s="248"/>
      <c r="H4" s="248"/>
      <c r="I4" s="248"/>
      <c r="J4" s="248"/>
      <c r="K4" s="248"/>
      <c r="L4" s="248"/>
      <c r="M4" s="248"/>
      <c r="N4" s="248"/>
      <c r="O4" s="248"/>
      <c r="P4" s="248"/>
      <c r="Q4" s="248"/>
      <c r="R4" s="248"/>
      <c r="S4" s="249"/>
      <c r="T4" s="1"/>
      <c r="U4" s="1"/>
      <c r="V4" s="250" t="s">
        <v>1</v>
      </c>
      <c r="W4" s="250"/>
      <c r="X4" s="250"/>
      <c r="Y4" s="250"/>
      <c r="Z4" s="251" t="s">
        <v>2</v>
      </c>
      <c r="AA4" s="251"/>
    </row>
    <row r="5" spans="1:27" ht="30" customHeight="1" x14ac:dyDescent="0.25">
      <c r="D5" s="2" t="s">
        <v>3</v>
      </c>
      <c r="E5" s="2" t="s">
        <v>4</v>
      </c>
      <c r="F5" s="3" t="s">
        <v>5</v>
      </c>
      <c r="G5" s="3" t="s">
        <v>6</v>
      </c>
      <c r="H5" s="252" t="s">
        <v>7</v>
      </c>
      <c r="I5" s="253"/>
      <c r="J5" s="254" t="s">
        <v>8</v>
      </c>
      <c r="K5" s="255"/>
      <c r="L5" s="256"/>
      <c r="M5" s="4" t="s">
        <v>9</v>
      </c>
      <c r="N5" s="4" t="s">
        <v>10</v>
      </c>
      <c r="O5" s="257" t="s">
        <v>7</v>
      </c>
      <c r="P5" s="257"/>
      <c r="Q5" s="258" t="s">
        <v>11</v>
      </c>
      <c r="R5" s="259"/>
      <c r="S5" s="260"/>
      <c r="T5" s="1" t="s">
        <v>12</v>
      </c>
      <c r="U5" s="1" t="s">
        <v>13</v>
      </c>
      <c r="V5" s="5" t="s">
        <v>14</v>
      </c>
      <c r="W5" s="5" t="s">
        <v>14</v>
      </c>
      <c r="X5" s="5" t="s">
        <v>15</v>
      </c>
      <c r="Y5" s="5" t="s">
        <v>16</v>
      </c>
      <c r="Z5" s="6" t="s">
        <v>17</v>
      </c>
      <c r="AA5" s="6" t="s">
        <v>18</v>
      </c>
    </row>
    <row r="6" spans="1:27" ht="44.25" customHeight="1" thickBot="1" x14ac:dyDescent="0.3">
      <c r="B6" s="7" t="s">
        <v>19</v>
      </c>
      <c r="C6" s="7" t="s">
        <v>20</v>
      </c>
      <c r="D6" s="8" t="s">
        <v>21</v>
      </c>
      <c r="E6" s="8" t="s">
        <v>22</v>
      </c>
      <c r="F6" s="9" t="s">
        <v>23</v>
      </c>
      <c r="G6" s="9" t="s">
        <v>24</v>
      </c>
      <c r="H6" s="10" t="s">
        <v>4</v>
      </c>
      <c r="I6" s="11" t="s">
        <v>25</v>
      </c>
      <c r="J6" s="12" t="s">
        <v>26</v>
      </c>
      <c r="K6" s="12" t="s">
        <v>25</v>
      </c>
      <c r="L6" s="13" t="s">
        <v>27</v>
      </c>
      <c r="M6" s="9" t="s">
        <v>26</v>
      </c>
      <c r="N6" s="9" t="s">
        <v>25</v>
      </c>
      <c r="O6" s="11" t="s">
        <v>4</v>
      </c>
      <c r="P6" s="14" t="s">
        <v>25</v>
      </c>
      <c r="Q6" s="15" t="s">
        <v>26</v>
      </c>
      <c r="R6" s="15" t="s">
        <v>25</v>
      </c>
      <c r="S6" s="16" t="s">
        <v>28</v>
      </c>
      <c r="T6" s="17"/>
      <c r="U6" s="17"/>
      <c r="V6" s="18" t="s">
        <v>26</v>
      </c>
      <c r="W6" s="18" t="s">
        <v>29</v>
      </c>
      <c r="X6" s="18" t="s">
        <v>30</v>
      </c>
      <c r="Y6" s="18" t="s">
        <v>26</v>
      </c>
      <c r="Z6" s="19" t="s">
        <v>26</v>
      </c>
      <c r="AA6" s="20" t="s">
        <v>26</v>
      </c>
    </row>
    <row r="7" spans="1:27" x14ac:dyDescent="0.25">
      <c r="A7" s="21" t="s">
        <v>138</v>
      </c>
      <c r="B7" s="22">
        <v>100000</v>
      </c>
      <c r="C7" s="22">
        <f>SUM(DELPHINE!S3:S51)</f>
        <v>0</v>
      </c>
      <c r="D7" s="23">
        <f>SUM(PORTEFEUILLE_DELPHINE[PCR COMPTABLE €]+SUM(PORTEFEUILLE_DELPHINE[RA FAIT PAR LE
COMPTABLE €]+SUM(PORTEFEUILLE_DELPHINE[AGOA COMPTABLE €])+SUM(PORTEFEUILLE_DELPHINE[SAISIE PAR LE COMPTABLE €])+SUM(PORTEFEUILLE_DELPHINE[TRAVAUX 
DE REVISION €]+SUM(PORTEFEUILLE_DELPHINE[DECLARATION TVA COMPTABLE €]+SUM(PORTEFEUILLE_DELPHINE[MONTANT
RESPONSABLE RELATION CLIENT €])))))</f>
        <v>0</v>
      </c>
      <c r="E7" s="24">
        <f>'Agence Stats Visas'!B4</f>
        <v>1</v>
      </c>
      <c r="F7" s="25">
        <f>D7-M7</f>
        <v>0</v>
      </c>
      <c r="G7" s="26">
        <f>IF(D7=0,0,F7/D7)</f>
        <v>0</v>
      </c>
      <c r="H7" s="27">
        <f>'Agence Stats Visas'!C4</f>
        <v>0</v>
      </c>
      <c r="I7" s="26">
        <f>H7/E7</f>
        <v>0</v>
      </c>
      <c r="J7" s="28">
        <f>SUMIFS(DELPHINE!T3:T51,DELPHINE!BB3:BB51,"x")-SUMIFS(DELPHINE!T3:T51,DELPHINE!E3:E51,DATE(Paramètres!A4,Paramètres!D15,Paramètres!C15),DELPHINE!BB3:BB51,"x")</f>
        <v>0</v>
      </c>
      <c r="K7" s="29" t="e">
        <f>IF(J7&lt;&gt;"",J7/F7,0)</f>
        <v>#DIV/0!</v>
      </c>
      <c r="L7" s="30">
        <f>(F7-J7)/Paramètres!H4</f>
        <v>0</v>
      </c>
      <c r="M7" s="25">
        <f>SUMIFS(DELPHINE!T3:T51,DELPHINE!E3:E51,DATE(Paramètres!A4,Paramètres!D15,Paramètres!C15))</f>
        <v>0</v>
      </c>
      <c r="N7" s="26">
        <f>IF(M7=0,0,M7/D7)</f>
        <v>0</v>
      </c>
      <c r="O7" s="31">
        <f>'Agence Stats Visas'!D4</f>
        <v>1</v>
      </c>
      <c r="P7" s="32">
        <f>O7/E7</f>
        <v>1</v>
      </c>
      <c r="Q7" s="33">
        <f>SUMIFS(DELPHINE!T3:T51,DELPHINE!E3:E51,DATE(Paramètres!A4,Paramètres!D15,Paramètres!C15),DELPHINE!BB3:BB51,"x")</f>
        <v>0</v>
      </c>
      <c r="R7" s="34" t="e">
        <f>Q7/M7</f>
        <v>#DIV/0!</v>
      </c>
      <c r="S7" s="35">
        <f>(M7-Q7)/Paramètres!H4</f>
        <v>0</v>
      </c>
      <c r="T7" s="36">
        <f>SUM(DELPHINE!AV3:AV51)</f>
        <v>0</v>
      </c>
      <c r="U7" s="36">
        <f>SUM(DELPHINE!AW3:AW51)</f>
        <v>0</v>
      </c>
      <c r="V7" s="37">
        <f>B7-D7</f>
        <v>100000</v>
      </c>
      <c r="W7" s="38">
        <f>V7/100</f>
        <v>1000</v>
      </c>
      <c r="X7" s="37">
        <v>90000</v>
      </c>
      <c r="Y7" s="37">
        <f>IF(V7&lt;X7,0,V7-X7)</f>
        <v>10000</v>
      </c>
      <c r="Z7" s="39">
        <f>D7+X7</f>
        <v>90000</v>
      </c>
      <c r="AA7" s="40">
        <f>IF(B7&gt;Z7,B7-Z7,Z7-B7)</f>
        <v>10000</v>
      </c>
    </row>
    <row r="8" spans="1:27" x14ac:dyDescent="0.25">
      <c r="A8" s="41" t="s">
        <v>139</v>
      </c>
      <c r="B8" s="42">
        <v>100000</v>
      </c>
      <c r="C8" s="42"/>
      <c r="D8" s="43"/>
      <c r="E8" s="44"/>
      <c r="F8" s="45"/>
      <c r="G8" s="45"/>
      <c r="H8" s="46"/>
      <c r="I8" s="46"/>
      <c r="J8" s="47"/>
      <c r="K8" s="48"/>
      <c r="L8" s="48"/>
      <c r="M8" s="45"/>
      <c r="N8" s="45"/>
      <c r="O8" s="45"/>
      <c r="P8" s="49"/>
      <c r="Q8" s="50"/>
      <c r="R8" s="51"/>
      <c r="S8" s="52"/>
      <c r="T8" s="53"/>
      <c r="U8" s="53"/>
      <c r="V8" s="54"/>
      <c r="W8" s="55"/>
      <c r="X8" s="54"/>
      <c r="Y8" s="54"/>
      <c r="Z8" s="56"/>
      <c r="AA8" s="57"/>
    </row>
    <row r="9" spans="1:27" x14ac:dyDescent="0.25">
      <c r="A9" s="41" t="s">
        <v>140</v>
      </c>
      <c r="B9" s="42">
        <v>100000</v>
      </c>
      <c r="C9" s="42"/>
      <c r="D9" s="43"/>
      <c r="E9" s="44"/>
      <c r="F9" s="45"/>
      <c r="G9" s="45"/>
      <c r="H9" s="46"/>
      <c r="I9" s="46"/>
      <c r="J9" s="47"/>
      <c r="K9" s="48"/>
      <c r="L9" s="48"/>
      <c r="M9" s="45"/>
      <c r="N9" s="45"/>
      <c r="O9" s="45"/>
      <c r="P9" s="49"/>
      <c r="Q9" s="50"/>
      <c r="R9" s="51"/>
      <c r="S9" s="52"/>
      <c r="T9" s="53"/>
      <c r="U9" s="53"/>
      <c r="V9" s="54"/>
      <c r="W9" s="55"/>
      <c r="X9" s="54"/>
      <c r="Y9" s="54"/>
      <c r="Z9" s="56"/>
      <c r="AA9" s="57"/>
    </row>
    <row r="10" spans="1:27" x14ac:dyDescent="0.25">
      <c r="A10" s="41" t="s">
        <v>141</v>
      </c>
      <c r="B10" s="42">
        <v>100000</v>
      </c>
      <c r="C10" s="42"/>
      <c r="D10" s="43"/>
      <c r="E10" s="44"/>
      <c r="F10" s="45"/>
      <c r="G10" s="45"/>
      <c r="H10" s="46"/>
      <c r="I10" s="46"/>
      <c r="J10" s="47"/>
      <c r="K10" s="48"/>
      <c r="L10" s="48"/>
      <c r="M10" s="45"/>
      <c r="N10" s="45"/>
      <c r="O10" s="45"/>
      <c r="P10" s="49"/>
      <c r="Q10" s="50"/>
      <c r="R10" s="51"/>
      <c r="S10" s="52"/>
      <c r="T10" s="53"/>
      <c r="U10" s="53"/>
      <c r="V10" s="54"/>
      <c r="W10" s="55"/>
      <c r="X10" s="54"/>
      <c r="Y10" s="54"/>
      <c r="Z10" s="56"/>
      <c r="AA10" s="57"/>
    </row>
    <row r="11" spans="1:27" x14ac:dyDescent="0.25">
      <c r="A11" s="41" t="s">
        <v>142</v>
      </c>
      <c r="B11" s="42">
        <v>100000</v>
      </c>
      <c r="C11" s="42"/>
      <c r="D11" s="43"/>
      <c r="E11" s="44"/>
      <c r="F11" s="45"/>
      <c r="G11" s="45"/>
      <c r="H11" s="46"/>
      <c r="I11" s="46"/>
      <c r="J11" s="47"/>
      <c r="K11" s="48"/>
      <c r="L11" s="48"/>
      <c r="M11" s="45"/>
      <c r="N11" s="45"/>
      <c r="O11" s="45"/>
      <c r="P11" s="49"/>
      <c r="Q11" s="50"/>
      <c r="R11" s="51"/>
      <c r="S11" s="52"/>
      <c r="T11" s="53"/>
      <c r="U11" s="53"/>
      <c r="V11" s="54"/>
      <c r="W11" s="55"/>
      <c r="X11" s="54"/>
      <c r="Y11" s="54"/>
      <c r="Z11" s="56"/>
      <c r="AA11" s="57"/>
    </row>
    <row r="12" spans="1:27" x14ac:dyDescent="0.25">
      <c r="A12" s="41" t="s">
        <v>143</v>
      </c>
      <c r="B12" s="42">
        <v>100000</v>
      </c>
      <c r="C12" s="42"/>
      <c r="D12" s="43"/>
      <c r="E12" s="44"/>
      <c r="F12" s="45"/>
      <c r="G12" s="45"/>
      <c r="H12" s="46"/>
      <c r="I12" s="46"/>
      <c r="J12" s="47"/>
      <c r="K12" s="48"/>
      <c r="L12" s="48"/>
      <c r="M12" s="45"/>
      <c r="N12" s="45"/>
      <c r="O12" s="45"/>
      <c r="P12" s="49"/>
      <c r="Q12" s="50"/>
      <c r="R12" s="51"/>
      <c r="S12" s="52"/>
      <c r="T12" s="53"/>
      <c r="U12" s="53"/>
      <c r="V12" s="54"/>
      <c r="W12" s="55"/>
      <c r="X12" s="54"/>
      <c r="Y12" s="54"/>
      <c r="Z12" s="56"/>
      <c r="AA12" s="57"/>
    </row>
    <row r="13" spans="1:27" x14ac:dyDescent="0.25">
      <c r="A13" s="41" t="s">
        <v>144</v>
      </c>
      <c r="B13" s="42">
        <v>100000</v>
      </c>
      <c r="C13" s="42"/>
      <c r="D13" s="43"/>
      <c r="E13" s="44"/>
      <c r="F13" s="45"/>
      <c r="G13" s="45"/>
      <c r="H13" s="46"/>
      <c r="I13" s="46"/>
      <c r="J13" s="47"/>
      <c r="K13" s="48"/>
      <c r="L13" s="48"/>
      <c r="M13" s="45"/>
      <c r="N13" s="45"/>
      <c r="O13" s="45"/>
      <c r="P13" s="49"/>
      <c r="Q13" s="50"/>
      <c r="R13" s="51"/>
      <c r="S13" s="52"/>
      <c r="T13" s="53"/>
      <c r="U13" s="53"/>
      <c r="V13" s="54"/>
      <c r="W13" s="55"/>
      <c r="X13" s="54"/>
      <c r="Y13" s="54"/>
      <c r="Z13" s="56"/>
      <c r="AA13" s="57"/>
    </row>
    <row r="14" spans="1:27" x14ac:dyDescent="0.25">
      <c r="A14" s="58"/>
      <c r="B14" s="59"/>
      <c r="C14" s="59"/>
      <c r="D14" s="60"/>
      <c r="E14" s="61"/>
      <c r="F14" s="62"/>
      <c r="G14" s="62"/>
      <c r="H14" s="63"/>
      <c r="I14" s="63"/>
      <c r="J14" s="64"/>
      <c r="M14" s="62"/>
      <c r="N14" s="62"/>
      <c r="O14" s="62"/>
    </row>
    <row r="15" spans="1:27" ht="15.75" thickBot="1" x14ac:dyDescent="0.3">
      <c r="A15" s="65"/>
      <c r="B15" s="66"/>
      <c r="C15" s="66"/>
      <c r="D15" s="67"/>
      <c r="E15" s="68"/>
      <c r="F15" s="69"/>
      <c r="G15" s="69"/>
      <c r="H15" s="70"/>
      <c r="I15" s="70"/>
      <c r="J15" s="71"/>
      <c r="K15" s="72"/>
      <c r="L15" s="72"/>
      <c r="M15" s="69"/>
      <c r="N15" s="69"/>
      <c r="O15" s="69"/>
      <c r="P15" s="73"/>
      <c r="Q15" s="74"/>
      <c r="R15" s="75"/>
      <c r="S15" s="76"/>
      <c r="T15" s="77"/>
      <c r="U15" s="77"/>
      <c r="V15" s="78"/>
      <c r="W15" s="79"/>
      <c r="X15" s="78"/>
      <c r="Y15" s="78"/>
      <c r="Z15" s="80"/>
      <c r="AA15" s="81"/>
    </row>
    <row r="16" spans="1:27" x14ac:dyDescent="0.25">
      <c r="A16" s="82" t="s">
        <v>32</v>
      </c>
      <c r="B16" s="82">
        <f>SUM(B7:B15)</f>
        <v>700000</v>
      </c>
      <c r="C16" s="82">
        <f>SUM(C7:C15)</f>
        <v>0</v>
      </c>
      <c r="D16" s="83">
        <f>SUM(D7:D15)</f>
        <v>0</v>
      </c>
      <c r="E16" s="83"/>
      <c r="F16" s="83">
        <f>SUM(F7:F15)</f>
        <v>0</v>
      </c>
      <c r="G16" s="83"/>
      <c r="H16" s="83"/>
      <c r="I16" s="83"/>
      <c r="J16" s="83"/>
      <c r="K16" s="83"/>
      <c r="L16" s="83"/>
      <c r="M16" s="83">
        <f>SUM(M7:M15)</f>
        <v>0</v>
      </c>
      <c r="N16" s="83"/>
      <c r="O16" s="83"/>
      <c r="P16" s="84"/>
      <c r="Q16" s="84"/>
      <c r="R16" s="84"/>
      <c r="S16" s="84"/>
      <c r="T16" s="85">
        <f>SUM(T7:T15)</f>
        <v>0</v>
      </c>
      <c r="U16" s="85">
        <f>SUM(U7:U15)</f>
        <v>0</v>
      </c>
      <c r="V16" s="86">
        <f>SUM(V7:V15)</f>
        <v>100000</v>
      </c>
      <c r="W16" s="86"/>
      <c r="X16" s="86">
        <f>SUM(X7:X15)</f>
        <v>90000</v>
      </c>
      <c r="Y16" s="86">
        <f>SUM(Y7:Y15)</f>
        <v>10000</v>
      </c>
      <c r="Z16" s="87">
        <f>SUM(Z7:Z15)</f>
        <v>90000</v>
      </c>
      <c r="AA16" s="87">
        <f>SUM(AA7:AA15)</f>
        <v>10000</v>
      </c>
    </row>
    <row r="18" spans="25:30" x14ac:dyDescent="0.25">
      <c r="Y18" s="88"/>
      <c r="Z18" s="88"/>
      <c r="AA18" s="88"/>
      <c r="AB18" s="88"/>
      <c r="AC18" s="88"/>
      <c r="AD18" s="88"/>
    </row>
    <row r="19" spans="25:30" x14ac:dyDescent="0.25">
      <c r="Y19" s="88"/>
      <c r="Z19" s="88"/>
      <c r="AA19" s="88"/>
      <c r="AB19" s="88"/>
      <c r="AC19" s="88"/>
      <c r="AD19" s="88"/>
    </row>
    <row r="20" spans="25:30" x14ac:dyDescent="0.25">
      <c r="Y20" s="88"/>
      <c r="Z20" s="88"/>
      <c r="AA20" s="88"/>
      <c r="AB20" s="88"/>
      <c r="AC20" s="88"/>
      <c r="AD20" s="88"/>
    </row>
  </sheetData>
  <mergeCells count="7">
    <mergeCell ref="D4:S4"/>
    <mergeCell ref="V4:Y4"/>
    <mergeCell ref="Z4:AA4"/>
    <mergeCell ref="H5:I5"/>
    <mergeCell ref="J5:L5"/>
    <mergeCell ref="O5:P5"/>
    <mergeCell ref="Q5:S5"/>
  </mergeCells>
  <conditionalFormatting sqref="AA7">
    <cfRule type="expression" dxfId="65" priority="1" stopIfTrue="1">
      <formula>$B$7&gt;$Z$7</formula>
    </cfRule>
    <cfRule type="expression" dxfId="64" priority="2" stopIfTrue="1">
      <formula>AA7&gt;=0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9" sqref="C19"/>
    </sheetView>
  </sheetViews>
  <sheetFormatPr baseColWidth="10" defaultRowHeight="15" x14ac:dyDescent="0.25"/>
  <cols>
    <col min="1" max="1" width="16.140625" style="89" customWidth="1"/>
    <col min="2" max="2" width="14.85546875" style="89" customWidth="1"/>
    <col min="3" max="3" width="10.42578125" style="89" bestFit="1" customWidth="1"/>
    <col min="4" max="4" width="11" style="89" bestFit="1" customWidth="1"/>
    <col min="5" max="5" width="14.5703125" style="89" bestFit="1" customWidth="1"/>
    <col min="6" max="6" width="11.5703125" style="89" bestFit="1" customWidth="1"/>
    <col min="7" max="7" width="13.140625" style="89" bestFit="1" customWidth="1"/>
    <col min="8" max="8" width="14.7109375" style="89" bestFit="1" customWidth="1"/>
    <col min="9" max="10" width="14.140625" style="89" bestFit="1" customWidth="1"/>
    <col min="11" max="11" width="18" style="89" bestFit="1" customWidth="1"/>
    <col min="12" max="12" width="17.140625" style="89" customWidth="1"/>
    <col min="13" max="13" width="6.7109375" style="89" customWidth="1"/>
    <col min="14" max="14" width="15" style="89" customWidth="1"/>
    <col min="15" max="15" width="7.7109375" style="89" customWidth="1"/>
    <col min="16" max="16" width="9.140625" style="89" customWidth="1"/>
    <col min="17" max="20" width="14.28515625" style="89" customWidth="1"/>
    <col min="21" max="21" width="15.5703125" style="89" customWidth="1"/>
    <col min="22" max="28" width="11.42578125" style="89"/>
    <col min="29" max="31" width="11.5703125" style="89" bestFit="1" customWidth="1"/>
    <col min="32" max="41" width="12.5703125" style="89" bestFit="1" customWidth="1"/>
    <col min="42" max="256" width="11.42578125" style="89"/>
    <col min="257" max="257" width="16.140625" style="89" customWidth="1"/>
    <col min="258" max="258" width="14.85546875" style="89" customWidth="1"/>
    <col min="259" max="259" width="10.42578125" style="89" bestFit="1" customWidth="1"/>
    <col min="260" max="260" width="11" style="89" bestFit="1" customWidth="1"/>
    <col min="261" max="261" width="14.5703125" style="89" bestFit="1" customWidth="1"/>
    <col min="262" max="262" width="11.5703125" style="89" bestFit="1" customWidth="1"/>
    <col min="263" max="263" width="13.140625" style="89" bestFit="1" customWidth="1"/>
    <col min="264" max="264" width="14.7109375" style="89" bestFit="1" customWidth="1"/>
    <col min="265" max="266" width="14.140625" style="89" bestFit="1" customWidth="1"/>
    <col min="267" max="267" width="18" style="89" bestFit="1" customWidth="1"/>
    <col min="268" max="268" width="17.140625" style="89" customWidth="1"/>
    <col min="269" max="269" width="6.7109375" style="89" customWidth="1"/>
    <col min="270" max="270" width="15" style="89" customWidth="1"/>
    <col min="271" max="271" width="7.7109375" style="89" customWidth="1"/>
    <col min="272" max="272" width="9.140625" style="89" customWidth="1"/>
    <col min="273" max="276" width="14.28515625" style="89" customWidth="1"/>
    <col min="277" max="277" width="15.5703125" style="89" customWidth="1"/>
    <col min="278" max="284" width="11.42578125" style="89"/>
    <col min="285" max="287" width="11.5703125" style="89" bestFit="1" customWidth="1"/>
    <col min="288" max="297" width="12.5703125" style="89" bestFit="1" customWidth="1"/>
    <col min="298" max="512" width="11.42578125" style="89"/>
    <col min="513" max="513" width="16.140625" style="89" customWidth="1"/>
    <col min="514" max="514" width="14.85546875" style="89" customWidth="1"/>
    <col min="515" max="515" width="10.42578125" style="89" bestFit="1" customWidth="1"/>
    <col min="516" max="516" width="11" style="89" bestFit="1" customWidth="1"/>
    <col min="517" max="517" width="14.5703125" style="89" bestFit="1" customWidth="1"/>
    <col min="518" max="518" width="11.5703125" style="89" bestFit="1" customWidth="1"/>
    <col min="519" max="519" width="13.140625" style="89" bestFit="1" customWidth="1"/>
    <col min="520" max="520" width="14.7109375" style="89" bestFit="1" customWidth="1"/>
    <col min="521" max="522" width="14.140625" style="89" bestFit="1" customWidth="1"/>
    <col min="523" max="523" width="18" style="89" bestFit="1" customWidth="1"/>
    <col min="524" max="524" width="17.140625" style="89" customWidth="1"/>
    <col min="525" max="525" width="6.7109375" style="89" customWidth="1"/>
    <col min="526" max="526" width="15" style="89" customWidth="1"/>
    <col min="527" max="527" width="7.7109375" style="89" customWidth="1"/>
    <col min="528" max="528" width="9.140625" style="89" customWidth="1"/>
    <col min="529" max="532" width="14.28515625" style="89" customWidth="1"/>
    <col min="533" max="533" width="15.5703125" style="89" customWidth="1"/>
    <col min="534" max="540" width="11.42578125" style="89"/>
    <col min="541" max="543" width="11.5703125" style="89" bestFit="1" customWidth="1"/>
    <col min="544" max="553" width="12.5703125" style="89" bestFit="1" customWidth="1"/>
    <col min="554" max="768" width="11.42578125" style="89"/>
    <col min="769" max="769" width="16.140625" style="89" customWidth="1"/>
    <col min="770" max="770" width="14.85546875" style="89" customWidth="1"/>
    <col min="771" max="771" width="10.42578125" style="89" bestFit="1" customWidth="1"/>
    <col min="772" max="772" width="11" style="89" bestFit="1" customWidth="1"/>
    <col min="773" max="773" width="14.5703125" style="89" bestFit="1" customWidth="1"/>
    <col min="774" max="774" width="11.5703125" style="89" bestFit="1" customWidth="1"/>
    <col min="775" max="775" width="13.140625" style="89" bestFit="1" customWidth="1"/>
    <col min="776" max="776" width="14.7109375" style="89" bestFit="1" customWidth="1"/>
    <col min="777" max="778" width="14.140625" style="89" bestFit="1" customWidth="1"/>
    <col min="779" max="779" width="18" style="89" bestFit="1" customWidth="1"/>
    <col min="780" max="780" width="17.140625" style="89" customWidth="1"/>
    <col min="781" max="781" width="6.7109375" style="89" customWidth="1"/>
    <col min="782" max="782" width="15" style="89" customWidth="1"/>
    <col min="783" max="783" width="7.7109375" style="89" customWidth="1"/>
    <col min="784" max="784" width="9.140625" style="89" customWidth="1"/>
    <col min="785" max="788" width="14.28515625" style="89" customWidth="1"/>
    <col min="789" max="789" width="15.5703125" style="89" customWidth="1"/>
    <col min="790" max="796" width="11.42578125" style="89"/>
    <col min="797" max="799" width="11.5703125" style="89" bestFit="1" customWidth="1"/>
    <col min="800" max="809" width="12.5703125" style="89" bestFit="1" customWidth="1"/>
    <col min="810" max="1024" width="11.42578125" style="89"/>
    <col min="1025" max="1025" width="16.140625" style="89" customWidth="1"/>
    <col min="1026" max="1026" width="14.85546875" style="89" customWidth="1"/>
    <col min="1027" max="1027" width="10.42578125" style="89" bestFit="1" customWidth="1"/>
    <col min="1028" max="1028" width="11" style="89" bestFit="1" customWidth="1"/>
    <col min="1029" max="1029" width="14.5703125" style="89" bestFit="1" customWidth="1"/>
    <col min="1030" max="1030" width="11.5703125" style="89" bestFit="1" customWidth="1"/>
    <col min="1031" max="1031" width="13.140625" style="89" bestFit="1" customWidth="1"/>
    <col min="1032" max="1032" width="14.7109375" style="89" bestFit="1" customWidth="1"/>
    <col min="1033" max="1034" width="14.140625" style="89" bestFit="1" customWidth="1"/>
    <col min="1035" max="1035" width="18" style="89" bestFit="1" customWidth="1"/>
    <col min="1036" max="1036" width="17.140625" style="89" customWidth="1"/>
    <col min="1037" max="1037" width="6.7109375" style="89" customWidth="1"/>
    <col min="1038" max="1038" width="15" style="89" customWidth="1"/>
    <col min="1039" max="1039" width="7.7109375" style="89" customWidth="1"/>
    <col min="1040" max="1040" width="9.140625" style="89" customWidth="1"/>
    <col min="1041" max="1044" width="14.28515625" style="89" customWidth="1"/>
    <col min="1045" max="1045" width="15.5703125" style="89" customWidth="1"/>
    <col min="1046" max="1052" width="11.42578125" style="89"/>
    <col min="1053" max="1055" width="11.5703125" style="89" bestFit="1" customWidth="1"/>
    <col min="1056" max="1065" width="12.5703125" style="89" bestFit="1" customWidth="1"/>
    <col min="1066" max="1280" width="11.42578125" style="89"/>
    <col min="1281" max="1281" width="16.140625" style="89" customWidth="1"/>
    <col min="1282" max="1282" width="14.85546875" style="89" customWidth="1"/>
    <col min="1283" max="1283" width="10.42578125" style="89" bestFit="1" customWidth="1"/>
    <col min="1284" max="1284" width="11" style="89" bestFit="1" customWidth="1"/>
    <col min="1285" max="1285" width="14.5703125" style="89" bestFit="1" customWidth="1"/>
    <col min="1286" max="1286" width="11.5703125" style="89" bestFit="1" customWidth="1"/>
    <col min="1287" max="1287" width="13.140625" style="89" bestFit="1" customWidth="1"/>
    <col min="1288" max="1288" width="14.7109375" style="89" bestFit="1" customWidth="1"/>
    <col min="1289" max="1290" width="14.140625" style="89" bestFit="1" customWidth="1"/>
    <col min="1291" max="1291" width="18" style="89" bestFit="1" customWidth="1"/>
    <col min="1292" max="1292" width="17.140625" style="89" customWidth="1"/>
    <col min="1293" max="1293" width="6.7109375" style="89" customWidth="1"/>
    <col min="1294" max="1294" width="15" style="89" customWidth="1"/>
    <col min="1295" max="1295" width="7.7109375" style="89" customWidth="1"/>
    <col min="1296" max="1296" width="9.140625" style="89" customWidth="1"/>
    <col min="1297" max="1300" width="14.28515625" style="89" customWidth="1"/>
    <col min="1301" max="1301" width="15.5703125" style="89" customWidth="1"/>
    <col min="1302" max="1308" width="11.42578125" style="89"/>
    <col min="1309" max="1311" width="11.5703125" style="89" bestFit="1" customWidth="1"/>
    <col min="1312" max="1321" width="12.5703125" style="89" bestFit="1" customWidth="1"/>
    <col min="1322" max="1536" width="11.42578125" style="89"/>
    <col min="1537" max="1537" width="16.140625" style="89" customWidth="1"/>
    <col min="1538" max="1538" width="14.85546875" style="89" customWidth="1"/>
    <col min="1539" max="1539" width="10.42578125" style="89" bestFit="1" customWidth="1"/>
    <col min="1540" max="1540" width="11" style="89" bestFit="1" customWidth="1"/>
    <col min="1541" max="1541" width="14.5703125" style="89" bestFit="1" customWidth="1"/>
    <col min="1542" max="1542" width="11.5703125" style="89" bestFit="1" customWidth="1"/>
    <col min="1543" max="1543" width="13.140625" style="89" bestFit="1" customWidth="1"/>
    <col min="1544" max="1544" width="14.7109375" style="89" bestFit="1" customWidth="1"/>
    <col min="1545" max="1546" width="14.140625" style="89" bestFit="1" customWidth="1"/>
    <col min="1547" max="1547" width="18" style="89" bestFit="1" customWidth="1"/>
    <col min="1548" max="1548" width="17.140625" style="89" customWidth="1"/>
    <col min="1549" max="1549" width="6.7109375" style="89" customWidth="1"/>
    <col min="1550" max="1550" width="15" style="89" customWidth="1"/>
    <col min="1551" max="1551" width="7.7109375" style="89" customWidth="1"/>
    <col min="1552" max="1552" width="9.140625" style="89" customWidth="1"/>
    <col min="1553" max="1556" width="14.28515625" style="89" customWidth="1"/>
    <col min="1557" max="1557" width="15.5703125" style="89" customWidth="1"/>
    <col min="1558" max="1564" width="11.42578125" style="89"/>
    <col min="1565" max="1567" width="11.5703125" style="89" bestFit="1" customWidth="1"/>
    <col min="1568" max="1577" width="12.5703125" style="89" bestFit="1" customWidth="1"/>
    <col min="1578" max="1792" width="11.42578125" style="89"/>
    <col min="1793" max="1793" width="16.140625" style="89" customWidth="1"/>
    <col min="1794" max="1794" width="14.85546875" style="89" customWidth="1"/>
    <col min="1795" max="1795" width="10.42578125" style="89" bestFit="1" customWidth="1"/>
    <col min="1796" max="1796" width="11" style="89" bestFit="1" customWidth="1"/>
    <col min="1797" max="1797" width="14.5703125" style="89" bestFit="1" customWidth="1"/>
    <col min="1798" max="1798" width="11.5703125" style="89" bestFit="1" customWidth="1"/>
    <col min="1799" max="1799" width="13.140625" style="89" bestFit="1" customWidth="1"/>
    <col min="1800" max="1800" width="14.7109375" style="89" bestFit="1" customWidth="1"/>
    <col min="1801" max="1802" width="14.140625" style="89" bestFit="1" customWidth="1"/>
    <col min="1803" max="1803" width="18" style="89" bestFit="1" customWidth="1"/>
    <col min="1804" max="1804" width="17.140625" style="89" customWidth="1"/>
    <col min="1805" max="1805" width="6.7109375" style="89" customWidth="1"/>
    <col min="1806" max="1806" width="15" style="89" customWidth="1"/>
    <col min="1807" max="1807" width="7.7109375" style="89" customWidth="1"/>
    <col min="1808" max="1808" width="9.140625" style="89" customWidth="1"/>
    <col min="1809" max="1812" width="14.28515625" style="89" customWidth="1"/>
    <col min="1813" max="1813" width="15.5703125" style="89" customWidth="1"/>
    <col min="1814" max="1820" width="11.42578125" style="89"/>
    <col min="1821" max="1823" width="11.5703125" style="89" bestFit="1" customWidth="1"/>
    <col min="1824" max="1833" width="12.5703125" style="89" bestFit="1" customWidth="1"/>
    <col min="1834" max="2048" width="11.42578125" style="89"/>
    <col min="2049" max="2049" width="16.140625" style="89" customWidth="1"/>
    <col min="2050" max="2050" width="14.85546875" style="89" customWidth="1"/>
    <col min="2051" max="2051" width="10.42578125" style="89" bestFit="1" customWidth="1"/>
    <col min="2052" max="2052" width="11" style="89" bestFit="1" customWidth="1"/>
    <col min="2053" max="2053" width="14.5703125" style="89" bestFit="1" customWidth="1"/>
    <col min="2054" max="2054" width="11.5703125" style="89" bestFit="1" customWidth="1"/>
    <col min="2055" max="2055" width="13.140625" style="89" bestFit="1" customWidth="1"/>
    <col min="2056" max="2056" width="14.7109375" style="89" bestFit="1" customWidth="1"/>
    <col min="2057" max="2058" width="14.140625" style="89" bestFit="1" customWidth="1"/>
    <col min="2059" max="2059" width="18" style="89" bestFit="1" customWidth="1"/>
    <col min="2060" max="2060" width="17.140625" style="89" customWidth="1"/>
    <col min="2061" max="2061" width="6.7109375" style="89" customWidth="1"/>
    <col min="2062" max="2062" width="15" style="89" customWidth="1"/>
    <col min="2063" max="2063" width="7.7109375" style="89" customWidth="1"/>
    <col min="2064" max="2064" width="9.140625" style="89" customWidth="1"/>
    <col min="2065" max="2068" width="14.28515625" style="89" customWidth="1"/>
    <col min="2069" max="2069" width="15.5703125" style="89" customWidth="1"/>
    <col min="2070" max="2076" width="11.42578125" style="89"/>
    <col min="2077" max="2079" width="11.5703125" style="89" bestFit="1" customWidth="1"/>
    <col min="2080" max="2089" width="12.5703125" style="89" bestFit="1" customWidth="1"/>
    <col min="2090" max="2304" width="11.42578125" style="89"/>
    <col min="2305" max="2305" width="16.140625" style="89" customWidth="1"/>
    <col min="2306" max="2306" width="14.85546875" style="89" customWidth="1"/>
    <col min="2307" max="2307" width="10.42578125" style="89" bestFit="1" customWidth="1"/>
    <col min="2308" max="2308" width="11" style="89" bestFit="1" customWidth="1"/>
    <col min="2309" max="2309" width="14.5703125" style="89" bestFit="1" customWidth="1"/>
    <col min="2310" max="2310" width="11.5703125" style="89" bestFit="1" customWidth="1"/>
    <col min="2311" max="2311" width="13.140625" style="89" bestFit="1" customWidth="1"/>
    <col min="2312" max="2312" width="14.7109375" style="89" bestFit="1" customWidth="1"/>
    <col min="2313" max="2314" width="14.140625" style="89" bestFit="1" customWidth="1"/>
    <col min="2315" max="2315" width="18" style="89" bestFit="1" customWidth="1"/>
    <col min="2316" max="2316" width="17.140625" style="89" customWidth="1"/>
    <col min="2317" max="2317" width="6.7109375" style="89" customWidth="1"/>
    <col min="2318" max="2318" width="15" style="89" customWidth="1"/>
    <col min="2319" max="2319" width="7.7109375" style="89" customWidth="1"/>
    <col min="2320" max="2320" width="9.140625" style="89" customWidth="1"/>
    <col min="2321" max="2324" width="14.28515625" style="89" customWidth="1"/>
    <col min="2325" max="2325" width="15.5703125" style="89" customWidth="1"/>
    <col min="2326" max="2332" width="11.42578125" style="89"/>
    <col min="2333" max="2335" width="11.5703125" style="89" bestFit="1" customWidth="1"/>
    <col min="2336" max="2345" width="12.5703125" style="89" bestFit="1" customWidth="1"/>
    <col min="2346" max="2560" width="11.42578125" style="89"/>
    <col min="2561" max="2561" width="16.140625" style="89" customWidth="1"/>
    <col min="2562" max="2562" width="14.85546875" style="89" customWidth="1"/>
    <col min="2563" max="2563" width="10.42578125" style="89" bestFit="1" customWidth="1"/>
    <col min="2564" max="2564" width="11" style="89" bestFit="1" customWidth="1"/>
    <col min="2565" max="2565" width="14.5703125" style="89" bestFit="1" customWidth="1"/>
    <col min="2566" max="2566" width="11.5703125" style="89" bestFit="1" customWidth="1"/>
    <col min="2567" max="2567" width="13.140625" style="89" bestFit="1" customWidth="1"/>
    <col min="2568" max="2568" width="14.7109375" style="89" bestFit="1" customWidth="1"/>
    <col min="2569" max="2570" width="14.140625" style="89" bestFit="1" customWidth="1"/>
    <col min="2571" max="2571" width="18" style="89" bestFit="1" customWidth="1"/>
    <col min="2572" max="2572" width="17.140625" style="89" customWidth="1"/>
    <col min="2573" max="2573" width="6.7109375" style="89" customWidth="1"/>
    <col min="2574" max="2574" width="15" style="89" customWidth="1"/>
    <col min="2575" max="2575" width="7.7109375" style="89" customWidth="1"/>
    <col min="2576" max="2576" width="9.140625" style="89" customWidth="1"/>
    <col min="2577" max="2580" width="14.28515625" style="89" customWidth="1"/>
    <col min="2581" max="2581" width="15.5703125" style="89" customWidth="1"/>
    <col min="2582" max="2588" width="11.42578125" style="89"/>
    <col min="2589" max="2591" width="11.5703125" style="89" bestFit="1" customWidth="1"/>
    <col min="2592" max="2601" width="12.5703125" style="89" bestFit="1" customWidth="1"/>
    <col min="2602" max="2816" width="11.42578125" style="89"/>
    <col min="2817" max="2817" width="16.140625" style="89" customWidth="1"/>
    <col min="2818" max="2818" width="14.85546875" style="89" customWidth="1"/>
    <col min="2819" max="2819" width="10.42578125" style="89" bestFit="1" customWidth="1"/>
    <col min="2820" max="2820" width="11" style="89" bestFit="1" customWidth="1"/>
    <col min="2821" max="2821" width="14.5703125" style="89" bestFit="1" customWidth="1"/>
    <col min="2822" max="2822" width="11.5703125" style="89" bestFit="1" customWidth="1"/>
    <col min="2823" max="2823" width="13.140625" style="89" bestFit="1" customWidth="1"/>
    <col min="2824" max="2824" width="14.7109375" style="89" bestFit="1" customWidth="1"/>
    <col min="2825" max="2826" width="14.140625" style="89" bestFit="1" customWidth="1"/>
    <col min="2827" max="2827" width="18" style="89" bestFit="1" customWidth="1"/>
    <col min="2828" max="2828" width="17.140625" style="89" customWidth="1"/>
    <col min="2829" max="2829" width="6.7109375" style="89" customWidth="1"/>
    <col min="2830" max="2830" width="15" style="89" customWidth="1"/>
    <col min="2831" max="2831" width="7.7109375" style="89" customWidth="1"/>
    <col min="2832" max="2832" width="9.140625" style="89" customWidth="1"/>
    <col min="2833" max="2836" width="14.28515625" style="89" customWidth="1"/>
    <col min="2837" max="2837" width="15.5703125" style="89" customWidth="1"/>
    <col min="2838" max="2844" width="11.42578125" style="89"/>
    <col min="2845" max="2847" width="11.5703125" style="89" bestFit="1" customWidth="1"/>
    <col min="2848" max="2857" width="12.5703125" style="89" bestFit="1" customWidth="1"/>
    <col min="2858" max="3072" width="11.42578125" style="89"/>
    <col min="3073" max="3073" width="16.140625" style="89" customWidth="1"/>
    <col min="3074" max="3074" width="14.85546875" style="89" customWidth="1"/>
    <col min="3075" max="3075" width="10.42578125" style="89" bestFit="1" customWidth="1"/>
    <col min="3076" max="3076" width="11" style="89" bestFit="1" customWidth="1"/>
    <col min="3077" max="3077" width="14.5703125" style="89" bestFit="1" customWidth="1"/>
    <col min="3078" max="3078" width="11.5703125" style="89" bestFit="1" customWidth="1"/>
    <col min="3079" max="3079" width="13.140625" style="89" bestFit="1" customWidth="1"/>
    <col min="3080" max="3080" width="14.7109375" style="89" bestFit="1" customWidth="1"/>
    <col min="3081" max="3082" width="14.140625" style="89" bestFit="1" customWidth="1"/>
    <col min="3083" max="3083" width="18" style="89" bestFit="1" customWidth="1"/>
    <col min="3084" max="3084" width="17.140625" style="89" customWidth="1"/>
    <col min="3085" max="3085" width="6.7109375" style="89" customWidth="1"/>
    <col min="3086" max="3086" width="15" style="89" customWidth="1"/>
    <col min="3087" max="3087" width="7.7109375" style="89" customWidth="1"/>
    <col min="3088" max="3088" width="9.140625" style="89" customWidth="1"/>
    <col min="3089" max="3092" width="14.28515625" style="89" customWidth="1"/>
    <col min="3093" max="3093" width="15.5703125" style="89" customWidth="1"/>
    <col min="3094" max="3100" width="11.42578125" style="89"/>
    <col min="3101" max="3103" width="11.5703125" style="89" bestFit="1" customWidth="1"/>
    <col min="3104" max="3113" width="12.5703125" style="89" bestFit="1" customWidth="1"/>
    <col min="3114" max="3328" width="11.42578125" style="89"/>
    <col min="3329" max="3329" width="16.140625" style="89" customWidth="1"/>
    <col min="3330" max="3330" width="14.85546875" style="89" customWidth="1"/>
    <col min="3331" max="3331" width="10.42578125" style="89" bestFit="1" customWidth="1"/>
    <col min="3332" max="3332" width="11" style="89" bestFit="1" customWidth="1"/>
    <col min="3333" max="3333" width="14.5703125" style="89" bestFit="1" customWidth="1"/>
    <col min="3334" max="3334" width="11.5703125" style="89" bestFit="1" customWidth="1"/>
    <col min="3335" max="3335" width="13.140625" style="89" bestFit="1" customWidth="1"/>
    <col min="3336" max="3336" width="14.7109375" style="89" bestFit="1" customWidth="1"/>
    <col min="3337" max="3338" width="14.140625" style="89" bestFit="1" customWidth="1"/>
    <col min="3339" max="3339" width="18" style="89" bestFit="1" customWidth="1"/>
    <col min="3340" max="3340" width="17.140625" style="89" customWidth="1"/>
    <col min="3341" max="3341" width="6.7109375" style="89" customWidth="1"/>
    <col min="3342" max="3342" width="15" style="89" customWidth="1"/>
    <col min="3343" max="3343" width="7.7109375" style="89" customWidth="1"/>
    <col min="3344" max="3344" width="9.140625" style="89" customWidth="1"/>
    <col min="3345" max="3348" width="14.28515625" style="89" customWidth="1"/>
    <col min="3349" max="3349" width="15.5703125" style="89" customWidth="1"/>
    <col min="3350" max="3356" width="11.42578125" style="89"/>
    <col min="3357" max="3359" width="11.5703125" style="89" bestFit="1" customWidth="1"/>
    <col min="3360" max="3369" width="12.5703125" style="89" bestFit="1" customWidth="1"/>
    <col min="3370" max="3584" width="11.42578125" style="89"/>
    <col min="3585" max="3585" width="16.140625" style="89" customWidth="1"/>
    <col min="3586" max="3586" width="14.85546875" style="89" customWidth="1"/>
    <col min="3587" max="3587" width="10.42578125" style="89" bestFit="1" customWidth="1"/>
    <col min="3588" max="3588" width="11" style="89" bestFit="1" customWidth="1"/>
    <col min="3589" max="3589" width="14.5703125" style="89" bestFit="1" customWidth="1"/>
    <col min="3590" max="3590" width="11.5703125" style="89" bestFit="1" customWidth="1"/>
    <col min="3591" max="3591" width="13.140625" style="89" bestFit="1" customWidth="1"/>
    <col min="3592" max="3592" width="14.7109375" style="89" bestFit="1" customWidth="1"/>
    <col min="3593" max="3594" width="14.140625" style="89" bestFit="1" customWidth="1"/>
    <col min="3595" max="3595" width="18" style="89" bestFit="1" customWidth="1"/>
    <col min="3596" max="3596" width="17.140625" style="89" customWidth="1"/>
    <col min="3597" max="3597" width="6.7109375" style="89" customWidth="1"/>
    <col min="3598" max="3598" width="15" style="89" customWidth="1"/>
    <col min="3599" max="3599" width="7.7109375" style="89" customWidth="1"/>
    <col min="3600" max="3600" width="9.140625" style="89" customWidth="1"/>
    <col min="3601" max="3604" width="14.28515625" style="89" customWidth="1"/>
    <col min="3605" max="3605" width="15.5703125" style="89" customWidth="1"/>
    <col min="3606" max="3612" width="11.42578125" style="89"/>
    <col min="3613" max="3615" width="11.5703125" style="89" bestFit="1" customWidth="1"/>
    <col min="3616" max="3625" width="12.5703125" style="89" bestFit="1" customWidth="1"/>
    <col min="3626" max="3840" width="11.42578125" style="89"/>
    <col min="3841" max="3841" width="16.140625" style="89" customWidth="1"/>
    <col min="3842" max="3842" width="14.85546875" style="89" customWidth="1"/>
    <col min="3843" max="3843" width="10.42578125" style="89" bestFit="1" customWidth="1"/>
    <col min="3844" max="3844" width="11" style="89" bestFit="1" customWidth="1"/>
    <col min="3845" max="3845" width="14.5703125" style="89" bestFit="1" customWidth="1"/>
    <col min="3846" max="3846" width="11.5703125" style="89" bestFit="1" customWidth="1"/>
    <col min="3847" max="3847" width="13.140625" style="89" bestFit="1" customWidth="1"/>
    <col min="3848" max="3848" width="14.7109375" style="89" bestFit="1" customWidth="1"/>
    <col min="3849" max="3850" width="14.140625" style="89" bestFit="1" customWidth="1"/>
    <col min="3851" max="3851" width="18" style="89" bestFit="1" customWidth="1"/>
    <col min="3852" max="3852" width="17.140625" style="89" customWidth="1"/>
    <col min="3853" max="3853" width="6.7109375" style="89" customWidth="1"/>
    <col min="3854" max="3854" width="15" style="89" customWidth="1"/>
    <col min="3855" max="3855" width="7.7109375" style="89" customWidth="1"/>
    <col min="3856" max="3856" width="9.140625" style="89" customWidth="1"/>
    <col min="3857" max="3860" width="14.28515625" style="89" customWidth="1"/>
    <col min="3861" max="3861" width="15.5703125" style="89" customWidth="1"/>
    <col min="3862" max="3868" width="11.42578125" style="89"/>
    <col min="3869" max="3871" width="11.5703125" style="89" bestFit="1" customWidth="1"/>
    <col min="3872" max="3881" width="12.5703125" style="89" bestFit="1" customWidth="1"/>
    <col min="3882" max="4096" width="11.42578125" style="89"/>
    <col min="4097" max="4097" width="16.140625" style="89" customWidth="1"/>
    <col min="4098" max="4098" width="14.85546875" style="89" customWidth="1"/>
    <col min="4099" max="4099" width="10.42578125" style="89" bestFit="1" customWidth="1"/>
    <col min="4100" max="4100" width="11" style="89" bestFit="1" customWidth="1"/>
    <col min="4101" max="4101" width="14.5703125" style="89" bestFit="1" customWidth="1"/>
    <col min="4102" max="4102" width="11.5703125" style="89" bestFit="1" customWidth="1"/>
    <col min="4103" max="4103" width="13.140625" style="89" bestFit="1" customWidth="1"/>
    <col min="4104" max="4104" width="14.7109375" style="89" bestFit="1" customWidth="1"/>
    <col min="4105" max="4106" width="14.140625" style="89" bestFit="1" customWidth="1"/>
    <col min="4107" max="4107" width="18" style="89" bestFit="1" customWidth="1"/>
    <col min="4108" max="4108" width="17.140625" style="89" customWidth="1"/>
    <col min="4109" max="4109" width="6.7109375" style="89" customWidth="1"/>
    <col min="4110" max="4110" width="15" style="89" customWidth="1"/>
    <col min="4111" max="4111" width="7.7109375" style="89" customWidth="1"/>
    <col min="4112" max="4112" width="9.140625" style="89" customWidth="1"/>
    <col min="4113" max="4116" width="14.28515625" style="89" customWidth="1"/>
    <col min="4117" max="4117" width="15.5703125" style="89" customWidth="1"/>
    <col min="4118" max="4124" width="11.42578125" style="89"/>
    <col min="4125" max="4127" width="11.5703125" style="89" bestFit="1" customWidth="1"/>
    <col min="4128" max="4137" width="12.5703125" style="89" bestFit="1" customWidth="1"/>
    <col min="4138" max="4352" width="11.42578125" style="89"/>
    <col min="4353" max="4353" width="16.140625" style="89" customWidth="1"/>
    <col min="4354" max="4354" width="14.85546875" style="89" customWidth="1"/>
    <col min="4355" max="4355" width="10.42578125" style="89" bestFit="1" customWidth="1"/>
    <col min="4356" max="4356" width="11" style="89" bestFit="1" customWidth="1"/>
    <col min="4357" max="4357" width="14.5703125" style="89" bestFit="1" customWidth="1"/>
    <col min="4358" max="4358" width="11.5703125" style="89" bestFit="1" customWidth="1"/>
    <col min="4359" max="4359" width="13.140625" style="89" bestFit="1" customWidth="1"/>
    <col min="4360" max="4360" width="14.7109375" style="89" bestFit="1" customWidth="1"/>
    <col min="4361" max="4362" width="14.140625" style="89" bestFit="1" customWidth="1"/>
    <col min="4363" max="4363" width="18" style="89" bestFit="1" customWidth="1"/>
    <col min="4364" max="4364" width="17.140625" style="89" customWidth="1"/>
    <col min="4365" max="4365" width="6.7109375" style="89" customWidth="1"/>
    <col min="4366" max="4366" width="15" style="89" customWidth="1"/>
    <col min="4367" max="4367" width="7.7109375" style="89" customWidth="1"/>
    <col min="4368" max="4368" width="9.140625" style="89" customWidth="1"/>
    <col min="4369" max="4372" width="14.28515625" style="89" customWidth="1"/>
    <col min="4373" max="4373" width="15.5703125" style="89" customWidth="1"/>
    <col min="4374" max="4380" width="11.42578125" style="89"/>
    <col min="4381" max="4383" width="11.5703125" style="89" bestFit="1" customWidth="1"/>
    <col min="4384" max="4393" width="12.5703125" style="89" bestFit="1" customWidth="1"/>
    <col min="4394" max="4608" width="11.42578125" style="89"/>
    <col min="4609" max="4609" width="16.140625" style="89" customWidth="1"/>
    <col min="4610" max="4610" width="14.85546875" style="89" customWidth="1"/>
    <col min="4611" max="4611" width="10.42578125" style="89" bestFit="1" customWidth="1"/>
    <col min="4612" max="4612" width="11" style="89" bestFit="1" customWidth="1"/>
    <col min="4613" max="4613" width="14.5703125" style="89" bestFit="1" customWidth="1"/>
    <col min="4614" max="4614" width="11.5703125" style="89" bestFit="1" customWidth="1"/>
    <col min="4615" max="4615" width="13.140625" style="89" bestFit="1" customWidth="1"/>
    <col min="4616" max="4616" width="14.7109375" style="89" bestFit="1" customWidth="1"/>
    <col min="4617" max="4618" width="14.140625" style="89" bestFit="1" customWidth="1"/>
    <col min="4619" max="4619" width="18" style="89" bestFit="1" customWidth="1"/>
    <col min="4620" max="4620" width="17.140625" style="89" customWidth="1"/>
    <col min="4621" max="4621" width="6.7109375" style="89" customWidth="1"/>
    <col min="4622" max="4622" width="15" style="89" customWidth="1"/>
    <col min="4623" max="4623" width="7.7109375" style="89" customWidth="1"/>
    <col min="4624" max="4624" width="9.140625" style="89" customWidth="1"/>
    <col min="4625" max="4628" width="14.28515625" style="89" customWidth="1"/>
    <col min="4629" max="4629" width="15.5703125" style="89" customWidth="1"/>
    <col min="4630" max="4636" width="11.42578125" style="89"/>
    <col min="4637" max="4639" width="11.5703125" style="89" bestFit="1" customWidth="1"/>
    <col min="4640" max="4649" width="12.5703125" style="89" bestFit="1" customWidth="1"/>
    <col min="4650" max="4864" width="11.42578125" style="89"/>
    <col min="4865" max="4865" width="16.140625" style="89" customWidth="1"/>
    <col min="4866" max="4866" width="14.85546875" style="89" customWidth="1"/>
    <col min="4867" max="4867" width="10.42578125" style="89" bestFit="1" customWidth="1"/>
    <col min="4868" max="4868" width="11" style="89" bestFit="1" customWidth="1"/>
    <col min="4869" max="4869" width="14.5703125" style="89" bestFit="1" customWidth="1"/>
    <col min="4870" max="4870" width="11.5703125" style="89" bestFit="1" customWidth="1"/>
    <col min="4871" max="4871" width="13.140625" style="89" bestFit="1" customWidth="1"/>
    <col min="4872" max="4872" width="14.7109375" style="89" bestFit="1" customWidth="1"/>
    <col min="4873" max="4874" width="14.140625" style="89" bestFit="1" customWidth="1"/>
    <col min="4875" max="4875" width="18" style="89" bestFit="1" customWidth="1"/>
    <col min="4876" max="4876" width="17.140625" style="89" customWidth="1"/>
    <col min="4877" max="4877" width="6.7109375" style="89" customWidth="1"/>
    <col min="4878" max="4878" width="15" style="89" customWidth="1"/>
    <col min="4879" max="4879" width="7.7109375" style="89" customWidth="1"/>
    <col min="4880" max="4880" width="9.140625" style="89" customWidth="1"/>
    <col min="4881" max="4884" width="14.28515625" style="89" customWidth="1"/>
    <col min="4885" max="4885" width="15.5703125" style="89" customWidth="1"/>
    <col min="4886" max="4892" width="11.42578125" style="89"/>
    <col min="4893" max="4895" width="11.5703125" style="89" bestFit="1" customWidth="1"/>
    <col min="4896" max="4905" width="12.5703125" style="89" bestFit="1" customWidth="1"/>
    <col min="4906" max="5120" width="11.42578125" style="89"/>
    <col min="5121" max="5121" width="16.140625" style="89" customWidth="1"/>
    <col min="5122" max="5122" width="14.85546875" style="89" customWidth="1"/>
    <col min="5123" max="5123" width="10.42578125" style="89" bestFit="1" customWidth="1"/>
    <col min="5124" max="5124" width="11" style="89" bestFit="1" customWidth="1"/>
    <col min="5125" max="5125" width="14.5703125" style="89" bestFit="1" customWidth="1"/>
    <col min="5126" max="5126" width="11.5703125" style="89" bestFit="1" customWidth="1"/>
    <col min="5127" max="5127" width="13.140625" style="89" bestFit="1" customWidth="1"/>
    <col min="5128" max="5128" width="14.7109375" style="89" bestFit="1" customWidth="1"/>
    <col min="5129" max="5130" width="14.140625" style="89" bestFit="1" customWidth="1"/>
    <col min="5131" max="5131" width="18" style="89" bestFit="1" customWidth="1"/>
    <col min="5132" max="5132" width="17.140625" style="89" customWidth="1"/>
    <col min="5133" max="5133" width="6.7109375" style="89" customWidth="1"/>
    <col min="5134" max="5134" width="15" style="89" customWidth="1"/>
    <col min="5135" max="5135" width="7.7109375" style="89" customWidth="1"/>
    <col min="5136" max="5136" width="9.140625" style="89" customWidth="1"/>
    <col min="5137" max="5140" width="14.28515625" style="89" customWidth="1"/>
    <col min="5141" max="5141" width="15.5703125" style="89" customWidth="1"/>
    <col min="5142" max="5148" width="11.42578125" style="89"/>
    <col min="5149" max="5151" width="11.5703125" style="89" bestFit="1" customWidth="1"/>
    <col min="5152" max="5161" width="12.5703125" style="89" bestFit="1" customWidth="1"/>
    <col min="5162" max="5376" width="11.42578125" style="89"/>
    <col min="5377" max="5377" width="16.140625" style="89" customWidth="1"/>
    <col min="5378" max="5378" width="14.85546875" style="89" customWidth="1"/>
    <col min="5379" max="5379" width="10.42578125" style="89" bestFit="1" customWidth="1"/>
    <col min="5380" max="5380" width="11" style="89" bestFit="1" customWidth="1"/>
    <col min="5381" max="5381" width="14.5703125" style="89" bestFit="1" customWidth="1"/>
    <col min="5382" max="5382" width="11.5703125" style="89" bestFit="1" customWidth="1"/>
    <col min="5383" max="5383" width="13.140625" style="89" bestFit="1" customWidth="1"/>
    <col min="5384" max="5384" width="14.7109375" style="89" bestFit="1" customWidth="1"/>
    <col min="5385" max="5386" width="14.140625" style="89" bestFit="1" customWidth="1"/>
    <col min="5387" max="5387" width="18" style="89" bestFit="1" customWidth="1"/>
    <col min="5388" max="5388" width="17.140625" style="89" customWidth="1"/>
    <col min="5389" max="5389" width="6.7109375" style="89" customWidth="1"/>
    <col min="5390" max="5390" width="15" style="89" customWidth="1"/>
    <col min="5391" max="5391" width="7.7109375" style="89" customWidth="1"/>
    <col min="5392" max="5392" width="9.140625" style="89" customWidth="1"/>
    <col min="5393" max="5396" width="14.28515625" style="89" customWidth="1"/>
    <col min="5397" max="5397" width="15.5703125" style="89" customWidth="1"/>
    <col min="5398" max="5404" width="11.42578125" style="89"/>
    <col min="5405" max="5407" width="11.5703125" style="89" bestFit="1" customWidth="1"/>
    <col min="5408" max="5417" width="12.5703125" style="89" bestFit="1" customWidth="1"/>
    <col min="5418" max="5632" width="11.42578125" style="89"/>
    <col min="5633" max="5633" width="16.140625" style="89" customWidth="1"/>
    <col min="5634" max="5634" width="14.85546875" style="89" customWidth="1"/>
    <col min="5635" max="5635" width="10.42578125" style="89" bestFit="1" customWidth="1"/>
    <col min="5636" max="5636" width="11" style="89" bestFit="1" customWidth="1"/>
    <col min="5637" max="5637" width="14.5703125" style="89" bestFit="1" customWidth="1"/>
    <col min="5638" max="5638" width="11.5703125" style="89" bestFit="1" customWidth="1"/>
    <col min="5639" max="5639" width="13.140625" style="89" bestFit="1" customWidth="1"/>
    <col min="5640" max="5640" width="14.7109375" style="89" bestFit="1" customWidth="1"/>
    <col min="5641" max="5642" width="14.140625" style="89" bestFit="1" customWidth="1"/>
    <col min="5643" max="5643" width="18" style="89" bestFit="1" customWidth="1"/>
    <col min="5644" max="5644" width="17.140625" style="89" customWidth="1"/>
    <col min="5645" max="5645" width="6.7109375" style="89" customWidth="1"/>
    <col min="5646" max="5646" width="15" style="89" customWidth="1"/>
    <col min="5647" max="5647" width="7.7109375" style="89" customWidth="1"/>
    <col min="5648" max="5648" width="9.140625" style="89" customWidth="1"/>
    <col min="5649" max="5652" width="14.28515625" style="89" customWidth="1"/>
    <col min="5653" max="5653" width="15.5703125" style="89" customWidth="1"/>
    <col min="5654" max="5660" width="11.42578125" style="89"/>
    <col min="5661" max="5663" width="11.5703125" style="89" bestFit="1" customWidth="1"/>
    <col min="5664" max="5673" width="12.5703125" style="89" bestFit="1" customWidth="1"/>
    <col min="5674" max="5888" width="11.42578125" style="89"/>
    <col min="5889" max="5889" width="16.140625" style="89" customWidth="1"/>
    <col min="5890" max="5890" width="14.85546875" style="89" customWidth="1"/>
    <col min="5891" max="5891" width="10.42578125" style="89" bestFit="1" customWidth="1"/>
    <col min="5892" max="5892" width="11" style="89" bestFit="1" customWidth="1"/>
    <col min="5893" max="5893" width="14.5703125" style="89" bestFit="1" customWidth="1"/>
    <col min="5894" max="5894" width="11.5703125" style="89" bestFit="1" customWidth="1"/>
    <col min="5895" max="5895" width="13.140625" style="89" bestFit="1" customWidth="1"/>
    <col min="5896" max="5896" width="14.7109375" style="89" bestFit="1" customWidth="1"/>
    <col min="5897" max="5898" width="14.140625" style="89" bestFit="1" customWidth="1"/>
    <col min="5899" max="5899" width="18" style="89" bestFit="1" customWidth="1"/>
    <col min="5900" max="5900" width="17.140625" style="89" customWidth="1"/>
    <col min="5901" max="5901" width="6.7109375" style="89" customWidth="1"/>
    <col min="5902" max="5902" width="15" style="89" customWidth="1"/>
    <col min="5903" max="5903" width="7.7109375" style="89" customWidth="1"/>
    <col min="5904" max="5904" width="9.140625" style="89" customWidth="1"/>
    <col min="5905" max="5908" width="14.28515625" style="89" customWidth="1"/>
    <col min="5909" max="5909" width="15.5703125" style="89" customWidth="1"/>
    <col min="5910" max="5916" width="11.42578125" style="89"/>
    <col min="5917" max="5919" width="11.5703125" style="89" bestFit="1" customWidth="1"/>
    <col min="5920" max="5929" width="12.5703125" style="89" bestFit="1" customWidth="1"/>
    <col min="5930" max="6144" width="11.42578125" style="89"/>
    <col min="6145" max="6145" width="16.140625" style="89" customWidth="1"/>
    <col min="6146" max="6146" width="14.85546875" style="89" customWidth="1"/>
    <col min="6147" max="6147" width="10.42578125" style="89" bestFit="1" customWidth="1"/>
    <col min="6148" max="6148" width="11" style="89" bestFit="1" customWidth="1"/>
    <col min="6149" max="6149" width="14.5703125" style="89" bestFit="1" customWidth="1"/>
    <col min="6150" max="6150" width="11.5703125" style="89" bestFit="1" customWidth="1"/>
    <col min="6151" max="6151" width="13.140625" style="89" bestFit="1" customWidth="1"/>
    <col min="6152" max="6152" width="14.7109375" style="89" bestFit="1" customWidth="1"/>
    <col min="6153" max="6154" width="14.140625" style="89" bestFit="1" customWidth="1"/>
    <col min="6155" max="6155" width="18" style="89" bestFit="1" customWidth="1"/>
    <col min="6156" max="6156" width="17.140625" style="89" customWidth="1"/>
    <col min="6157" max="6157" width="6.7109375" style="89" customWidth="1"/>
    <col min="6158" max="6158" width="15" style="89" customWidth="1"/>
    <col min="6159" max="6159" width="7.7109375" style="89" customWidth="1"/>
    <col min="6160" max="6160" width="9.140625" style="89" customWidth="1"/>
    <col min="6161" max="6164" width="14.28515625" style="89" customWidth="1"/>
    <col min="6165" max="6165" width="15.5703125" style="89" customWidth="1"/>
    <col min="6166" max="6172" width="11.42578125" style="89"/>
    <col min="6173" max="6175" width="11.5703125" style="89" bestFit="1" customWidth="1"/>
    <col min="6176" max="6185" width="12.5703125" style="89" bestFit="1" customWidth="1"/>
    <col min="6186" max="6400" width="11.42578125" style="89"/>
    <col min="6401" max="6401" width="16.140625" style="89" customWidth="1"/>
    <col min="6402" max="6402" width="14.85546875" style="89" customWidth="1"/>
    <col min="6403" max="6403" width="10.42578125" style="89" bestFit="1" customWidth="1"/>
    <col min="6404" max="6404" width="11" style="89" bestFit="1" customWidth="1"/>
    <col min="6405" max="6405" width="14.5703125" style="89" bestFit="1" customWidth="1"/>
    <col min="6406" max="6406" width="11.5703125" style="89" bestFit="1" customWidth="1"/>
    <col min="6407" max="6407" width="13.140625" style="89" bestFit="1" customWidth="1"/>
    <col min="6408" max="6408" width="14.7109375" style="89" bestFit="1" customWidth="1"/>
    <col min="6409" max="6410" width="14.140625" style="89" bestFit="1" customWidth="1"/>
    <col min="6411" max="6411" width="18" style="89" bestFit="1" customWidth="1"/>
    <col min="6412" max="6412" width="17.140625" style="89" customWidth="1"/>
    <col min="6413" max="6413" width="6.7109375" style="89" customWidth="1"/>
    <col min="6414" max="6414" width="15" style="89" customWidth="1"/>
    <col min="6415" max="6415" width="7.7109375" style="89" customWidth="1"/>
    <col min="6416" max="6416" width="9.140625" style="89" customWidth="1"/>
    <col min="6417" max="6420" width="14.28515625" style="89" customWidth="1"/>
    <col min="6421" max="6421" width="15.5703125" style="89" customWidth="1"/>
    <col min="6422" max="6428" width="11.42578125" style="89"/>
    <col min="6429" max="6431" width="11.5703125" style="89" bestFit="1" customWidth="1"/>
    <col min="6432" max="6441" width="12.5703125" style="89" bestFit="1" customWidth="1"/>
    <col min="6442" max="6656" width="11.42578125" style="89"/>
    <col min="6657" max="6657" width="16.140625" style="89" customWidth="1"/>
    <col min="6658" max="6658" width="14.85546875" style="89" customWidth="1"/>
    <col min="6659" max="6659" width="10.42578125" style="89" bestFit="1" customWidth="1"/>
    <col min="6660" max="6660" width="11" style="89" bestFit="1" customWidth="1"/>
    <col min="6661" max="6661" width="14.5703125" style="89" bestFit="1" customWidth="1"/>
    <col min="6662" max="6662" width="11.5703125" style="89" bestFit="1" customWidth="1"/>
    <col min="6663" max="6663" width="13.140625" style="89" bestFit="1" customWidth="1"/>
    <col min="6664" max="6664" width="14.7109375" style="89" bestFit="1" customWidth="1"/>
    <col min="6665" max="6666" width="14.140625" style="89" bestFit="1" customWidth="1"/>
    <col min="6667" max="6667" width="18" style="89" bestFit="1" customWidth="1"/>
    <col min="6668" max="6668" width="17.140625" style="89" customWidth="1"/>
    <col min="6669" max="6669" width="6.7109375" style="89" customWidth="1"/>
    <col min="6670" max="6670" width="15" style="89" customWidth="1"/>
    <col min="6671" max="6671" width="7.7109375" style="89" customWidth="1"/>
    <col min="6672" max="6672" width="9.140625" style="89" customWidth="1"/>
    <col min="6673" max="6676" width="14.28515625" style="89" customWidth="1"/>
    <col min="6677" max="6677" width="15.5703125" style="89" customWidth="1"/>
    <col min="6678" max="6684" width="11.42578125" style="89"/>
    <col min="6685" max="6687" width="11.5703125" style="89" bestFit="1" customWidth="1"/>
    <col min="6688" max="6697" width="12.5703125" style="89" bestFit="1" customWidth="1"/>
    <col min="6698" max="6912" width="11.42578125" style="89"/>
    <col min="6913" max="6913" width="16.140625" style="89" customWidth="1"/>
    <col min="6914" max="6914" width="14.85546875" style="89" customWidth="1"/>
    <col min="6915" max="6915" width="10.42578125" style="89" bestFit="1" customWidth="1"/>
    <col min="6916" max="6916" width="11" style="89" bestFit="1" customWidth="1"/>
    <col min="6917" max="6917" width="14.5703125" style="89" bestFit="1" customWidth="1"/>
    <col min="6918" max="6918" width="11.5703125" style="89" bestFit="1" customWidth="1"/>
    <col min="6919" max="6919" width="13.140625" style="89" bestFit="1" customWidth="1"/>
    <col min="6920" max="6920" width="14.7109375" style="89" bestFit="1" customWidth="1"/>
    <col min="6921" max="6922" width="14.140625" style="89" bestFit="1" customWidth="1"/>
    <col min="6923" max="6923" width="18" style="89" bestFit="1" customWidth="1"/>
    <col min="6924" max="6924" width="17.140625" style="89" customWidth="1"/>
    <col min="6925" max="6925" width="6.7109375" style="89" customWidth="1"/>
    <col min="6926" max="6926" width="15" style="89" customWidth="1"/>
    <col min="6927" max="6927" width="7.7109375" style="89" customWidth="1"/>
    <col min="6928" max="6928" width="9.140625" style="89" customWidth="1"/>
    <col min="6929" max="6932" width="14.28515625" style="89" customWidth="1"/>
    <col min="6933" max="6933" width="15.5703125" style="89" customWidth="1"/>
    <col min="6934" max="6940" width="11.42578125" style="89"/>
    <col min="6941" max="6943" width="11.5703125" style="89" bestFit="1" customWidth="1"/>
    <col min="6944" max="6953" width="12.5703125" style="89" bestFit="1" customWidth="1"/>
    <col min="6954" max="7168" width="11.42578125" style="89"/>
    <col min="7169" max="7169" width="16.140625" style="89" customWidth="1"/>
    <col min="7170" max="7170" width="14.85546875" style="89" customWidth="1"/>
    <col min="7171" max="7171" width="10.42578125" style="89" bestFit="1" customWidth="1"/>
    <col min="7172" max="7172" width="11" style="89" bestFit="1" customWidth="1"/>
    <col min="7173" max="7173" width="14.5703125" style="89" bestFit="1" customWidth="1"/>
    <col min="7174" max="7174" width="11.5703125" style="89" bestFit="1" customWidth="1"/>
    <col min="7175" max="7175" width="13.140625" style="89" bestFit="1" customWidth="1"/>
    <col min="7176" max="7176" width="14.7109375" style="89" bestFit="1" customWidth="1"/>
    <col min="7177" max="7178" width="14.140625" style="89" bestFit="1" customWidth="1"/>
    <col min="7179" max="7179" width="18" style="89" bestFit="1" customWidth="1"/>
    <col min="7180" max="7180" width="17.140625" style="89" customWidth="1"/>
    <col min="7181" max="7181" width="6.7109375" style="89" customWidth="1"/>
    <col min="7182" max="7182" width="15" style="89" customWidth="1"/>
    <col min="7183" max="7183" width="7.7109375" style="89" customWidth="1"/>
    <col min="7184" max="7184" width="9.140625" style="89" customWidth="1"/>
    <col min="7185" max="7188" width="14.28515625" style="89" customWidth="1"/>
    <col min="7189" max="7189" width="15.5703125" style="89" customWidth="1"/>
    <col min="7190" max="7196" width="11.42578125" style="89"/>
    <col min="7197" max="7199" width="11.5703125" style="89" bestFit="1" customWidth="1"/>
    <col min="7200" max="7209" width="12.5703125" style="89" bestFit="1" customWidth="1"/>
    <col min="7210" max="7424" width="11.42578125" style="89"/>
    <col min="7425" max="7425" width="16.140625" style="89" customWidth="1"/>
    <col min="7426" max="7426" width="14.85546875" style="89" customWidth="1"/>
    <col min="7427" max="7427" width="10.42578125" style="89" bestFit="1" customWidth="1"/>
    <col min="7428" max="7428" width="11" style="89" bestFit="1" customWidth="1"/>
    <col min="7429" max="7429" width="14.5703125" style="89" bestFit="1" customWidth="1"/>
    <col min="7430" max="7430" width="11.5703125" style="89" bestFit="1" customWidth="1"/>
    <col min="7431" max="7431" width="13.140625" style="89" bestFit="1" customWidth="1"/>
    <col min="7432" max="7432" width="14.7109375" style="89" bestFit="1" customWidth="1"/>
    <col min="7433" max="7434" width="14.140625" style="89" bestFit="1" customWidth="1"/>
    <col min="7435" max="7435" width="18" style="89" bestFit="1" customWidth="1"/>
    <col min="7436" max="7436" width="17.140625" style="89" customWidth="1"/>
    <col min="7437" max="7437" width="6.7109375" style="89" customWidth="1"/>
    <col min="7438" max="7438" width="15" style="89" customWidth="1"/>
    <col min="7439" max="7439" width="7.7109375" style="89" customWidth="1"/>
    <col min="7440" max="7440" width="9.140625" style="89" customWidth="1"/>
    <col min="7441" max="7444" width="14.28515625" style="89" customWidth="1"/>
    <col min="7445" max="7445" width="15.5703125" style="89" customWidth="1"/>
    <col min="7446" max="7452" width="11.42578125" style="89"/>
    <col min="7453" max="7455" width="11.5703125" style="89" bestFit="1" customWidth="1"/>
    <col min="7456" max="7465" width="12.5703125" style="89" bestFit="1" customWidth="1"/>
    <col min="7466" max="7680" width="11.42578125" style="89"/>
    <col min="7681" max="7681" width="16.140625" style="89" customWidth="1"/>
    <col min="7682" max="7682" width="14.85546875" style="89" customWidth="1"/>
    <col min="7683" max="7683" width="10.42578125" style="89" bestFit="1" customWidth="1"/>
    <col min="7684" max="7684" width="11" style="89" bestFit="1" customWidth="1"/>
    <col min="7685" max="7685" width="14.5703125" style="89" bestFit="1" customWidth="1"/>
    <col min="7686" max="7686" width="11.5703125" style="89" bestFit="1" customWidth="1"/>
    <col min="7687" max="7687" width="13.140625" style="89" bestFit="1" customWidth="1"/>
    <col min="7688" max="7688" width="14.7109375" style="89" bestFit="1" customWidth="1"/>
    <col min="7689" max="7690" width="14.140625" style="89" bestFit="1" customWidth="1"/>
    <col min="7691" max="7691" width="18" style="89" bestFit="1" customWidth="1"/>
    <col min="7692" max="7692" width="17.140625" style="89" customWidth="1"/>
    <col min="7693" max="7693" width="6.7109375" style="89" customWidth="1"/>
    <col min="7694" max="7694" width="15" style="89" customWidth="1"/>
    <col min="7695" max="7695" width="7.7109375" style="89" customWidth="1"/>
    <col min="7696" max="7696" width="9.140625" style="89" customWidth="1"/>
    <col min="7697" max="7700" width="14.28515625" style="89" customWidth="1"/>
    <col min="7701" max="7701" width="15.5703125" style="89" customWidth="1"/>
    <col min="7702" max="7708" width="11.42578125" style="89"/>
    <col min="7709" max="7711" width="11.5703125" style="89" bestFit="1" customWidth="1"/>
    <col min="7712" max="7721" width="12.5703125" style="89" bestFit="1" customWidth="1"/>
    <col min="7722" max="7936" width="11.42578125" style="89"/>
    <col min="7937" max="7937" width="16.140625" style="89" customWidth="1"/>
    <col min="7938" max="7938" width="14.85546875" style="89" customWidth="1"/>
    <col min="7939" max="7939" width="10.42578125" style="89" bestFit="1" customWidth="1"/>
    <col min="7940" max="7940" width="11" style="89" bestFit="1" customWidth="1"/>
    <col min="7941" max="7941" width="14.5703125" style="89" bestFit="1" customWidth="1"/>
    <col min="7942" max="7942" width="11.5703125" style="89" bestFit="1" customWidth="1"/>
    <col min="7943" max="7943" width="13.140625" style="89" bestFit="1" customWidth="1"/>
    <col min="7944" max="7944" width="14.7109375" style="89" bestFit="1" customWidth="1"/>
    <col min="7945" max="7946" width="14.140625" style="89" bestFit="1" customWidth="1"/>
    <col min="7947" max="7947" width="18" style="89" bestFit="1" customWidth="1"/>
    <col min="7948" max="7948" width="17.140625" style="89" customWidth="1"/>
    <col min="7949" max="7949" width="6.7109375" style="89" customWidth="1"/>
    <col min="7950" max="7950" width="15" style="89" customWidth="1"/>
    <col min="7951" max="7951" width="7.7109375" style="89" customWidth="1"/>
    <col min="7952" max="7952" width="9.140625" style="89" customWidth="1"/>
    <col min="7953" max="7956" width="14.28515625" style="89" customWidth="1"/>
    <col min="7957" max="7957" width="15.5703125" style="89" customWidth="1"/>
    <col min="7958" max="7964" width="11.42578125" style="89"/>
    <col min="7965" max="7967" width="11.5703125" style="89" bestFit="1" customWidth="1"/>
    <col min="7968" max="7977" width="12.5703125" style="89" bestFit="1" customWidth="1"/>
    <col min="7978" max="8192" width="11.42578125" style="89"/>
    <col min="8193" max="8193" width="16.140625" style="89" customWidth="1"/>
    <col min="8194" max="8194" width="14.85546875" style="89" customWidth="1"/>
    <col min="8195" max="8195" width="10.42578125" style="89" bestFit="1" customWidth="1"/>
    <col min="8196" max="8196" width="11" style="89" bestFit="1" customWidth="1"/>
    <col min="8197" max="8197" width="14.5703125" style="89" bestFit="1" customWidth="1"/>
    <col min="8198" max="8198" width="11.5703125" style="89" bestFit="1" customWidth="1"/>
    <col min="8199" max="8199" width="13.140625" style="89" bestFit="1" customWidth="1"/>
    <col min="8200" max="8200" width="14.7109375" style="89" bestFit="1" customWidth="1"/>
    <col min="8201" max="8202" width="14.140625" style="89" bestFit="1" customWidth="1"/>
    <col min="8203" max="8203" width="18" style="89" bestFit="1" customWidth="1"/>
    <col min="8204" max="8204" width="17.140625" style="89" customWidth="1"/>
    <col min="8205" max="8205" width="6.7109375" style="89" customWidth="1"/>
    <col min="8206" max="8206" width="15" style="89" customWidth="1"/>
    <col min="8207" max="8207" width="7.7109375" style="89" customWidth="1"/>
    <col min="8208" max="8208" width="9.140625" style="89" customWidth="1"/>
    <col min="8209" max="8212" width="14.28515625" style="89" customWidth="1"/>
    <col min="8213" max="8213" width="15.5703125" style="89" customWidth="1"/>
    <col min="8214" max="8220" width="11.42578125" style="89"/>
    <col min="8221" max="8223" width="11.5703125" style="89" bestFit="1" customWidth="1"/>
    <col min="8224" max="8233" width="12.5703125" style="89" bestFit="1" customWidth="1"/>
    <col min="8234" max="8448" width="11.42578125" style="89"/>
    <col min="8449" max="8449" width="16.140625" style="89" customWidth="1"/>
    <col min="8450" max="8450" width="14.85546875" style="89" customWidth="1"/>
    <col min="8451" max="8451" width="10.42578125" style="89" bestFit="1" customWidth="1"/>
    <col min="8452" max="8452" width="11" style="89" bestFit="1" customWidth="1"/>
    <col min="8453" max="8453" width="14.5703125" style="89" bestFit="1" customWidth="1"/>
    <col min="8454" max="8454" width="11.5703125" style="89" bestFit="1" customWidth="1"/>
    <col min="8455" max="8455" width="13.140625" style="89" bestFit="1" customWidth="1"/>
    <col min="8456" max="8456" width="14.7109375" style="89" bestFit="1" customWidth="1"/>
    <col min="8457" max="8458" width="14.140625" style="89" bestFit="1" customWidth="1"/>
    <col min="8459" max="8459" width="18" style="89" bestFit="1" customWidth="1"/>
    <col min="8460" max="8460" width="17.140625" style="89" customWidth="1"/>
    <col min="8461" max="8461" width="6.7109375" style="89" customWidth="1"/>
    <col min="8462" max="8462" width="15" style="89" customWidth="1"/>
    <col min="8463" max="8463" width="7.7109375" style="89" customWidth="1"/>
    <col min="8464" max="8464" width="9.140625" style="89" customWidth="1"/>
    <col min="8465" max="8468" width="14.28515625" style="89" customWidth="1"/>
    <col min="8469" max="8469" width="15.5703125" style="89" customWidth="1"/>
    <col min="8470" max="8476" width="11.42578125" style="89"/>
    <col min="8477" max="8479" width="11.5703125" style="89" bestFit="1" customWidth="1"/>
    <col min="8480" max="8489" width="12.5703125" style="89" bestFit="1" customWidth="1"/>
    <col min="8490" max="8704" width="11.42578125" style="89"/>
    <col min="8705" max="8705" width="16.140625" style="89" customWidth="1"/>
    <col min="8706" max="8706" width="14.85546875" style="89" customWidth="1"/>
    <col min="8707" max="8707" width="10.42578125" style="89" bestFit="1" customWidth="1"/>
    <col min="8708" max="8708" width="11" style="89" bestFit="1" customWidth="1"/>
    <col min="8709" max="8709" width="14.5703125" style="89" bestFit="1" customWidth="1"/>
    <col min="8710" max="8710" width="11.5703125" style="89" bestFit="1" customWidth="1"/>
    <col min="8711" max="8711" width="13.140625" style="89" bestFit="1" customWidth="1"/>
    <col min="8712" max="8712" width="14.7109375" style="89" bestFit="1" customWidth="1"/>
    <col min="8713" max="8714" width="14.140625" style="89" bestFit="1" customWidth="1"/>
    <col min="8715" max="8715" width="18" style="89" bestFit="1" customWidth="1"/>
    <col min="8716" max="8716" width="17.140625" style="89" customWidth="1"/>
    <col min="8717" max="8717" width="6.7109375" style="89" customWidth="1"/>
    <col min="8718" max="8718" width="15" style="89" customWidth="1"/>
    <col min="8719" max="8719" width="7.7109375" style="89" customWidth="1"/>
    <col min="8720" max="8720" width="9.140625" style="89" customWidth="1"/>
    <col min="8721" max="8724" width="14.28515625" style="89" customWidth="1"/>
    <col min="8725" max="8725" width="15.5703125" style="89" customWidth="1"/>
    <col min="8726" max="8732" width="11.42578125" style="89"/>
    <col min="8733" max="8735" width="11.5703125" style="89" bestFit="1" customWidth="1"/>
    <col min="8736" max="8745" width="12.5703125" style="89" bestFit="1" customWidth="1"/>
    <col min="8746" max="8960" width="11.42578125" style="89"/>
    <col min="8961" max="8961" width="16.140625" style="89" customWidth="1"/>
    <col min="8962" max="8962" width="14.85546875" style="89" customWidth="1"/>
    <col min="8963" max="8963" width="10.42578125" style="89" bestFit="1" customWidth="1"/>
    <col min="8964" max="8964" width="11" style="89" bestFit="1" customWidth="1"/>
    <col min="8965" max="8965" width="14.5703125" style="89" bestFit="1" customWidth="1"/>
    <col min="8966" max="8966" width="11.5703125" style="89" bestFit="1" customWidth="1"/>
    <col min="8967" max="8967" width="13.140625" style="89" bestFit="1" customWidth="1"/>
    <col min="8968" max="8968" width="14.7109375" style="89" bestFit="1" customWidth="1"/>
    <col min="8969" max="8970" width="14.140625" style="89" bestFit="1" customWidth="1"/>
    <col min="8971" max="8971" width="18" style="89" bestFit="1" customWidth="1"/>
    <col min="8972" max="8972" width="17.140625" style="89" customWidth="1"/>
    <col min="8973" max="8973" width="6.7109375" style="89" customWidth="1"/>
    <col min="8974" max="8974" width="15" style="89" customWidth="1"/>
    <col min="8975" max="8975" width="7.7109375" style="89" customWidth="1"/>
    <col min="8976" max="8976" width="9.140625" style="89" customWidth="1"/>
    <col min="8977" max="8980" width="14.28515625" style="89" customWidth="1"/>
    <col min="8981" max="8981" width="15.5703125" style="89" customWidth="1"/>
    <col min="8982" max="8988" width="11.42578125" style="89"/>
    <col min="8989" max="8991" width="11.5703125" style="89" bestFit="1" customWidth="1"/>
    <col min="8992" max="9001" width="12.5703125" style="89" bestFit="1" customWidth="1"/>
    <col min="9002" max="9216" width="11.42578125" style="89"/>
    <col min="9217" max="9217" width="16.140625" style="89" customWidth="1"/>
    <col min="9218" max="9218" width="14.85546875" style="89" customWidth="1"/>
    <col min="9219" max="9219" width="10.42578125" style="89" bestFit="1" customWidth="1"/>
    <col min="9220" max="9220" width="11" style="89" bestFit="1" customWidth="1"/>
    <col min="9221" max="9221" width="14.5703125" style="89" bestFit="1" customWidth="1"/>
    <col min="9222" max="9222" width="11.5703125" style="89" bestFit="1" customWidth="1"/>
    <col min="9223" max="9223" width="13.140625" style="89" bestFit="1" customWidth="1"/>
    <col min="9224" max="9224" width="14.7109375" style="89" bestFit="1" customWidth="1"/>
    <col min="9225" max="9226" width="14.140625" style="89" bestFit="1" customWidth="1"/>
    <col min="9227" max="9227" width="18" style="89" bestFit="1" customWidth="1"/>
    <col min="9228" max="9228" width="17.140625" style="89" customWidth="1"/>
    <col min="9229" max="9229" width="6.7109375" style="89" customWidth="1"/>
    <col min="9230" max="9230" width="15" style="89" customWidth="1"/>
    <col min="9231" max="9231" width="7.7109375" style="89" customWidth="1"/>
    <col min="9232" max="9232" width="9.140625" style="89" customWidth="1"/>
    <col min="9233" max="9236" width="14.28515625" style="89" customWidth="1"/>
    <col min="9237" max="9237" width="15.5703125" style="89" customWidth="1"/>
    <col min="9238" max="9244" width="11.42578125" style="89"/>
    <col min="9245" max="9247" width="11.5703125" style="89" bestFit="1" customWidth="1"/>
    <col min="9248" max="9257" width="12.5703125" style="89" bestFit="1" customWidth="1"/>
    <col min="9258" max="9472" width="11.42578125" style="89"/>
    <col min="9473" max="9473" width="16.140625" style="89" customWidth="1"/>
    <col min="9474" max="9474" width="14.85546875" style="89" customWidth="1"/>
    <col min="9475" max="9475" width="10.42578125" style="89" bestFit="1" customWidth="1"/>
    <col min="9476" max="9476" width="11" style="89" bestFit="1" customWidth="1"/>
    <col min="9477" max="9477" width="14.5703125" style="89" bestFit="1" customWidth="1"/>
    <col min="9478" max="9478" width="11.5703125" style="89" bestFit="1" customWidth="1"/>
    <col min="9479" max="9479" width="13.140625" style="89" bestFit="1" customWidth="1"/>
    <col min="9480" max="9480" width="14.7109375" style="89" bestFit="1" customWidth="1"/>
    <col min="9481" max="9482" width="14.140625" style="89" bestFit="1" customWidth="1"/>
    <col min="9483" max="9483" width="18" style="89" bestFit="1" customWidth="1"/>
    <col min="9484" max="9484" width="17.140625" style="89" customWidth="1"/>
    <col min="9485" max="9485" width="6.7109375" style="89" customWidth="1"/>
    <col min="9486" max="9486" width="15" style="89" customWidth="1"/>
    <col min="9487" max="9487" width="7.7109375" style="89" customWidth="1"/>
    <col min="9488" max="9488" width="9.140625" style="89" customWidth="1"/>
    <col min="9489" max="9492" width="14.28515625" style="89" customWidth="1"/>
    <col min="9493" max="9493" width="15.5703125" style="89" customWidth="1"/>
    <col min="9494" max="9500" width="11.42578125" style="89"/>
    <col min="9501" max="9503" width="11.5703125" style="89" bestFit="1" customWidth="1"/>
    <col min="9504" max="9513" width="12.5703125" style="89" bestFit="1" customWidth="1"/>
    <col min="9514" max="9728" width="11.42578125" style="89"/>
    <col min="9729" max="9729" width="16.140625" style="89" customWidth="1"/>
    <col min="9730" max="9730" width="14.85546875" style="89" customWidth="1"/>
    <col min="9731" max="9731" width="10.42578125" style="89" bestFit="1" customWidth="1"/>
    <col min="9732" max="9732" width="11" style="89" bestFit="1" customWidth="1"/>
    <col min="9733" max="9733" width="14.5703125" style="89" bestFit="1" customWidth="1"/>
    <col min="9734" max="9734" width="11.5703125" style="89" bestFit="1" customWidth="1"/>
    <col min="9735" max="9735" width="13.140625" style="89" bestFit="1" customWidth="1"/>
    <col min="9736" max="9736" width="14.7109375" style="89" bestFit="1" customWidth="1"/>
    <col min="9737" max="9738" width="14.140625" style="89" bestFit="1" customWidth="1"/>
    <col min="9739" max="9739" width="18" style="89" bestFit="1" customWidth="1"/>
    <col min="9740" max="9740" width="17.140625" style="89" customWidth="1"/>
    <col min="9741" max="9741" width="6.7109375" style="89" customWidth="1"/>
    <col min="9742" max="9742" width="15" style="89" customWidth="1"/>
    <col min="9743" max="9743" width="7.7109375" style="89" customWidth="1"/>
    <col min="9744" max="9744" width="9.140625" style="89" customWidth="1"/>
    <col min="9745" max="9748" width="14.28515625" style="89" customWidth="1"/>
    <col min="9749" max="9749" width="15.5703125" style="89" customWidth="1"/>
    <col min="9750" max="9756" width="11.42578125" style="89"/>
    <col min="9757" max="9759" width="11.5703125" style="89" bestFit="1" customWidth="1"/>
    <col min="9760" max="9769" width="12.5703125" style="89" bestFit="1" customWidth="1"/>
    <col min="9770" max="9984" width="11.42578125" style="89"/>
    <col min="9985" max="9985" width="16.140625" style="89" customWidth="1"/>
    <col min="9986" max="9986" width="14.85546875" style="89" customWidth="1"/>
    <col min="9987" max="9987" width="10.42578125" style="89" bestFit="1" customWidth="1"/>
    <col min="9988" max="9988" width="11" style="89" bestFit="1" customWidth="1"/>
    <col min="9989" max="9989" width="14.5703125" style="89" bestFit="1" customWidth="1"/>
    <col min="9990" max="9990" width="11.5703125" style="89" bestFit="1" customWidth="1"/>
    <col min="9991" max="9991" width="13.140625" style="89" bestFit="1" customWidth="1"/>
    <col min="9992" max="9992" width="14.7109375" style="89" bestFit="1" customWidth="1"/>
    <col min="9993" max="9994" width="14.140625" style="89" bestFit="1" customWidth="1"/>
    <col min="9995" max="9995" width="18" style="89" bestFit="1" customWidth="1"/>
    <col min="9996" max="9996" width="17.140625" style="89" customWidth="1"/>
    <col min="9997" max="9997" width="6.7109375" style="89" customWidth="1"/>
    <col min="9998" max="9998" width="15" style="89" customWidth="1"/>
    <col min="9999" max="9999" width="7.7109375" style="89" customWidth="1"/>
    <col min="10000" max="10000" width="9.140625" style="89" customWidth="1"/>
    <col min="10001" max="10004" width="14.28515625" style="89" customWidth="1"/>
    <col min="10005" max="10005" width="15.5703125" style="89" customWidth="1"/>
    <col min="10006" max="10012" width="11.42578125" style="89"/>
    <col min="10013" max="10015" width="11.5703125" style="89" bestFit="1" customWidth="1"/>
    <col min="10016" max="10025" width="12.5703125" style="89" bestFit="1" customWidth="1"/>
    <col min="10026" max="10240" width="11.42578125" style="89"/>
    <col min="10241" max="10241" width="16.140625" style="89" customWidth="1"/>
    <col min="10242" max="10242" width="14.85546875" style="89" customWidth="1"/>
    <col min="10243" max="10243" width="10.42578125" style="89" bestFit="1" customWidth="1"/>
    <col min="10244" max="10244" width="11" style="89" bestFit="1" customWidth="1"/>
    <col min="10245" max="10245" width="14.5703125" style="89" bestFit="1" customWidth="1"/>
    <col min="10246" max="10246" width="11.5703125" style="89" bestFit="1" customWidth="1"/>
    <col min="10247" max="10247" width="13.140625" style="89" bestFit="1" customWidth="1"/>
    <col min="10248" max="10248" width="14.7109375" style="89" bestFit="1" customWidth="1"/>
    <col min="10249" max="10250" width="14.140625" style="89" bestFit="1" customWidth="1"/>
    <col min="10251" max="10251" width="18" style="89" bestFit="1" customWidth="1"/>
    <col min="10252" max="10252" width="17.140625" style="89" customWidth="1"/>
    <col min="10253" max="10253" width="6.7109375" style="89" customWidth="1"/>
    <col min="10254" max="10254" width="15" style="89" customWidth="1"/>
    <col min="10255" max="10255" width="7.7109375" style="89" customWidth="1"/>
    <col min="10256" max="10256" width="9.140625" style="89" customWidth="1"/>
    <col min="10257" max="10260" width="14.28515625" style="89" customWidth="1"/>
    <col min="10261" max="10261" width="15.5703125" style="89" customWidth="1"/>
    <col min="10262" max="10268" width="11.42578125" style="89"/>
    <col min="10269" max="10271" width="11.5703125" style="89" bestFit="1" customWidth="1"/>
    <col min="10272" max="10281" width="12.5703125" style="89" bestFit="1" customWidth="1"/>
    <col min="10282" max="10496" width="11.42578125" style="89"/>
    <col min="10497" max="10497" width="16.140625" style="89" customWidth="1"/>
    <col min="10498" max="10498" width="14.85546875" style="89" customWidth="1"/>
    <col min="10499" max="10499" width="10.42578125" style="89" bestFit="1" customWidth="1"/>
    <col min="10500" max="10500" width="11" style="89" bestFit="1" customWidth="1"/>
    <col min="10501" max="10501" width="14.5703125" style="89" bestFit="1" customWidth="1"/>
    <col min="10502" max="10502" width="11.5703125" style="89" bestFit="1" customWidth="1"/>
    <col min="10503" max="10503" width="13.140625" style="89" bestFit="1" customWidth="1"/>
    <col min="10504" max="10504" width="14.7109375" style="89" bestFit="1" customWidth="1"/>
    <col min="10505" max="10506" width="14.140625" style="89" bestFit="1" customWidth="1"/>
    <col min="10507" max="10507" width="18" style="89" bestFit="1" customWidth="1"/>
    <col min="10508" max="10508" width="17.140625" style="89" customWidth="1"/>
    <col min="10509" max="10509" width="6.7109375" style="89" customWidth="1"/>
    <col min="10510" max="10510" width="15" style="89" customWidth="1"/>
    <col min="10511" max="10511" width="7.7109375" style="89" customWidth="1"/>
    <col min="10512" max="10512" width="9.140625" style="89" customWidth="1"/>
    <col min="10513" max="10516" width="14.28515625" style="89" customWidth="1"/>
    <col min="10517" max="10517" width="15.5703125" style="89" customWidth="1"/>
    <col min="10518" max="10524" width="11.42578125" style="89"/>
    <col min="10525" max="10527" width="11.5703125" style="89" bestFit="1" customWidth="1"/>
    <col min="10528" max="10537" width="12.5703125" style="89" bestFit="1" customWidth="1"/>
    <col min="10538" max="10752" width="11.42578125" style="89"/>
    <col min="10753" max="10753" width="16.140625" style="89" customWidth="1"/>
    <col min="10754" max="10754" width="14.85546875" style="89" customWidth="1"/>
    <col min="10755" max="10755" width="10.42578125" style="89" bestFit="1" customWidth="1"/>
    <col min="10756" max="10756" width="11" style="89" bestFit="1" customWidth="1"/>
    <col min="10757" max="10757" width="14.5703125" style="89" bestFit="1" customWidth="1"/>
    <col min="10758" max="10758" width="11.5703125" style="89" bestFit="1" customWidth="1"/>
    <col min="10759" max="10759" width="13.140625" style="89" bestFit="1" customWidth="1"/>
    <col min="10760" max="10760" width="14.7109375" style="89" bestFit="1" customWidth="1"/>
    <col min="10761" max="10762" width="14.140625" style="89" bestFit="1" customWidth="1"/>
    <col min="10763" max="10763" width="18" style="89" bestFit="1" customWidth="1"/>
    <col min="10764" max="10764" width="17.140625" style="89" customWidth="1"/>
    <col min="10765" max="10765" width="6.7109375" style="89" customWidth="1"/>
    <col min="10766" max="10766" width="15" style="89" customWidth="1"/>
    <col min="10767" max="10767" width="7.7109375" style="89" customWidth="1"/>
    <col min="10768" max="10768" width="9.140625" style="89" customWidth="1"/>
    <col min="10769" max="10772" width="14.28515625" style="89" customWidth="1"/>
    <col min="10773" max="10773" width="15.5703125" style="89" customWidth="1"/>
    <col min="10774" max="10780" width="11.42578125" style="89"/>
    <col min="10781" max="10783" width="11.5703125" style="89" bestFit="1" customWidth="1"/>
    <col min="10784" max="10793" width="12.5703125" style="89" bestFit="1" customWidth="1"/>
    <col min="10794" max="11008" width="11.42578125" style="89"/>
    <col min="11009" max="11009" width="16.140625" style="89" customWidth="1"/>
    <col min="11010" max="11010" width="14.85546875" style="89" customWidth="1"/>
    <col min="11011" max="11011" width="10.42578125" style="89" bestFit="1" customWidth="1"/>
    <col min="11012" max="11012" width="11" style="89" bestFit="1" customWidth="1"/>
    <col min="11013" max="11013" width="14.5703125" style="89" bestFit="1" customWidth="1"/>
    <col min="11014" max="11014" width="11.5703125" style="89" bestFit="1" customWidth="1"/>
    <col min="11015" max="11015" width="13.140625" style="89" bestFit="1" customWidth="1"/>
    <col min="11016" max="11016" width="14.7109375" style="89" bestFit="1" customWidth="1"/>
    <col min="11017" max="11018" width="14.140625" style="89" bestFit="1" customWidth="1"/>
    <col min="11019" max="11019" width="18" style="89" bestFit="1" customWidth="1"/>
    <col min="11020" max="11020" width="17.140625" style="89" customWidth="1"/>
    <col min="11021" max="11021" width="6.7109375" style="89" customWidth="1"/>
    <col min="11022" max="11022" width="15" style="89" customWidth="1"/>
    <col min="11023" max="11023" width="7.7109375" style="89" customWidth="1"/>
    <col min="11024" max="11024" width="9.140625" style="89" customWidth="1"/>
    <col min="11025" max="11028" width="14.28515625" style="89" customWidth="1"/>
    <col min="11029" max="11029" width="15.5703125" style="89" customWidth="1"/>
    <col min="11030" max="11036" width="11.42578125" style="89"/>
    <col min="11037" max="11039" width="11.5703125" style="89" bestFit="1" customWidth="1"/>
    <col min="11040" max="11049" width="12.5703125" style="89" bestFit="1" customWidth="1"/>
    <col min="11050" max="11264" width="11.42578125" style="89"/>
    <col min="11265" max="11265" width="16.140625" style="89" customWidth="1"/>
    <col min="11266" max="11266" width="14.85546875" style="89" customWidth="1"/>
    <col min="11267" max="11267" width="10.42578125" style="89" bestFit="1" customWidth="1"/>
    <col min="11268" max="11268" width="11" style="89" bestFit="1" customWidth="1"/>
    <col min="11269" max="11269" width="14.5703125" style="89" bestFit="1" customWidth="1"/>
    <col min="11270" max="11270" width="11.5703125" style="89" bestFit="1" customWidth="1"/>
    <col min="11271" max="11271" width="13.140625" style="89" bestFit="1" customWidth="1"/>
    <col min="11272" max="11272" width="14.7109375" style="89" bestFit="1" customWidth="1"/>
    <col min="11273" max="11274" width="14.140625" style="89" bestFit="1" customWidth="1"/>
    <col min="11275" max="11275" width="18" style="89" bestFit="1" customWidth="1"/>
    <col min="11276" max="11276" width="17.140625" style="89" customWidth="1"/>
    <col min="11277" max="11277" width="6.7109375" style="89" customWidth="1"/>
    <col min="11278" max="11278" width="15" style="89" customWidth="1"/>
    <col min="11279" max="11279" width="7.7109375" style="89" customWidth="1"/>
    <col min="11280" max="11280" width="9.140625" style="89" customWidth="1"/>
    <col min="11281" max="11284" width="14.28515625" style="89" customWidth="1"/>
    <col min="11285" max="11285" width="15.5703125" style="89" customWidth="1"/>
    <col min="11286" max="11292" width="11.42578125" style="89"/>
    <col min="11293" max="11295" width="11.5703125" style="89" bestFit="1" customWidth="1"/>
    <col min="11296" max="11305" width="12.5703125" style="89" bestFit="1" customWidth="1"/>
    <col min="11306" max="11520" width="11.42578125" style="89"/>
    <col min="11521" max="11521" width="16.140625" style="89" customWidth="1"/>
    <col min="11522" max="11522" width="14.85546875" style="89" customWidth="1"/>
    <col min="11523" max="11523" width="10.42578125" style="89" bestFit="1" customWidth="1"/>
    <col min="11524" max="11524" width="11" style="89" bestFit="1" customWidth="1"/>
    <col min="11525" max="11525" width="14.5703125" style="89" bestFit="1" customWidth="1"/>
    <col min="11526" max="11526" width="11.5703125" style="89" bestFit="1" customWidth="1"/>
    <col min="11527" max="11527" width="13.140625" style="89" bestFit="1" customWidth="1"/>
    <col min="11528" max="11528" width="14.7109375" style="89" bestFit="1" customWidth="1"/>
    <col min="11529" max="11530" width="14.140625" style="89" bestFit="1" customWidth="1"/>
    <col min="11531" max="11531" width="18" style="89" bestFit="1" customWidth="1"/>
    <col min="11532" max="11532" width="17.140625" style="89" customWidth="1"/>
    <col min="11533" max="11533" width="6.7109375" style="89" customWidth="1"/>
    <col min="11534" max="11534" width="15" style="89" customWidth="1"/>
    <col min="11535" max="11535" width="7.7109375" style="89" customWidth="1"/>
    <col min="11536" max="11536" width="9.140625" style="89" customWidth="1"/>
    <col min="11537" max="11540" width="14.28515625" style="89" customWidth="1"/>
    <col min="11541" max="11541" width="15.5703125" style="89" customWidth="1"/>
    <col min="11542" max="11548" width="11.42578125" style="89"/>
    <col min="11549" max="11551" width="11.5703125" style="89" bestFit="1" customWidth="1"/>
    <col min="11552" max="11561" width="12.5703125" style="89" bestFit="1" customWidth="1"/>
    <col min="11562" max="11776" width="11.42578125" style="89"/>
    <col min="11777" max="11777" width="16.140625" style="89" customWidth="1"/>
    <col min="11778" max="11778" width="14.85546875" style="89" customWidth="1"/>
    <col min="11779" max="11779" width="10.42578125" style="89" bestFit="1" customWidth="1"/>
    <col min="11780" max="11780" width="11" style="89" bestFit="1" customWidth="1"/>
    <col min="11781" max="11781" width="14.5703125" style="89" bestFit="1" customWidth="1"/>
    <col min="11782" max="11782" width="11.5703125" style="89" bestFit="1" customWidth="1"/>
    <col min="11783" max="11783" width="13.140625" style="89" bestFit="1" customWidth="1"/>
    <col min="11784" max="11784" width="14.7109375" style="89" bestFit="1" customWidth="1"/>
    <col min="11785" max="11786" width="14.140625" style="89" bestFit="1" customWidth="1"/>
    <col min="11787" max="11787" width="18" style="89" bestFit="1" customWidth="1"/>
    <col min="11788" max="11788" width="17.140625" style="89" customWidth="1"/>
    <col min="11789" max="11789" width="6.7109375" style="89" customWidth="1"/>
    <col min="11790" max="11790" width="15" style="89" customWidth="1"/>
    <col min="11791" max="11791" width="7.7109375" style="89" customWidth="1"/>
    <col min="11792" max="11792" width="9.140625" style="89" customWidth="1"/>
    <col min="11793" max="11796" width="14.28515625" style="89" customWidth="1"/>
    <col min="11797" max="11797" width="15.5703125" style="89" customWidth="1"/>
    <col min="11798" max="11804" width="11.42578125" style="89"/>
    <col min="11805" max="11807" width="11.5703125" style="89" bestFit="1" customWidth="1"/>
    <col min="11808" max="11817" width="12.5703125" style="89" bestFit="1" customWidth="1"/>
    <col min="11818" max="12032" width="11.42578125" style="89"/>
    <col min="12033" max="12033" width="16.140625" style="89" customWidth="1"/>
    <col min="12034" max="12034" width="14.85546875" style="89" customWidth="1"/>
    <col min="12035" max="12035" width="10.42578125" style="89" bestFit="1" customWidth="1"/>
    <col min="12036" max="12036" width="11" style="89" bestFit="1" customWidth="1"/>
    <col min="12037" max="12037" width="14.5703125" style="89" bestFit="1" customWidth="1"/>
    <col min="12038" max="12038" width="11.5703125" style="89" bestFit="1" customWidth="1"/>
    <col min="12039" max="12039" width="13.140625" style="89" bestFit="1" customWidth="1"/>
    <col min="12040" max="12040" width="14.7109375" style="89" bestFit="1" customWidth="1"/>
    <col min="12041" max="12042" width="14.140625" style="89" bestFit="1" customWidth="1"/>
    <col min="12043" max="12043" width="18" style="89" bestFit="1" customWidth="1"/>
    <col min="12044" max="12044" width="17.140625" style="89" customWidth="1"/>
    <col min="12045" max="12045" width="6.7109375" style="89" customWidth="1"/>
    <col min="12046" max="12046" width="15" style="89" customWidth="1"/>
    <col min="12047" max="12047" width="7.7109375" style="89" customWidth="1"/>
    <col min="12048" max="12048" width="9.140625" style="89" customWidth="1"/>
    <col min="12049" max="12052" width="14.28515625" style="89" customWidth="1"/>
    <col min="12053" max="12053" width="15.5703125" style="89" customWidth="1"/>
    <col min="12054" max="12060" width="11.42578125" style="89"/>
    <col min="12061" max="12063" width="11.5703125" style="89" bestFit="1" customWidth="1"/>
    <col min="12064" max="12073" width="12.5703125" style="89" bestFit="1" customWidth="1"/>
    <col min="12074" max="12288" width="11.42578125" style="89"/>
    <col min="12289" max="12289" width="16.140625" style="89" customWidth="1"/>
    <col min="12290" max="12290" width="14.85546875" style="89" customWidth="1"/>
    <col min="12291" max="12291" width="10.42578125" style="89" bestFit="1" customWidth="1"/>
    <col min="12292" max="12292" width="11" style="89" bestFit="1" customWidth="1"/>
    <col min="12293" max="12293" width="14.5703125" style="89" bestFit="1" customWidth="1"/>
    <col min="12294" max="12294" width="11.5703125" style="89" bestFit="1" customWidth="1"/>
    <col min="12295" max="12295" width="13.140625" style="89" bestFit="1" customWidth="1"/>
    <col min="12296" max="12296" width="14.7109375" style="89" bestFit="1" customWidth="1"/>
    <col min="12297" max="12298" width="14.140625" style="89" bestFit="1" customWidth="1"/>
    <col min="12299" max="12299" width="18" style="89" bestFit="1" customWidth="1"/>
    <col min="12300" max="12300" width="17.140625" style="89" customWidth="1"/>
    <col min="12301" max="12301" width="6.7109375" style="89" customWidth="1"/>
    <col min="12302" max="12302" width="15" style="89" customWidth="1"/>
    <col min="12303" max="12303" width="7.7109375" style="89" customWidth="1"/>
    <col min="12304" max="12304" width="9.140625" style="89" customWidth="1"/>
    <col min="12305" max="12308" width="14.28515625" style="89" customWidth="1"/>
    <col min="12309" max="12309" width="15.5703125" style="89" customWidth="1"/>
    <col min="12310" max="12316" width="11.42578125" style="89"/>
    <col min="12317" max="12319" width="11.5703125" style="89" bestFit="1" customWidth="1"/>
    <col min="12320" max="12329" width="12.5703125" style="89" bestFit="1" customWidth="1"/>
    <col min="12330" max="12544" width="11.42578125" style="89"/>
    <col min="12545" max="12545" width="16.140625" style="89" customWidth="1"/>
    <col min="12546" max="12546" width="14.85546875" style="89" customWidth="1"/>
    <col min="12547" max="12547" width="10.42578125" style="89" bestFit="1" customWidth="1"/>
    <col min="12548" max="12548" width="11" style="89" bestFit="1" customWidth="1"/>
    <col min="12549" max="12549" width="14.5703125" style="89" bestFit="1" customWidth="1"/>
    <col min="12550" max="12550" width="11.5703125" style="89" bestFit="1" customWidth="1"/>
    <col min="12551" max="12551" width="13.140625" style="89" bestFit="1" customWidth="1"/>
    <col min="12552" max="12552" width="14.7109375" style="89" bestFit="1" customWidth="1"/>
    <col min="12553" max="12554" width="14.140625" style="89" bestFit="1" customWidth="1"/>
    <col min="12555" max="12555" width="18" style="89" bestFit="1" customWidth="1"/>
    <col min="12556" max="12556" width="17.140625" style="89" customWidth="1"/>
    <col min="12557" max="12557" width="6.7109375" style="89" customWidth="1"/>
    <col min="12558" max="12558" width="15" style="89" customWidth="1"/>
    <col min="12559" max="12559" width="7.7109375" style="89" customWidth="1"/>
    <col min="12560" max="12560" width="9.140625" style="89" customWidth="1"/>
    <col min="12561" max="12564" width="14.28515625" style="89" customWidth="1"/>
    <col min="12565" max="12565" width="15.5703125" style="89" customWidth="1"/>
    <col min="12566" max="12572" width="11.42578125" style="89"/>
    <col min="12573" max="12575" width="11.5703125" style="89" bestFit="1" customWidth="1"/>
    <col min="12576" max="12585" width="12.5703125" style="89" bestFit="1" customWidth="1"/>
    <col min="12586" max="12800" width="11.42578125" style="89"/>
    <col min="12801" max="12801" width="16.140625" style="89" customWidth="1"/>
    <col min="12802" max="12802" width="14.85546875" style="89" customWidth="1"/>
    <col min="12803" max="12803" width="10.42578125" style="89" bestFit="1" customWidth="1"/>
    <col min="12804" max="12804" width="11" style="89" bestFit="1" customWidth="1"/>
    <col min="12805" max="12805" width="14.5703125" style="89" bestFit="1" customWidth="1"/>
    <col min="12806" max="12806" width="11.5703125" style="89" bestFit="1" customWidth="1"/>
    <col min="12807" max="12807" width="13.140625" style="89" bestFit="1" customWidth="1"/>
    <col min="12808" max="12808" width="14.7109375" style="89" bestFit="1" customWidth="1"/>
    <col min="12809" max="12810" width="14.140625" style="89" bestFit="1" customWidth="1"/>
    <col min="12811" max="12811" width="18" style="89" bestFit="1" customWidth="1"/>
    <col min="12812" max="12812" width="17.140625" style="89" customWidth="1"/>
    <col min="12813" max="12813" width="6.7109375" style="89" customWidth="1"/>
    <col min="12814" max="12814" width="15" style="89" customWidth="1"/>
    <col min="12815" max="12815" width="7.7109375" style="89" customWidth="1"/>
    <col min="12816" max="12816" width="9.140625" style="89" customWidth="1"/>
    <col min="12817" max="12820" width="14.28515625" style="89" customWidth="1"/>
    <col min="12821" max="12821" width="15.5703125" style="89" customWidth="1"/>
    <col min="12822" max="12828" width="11.42578125" style="89"/>
    <col min="12829" max="12831" width="11.5703125" style="89" bestFit="1" customWidth="1"/>
    <col min="12832" max="12841" width="12.5703125" style="89" bestFit="1" customWidth="1"/>
    <col min="12842" max="13056" width="11.42578125" style="89"/>
    <col min="13057" max="13057" width="16.140625" style="89" customWidth="1"/>
    <col min="13058" max="13058" width="14.85546875" style="89" customWidth="1"/>
    <col min="13059" max="13059" width="10.42578125" style="89" bestFit="1" customWidth="1"/>
    <col min="13060" max="13060" width="11" style="89" bestFit="1" customWidth="1"/>
    <col min="13061" max="13061" width="14.5703125" style="89" bestFit="1" customWidth="1"/>
    <col min="13062" max="13062" width="11.5703125" style="89" bestFit="1" customWidth="1"/>
    <col min="13063" max="13063" width="13.140625" style="89" bestFit="1" customWidth="1"/>
    <col min="13064" max="13064" width="14.7109375" style="89" bestFit="1" customWidth="1"/>
    <col min="13065" max="13066" width="14.140625" style="89" bestFit="1" customWidth="1"/>
    <col min="13067" max="13067" width="18" style="89" bestFit="1" customWidth="1"/>
    <col min="13068" max="13068" width="17.140625" style="89" customWidth="1"/>
    <col min="13069" max="13069" width="6.7109375" style="89" customWidth="1"/>
    <col min="13070" max="13070" width="15" style="89" customWidth="1"/>
    <col min="13071" max="13071" width="7.7109375" style="89" customWidth="1"/>
    <col min="13072" max="13072" width="9.140625" style="89" customWidth="1"/>
    <col min="13073" max="13076" width="14.28515625" style="89" customWidth="1"/>
    <col min="13077" max="13077" width="15.5703125" style="89" customWidth="1"/>
    <col min="13078" max="13084" width="11.42578125" style="89"/>
    <col min="13085" max="13087" width="11.5703125" style="89" bestFit="1" customWidth="1"/>
    <col min="13088" max="13097" width="12.5703125" style="89" bestFit="1" customWidth="1"/>
    <col min="13098" max="13312" width="11.42578125" style="89"/>
    <col min="13313" max="13313" width="16.140625" style="89" customWidth="1"/>
    <col min="13314" max="13314" width="14.85546875" style="89" customWidth="1"/>
    <col min="13315" max="13315" width="10.42578125" style="89" bestFit="1" customWidth="1"/>
    <col min="13316" max="13316" width="11" style="89" bestFit="1" customWidth="1"/>
    <col min="13317" max="13317" width="14.5703125" style="89" bestFit="1" customWidth="1"/>
    <col min="13318" max="13318" width="11.5703125" style="89" bestFit="1" customWidth="1"/>
    <col min="13319" max="13319" width="13.140625" style="89" bestFit="1" customWidth="1"/>
    <col min="13320" max="13320" width="14.7109375" style="89" bestFit="1" customWidth="1"/>
    <col min="13321" max="13322" width="14.140625" style="89" bestFit="1" customWidth="1"/>
    <col min="13323" max="13323" width="18" style="89" bestFit="1" customWidth="1"/>
    <col min="13324" max="13324" width="17.140625" style="89" customWidth="1"/>
    <col min="13325" max="13325" width="6.7109375" style="89" customWidth="1"/>
    <col min="13326" max="13326" width="15" style="89" customWidth="1"/>
    <col min="13327" max="13327" width="7.7109375" style="89" customWidth="1"/>
    <col min="13328" max="13328" width="9.140625" style="89" customWidth="1"/>
    <col min="13329" max="13332" width="14.28515625" style="89" customWidth="1"/>
    <col min="13333" max="13333" width="15.5703125" style="89" customWidth="1"/>
    <col min="13334" max="13340" width="11.42578125" style="89"/>
    <col min="13341" max="13343" width="11.5703125" style="89" bestFit="1" customWidth="1"/>
    <col min="13344" max="13353" width="12.5703125" style="89" bestFit="1" customWidth="1"/>
    <col min="13354" max="13568" width="11.42578125" style="89"/>
    <col min="13569" max="13569" width="16.140625" style="89" customWidth="1"/>
    <col min="13570" max="13570" width="14.85546875" style="89" customWidth="1"/>
    <col min="13571" max="13571" width="10.42578125" style="89" bestFit="1" customWidth="1"/>
    <col min="13572" max="13572" width="11" style="89" bestFit="1" customWidth="1"/>
    <col min="13573" max="13573" width="14.5703125" style="89" bestFit="1" customWidth="1"/>
    <col min="13574" max="13574" width="11.5703125" style="89" bestFit="1" customWidth="1"/>
    <col min="13575" max="13575" width="13.140625" style="89" bestFit="1" customWidth="1"/>
    <col min="13576" max="13576" width="14.7109375" style="89" bestFit="1" customWidth="1"/>
    <col min="13577" max="13578" width="14.140625" style="89" bestFit="1" customWidth="1"/>
    <col min="13579" max="13579" width="18" style="89" bestFit="1" customWidth="1"/>
    <col min="13580" max="13580" width="17.140625" style="89" customWidth="1"/>
    <col min="13581" max="13581" width="6.7109375" style="89" customWidth="1"/>
    <col min="13582" max="13582" width="15" style="89" customWidth="1"/>
    <col min="13583" max="13583" width="7.7109375" style="89" customWidth="1"/>
    <col min="13584" max="13584" width="9.140625" style="89" customWidth="1"/>
    <col min="13585" max="13588" width="14.28515625" style="89" customWidth="1"/>
    <col min="13589" max="13589" width="15.5703125" style="89" customWidth="1"/>
    <col min="13590" max="13596" width="11.42578125" style="89"/>
    <col min="13597" max="13599" width="11.5703125" style="89" bestFit="1" customWidth="1"/>
    <col min="13600" max="13609" width="12.5703125" style="89" bestFit="1" customWidth="1"/>
    <col min="13610" max="13824" width="11.42578125" style="89"/>
    <col min="13825" max="13825" width="16.140625" style="89" customWidth="1"/>
    <col min="13826" max="13826" width="14.85546875" style="89" customWidth="1"/>
    <col min="13827" max="13827" width="10.42578125" style="89" bestFit="1" customWidth="1"/>
    <col min="13828" max="13828" width="11" style="89" bestFit="1" customWidth="1"/>
    <col min="13829" max="13829" width="14.5703125" style="89" bestFit="1" customWidth="1"/>
    <col min="13830" max="13830" width="11.5703125" style="89" bestFit="1" customWidth="1"/>
    <col min="13831" max="13831" width="13.140625" style="89" bestFit="1" customWidth="1"/>
    <col min="13832" max="13832" width="14.7109375" style="89" bestFit="1" customWidth="1"/>
    <col min="13833" max="13834" width="14.140625" style="89" bestFit="1" customWidth="1"/>
    <col min="13835" max="13835" width="18" style="89" bestFit="1" customWidth="1"/>
    <col min="13836" max="13836" width="17.140625" style="89" customWidth="1"/>
    <col min="13837" max="13837" width="6.7109375" style="89" customWidth="1"/>
    <col min="13838" max="13838" width="15" style="89" customWidth="1"/>
    <col min="13839" max="13839" width="7.7109375" style="89" customWidth="1"/>
    <col min="13840" max="13840" width="9.140625" style="89" customWidth="1"/>
    <col min="13841" max="13844" width="14.28515625" style="89" customWidth="1"/>
    <col min="13845" max="13845" width="15.5703125" style="89" customWidth="1"/>
    <col min="13846" max="13852" width="11.42578125" style="89"/>
    <col min="13853" max="13855" width="11.5703125" style="89" bestFit="1" customWidth="1"/>
    <col min="13856" max="13865" width="12.5703125" style="89" bestFit="1" customWidth="1"/>
    <col min="13866" max="14080" width="11.42578125" style="89"/>
    <col min="14081" max="14081" width="16.140625" style="89" customWidth="1"/>
    <col min="14082" max="14082" width="14.85546875" style="89" customWidth="1"/>
    <col min="14083" max="14083" width="10.42578125" style="89" bestFit="1" customWidth="1"/>
    <col min="14084" max="14084" width="11" style="89" bestFit="1" customWidth="1"/>
    <col min="14085" max="14085" width="14.5703125" style="89" bestFit="1" customWidth="1"/>
    <col min="14086" max="14086" width="11.5703125" style="89" bestFit="1" customWidth="1"/>
    <col min="14087" max="14087" width="13.140625" style="89" bestFit="1" customWidth="1"/>
    <col min="14088" max="14088" width="14.7109375" style="89" bestFit="1" customWidth="1"/>
    <col min="14089" max="14090" width="14.140625" style="89" bestFit="1" customWidth="1"/>
    <col min="14091" max="14091" width="18" style="89" bestFit="1" customWidth="1"/>
    <col min="14092" max="14092" width="17.140625" style="89" customWidth="1"/>
    <col min="14093" max="14093" width="6.7109375" style="89" customWidth="1"/>
    <col min="14094" max="14094" width="15" style="89" customWidth="1"/>
    <col min="14095" max="14095" width="7.7109375" style="89" customWidth="1"/>
    <col min="14096" max="14096" width="9.140625" style="89" customWidth="1"/>
    <col min="14097" max="14100" width="14.28515625" style="89" customWidth="1"/>
    <col min="14101" max="14101" width="15.5703125" style="89" customWidth="1"/>
    <col min="14102" max="14108" width="11.42578125" style="89"/>
    <col min="14109" max="14111" width="11.5703125" style="89" bestFit="1" customWidth="1"/>
    <col min="14112" max="14121" width="12.5703125" style="89" bestFit="1" customWidth="1"/>
    <col min="14122" max="14336" width="11.42578125" style="89"/>
    <col min="14337" max="14337" width="16.140625" style="89" customWidth="1"/>
    <col min="14338" max="14338" width="14.85546875" style="89" customWidth="1"/>
    <col min="14339" max="14339" width="10.42578125" style="89" bestFit="1" customWidth="1"/>
    <col min="14340" max="14340" width="11" style="89" bestFit="1" customWidth="1"/>
    <col min="14341" max="14341" width="14.5703125" style="89" bestFit="1" customWidth="1"/>
    <col min="14342" max="14342" width="11.5703125" style="89" bestFit="1" customWidth="1"/>
    <col min="14343" max="14343" width="13.140625" style="89" bestFit="1" customWidth="1"/>
    <col min="14344" max="14344" width="14.7109375" style="89" bestFit="1" customWidth="1"/>
    <col min="14345" max="14346" width="14.140625" style="89" bestFit="1" customWidth="1"/>
    <col min="14347" max="14347" width="18" style="89" bestFit="1" customWidth="1"/>
    <col min="14348" max="14348" width="17.140625" style="89" customWidth="1"/>
    <col min="14349" max="14349" width="6.7109375" style="89" customWidth="1"/>
    <col min="14350" max="14350" width="15" style="89" customWidth="1"/>
    <col min="14351" max="14351" width="7.7109375" style="89" customWidth="1"/>
    <col min="14352" max="14352" width="9.140625" style="89" customWidth="1"/>
    <col min="14353" max="14356" width="14.28515625" style="89" customWidth="1"/>
    <col min="14357" max="14357" width="15.5703125" style="89" customWidth="1"/>
    <col min="14358" max="14364" width="11.42578125" style="89"/>
    <col min="14365" max="14367" width="11.5703125" style="89" bestFit="1" customWidth="1"/>
    <col min="14368" max="14377" width="12.5703125" style="89" bestFit="1" customWidth="1"/>
    <col min="14378" max="14592" width="11.42578125" style="89"/>
    <col min="14593" max="14593" width="16.140625" style="89" customWidth="1"/>
    <col min="14594" max="14594" width="14.85546875" style="89" customWidth="1"/>
    <col min="14595" max="14595" width="10.42578125" style="89" bestFit="1" customWidth="1"/>
    <col min="14596" max="14596" width="11" style="89" bestFit="1" customWidth="1"/>
    <col min="14597" max="14597" width="14.5703125" style="89" bestFit="1" customWidth="1"/>
    <col min="14598" max="14598" width="11.5703125" style="89" bestFit="1" customWidth="1"/>
    <col min="14599" max="14599" width="13.140625" style="89" bestFit="1" customWidth="1"/>
    <col min="14600" max="14600" width="14.7109375" style="89" bestFit="1" customWidth="1"/>
    <col min="14601" max="14602" width="14.140625" style="89" bestFit="1" customWidth="1"/>
    <col min="14603" max="14603" width="18" style="89" bestFit="1" customWidth="1"/>
    <col min="14604" max="14604" width="17.140625" style="89" customWidth="1"/>
    <col min="14605" max="14605" width="6.7109375" style="89" customWidth="1"/>
    <col min="14606" max="14606" width="15" style="89" customWidth="1"/>
    <col min="14607" max="14607" width="7.7109375" style="89" customWidth="1"/>
    <col min="14608" max="14608" width="9.140625" style="89" customWidth="1"/>
    <col min="14609" max="14612" width="14.28515625" style="89" customWidth="1"/>
    <col min="14613" max="14613" width="15.5703125" style="89" customWidth="1"/>
    <col min="14614" max="14620" width="11.42578125" style="89"/>
    <col min="14621" max="14623" width="11.5703125" style="89" bestFit="1" customWidth="1"/>
    <col min="14624" max="14633" width="12.5703125" style="89" bestFit="1" customWidth="1"/>
    <col min="14634" max="14848" width="11.42578125" style="89"/>
    <col min="14849" max="14849" width="16.140625" style="89" customWidth="1"/>
    <col min="14850" max="14850" width="14.85546875" style="89" customWidth="1"/>
    <col min="14851" max="14851" width="10.42578125" style="89" bestFit="1" customWidth="1"/>
    <col min="14852" max="14852" width="11" style="89" bestFit="1" customWidth="1"/>
    <col min="14853" max="14853" width="14.5703125" style="89" bestFit="1" customWidth="1"/>
    <col min="14854" max="14854" width="11.5703125" style="89" bestFit="1" customWidth="1"/>
    <col min="14855" max="14855" width="13.140625" style="89" bestFit="1" customWidth="1"/>
    <col min="14856" max="14856" width="14.7109375" style="89" bestFit="1" customWidth="1"/>
    <col min="14857" max="14858" width="14.140625" style="89" bestFit="1" customWidth="1"/>
    <col min="14859" max="14859" width="18" style="89" bestFit="1" customWidth="1"/>
    <col min="14860" max="14860" width="17.140625" style="89" customWidth="1"/>
    <col min="14861" max="14861" width="6.7109375" style="89" customWidth="1"/>
    <col min="14862" max="14862" width="15" style="89" customWidth="1"/>
    <col min="14863" max="14863" width="7.7109375" style="89" customWidth="1"/>
    <col min="14864" max="14864" width="9.140625" style="89" customWidth="1"/>
    <col min="14865" max="14868" width="14.28515625" style="89" customWidth="1"/>
    <col min="14869" max="14869" width="15.5703125" style="89" customWidth="1"/>
    <col min="14870" max="14876" width="11.42578125" style="89"/>
    <col min="14877" max="14879" width="11.5703125" style="89" bestFit="1" customWidth="1"/>
    <col min="14880" max="14889" width="12.5703125" style="89" bestFit="1" customWidth="1"/>
    <col min="14890" max="15104" width="11.42578125" style="89"/>
    <col min="15105" max="15105" width="16.140625" style="89" customWidth="1"/>
    <col min="15106" max="15106" width="14.85546875" style="89" customWidth="1"/>
    <col min="15107" max="15107" width="10.42578125" style="89" bestFit="1" customWidth="1"/>
    <col min="15108" max="15108" width="11" style="89" bestFit="1" customWidth="1"/>
    <col min="15109" max="15109" width="14.5703125" style="89" bestFit="1" customWidth="1"/>
    <col min="15110" max="15110" width="11.5703125" style="89" bestFit="1" customWidth="1"/>
    <col min="15111" max="15111" width="13.140625" style="89" bestFit="1" customWidth="1"/>
    <col min="15112" max="15112" width="14.7109375" style="89" bestFit="1" customWidth="1"/>
    <col min="15113" max="15114" width="14.140625" style="89" bestFit="1" customWidth="1"/>
    <col min="15115" max="15115" width="18" style="89" bestFit="1" customWidth="1"/>
    <col min="15116" max="15116" width="17.140625" style="89" customWidth="1"/>
    <col min="15117" max="15117" width="6.7109375" style="89" customWidth="1"/>
    <col min="15118" max="15118" width="15" style="89" customWidth="1"/>
    <col min="15119" max="15119" width="7.7109375" style="89" customWidth="1"/>
    <col min="15120" max="15120" width="9.140625" style="89" customWidth="1"/>
    <col min="15121" max="15124" width="14.28515625" style="89" customWidth="1"/>
    <col min="15125" max="15125" width="15.5703125" style="89" customWidth="1"/>
    <col min="15126" max="15132" width="11.42578125" style="89"/>
    <col min="15133" max="15135" width="11.5703125" style="89" bestFit="1" customWidth="1"/>
    <col min="15136" max="15145" width="12.5703125" style="89" bestFit="1" customWidth="1"/>
    <col min="15146" max="15360" width="11.42578125" style="89"/>
    <col min="15361" max="15361" width="16.140625" style="89" customWidth="1"/>
    <col min="15362" max="15362" width="14.85546875" style="89" customWidth="1"/>
    <col min="15363" max="15363" width="10.42578125" style="89" bestFit="1" customWidth="1"/>
    <col min="15364" max="15364" width="11" style="89" bestFit="1" customWidth="1"/>
    <col min="15365" max="15365" width="14.5703125" style="89" bestFit="1" customWidth="1"/>
    <col min="15366" max="15366" width="11.5703125" style="89" bestFit="1" customWidth="1"/>
    <col min="15367" max="15367" width="13.140625" style="89" bestFit="1" customWidth="1"/>
    <col min="15368" max="15368" width="14.7109375" style="89" bestFit="1" customWidth="1"/>
    <col min="15369" max="15370" width="14.140625" style="89" bestFit="1" customWidth="1"/>
    <col min="15371" max="15371" width="18" style="89" bestFit="1" customWidth="1"/>
    <col min="15372" max="15372" width="17.140625" style="89" customWidth="1"/>
    <col min="15373" max="15373" width="6.7109375" style="89" customWidth="1"/>
    <col min="15374" max="15374" width="15" style="89" customWidth="1"/>
    <col min="15375" max="15375" width="7.7109375" style="89" customWidth="1"/>
    <col min="15376" max="15376" width="9.140625" style="89" customWidth="1"/>
    <col min="15377" max="15380" width="14.28515625" style="89" customWidth="1"/>
    <col min="15381" max="15381" width="15.5703125" style="89" customWidth="1"/>
    <col min="15382" max="15388" width="11.42578125" style="89"/>
    <col min="15389" max="15391" width="11.5703125" style="89" bestFit="1" customWidth="1"/>
    <col min="15392" max="15401" width="12.5703125" style="89" bestFit="1" customWidth="1"/>
    <col min="15402" max="15616" width="11.42578125" style="89"/>
    <col min="15617" max="15617" width="16.140625" style="89" customWidth="1"/>
    <col min="15618" max="15618" width="14.85546875" style="89" customWidth="1"/>
    <col min="15619" max="15619" width="10.42578125" style="89" bestFit="1" customWidth="1"/>
    <col min="15620" max="15620" width="11" style="89" bestFit="1" customWidth="1"/>
    <col min="15621" max="15621" width="14.5703125" style="89" bestFit="1" customWidth="1"/>
    <col min="15622" max="15622" width="11.5703125" style="89" bestFit="1" customWidth="1"/>
    <col min="15623" max="15623" width="13.140625" style="89" bestFit="1" customWidth="1"/>
    <col min="15624" max="15624" width="14.7109375" style="89" bestFit="1" customWidth="1"/>
    <col min="15625" max="15626" width="14.140625" style="89" bestFit="1" customWidth="1"/>
    <col min="15627" max="15627" width="18" style="89" bestFit="1" customWidth="1"/>
    <col min="15628" max="15628" width="17.140625" style="89" customWidth="1"/>
    <col min="15629" max="15629" width="6.7109375" style="89" customWidth="1"/>
    <col min="15630" max="15630" width="15" style="89" customWidth="1"/>
    <col min="15631" max="15631" width="7.7109375" style="89" customWidth="1"/>
    <col min="15632" max="15632" width="9.140625" style="89" customWidth="1"/>
    <col min="15633" max="15636" width="14.28515625" style="89" customWidth="1"/>
    <col min="15637" max="15637" width="15.5703125" style="89" customWidth="1"/>
    <col min="15638" max="15644" width="11.42578125" style="89"/>
    <col min="15645" max="15647" width="11.5703125" style="89" bestFit="1" customWidth="1"/>
    <col min="15648" max="15657" width="12.5703125" style="89" bestFit="1" customWidth="1"/>
    <col min="15658" max="15872" width="11.42578125" style="89"/>
    <col min="15873" max="15873" width="16.140625" style="89" customWidth="1"/>
    <col min="15874" max="15874" width="14.85546875" style="89" customWidth="1"/>
    <col min="15875" max="15875" width="10.42578125" style="89" bestFit="1" customWidth="1"/>
    <col min="15876" max="15876" width="11" style="89" bestFit="1" customWidth="1"/>
    <col min="15877" max="15877" width="14.5703125" style="89" bestFit="1" customWidth="1"/>
    <col min="15878" max="15878" width="11.5703125" style="89" bestFit="1" customWidth="1"/>
    <col min="15879" max="15879" width="13.140625" style="89" bestFit="1" customWidth="1"/>
    <col min="15880" max="15880" width="14.7109375" style="89" bestFit="1" customWidth="1"/>
    <col min="15881" max="15882" width="14.140625" style="89" bestFit="1" customWidth="1"/>
    <col min="15883" max="15883" width="18" style="89" bestFit="1" customWidth="1"/>
    <col min="15884" max="15884" width="17.140625" style="89" customWidth="1"/>
    <col min="15885" max="15885" width="6.7109375" style="89" customWidth="1"/>
    <col min="15886" max="15886" width="15" style="89" customWidth="1"/>
    <col min="15887" max="15887" width="7.7109375" style="89" customWidth="1"/>
    <col min="15888" max="15888" width="9.140625" style="89" customWidth="1"/>
    <col min="15889" max="15892" width="14.28515625" style="89" customWidth="1"/>
    <col min="15893" max="15893" width="15.5703125" style="89" customWidth="1"/>
    <col min="15894" max="15900" width="11.42578125" style="89"/>
    <col min="15901" max="15903" width="11.5703125" style="89" bestFit="1" customWidth="1"/>
    <col min="15904" max="15913" width="12.5703125" style="89" bestFit="1" customWidth="1"/>
    <col min="15914" max="16128" width="11.42578125" style="89"/>
    <col min="16129" max="16129" width="16.140625" style="89" customWidth="1"/>
    <col min="16130" max="16130" width="14.85546875" style="89" customWidth="1"/>
    <col min="16131" max="16131" width="10.42578125" style="89" bestFit="1" customWidth="1"/>
    <col min="16132" max="16132" width="11" style="89" bestFit="1" customWidth="1"/>
    <col min="16133" max="16133" width="14.5703125" style="89" bestFit="1" customWidth="1"/>
    <col min="16134" max="16134" width="11.5703125" style="89" bestFit="1" customWidth="1"/>
    <col min="16135" max="16135" width="13.140625" style="89" bestFit="1" customWidth="1"/>
    <col min="16136" max="16136" width="14.7109375" style="89" bestFit="1" customWidth="1"/>
    <col min="16137" max="16138" width="14.140625" style="89" bestFit="1" customWidth="1"/>
    <col min="16139" max="16139" width="18" style="89" bestFit="1" customWidth="1"/>
    <col min="16140" max="16140" width="17.140625" style="89" customWidth="1"/>
    <col min="16141" max="16141" width="6.7109375" style="89" customWidth="1"/>
    <col min="16142" max="16142" width="15" style="89" customWidth="1"/>
    <col min="16143" max="16143" width="7.7109375" style="89" customWidth="1"/>
    <col min="16144" max="16144" width="9.140625" style="89" customWidth="1"/>
    <col min="16145" max="16148" width="14.28515625" style="89" customWidth="1"/>
    <col min="16149" max="16149" width="15.5703125" style="89" customWidth="1"/>
    <col min="16150" max="16156" width="11.42578125" style="89"/>
    <col min="16157" max="16159" width="11.5703125" style="89" bestFit="1" customWidth="1"/>
    <col min="16160" max="16169" width="12.5703125" style="89" bestFit="1" customWidth="1"/>
    <col min="16170" max="16384" width="11.42578125" style="89"/>
  </cols>
  <sheetData>
    <row r="1" spans="1:41" ht="18.75" x14ac:dyDescent="0.3">
      <c r="E1" s="263" t="s">
        <v>33</v>
      </c>
      <c r="F1" s="263"/>
      <c r="G1" s="263"/>
      <c r="H1" s="263"/>
      <c r="I1" s="90"/>
      <c r="K1" s="264" t="s">
        <v>34</v>
      </c>
      <c r="L1" s="264"/>
      <c r="M1" s="264"/>
      <c r="N1" s="264"/>
      <c r="O1" s="264"/>
      <c r="P1" s="264"/>
    </row>
    <row r="2" spans="1:41" ht="18.75" x14ac:dyDescent="0.3">
      <c r="B2" s="265" t="s">
        <v>35</v>
      </c>
      <c r="C2" s="265"/>
      <c r="D2" s="265"/>
      <c r="E2" s="266" t="s">
        <v>36</v>
      </c>
      <c r="F2" s="266"/>
      <c r="G2" s="266"/>
      <c r="H2" s="91" t="s">
        <v>37</v>
      </c>
      <c r="I2" s="267" t="s">
        <v>38</v>
      </c>
      <c r="J2" s="267"/>
      <c r="K2" s="92" t="s">
        <v>39</v>
      </c>
      <c r="L2" s="268" t="s">
        <v>40</v>
      </c>
      <c r="M2" s="268"/>
      <c r="N2" s="269">
        <v>44196</v>
      </c>
      <c r="O2" s="268"/>
      <c r="P2" s="268"/>
      <c r="Q2" s="261" t="s">
        <v>41</v>
      </c>
      <c r="R2" s="261"/>
      <c r="S2" s="261"/>
      <c r="T2" s="262"/>
    </row>
    <row r="3" spans="1:41" ht="60" x14ac:dyDescent="0.25">
      <c r="A3" s="93"/>
      <c r="B3" s="94" t="s">
        <v>42</v>
      </c>
      <c r="C3" s="94" t="s">
        <v>43</v>
      </c>
      <c r="D3" s="94" t="s">
        <v>44</v>
      </c>
      <c r="E3" s="95" t="s">
        <v>45</v>
      </c>
      <c r="F3" s="95" t="s">
        <v>46</v>
      </c>
      <c r="G3" s="95" t="s">
        <v>47</v>
      </c>
      <c r="H3" s="95" t="s">
        <v>48</v>
      </c>
      <c r="I3" s="96" t="s">
        <v>49</v>
      </c>
      <c r="J3" s="96" t="s">
        <v>50</v>
      </c>
      <c r="K3" s="97" t="s">
        <v>51</v>
      </c>
      <c r="L3" s="97" t="s">
        <v>52</v>
      </c>
      <c r="M3" s="97" t="s">
        <v>53</v>
      </c>
      <c r="N3" s="97" t="s">
        <v>54</v>
      </c>
      <c r="O3" s="97" t="s">
        <v>53</v>
      </c>
      <c r="P3" s="97" t="s">
        <v>55</v>
      </c>
      <c r="Q3" s="98" t="s">
        <v>56</v>
      </c>
      <c r="R3" s="98" t="s">
        <v>57</v>
      </c>
      <c r="S3" s="98" t="s">
        <v>58</v>
      </c>
      <c r="T3" s="98" t="s">
        <v>59</v>
      </c>
      <c r="U3" s="93" t="s">
        <v>60</v>
      </c>
      <c r="V3" s="93" t="s">
        <v>61</v>
      </c>
      <c r="W3" s="93" t="s">
        <v>62</v>
      </c>
      <c r="X3" s="93" t="s">
        <v>63</v>
      </c>
      <c r="Y3" s="93" t="s">
        <v>64</v>
      </c>
      <c r="Z3" s="93" t="s">
        <v>65</v>
      </c>
      <c r="AA3" s="93" t="s">
        <v>66</v>
      </c>
      <c r="AB3" s="93" t="s">
        <v>67</v>
      </c>
      <c r="AC3" s="93" t="s">
        <v>68</v>
      </c>
      <c r="AD3" s="93" t="s">
        <v>69</v>
      </c>
      <c r="AE3" s="93" t="s">
        <v>70</v>
      </c>
      <c r="AF3" s="93" t="s">
        <v>71</v>
      </c>
      <c r="AG3" s="93" t="s">
        <v>72</v>
      </c>
      <c r="AH3" s="93" t="s">
        <v>73</v>
      </c>
      <c r="AI3" s="99" t="s">
        <v>74</v>
      </c>
      <c r="AJ3" s="93" t="s">
        <v>75</v>
      </c>
      <c r="AK3" s="93" t="s">
        <v>76</v>
      </c>
      <c r="AL3" s="93" t="s">
        <v>77</v>
      </c>
      <c r="AM3" s="93" t="s">
        <v>78</v>
      </c>
      <c r="AN3" s="93" t="s">
        <v>79</v>
      </c>
      <c r="AO3" s="93" t="s">
        <v>68</v>
      </c>
    </row>
    <row r="4" spans="1:41" x14ac:dyDescent="0.25">
      <c r="A4" s="100" t="s">
        <v>80</v>
      </c>
      <c r="B4" s="101">
        <f>DELPHINE!D60</f>
        <v>1</v>
      </c>
      <c r="C4" s="101">
        <f>DELPHINE!D72</f>
        <v>0</v>
      </c>
      <c r="D4" s="101">
        <f>DELPHINE!D66</f>
        <v>1</v>
      </c>
      <c r="E4" s="102">
        <f>COUNTIFS(DELPHINE!BB3:BB51,"x",DELPHINE!BB3:BB51,"X")</f>
        <v>0</v>
      </c>
      <c r="F4" s="102">
        <f>E4-G4</f>
        <v>0</v>
      </c>
      <c r="G4" s="102">
        <f>COUNTIFS(DELPHINE!BB3:BB51,"x",DELPHINE!BB3:BB51,"X",DELPHINE!E3:E51,"31/12/2019")</f>
        <v>0</v>
      </c>
      <c r="H4" s="103">
        <f>+B4-E4</f>
        <v>1</v>
      </c>
      <c r="I4" s="104">
        <f>COUNTIFS(DELPHINE!I3:I51,"&lt;&gt;",DELPHINE!BA3:BA51,"",DELPHINE!BB3:BB51,"")</f>
        <v>4</v>
      </c>
      <c r="J4" s="104">
        <f>COUNTIFS(DELPHINE!BA3:BA51,"x",DELPHINE!BB3:BB51,"")</f>
        <v>0</v>
      </c>
      <c r="K4" s="105">
        <f>H4-I4-J4</f>
        <v>-3</v>
      </c>
      <c r="L4" s="106" t="e">
        <f>DELPHINE!E111+DELPHINE!F111+DELPHINE!G111+DELPHINE!H111+DELPHINE!I111+DELPHINE!J111+DELPHINE!K111+DELPHINE!M111+DELPHINE!N111+DELPHINE!O111+DELPHINE!P111+DELPHINE!Q111+DELPHINE!R111</f>
        <v>#VALUE!</v>
      </c>
      <c r="M4" s="105">
        <f>DELPHINE!L111</f>
        <v>0</v>
      </c>
      <c r="N4" s="105">
        <f>DELPHINE!E105+DELPHINE!F105+DELPHINE!G105+DELPHINE!H105+DELPHINE!I105+DELPHINE!K105+DELPHINE!M105+DELPHINE!N105+DELPHINE!O105+DELPHINE!P105+DELPHINE!Q105+DELPHINE!R105</f>
        <v>0</v>
      </c>
      <c r="O4" s="105">
        <f>DELPHINE!L105</f>
        <v>0</v>
      </c>
      <c r="P4" s="105">
        <f>DELPHINE!J105</f>
        <v>0</v>
      </c>
      <c r="Q4" s="107" t="e">
        <f t="shared" ref="Q4:R10" si="0">F4/C4</f>
        <v>#DIV/0!</v>
      </c>
      <c r="R4" s="107">
        <f t="shared" si="0"/>
        <v>0</v>
      </c>
      <c r="S4" s="107">
        <f t="shared" ref="S4:S10" si="1">E4/B4</f>
        <v>0</v>
      </c>
      <c r="T4" s="107">
        <f t="shared" ref="T4:T10" si="2">(E4+I4)/B4</f>
        <v>4</v>
      </c>
      <c r="U4" s="108">
        <f>+ROUND(AVERAGE(DELPHINE!$K$3:K92),0)</f>
        <v>1</v>
      </c>
      <c r="V4" s="108">
        <f>COUNTIF(DELPHINE!L3:L69,"OUI")</f>
        <v>0</v>
      </c>
      <c r="W4" s="108">
        <f t="shared" ref="W4:W10" si="3">+ROUND(V4/B4*100,)</f>
        <v>0</v>
      </c>
      <c r="X4" s="108">
        <f>+COUNTIF(DELPHINE!M3:M92,"oui")</f>
        <v>0</v>
      </c>
      <c r="Y4" s="108">
        <f t="shared" ref="Y4:Y10" si="4">+ROUND(X4/B4*100,)</f>
        <v>0</v>
      </c>
      <c r="Z4" s="108">
        <f>+COUNTA(DELPHINE!BC3:BC92)</f>
        <v>4</v>
      </c>
      <c r="AA4" s="109">
        <f t="shared" ref="AA4:AA10" si="5">+ROUND(Z4/B4*100,)/100</f>
        <v>4</v>
      </c>
      <c r="AB4" s="108"/>
      <c r="AC4" s="108">
        <f>+COUNTIF(DELPHINE!$K$3:$K$51,6)</f>
        <v>0</v>
      </c>
      <c r="AD4" s="108">
        <f>+COUNTIF(DELPHINE!$K$3:$K$51,7)</f>
        <v>0</v>
      </c>
      <c r="AE4" s="108">
        <f>+COUNTIF(DELPHINE!$K$3:$K$51,8)</f>
        <v>0</v>
      </c>
      <c r="AF4" s="108">
        <f>+COUNTIF(DELPHINE!$K$3:$K$51,9)</f>
        <v>0</v>
      </c>
      <c r="AG4" s="108">
        <f>+COUNTIF(DELPHINE!$K$3:$K$51,10)</f>
        <v>1</v>
      </c>
      <c r="AH4" s="108">
        <f>+COUNTIF(DELPHINE!$K$3:$K$51,11)</f>
        <v>0</v>
      </c>
      <c r="AI4" s="108">
        <f>+COUNTIF(DELPHINE!$K$3:$K$51,12)</f>
        <v>0</v>
      </c>
      <c r="AJ4" s="108">
        <f>+COUNTIF(DELPHINE!$K$3:$K$51,1)</f>
        <v>0</v>
      </c>
      <c r="AK4" s="108">
        <f>+COUNTIF(DELPHINE!$K$3:$K$51,2)</f>
        <v>1</v>
      </c>
      <c r="AL4" s="108">
        <f>+COUNTIF(DELPHINE!$K$3:$K$51,3)</f>
        <v>0</v>
      </c>
      <c r="AM4" s="108">
        <f>+COUNTIF(DELPHINE!$K$3:$K$51,4)</f>
        <v>0</v>
      </c>
      <c r="AN4" s="108">
        <f>+COUNTIF(DELPHINE!$K$3:$K$51,5)</f>
        <v>0</v>
      </c>
      <c r="AO4" s="108"/>
    </row>
    <row r="5" spans="1:41" x14ac:dyDescent="0.25">
      <c r="A5" s="110" t="s">
        <v>81</v>
      </c>
      <c r="B5" s="101">
        <v>42</v>
      </c>
      <c r="C5" s="101">
        <v>16</v>
      </c>
      <c r="D5" s="101">
        <f t="shared" ref="D5:D10" si="6">B5-C5</f>
        <v>26</v>
      </c>
      <c r="E5" s="102" t="e">
        <f t="shared" ref="E5:E10" si="7">+SUM(AB5:AO5)</f>
        <v>#VALUE!</v>
      </c>
      <c r="F5" s="102">
        <v>15</v>
      </c>
      <c r="G5" s="102" t="e">
        <f t="shared" ref="G5:G11" si="8">E5-F5</f>
        <v>#VALUE!</v>
      </c>
      <c r="H5" s="103" t="e">
        <f t="shared" ref="H5:H10" si="9">+B5-E5</f>
        <v>#VALUE!</v>
      </c>
      <c r="I5" s="104">
        <v>0</v>
      </c>
      <c r="J5" s="104">
        <v>0</v>
      </c>
      <c r="K5" s="105" t="e">
        <f t="shared" ref="K5:K11" si="10">H5-I5-J5</f>
        <v>#VALUE!</v>
      </c>
      <c r="L5" s="105">
        <v>1</v>
      </c>
      <c r="M5" s="105"/>
      <c r="N5" s="105">
        <v>11</v>
      </c>
      <c r="O5" s="105">
        <v>6</v>
      </c>
      <c r="P5" s="105">
        <v>0</v>
      </c>
      <c r="Q5" s="107">
        <f t="shared" si="0"/>
        <v>0.9375</v>
      </c>
      <c r="R5" s="107" t="e">
        <f t="shared" si="0"/>
        <v>#VALUE!</v>
      </c>
      <c r="S5" s="107" t="e">
        <f t="shared" si="1"/>
        <v>#VALUE!</v>
      </c>
      <c r="T5" s="107" t="e">
        <f t="shared" si="2"/>
        <v>#VALUE!</v>
      </c>
      <c r="U5" s="108">
        <v>85</v>
      </c>
      <c r="V5" s="108" t="e">
        <v>#VALUE!</v>
      </c>
      <c r="W5" s="108" t="e">
        <f t="shared" si="3"/>
        <v>#VALUE!</v>
      </c>
      <c r="X5" s="108" t="e">
        <v>#VALUE!</v>
      </c>
      <c r="Y5" s="108" t="e">
        <f t="shared" si="4"/>
        <v>#VALUE!</v>
      </c>
      <c r="Z5" s="108">
        <v>3</v>
      </c>
      <c r="AA5" s="109">
        <f t="shared" si="5"/>
        <v>7.0000000000000007E-2</v>
      </c>
      <c r="AB5" s="108"/>
      <c r="AC5" s="108" t="e">
        <v>#VALUE!</v>
      </c>
      <c r="AD5" s="108" t="e">
        <v>#VALUE!</v>
      </c>
      <c r="AE5" s="108" t="e">
        <v>#VALUE!</v>
      </c>
      <c r="AF5" s="108" t="e">
        <v>#VALUE!</v>
      </c>
      <c r="AG5" s="108" t="e">
        <v>#VALUE!</v>
      </c>
      <c r="AH5" s="108" t="e">
        <v>#VALUE!</v>
      </c>
      <c r="AI5" s="108" t="e">
        <v>#VALUE!</v>
      </c>
      <c r="AJ5" s="108" t="e">
        <v>#VALUE!</v>
      </c>
      <c r="AK5" s="108" t="e">
        <v>#VALUE!</v>
      </c>
      <c r="AL5" s="108" t="e">
        <v>#VALUE!</v>
      </c>
      <c r="AM5" s="108" t="e">
        <v>#VALUE!</v>
      </c>
      <c r="AN5" s="108" t="e">
        <v>#VALUE!</v>
      </c>
      <c r="AO5" s="108"/>
    </row>
    <row r="6" spans="1:41" x14ac:dyDescent="0.25">
      <c r="A6" s="110" t="s">
        <v>82</v>
      </c>
      <c r="B6" s="101">
        <v>31</v>
      </c>
      <c r="C6" s="101">
        <v>12</v>
      </c>
      <c r="D6" s="101">
        <f t="shared" si="6"/>
        <v>19</v>
      </c>
      <c r="E6" s="102" t="e">
        <f t="shared" si="7"/>
        <v>#VALUE!</v>
      </c>
      <c r="F6" s="102">
        <v>12</v>
      </c>
      <c r="G6" s="102" t="e">
        <f t="shared" si="8"/>
        <v>#VALUE!</v>
      </c>
      <c r="H6" s="103" t="e">
        <f t="shared" si="9"/>
        <v>#VALUE!</v>
      </c>
      <c r="I6" s="104">
        <v>0</v>
      </c>
      <c r="J6" s="104">
        <v>0</v>
      </c>
      <c r="K6" s="105" t="e">
        <f t="shared" si="10"/>
        <v>#VALUE!</v>
      </c>
      <c r="L6" s="105">
        <v>0</v>
      </c>
      <c r="M6" s="105"/>
      <c r="N6" s="105">
        <v>6</v>
      </c>
      <c r="O6" s="105">
        <v>4</v>
      </c>
      <c r="P6" s="105">
        <v>0</v>
      </c>
      <c r="Q6" s="107">
        <f t="shared" si="0"/>
        <v>1</v>
      </c>
      <c r="R6" s="107" t="e">
        <f t="shared" si="0"/>
        <v>#VALUE!</v>
      </c>
      <c r="S6" s="107" t="e">
        <f t="shared" si="1"/>
        <v>#VALUE!</v>
      </c>
      <c r="T6" s="107" t="e">
        <f t="shared" si="2"/>
        <v>#VALUE!</v>
      </c>
      <c r="U6" s="108">
        <v>81</v>
      </c>
      <c r="V6" s="108" t="e">
        <v>#VALUE!</v>
      </c>
      <c r="W6" s="108" t="e">
        <f t="shared" si="3"/>
        <v>#VALUE!</v>
      </c>
      <c r="X6" s="108" t="e">
        <v>#VALUE!</v>
      </c>
      <c r="Y6" s="108" t="e">
        <f t="shared" si="4"/>
        <v>#VALUE!</v>
      </c>
      <c r="Z6" s="108">
        <v>2</v>
      </c>
      <c r="AA6" s="109">
        <f t="shared" si="5"/>
        <v>0.06</v>
      </c>
      <c r="AB6" s="108"/>
      <c r="AC6" s="108" t="e">
        <v>#VALUE!</v>
      </c>
      <c r="AD6" s="108" t="e">
        <v>#VALUE!</v>
      </c>
      <c r="AE6" s="108" t="e">
        <v>#VALUE!</v>
      </c>
      <c r="AF6" s="108" t="e">
        <v>#VALUE!</v>
      </c>
      <c r="AG6" s="108" t="e">
        <v>#VALUE!</v>
      </c>
      <c r="AH6" s="108" t="e">
        <v>#VALUE!</v>
      </c>
      <c r="AI6" s="108" t="e">
        <v>#VALUE!</v>
      </c>
      <c r="AJ6" s="108" t="e">
        <v>#VALUE!</v>
      </c>
      <c r="AK6" s="108" t="e">
        <v>#VALUE!</v>
      </c>
      <c r="AL6" s="108" t="e">
        <v>#VALUE!</v>
      </c>
      <c r="AM6" s="108" t="e">
        <v>#VALUE!</v>
      </c>
      <c r="AN6" s="108" t="e">
        <v>#VALUE!</v>
      </c>
      <c r="AO6" s="108"/>
    </row>
    <row r="7" spans="1:41" x14ac:dyDescent="0.25">
      <c r="A7" s="110" t="s">
        <v>83</v>
      </c>
      <c r="B7" s="101">
        <v>22</v>
      </c>
      <c r="C7" s="101">
        <v>11</v>
      </c>
      <c r="D7" s="101">
        <f t="shared" si="6"/>
        <v>11</v>
      </c>
      <c r="E7" s="102" t="e">
        <f t="shared" si="7"/>
        <v>#VALUE!</v>
      </c>
      <c r="F7" s="102">
        <v>10</v>
      </c>
      <c r="G7" s="102" t="e">
        <f t="shared" si="8"/>
        <v>#VALUE!</v>
      </c>
      <c r="H7" s="103" t="e">
        <f t="shared" si="9"/>
        <v>#VALUE!</v>
      </c>
      <c r="I7" s="104">
        <v>0</v>
      </c>
      <c r="J7" s="104">
        <v>0</v>
      </c>
      <c r="K7" s="105" t="e">
        <f t="shared" si="10"/>
        <v>#VALUE!</v>
      </c>
      <c r="L7" s="105">
        <v>1</v>
      </c>
      <c r="M7" s="105"/>
      <c r="N7" s="105">
        <v>6</v>
      </c>
      <c r="O7" s="105">
        <v>1</v>
      </c>
      <c r="P7" s="105">
        <v>0</v>
      </c>
      <c r="Q7" s="107">
        <f t="shared" si="0"/>
        <v>0.90909090909090906</v>
      </c>
      <c r="R7" s="107" t="e">
        <f t="shared" si="0"/>
        <v>#VALUE!</v>
      </c>
      <c r="S7" s="107" t="e">
        <f t="shared" si="1"/>
        <v>#VALUE!</v>
      </c>
      <c r="T7" s="107" t="e">
        <f t="shared" si="2"/>
        <v>#VALUE!</v>
      </c>
      <c r="U7" s="108">
        <v>81</v>
      </c>
      <c r="V7" s="108" t="e">
        <v>#VALUE!</v>
      </c>
      <c r="W7" s="108" t="e">
        <f t="shared" si="3"/>
        <v>#VALUE!</v>
      </c>
      <c r="X7" s="108" t="e">
        <v>#VALUE!</v>
      </c>
      <c r="Y7" s="108" t="e">
        <f t="shared" si="4"/>
        <v>#VALUE!</v>
      </c>
      <c r="Z7" s="108">
        <v>3</v>
      </c>
      <c r="AA7" s="109">
        <f t="shared" si="5"/>
        <v>0.14000000000000001</v>
      </c>
      <c r="AB7" s="108"/>
      <c r="AC7" s="108" t="e">
        <v>#VALUE!</v>
      </c>
      <c r="AD7" s="108" t="e">
        <v>#VALUE!</v>
      </c>
      <c r="AE7" s="108" t="e">
        <v>#VALUE!</v>
      </c>
      <c r="AF7" s="108" t="e">
        <v>#VALUE!</v>
      </c>
      <c r="AG7" s="108" t="e">
        <v>#VALUE!</v>
      </c>
      <c r="AH7" s="108" t="e">
        <v>#VALUE!</v>
      </c>
      <c r="AI7" s="108" t="e">
        <v>#VALUE!</v>
      </c>
      <c r="AJ7" s="108" t="e">
        <v>#VALUE!</v>
      </c>
      <c r="AK7" s="108" t="e">
        <v>#VALUE!</v>
      </c>
      <c r="AL7" s="108" t="e">
        <v>#VALUE!</v>
      </c>
      <c r="AM7" s="108" t="e">
        <v>#VALUE!</v>
      </c>
      <c r="AN7" s="108" t="e">
        <v>#VALUE!</v>
      </c>
      <c r="AO7" s="108"/>
    </row>
    <row r="8" spans="1:41" x14ac:dyDescent="0.25">
      <c r="A8" s="110" t="s">
        <v>84</v>
      </c>
      <c r="B8" s="101">
        <v>39</v>
      </c>
      <c r="C8" s="101">
        <v>15</v>
      </c>
      <c r="D8" s="101">
        <f t="shared" si="6"/>
        <v>24</v>
      </c>
      <c r="E8" s="102" t="e">
        <f t="shared" si="7"/>
        <v>#VALUE!</v>
      </c>
      <c r="F8" s="102">
        <v>13</v>
      </c>
      <c r="G8" s="102" t="e">
        <f t="shared" si="8"/>
        <v>#VALUE!</v>
      </c>
      <c r="H8" s="103" t="e">
        <f t="shared" si="9"/>
        <v>#VALUE!</v>
      </c>
      <c r="I8" s="104">
        <v>0</v>
      </c>
      <c r="J8" s="104">
        <v>0</v>
      </c>
      <c r="K8" s="105" t="e">
        <f t="shared" si="10"/>
        <v>#VALUE!</v>
      </c>
      <c r="L8" s="105">
        <v>1</v>
      </c>
      <c r="M8" s="105"/>
      <c r="N8" s="105">
        <v>10</v>
      </c>
      <c r="O8" s="105">
        <v>2</v>
      </c>
      <c r="P8" s="105">
        <v>10</v>
      </c>
      <c r="Q8" s="107">
        <f t="shared" si="0"/>
        <v>0.8666666666666667</v>
      </c>
      <c r="R8" s="107" t="e">
        <f t="shared" si="0"/>
        <v>#VALUE!</v>
      </c>
      <c r="S8" s="107" t="e">
        <f t="shared" si="1"/>
        <v>#VALUE!</v>
      </c>
      <c r="T8" s="107" t="e">
        <f t="shared" si="2"/>
        <v>#VALUE!</v>
      </c>
      <c r="U8" s="108">
        <v>134</v>
      </c>
      <c r="V8" s="108" t="e">
        <v>#VALUE!</v>
      </c>
      <c r="W8" s="108" t="e">
        <f t="shared" si="3"/>
        <v>#VALUE!</v>
      </c>
      <c r="X8" s="108" t="e">
        <v>#VALUE!</v>
      </c>
      <c r="Y8" s="108" t="e">
        <f t="shared" si="4"/>
        <v>#VALUE!</v>
      </c>
      <c r="Z8" s="108">
        <v>5</v>
      </c>
      <c r="AA8" s="109">
        <f t="shared" si="5"/>
        <v>0.13</v>
      </c>
      <c r="AB8" s="108"/>
      <c r="AC8" s="108" t="e">
        <v>#VALUE!</v>
      </c>
      <c r="AD8" s="108" t="e">
        <v>#VALUE!</v>
      </c>
      <c r="AE8" s="108" t="e">
        <v>#VALUE!</v>
      </c>
      <c r="AF8" s="108" t="e">
        <v>#VALUE!</v>
      </c>
      <c r="AG8" s="108" t="e">
        <v>#VALUE!</v>
      </c>
      <c r="AH8" s="108" t="e">
        <v>#VALUE!</v>
      </c>
      <c r="AI8" s="108" t="e">
        <v>#VALUE!</v>
      </c>
      <c r="AJ8" s="108" t="e">
        <v>#VALUE!</v>
      </c>
      <c r="AK8" s="108" t="e">
        <v>#VALUE!</v>
      </c>
      <c r="AL8" s="108" t="e">
        <v>#VALUE!</v>
      </c>
      <c r="AM8" s="108" t="e">
        <v>#VALUE!</v>
      </c>
      <c r="AN8" s="108" t="e">
        <v>#VALUE!</v>
      </c>
      <c r="AO8" s="108"/>
    </row>
    <row r="9" spans="1:41" x14ac:dyDescent="0.25">
      <c r="A9" s="110" t="s">
        <v>31</v>
      </c>
      <c r="B9" s="101">
        <v>37</v>
      </c>
      <c r="C9" s="101">
        <v>18</v>
      </c>
      <c r="D9" s="101">
        <f t="shared" si="6"/>
        <v>19</v>
      </c>
      <c r="E9" s="102" t="e">
        <f t="shared" si="7"/>
        <v>#VALUE!</v>
      </c>
      <c r="F9" s="102">
        <v>15</v>
      </c>
      <c r="G9" s="102" t="e">
        <f t="shared" si="8"/>
        <v>#VALUE!</v>
      </c>
      <c r="H9" s="103" t="e">
        <f t="shared" si="9"/>
        <v>#VALUE!</v>
      </c>
      <c r="I9" s="104">
        <v>0</v>
      </c>
      <c r="J9" s="104">
        <v>0</v>
      </c>
      <c r="K9" s="105" t="e">
        <f t="shared" si="10"/>
        <v>#VALUE!</v>
      </c>
      <c r="L9" s="105">
        <v>1</v>
      </c>
      <c r="M9" s="105"/>
      <c r="N9" s="105">
        <v>8</v>
      </c>
      <c r="O9" s="105">
        <v>9</v>
      </c>
      <c r="P9" s="105">
        <v>1</v>
      </c>
      <c r="Q9" s="107">
        <f t="shared" si="0"/>
        <v>0.83333333333333337</v>
      </c>
      <c r="R9" s="107" t="e">
        <f t="shared" si="0"/>
        <v>#VALUE!</v>
      </c>
      <c r="S9" s="107" t="e">
        <f t="shared" si="1"/>
        <v>#VALUE!</v>
      </c>
      <c r="T9" s="107" t="e">
        <f t="shared" si="2"/>
        <v>#VALUE!</v>
      </c>
      <c r="U9" s="108">
        <v>134</v>
      </c>
      <c r="V9" s="108" t="e">
        <v>#VALUE!</v>
      </c>
      <c r="W9" s="108" t="e">
        <f t="shared" si="3"/>
        <v>#VALUE!</v>
      </c>
      <c r="X9" s="108" t="e">
        <v>#VALUE!</v>
      </c>
      <c r="Y9" s="108" t="e">
        <f t="shared" si="4"/>
        <v>#VALUE!</v>
      </c>
      <c r="Z9" s="108">
        <v>5</v>
      </c>
      <c r="AA9" s="109">
        <f t="shared" si="5"/>
        <v>0.14000000000000001</v>
      </c>
      <c r="AB9" s="108"/>
      <c r="AC9" s="108" t="e">
        <v>#VALUE!</v>
      </c>
      <c r="AD9" s="108" t="e">
        <v>#VALUE!</v>
      </c>
      <c r="AE9" s="108" t="e">
        <v>#VALUE!</v>
      </c>
      <c r="AF9" s="108" t="e">
        <v>#VALUE!</v>
      </c>
      <c r="AG9" s="108" t="e">
        <v>#VALUE!</v>
      </c>
      <c r="AH9" s="108" t="e">
        <v>#VALUE!</v>
      </c>
      <c r="AI9" s="108" t="e">
        <v>#VALUE!</v>
      </c>
      <c r="AJ9" s="108" t="e">
        <v>#VALUE!</v>
      </c>
      <c r="AK9" s="108" t="e">
        <v>#VALUE!</v>
      </c>
      <c r="AL9" s="108" t="e">
        <v>#VALUE!</v>
      </c>
      <c r="AM9" s="108" t="e">
        <v>#VALUE!</v>
      </c>
      <c r="AN9" s="108" t="e">
        <v>#VALUE!</v>
      </c>
      <c r="AO9" s="108"/>
    </row>
    <row r="10" spans="1:41" x14ac:dyDescent="0.25">
      <c r="A10" s="108" t="s">
        <v>85</v>
      </c>
      <c r="B10" s="101">
        <v>57</v>
      </c>
      <c r="C10" s="101">
        <v>26</v>
      </c>
      <c r="D10" s="101">
        <f t="shared" si="6"/>
        <v>31</v>
      </c>
      <c r="E10" s="102" t="e">
        <f t="shared" si="7"/>
        <v>#VALUE!</v>
      </c>
      <c r="F10" s="102">
        <v>17</v>
      </c>
      <c r="G10" s="102" t="e">
        <f t="shared" si="8"/>
        <v>#VALUE!</v>
      </c>
      <c r="H10" s="103" t="e">
        <f t="shared" si="9"/>
        <v>#VALUE!</v>
      </c>
      <c r="I10" s="104">
        <v>0</v>
      </c>
      <c r="J10" s="104">
        <v>0</v>
      </c>
      <c r="K10" s="105" t="e">
        <f t="shared" si="10"/>
        <v>#VALUE!</v>
      </c>
      <c r="L10" s="105">
        <v>6</v>
      </c>
      <c r="M10" s="105"/>
      <c r="N10" s="105">
        <v>26</v>
      </c>
      <c r="O10" s="105">
        <v>4</v>
      </c>
      <c r="P10" s="105">
        <v>0</v>
      </c>
      <c r="Q10" s="107">
        <f t="shared" si="0"/>
        <v>0.65384615384615385</v>
      </c>
      <c r="R10" s="107" t="e">
        <f t="shared" si="0"/>
        <v>#VALUE!</v>
      </c>
      <c r="S10" s="107" t="e">
        <f t="shared" si="1"/>
        <v>#VALUE!</v>
      </c>
      <c r="T10" s="107" t="e">
        <f t="shared" si="2"/>
        <v>#VALUE!</v>
      </c>
      <c r="U10" s="108">
        <v>134</v>
      </c>
      <c r="V10" s="108" t="e">
        <v>#VALUE!</v>
      </c>
      <c r="W10" s="108" t="e">
        <f t="shared" si="3"/>
        <v>#VALUE!</v>
      </c>
      <c r="X10" s="108" t="e">
        <v>#VALUE!</v>
      </c>
      <c r="Y10" s="108" t="e">
        <f t="shared" si="4"/>
        <v>#VALUE!</v>
      </c>
      <c r="Z10" s="108">
        <v>5</v>
      </c>
      <c r="AA10" s="109">
        <f t="shared" si="5"/>
        <v>0.09</v>
      </c>
      <c r="AB10" s="108"/>
      <c r="AC10" s="108" t="e">
        <v>#VALUE!</v>
      </c>
      <c r="AD10" s="108" t="e">
        <v>#VALUE!</v>
      </c>
      <c r="AE10" s="108" t="e">
        <v>#VALUE!</v>
      </c>
      <c r="AF10" s="108" t="e">
        <v>#VALUE!</v>
      </c>
      <c r="AG10" s="108" t="e">
        <v>#VALUE!</v>
      </c>
      <c r="AH10" s="108" t="e">
        <v>#VALUE!</v>
      </c>
      <c r="AI10" s="108" t="e">
        <v>#VALUE!</v>
      </c>
      <c r="AJ10" s="108" t="e">
        <v>#VALUE!</v>
      </c>
      <c r="AK10" s="108" t="e">
        <v>#VALUE!</v>
      </c>
      <c r="AL10" s="108" t="e">
        <v>#VALUE!</v>
      </c>
      <c r="AM10" s="108" t="e">
        <v>#VALUE!</v>
      </c>
      <c r="AN10" s="108" t="e">
        <v>#VALUE!</v>
      </c>
      <c r="AO10" s="108"/>
    </row>
    <row r="11" spans="1:41" x14ac:dyDescent="0.25">
      <c r="A11" s="108"/>
      <c r="B11" s="101"/>
      <c r="C11" s="101"/>
      <c r="D11" s="101"/>
      <c r="E11" s="102"/>
      <c r="F11" s="102"/>
      <c r="G11" s="102">
        <f t="shared" si="8"/>
        <v>0</v>
      </c>
      <c r="H11" s="103"/>
      <c r="I11" s="111"/>
      <c r="J11" s="111"/>
      <c r="K11" s="105">
        <f t="shared" si="10"/>
        <v>0</v>
      </c>
      <c r="L11" s="105"/>
      <c r="M11" s="105"/>
      <c r="N11" s="105"/>
      <c r="O11" s="105"/>
      <c r="P11" s="105"/>
      <c r="Q11" s="112"/>
      <c r="R11" s="107"/>
      <c r="S11" s="107"/>
      <c r="T11" s="107"/>
      <c r="U11" s="108"/>
      <c r="V11" s="108"/>
      <c r="W11" s="108"/>
      <c r="X11" s="108"/>
      <c r="Y11" s="108"/>
      <c r="Z11" s="108"/>
      <c r="AA11" s="113"/>
      <c r="AB11" s="108"/>
      <c r="AC11" s="108"/>
      <c r="AD11" s="108"/>
      <c r="AE11" s="108"/>
      <c r="AF11" s="108"/>
      <c r="AG11" s="108"/>
      <c r="AH11" s="108"/>
      <c r="AI11" s="110"/>
      <c r="AJ11" s="108"/>
      <c r="AK11" s="108"/>
      <c r="AL11" s="108"/>
      <c r="AM11" s="108"/>
      <c r="AN11" s="108"/>
      <c r="AO11" s="108"/>
    </row>
    <row r="12" spans="1:41" x14ac:dyDescent="0.25">
      <c r="A12" s="114" t="s">
        <v>86</v>
      </c>
      <c r="B12" s="114">
        <f>+SUM(B4:B10)</f>
        <v>229</v>
      </c>
      <c r="C12" s="114">
        <f>+SUM(C4:C10)</f>
        <v>98</v>
      </c>
      <c r="D12" s="114">
        <f>+SUM(D4:D10)</f>
        <v>131</v>
      </c>
      <c r="E12" s="114" t="e">
        <f t="shared" ref="E12:AO12" si="11">+SUM(E4:E10)</f>
        <v>#VALUE!</v>
      </c>
      <c r="F12" s="114">
        <f t="shared" si="11"/>
        <v>82</v>
      </c>
      <c r="G12" s="114" t="e">
        <f t="shared" si="11"/>
        <v>#VALUE!</v>
      </c>
      <c r="H12" s="114" t="e">
        <f>+SUM(H4:H10)</f>
        <v>#VALUE!</v>
      </c>
      <c r="I12" s="114">
        <f t="shared" si="11"/>
        <v>4</v>
      </c>
      <c r="J12" s="114">
        <f t="shared" si="11"/>
        <v>0</v>
      </c>
      <c r="K12" s="114" t="e">
        <f>+SUM(K4:K10)</f>
        <v>#VALUE!</v>
      </c>
      <c r="L12" s="114" t="e">
        <f>+SUM(L4:L11)</f>
        <v>#VALUE!</v>
      </c>
      <c r="M12" s="114">
        <f>+SUM(M4:M11)</f>
        <v>0</v>
      </c>
      <c r="N12" s="114">
        <f>+SUM(N4:N11)</f>
        <v>67</v>
      </c>
      <c r="O12" s="114">
        <f>+SUM(O4:O11)</f>
        <v>26</v>
      </c>
      <c r="P12" s="114">
        <f>+SUM(P4:P11)</f>
        <v>11</v>
      </c>
      <c r="Q12" s="115">
        <f>F12/C12</f>
        <v>0.83673469387755106</v>
      </c>
      <c r="R12" s="115">
        <f>F12/D12</f>
        <v>0.62595419847328249</v>
      </c>
      <c r="S12" s="115" t="e">
        <f>E12/B12</f>
        <v>#VALUE!</v>
      </c>
      <c r="T12" s="115" t="e">
        <f>(I12+E12)/B12</f>
        <v>#VALUE!</v>
      </c>
      <c r="U12" s="114"/>
      <c r="V12" s="114" t="e">
        <f t="shared" si="11"/>
        <v>#VALUE!</v>
      </c>
      <c r="W12" s="114" t="e">
        <f t="shared" si="11"/>
        <v>#VALUE!</v>
      </c>
      <c r="X12" s="114" t="e">
        <f t="shared" si="11"/>
        <v>#VALUE!</v>
      </c>
      <c r="Y12" s="114" t="e">
        <f t="shared" si="11"/>
        <v>#VALUE!</v>
      </c>
      <c r="Z12" s="114">
        <f t="shared" si="11"/>
        <v>27</v>
      </c>
      <c r="AA12" s="116">
        <f>Z12/B12</f>
        <v>0.11790393013100436</v>
      </c>
      <c r="AB12" s="114">
        <f t="shared" si="11"/>
        <v>0</v>
      </c>
      <c r="AC12" s="114" t="e">
        <f t="shared" si="11"/>
        <v>#VALUE!</v>
      </c>
      <c r="AD12" s="114" t="e">
        <f t="shared" si="11"/>
        <v>#VALUE!</v>
      </c>
      <c r="AE12" s="114" t="e">
        <f t="shared" si="11"/>
        <v>#VALUE!</v>
      </c>
      <c r="AF12" s="114" t="e">
        <f t="shared" si="11"/>
        <v>#VALUE!</v>
      </c>
      <c r="AG12" s="114" t="e">
        <f t="shared" si="11"/>
        <v>#VALUE!</v>
      </c>
      <c r="AH12" s="114" t="e">
        <f t="shared" si="11"/>
        <v>#VALUE!</v>
      </c>
      <c r="AI12" s="114" t="e">
        <f t="shared" si="11"/>
        <v>#VALUE!</v>
      </c>
      <c r="AJ12" s="114" t="e">
        <f t="shared" si="11"/>
        <v>#VALUE!</v>
      </c>
      <c r="AK12" s="114" t="e">
        <f t="shared" si="11"/>
        <v>#VALUE!</v>
      </c>
      <c r="AL12" s="114" t="e">
        <f t="shared" si="11"/>
        <v>#VALUE!</v>
      </c>
      <c r="AM12" s="114" t="e">
        <f t="shared" si="11"/>
        <v>#VALUE!</v>
      </c>
      <c r="AN12" s="114" t="e">
        <f t="shared" si="11"/>
        <v>#VALUE!</v>
      </c>
      <c r="AO12" s="114">
        <f t="shared" si="11"/>
        <v>0</v>
      </c>
    </row>
    <row r="13" spans="1:41" x14ac:dyDescent="0.25">
      <c r="A13" s="114" t="s">
        <v>87</v>
      </c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>
        <f>+AB12</f>
        <v>0</v>
      </c>
      <c r="AC13" s="114" t="e">
        <f>+AC12+AB13</f>
        <v>#VALUE!</v>
      </c>
      <c r="AD13" s="114" t="e">
        <f t="shared" ref="AD13:AN13" si="12">+AD12+AC13</f>
        <v>#VALUE!</v>
      </c>
      <c r="AE13" s="114" t="e">
        <f t="shared" si="12"/>
        <v>#VALUE!</v>
      </c>
      <c r="AF13" s="114" t="e">
        <f t="shared" si="12"/>
        <v>#VALUE!</v>
      </c>
      <c r="AG13" s="114" t="e">
        <f t="shared" si="12"/>
        <v>#VALUE!</v>
      </c>
      <c r="AH13" s="114" t="e">
        <f t="shared" si="12"/>
        <v>#VALUE!</v>
      </c>
      <c r="AI13" s="114" t="e">
        <f t="shared" si="12"/>
        <v>#VALUE!</v>
      </c>
      <c r="AJ13" s="114" t="e">
        <f t="shared" si="12"/>
        <v>#VALUE!</v>
      </c>
      <c r="AK13" s="114" t="e">
        <f t="shared" si="12"/>
        <v>#VALUE!</v>
      </c>
      <c r="AL13" s="114" t="e">
        <f t="shared" si="12"/>
        <v>#VALUE!</v>
      </c>
      <c r="AM13" s="114" t="e">
        <f t="shared" si="12"/>
        <v>#VALUE!</v>
      </c>
      <c r="AN13" s="114" t="e">
        <f t="shared" si="12"/>
        <v>#VALUE!</v>
      </c>
      <c r="AO13" s="114" t="e">
        <f>+AO12+AN13</f>
        <v>#VALUE!</v>
      </c>
    </row>
    <row r="14" spans="1:41" x14ac:dyDescent="0.25">
      <c r="A14" s="114" t="s">
        <v>88</v>
      </c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>
        <f>+AB13/$B$12*100</f>
        <v>0</v>
      </c>
      <c r="AC14" s="117" t="e">
        <f>+AC13/$B$12</f>
        <v>#VALUE!</v>
      </c>
      <c r="AD14" s="117" t="e">
        <f t="shared" ref="AD14:AO14" si="13">+AD13/$B$12</f>
        <v>#VALUE!</v>
      </c>
      <c r="AE14" s="117" t="e">
        <f t="shared" si="13"/>
        <v>#VALUE!</v>
      </c>
      <c r="AF14" s="117" t="e">
        <f t="shared" si="13"/>
        <v>#VALUE!</v>
      </c>
      <c r="AG14" s="117" t="e">
        <f t="shared" si="13"/>
        <v>#VALUE!</v>
      </c>
      <c r="AH14" s="117" t="e">
        <f t="shared" si="13"/>
        <v>#VALUE!</v>
      </c>
      <c r="AI14" s="117" t="e">
        <f t="shared" si="13"/>
        <v>#VALUE!</v>
      </c>
      <c r="AJ14" s="117" t="e">
        <f t="shared" si="13"/>
        <v>#VALUE!</v>
      </c>
      <c r="AK14" s="117" t="e">
        <f t="shared" si="13"/>
        <v>#VALUE!</v>
      </c>
      <c r="AL14" s="117" t="e">
        <f t="shared" si="13"/>
        <v>#VALUE!</v>
      </c>
      <c r="AM14" s="117" t="e">
        <f t="shared" si="13"/>
        <v>#VALUE!</v>
      </c>
      <c r="AN14" s="117" t="e">
        <f t="shared" si="13"/>
        <v>#VALUE!</v>
      </c>
      <c r="AO14" s="117" t="e">
        <f t="shared" si="13"/>
        <v>#VALUE!</v>
      </c>
    </row>
    <row r="15" spans="1:41" x14ac:dyDescent="0.25">
      <c r="A15" s="108"/>
      <c r="B15" s="108"/>
      <c r="C15" s="108"/>
      <c r="D15" s="108"/>
      <c r="E15" s="108"/>
      <c r="F15" s="108"/>
      <c r="G15" s="108"/>
      <c r="H15" s="108"/>
      <c r="I15" s="110"/>
      <c r="J15" s="110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10"/>
      <c r="AJ15" s="108"/>
      <c r="AK15" s="108"/>
      <c r="AL15" s="108"/>
      <c r="AM15" s="108"/>
      <c r="AN15" s="108"/>
      <c r="AO15" s="108"/>
    </row>
    <row r="17" spans="1:20" x14ac:dyDescent="0.25">
      <c r="A17" s="118" t="s">
        <v>48</v>
      </c>
      <c r="B17" s="119"/>
      <c r="C17" s="118"/>
      <c r="D17" s="118"/>
      <c r="E17" s="118" t="e">
        <f>+B12-E12</f>
        <v>#VALUE!</v>
      </c>
      <c r="F17" s="118"/>
      <c r="G17" s="118"/>
      <c r="I17" s="118"/>
      <c r="J17" s="118"/>
      <c r="Q17" s="118"/>
      <c r="R17" s="118"/>
      <c r="S17" s="118"/>
      <c r="T17" s="118"/>
    </row>
  </sheetData>
  <mergeCells count="8">
    <mergeCell ref="Q2:T2"/>
    <mergeCell ref="E1:H1"/>
    <mergeCell ref="K1:P1"/>
    <mergeCell ref="B2:D2"/>
    <mergeCell ref="E2:G2"/>
    <mergeCell ref="I2:J2"/>
    <mergeCell ref="L2:M2"/>
    <mergeCell ref="N2:P2"/>
  </mergeCells>
  <pageMargins left="0.7" right="0.7" top="0.75" bottom="0.75" header="0.3" footer="0.3"/>
  <pageSetup paperSize="8" scale="3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26"/>
  <sheetViews>
    <sheetView workbookViewId="0">
      <selection activeCell="M17" sqref="M17"/>
    </sheetView>
  </sheetViews>
  <sheetFormatPr baseColWidth="10" defaultRowHeight="15" x14ac:dyDescent="0.25"/>
  <cols>
    <col min="1" max="1" width="19.85546875" customWidth="1"/>
    <col min="2" max="2" width="15.85546875" bestFit="1" customWidth="1"/>
    <col min="3" max="3" width="16.7109375" bestFit="1" customWidth="1"/>
    <col min="4" max="5" width="16.7109375" customWidth="1"/>
    <col min="6" max="6" width="21.7109375" customWidth="1"/>
    <col min="7" max="7" width="19.140625" bestFit="1" customWidth="1"/>
    <col min="8" max="8" width="13.28515625" customWidth="1"/>
    <col min="9" max="9" width="16.28515625" customWidth="1"/>
    <col min="12" max="12" width="19.7109375" customWidth="1"/>
    <col min="13" max="13" width="13.140625" style="167" customWidth="1"/>
    <col min="14" max="14" width="38.5703125" customWidth="1"/>
    <col min="15" max="15" width="29" bestFit="1" customWidth="1"/>
    <col min="259" max="259" width="19.85546875" customWidth="1"/>
    <col min="260" max="260" width="15.85546875" bestFit="1" customWidth="1"/>
    <col min="261" max="261" width="16.7109375" bestFit="1" customWidth="1"/>
    <col min="262" max="263" width="16.7109375" customWidth="1"/>
    <col min="264" max="264" width="21.7109375" customWidth="1"/>
    <col min="265" max="265" width="19.140625" bestFit="1" customWidth="1"/>
    <col min="266" max="266" width="13.28515625" customWidth="1"/>
    <col min="515" max="515" width="19.85546875" customWidth="1"/>
    <col min="516" max="516" width="15.85546875" bestFit="1" customWidth="1"/>
    <col min="517" max="517" width="16.7109375" bestFit="1" customWidth="1"/>
    <col min="518" max="519" width="16.7109375" customWidth="1"/>
    <col min="520" max="520" width="21.7109375" customWidth="1"/>
    <col min="521" max="521" width="19.140625" bestFit="1" customWidth="1"/>
    <col min="522" max="522" width="13.28515625" customWidth="1"/>
    <col min="771" max="771" width="19.85546875" customWidth="1"/>
    <col min="772" max="772" width="15.85546875" bestFit="1" customWidth="1"/>
    <col min="773" max="773" width="16.7109375" bestFit="1" customWidth="1"/>
    <col min="774" max="775" width="16.7109375" customWidth="1"/>
    <col min="776" max="776" width="21.7109375" customWidth="1"/>
    <col min="777" max="777" width="19.140625" bestFit="1" customWidth="1"/>
    <col min="778" max="778" width="13.28515625" customWidth="1"/>
    <col min="1027" max="1027" width="19.85546875" customWidth="1"/>
    <col min="1028" max="1028" width="15.85546875" bestFit="1" customWidth="1"/>
    <col min="1029" max="1029" width="16.7109375" bestFit="1" customWidth="1"/>
    <col min="1030" max="1031" width="16.7109375" customWidth="1"/>
    <col min="1032" max="1032" width="21.7109375" customWidth="1"/>
    <col min="1033" max="1033" width="19.140625" bestFit="1" customWidth="1"/>
    <col min="1034" max="1034" width="13.28515625" customWidth="1"/>
    <col min="1283" max="1283" width="19.85546875" customWidth="1"/>
    <col min="1284" max="1284" width="15.85546875" bestFit="1" customWidth="1"/>
    <col min="1285" max="1285" width="16.7109375" bestFit="1" customWidth="1"/>
    <col min="1286" max="1287" width="16.7109375" customWidth="1"/>
    <col min="1288" max="1288" width="21.7109375" customWidth="1"/>
    <col min="1289" max="1289" width="19.140625" bestFit="1" customWidth="1"/>
    <col min="1290" max="1290" width="13.28515625" customWidth="1"/>
    <col min="1539" max="1539" width="19.85546875" customWidth="1"/>
    <col min="1540" max="1540" width="15.85546875" bestFit="1" customWidth="1"/>
    <col min="1541" max="1541" width="16.7109375" bestFit="1" customWidth="1"/>
    <col min="1542" max="1543" width="16.7109375" customWidth="1"/>
    <col min="1544" max="1544" width="21.7109375" customWidth="1"/>
    <col min="1545" max="1545" width="19.140625" bestFit="1" customWidth="1"/>
    <col min="1546" max="1546" width="13.28515625" customWidth="1"/>
    <col min="1795" max="1795" width="19.85546875" customWidth="1"/>
    <col min="1796" max="1796" width="15.85546875" bestFit="1" customWidth="1"/>
    <col min="1797" max="1797" width="16.7109375" bestFit="1" customWidth="1"/>
    <col min="1798" max="1799" width="16.7109375" customWidth="1"/>
    <col min="1800" max="1800" width="21.7109375" customWidth="1"/>
    <col min="1801" max="1801" width="19.140625" bestFit="1" customWidth="1"/>
    <col min="1802" max="1802" width="13.28515625" customWidth="1"/>
    <col min="2051" max="2051" width="19.85546875" customWidth="1"/>
    <col min="2052" max="2052" width="15.85546875" bestFit="1" customWidth="1"/>
    <col min="2053" max="2053" width="16.7109375" bestFit="1" customWidth="1"/>
    <col min="2054" max="2055" width="16.7109375" customWidth="1"/>
    <col min="2056" max="2056" width="21.7109375" customWidth="1"/>
    <col min="2057" max="2057" width="19.140625" bestFit="1" customWidth="1"/>
    <col min="2058" max="2058" width="13.28515625" customWidth="1"/>
    <col min="2307" max="2307" width="19.85546875" customWidth="1"/>
    <col min="2308" max="2308" width="15.85546875" bestFit="1" customWidth="1"/>
    <col min="2309" max="2309" width="16.7109375" bestFit="1" customWidth="1"/>
    <col min="2310" max="2311" width="16.7109375" customWidth="1"/>
    <col min="2312" max="2312" width="21.7109375" customWidth="1"/>
    <col min="2313" max="2313" width="19.140625" bestFit="1" customWidth="1"/>
    <col min="2314" max="2314" width="13.28515625" customWidth="1"/>
    <col min="2563" max="2563" width="19.85546875" customWidth="1"/>
    <col min="2564" max="2564" width="15.85546875" bestFit="1" customWidth="1"/>
    <col min="2565" max="2565" width="16.7109375" bestFit="1" customWidth="1"/>
    <col min="2566" max="2567" width="16.7109375" customWidth="1"/>
    <col min="2568" max="2568" width="21.7109375" customWidth="1"/>
    <col min="2569" max="2569" width="19.140625" bestFit="1" customWidth="1"/>
    <col min="2570" max="2570" width="13.28515625" customWidth="1"/>
    <col min="2819" max="2819" width="19.85546875" customWidth="1"/>
    <col min="2820" max="2820" width="15.85546875" bestFit="1" customWidth="1"/>
    <col min="2821" max="2821" width="16.7109375" bestFit="1" customWidth="1"/>
    <col min="2822" max="2823" width="16.7109375" customWidth="1"/>
    <col min="2824" max="2824" width="21.7109375" customWidth="1"/>
    <col min="2825" max="2825" width="19.140625" bestFit="1" customWidth="1"/>
    <col min="2826" max="2826" width="13.28515625" customWidth="1"/>
    <col min="3075" max="3075" width="19.85546875" customWidth="1"/>
    <col min="3076" max="3076" width="15.85546875" bestFit="1" customWidth="1"/>
    <col min="3077" max="3077" width="16.7109375" bestFit="1" customWidth="1"/>
    <col min="3078" max="3079" width="16.7109375" customWidth="1"/>
    <col min="3080" max="3080" width="21.7109375" customWidth="1"/>
    <col min="3081" max="3081" width="19.140625" bestFit="1" customWidth="1"/>
    <col min="3082" max="3082" width="13.28515625" customWidth="1"/>
    <col min="3331" max="3331" width="19.85546875" customWidth="1"/>
    <col min="3332" max="3332" width="15.85546875" bestFit="1" customWidth="1"/>
    <col min="3333" max="3333" width="16.7109375" bestFit="1" customWidth="1"/>
    <col min="3334" max="3335" width="16.7109375" customWidth="1"/>
    <col min="3336" max="3336" width="21.7109375" customWidth="1"/>
    <col min="3337" max="3337" width="19.140625" bestFit="1" customWidth="1"/>
    <col min="3338" max="3338" width="13.28515625" customWidth="1"/>
    <col min="3587" max="3587" width="19.85546875" customWidth="1"/>
    <col min="3588" max="3588" width="15.85546875" bestFit="1" customWidth="1"/>
    <col min="3589" max="3589" width="16.7109375" bestFit="1" customWidth="1"/>
    <col min="3590" max="3591" width="16.7109375" customWidth="1"/>
    <col min="3592" max="3592" width="21.7109375" customWidth="1"/>
    <col min="3593" max="3593" width="19.140625" bestFit="1" customWidth="1"/>
    <col min="3594" max="3594" width="13.28515625" customWidth="1"/>
    <col min="3843" max="3843" width="19.85546875" customWidth="1"/>
    <col min="3844" max="3844" width="15.85546875" bestFit="1" customWidth="1"/>
    <col min="3845" max="3845" width="16.7109375" bestFit="1" customWidth="1"/>
    <col min="3846" max="3847" width="16.7109375" customWidth="1"/>
    <col min="3848" max="3848" width="21.7109375" customWidth="1"/>
    <col min="3849" max="3849" width="19.140625" bestFit="1" customWidth="1"/>
    <col min="3850" max="3850" width="13.28515625" customWidth="1"/>
    <col min="4099" max="4099" width="19.85546875" customWidth="1"/>
    <col min="4100" max="4100" width="15.85546875" bestFit="1" customWidth="1"/>
    <col min="4101" max="4101" width="16.7109375" bestFit="1" customWidth="1"/>
    <col min="4102" max="4103" width="16.7109375" customWidth="1"/>
    <col min="4104" max="4104" width="21.7109375" customWidth="1"/>
    <col min="4105" max="4105" width="19.140625" bestFit="1" customWidth="1"/>
    <col min="4106" max="4106" width="13.28515625" customWidth="1"/>
    <col min="4355" max="4355" width="19.85546875" customWidth="1"/>
    <col min="4356" max="4356" width="15.85546875" bestFit="1" customWidth="1"/>
    <col min="4357" max="4357" width="16.7109375" bestFit="1" customWidth="1"/>
    <col min="4358" max="4359" width="16.7109375" customWidth="1"/>
    <col min="4360" max="4360" width="21.7109375" customWidth="1"/>
    <col min="4361" max="4361" width="19.140625" bestFit="1" customWidth="1"/>
    <col min="4362" max="4362" width="13.28515625" customWidth="1"/>
    <col min="4611" max="4611" width="19.85546875" customWidth="1"/>
    <col min="4612" max="4612" width="15.85546875" bestFit="1" customWidth="1"/>
    <col min="4613" max="4613" width="16.7109375" bestFit="1" customWidth="1"/>
    <col min="4614" max="4615" width="16.7109375" customWidth="1"/>
    <col min="4616" max="4616" width="21.7109375" customWidth="1"/>
    <col min="4617" max="4617" width="19.140625" bestFit="1" customWidth="1"/>
    <col min="4618" max="4618" width="13.28515625" customWidth="1"/>
    <col min="4867" max="4867" width="19.85546875" customWidth="1"/>
    <col min="4868" max="4868" width="15.85546875" bestFit="1" customWidth="1"/>
    <col min="4869" max="4869" width="16.7109375" bestFit="1" customWidth="1"/>
    <col min="4870" max="4871" width="16.7109375" customWidth="1"/>
    <col min="4872" max="4872" width="21.7109375" customWidth="1"/>
    <col min="4873" max="4873" width="19.140625" bestFit="1" customWidth="1"/>
    <col min="4874" max="4874" width="13.28515625" customWidth="1"/>
    <col min="5123" max="5123" width="19.85546875" customWidth="1"/>
    <col min="5124" max="5124" width="15.85546875" bestFit="1" customWidth="1"/>
    <col min="5125" max="5125" width="16.7109375" bestFit="1" customWidth="1"/>
    <col min="5126" max="5127" width="16.7109375" customWidth="1"/>
    <col min="5128" max="5128" width="21.7109375" customWidth="1"/>
    <col min="5129" max="5129" width="19.140625" bestFit="1" customWidth="1"/>
    <col min="5130" max="5130" width="13.28515625" customWidth="1"/>
    <col min="5379" max="5379" width="19.85546875" customWidth="1"/>
    <col min="5380" max="5380" width="15.85546875" bestFit="1" customWidth="1"/>
    <col min="5381" max="5381" width="16.7109375" bestFit="1" customWidth="1"/>
    <col min="5382" max="5383" width="16.7109375" customWidth="1"/>
    <col min="5384" max="5384" width="21.7109375" customWidth="1"/>
    <col min="5385" max="5385" width="19.140625" bestFit="1" customWidth="1"/>
    <col min="5386" max="5386" width="13.28515625" customWidth="1"/>
    <col min="5635" max="5635" width="19.85546875" customWidth="1"/>
    <col min="5636" max="5636" width="15.85546875" bestFit="1" customWidth="1"/>
    <col min="5637" max="5637" width="16.7109375" bestFit="1" customWidth="1"/>
    <col min="5638" max="5639" width="16.7109375" customWidth="1"/>
    <col min="5640" max="5640" width="21.7109375" customWidth="1"/>
    <col min="5641" max="5641" width="19.140625" bestFit="1" customWidth="1"/>
    <col min="5642" max="5642" width="13.28515625" customWidth="1"/>
    <col min="5891" max="5891" width="19.85546875" customWidth="1"/>
    <col min="5892" max="5892" width="15.85546875" bestFit="1" customWidth="1"/>
    <col min="5893" max="5893" width="16.7109375" bestFit="1" customWidth="1"/>
    <col min="5894" max="5895" width="16.7109375" customWidth="1"/>
    <col min="5896" max="5896" width="21.7109375" customWidth="1"/>
    <col min="5897" max="5897" width="19.140625" bestFit="1" customWidth="1"/>
    <col min="5898" max="5898" width="13.28515625" customWidth="1"/>
    <col min="6147" max="6147" width="19.85546875" customWidth="1"/>
    <col min="6148" max="6148" width="15.85546875" bestFit="1" customWidth="1"/>
    <col min="6149" max="6149" width="16.7109375" bestFit="1" customWidth="1"/>
    <col min="6150" max="6151" width="16.7109375" customWidth="1"/>
    <col min="6152" max="6152" width="21.7109375" customWidth="1"/>
    <col min="6153" max="6153" width="19.140625" bestFit="1" customWidth="1"/>
    <col min="6154" max="6154" width="13.28515625" customWidth="1"/>
    <col min="6403" max="6403" width="19.85546875" customWidth="1"/>
    <col min="6404" max="6404" width="15.85546875" bestFit="1" customWidth="1"/>
    <col min="6405" max="6405" width="16.7109375" bestFit="1" customWidth="1"/>
    <col min="6406" max="6407" width="16.7109375" customWidth="1"/>
    <col min="6408" max="6408" width="21.7109375" customWidth="1"/>
    <col min="6409" max="6409" width="19.140625" bestFit="1" customWidth="1"/>
    <col min="6410" max="6410" width="13.28515625" customWidth="1"/>
    <col min="6659" max="6659" width="19.85546875" customWidth="1"/>
    <col min="6660" max="6660" width="15.85546875" bestFit="1" customWidth="1"/>
    <col min="6661" max="6661" width="16.7109375" bestFit="1" customWidth="1"/>
    <col min="6662" max="6663" width="16.7109375" customWidth="1"/>
    <col min="6664" max="6664" width="21.7109375" customWidth="1"/>
    <col min="6665" max="6665" width="19.140625" bestFit="1" customWidth="1"/>
    <col min="6666" max="6666" width="13.28515625" customWidth="1"/>
    <col min="6915" max="6915" width="19.85546875" customWidth="1"/>
    <col min="6916" max="6916" width="15.85546875" bestFit="1" customWidth="1"/>
    <col min="6917" max="6917" width="16.7109375" bestFit="1" customWidth="1"/>
    <col min="6918" max="6919" width="16.7109375" customWidth="1"/>
    <col min="6920" max="6920" width="21.7109375" customWidth="1"/>
    <col min="6921" max="6921" width="19.140625" bestFit="1" customWidth="1"/>
    <col min="6922" max="6922" width="13.28515625" customWidth="1"/>
    <col min="7171" max="7171" width="19.85546875" customWidth="1"/>
    <col min="7172" max="7172" width="15.85546875" bestFit="1" customWidth="1"/>
    <col min="7173" max="7173" width="16.7109375" bestFit="1" customWidth="1"/>
    <col min="7174" max="7175" width="16.7109375" customWidth="1"/>
    <col min="7176" max="7176" width="21.7109375" customWidth="1"/>
    <col min="7177" max="7177" width="19.140625" bestFit="1" customWidth="1"/>
    <col min="7178" max="7178" width="13.28515625" customWidth="1"/>
    <col min="7427" max="7427" width="19.85546875" customWidth="1"/>
    <col min="7428" max="7428" width="15.85546875" bestFit="1" customWidth="1"/>
    <col min="7429" max="7429" width="16.7109375" bestFit="1" customWidth="1"/>
    <col min="7430" max="7431" width="16.7109375" customWidth="1"/>
    <col min="7432" max="7432" width="21.7109375" customWidth="1"/>
    <col min="7433" max="7433" width="19.140625" bestFit="1" customWidth="1"/>
    <col min="7434" max="7434" width="13.28515625" customWidth="1"/>
    <col min="7683" max="7683" width="19.85546875" customWidth="1"/>
    <col min="7684" max="7684" width="15.85546875" bestFit="1" customWidth="1"/>
    <col min="7685" max="7685" width="16.7109375" bestFit="1" customWidth="1"/>
    <col min="7686" max="7687" width="16.7109375" customWidth="1"/>
    <col min="7688" max="7688" width="21.7109375" customWidth="1"/>
    <col min="7689" max="7689" width="19.140625" bestFit="1" customWidth="1"/>
    <col min="7690" max="7690" width="13.28515625" customWidth="1"/>
    <col min="7939" max="7939" width="19.85546875" customWidth="1"/>
    <col min="7940" max="7940" width="15.85546875" bestFit="1" customWidth="1"/>
    <col min="7941" max="7941" width="16.7109375" bestFit="1" customWidth="1"/>
    <col min="7942" max="7943" width="16.7109375" customWidth="1"/>
    <col min="7944" max="7944" width="21.7109375" customWidth="1"/>
    <col min="7945" max="7945" width="19.140625" bestFit="1" customWidth="1"/>
    <col min="7946" max="7946" width="13.28515625" customWidth="1"/>
    <col min="8195" max="8195" width="19.85546875" customWidth="1"/>
    <col min="8196" max="8196" width="15.85546875" bestFit="1" customWidth="1"/>
    <col min="8197" max="8197" width="16.7109375" bestFit="1" customWidth="1"/>
    <col min="8198" max="8199" width="16.7109375" customWidth="1"/>
    <col min="8200" max="8200" width="21.7109375" customWidth="1"/>
    <col min="8201" max="8201" width="19.140625" bestFit="1" customWidth="1"/>
    <col min="8202" max="8202" width="13.28515625" customWidth="1"/>
    <col min="8451" max="8451" width="19.85546875" customWidth="1"/>
    <col min="8452" max="8452" width="15.85546875" bestFit="1" customWidth="1"/>
    <col min="8453" max="8453" width="16.7109375" bestFit="1" customWidth="1"/>
    <col min="8454" max="8455" width="16.7109375" customWidth="1"/>
    <col min="8456" max="8456" width="21.7109375" customWidth="1"/>
    <col min="8457" max="8457" width="19.140625" bestFit="1" customWidth="1"/>
    <col min="8458" max="8458" width="13.28515625" customWidth="1"/>
    <col min="8707" max="8707" width="19.85546875" customWidth="1"/>
    <col min="8708" max="8708" width="15.85546875" bestFit="1" customWidth="1"/>
    <col min="8709" max="8709" width="16.7109375" bestFit="1" customWidth="1"/>
    <col min="8710" max="8711" width="16.7109375" customWidth="1"/>
    <col min="8712" max="8712" width="21.7109375" customWidth="1"/>
    <col min="8713" max="8713" width="19.140625" bestFit="1" customWidth="1"/>
    <col min="8714" max="8714" width="13.28515625" customWidth="1"/>
    <col min="8963" max="8963" width="19.85546875" customWidth="1"/>
    <col min="8964" max="8964" width="15.85546875" bestFit="1" customWidth="1"/>
    <col min="8965" max="8965" width="16.7109375" bestFit="1" customWidth="1"/>
    <col min="8966" max="8967" width="16.7109375" customWidth="1"/>
    <col min="8968" max="8968" width="21.7109375" customWidth="1"/>
    <col min="8969" max="8969" width="19.140625" bestFit="1" customWidth="1"/>
    <col min="8970" max="8970" width="13.28515625" customWidth="1"/>
    <col min="9219" max="9219" width="19.85546875" customWidth="1"/>
    <col min="9220" max="9220" width="15.85546875" bestFit="1" customWidth="1"/>
    <col min="9221" max="9221" width="16.7109375" bestFit="1" customWidth="1"/>
    <col min="9222" max="9223" width="16.7109375" customWidth="1"/>
    <col min="9224" max="9224" width="21.7109375" customWidth="1"/>
    <col min="9225" max="9225" width="19.140625" bestFit="1" customWidth="1"/>
    <col min="9226" max="9226" width="13.28515625" customWidth="1"/>
    <col min="9475" max="9475" width="19.85546875" customWidth="1"/>
    <col min="9476" max="9476" width="15.85546875" bestFit="1" customWidth="1"/>
    <col min="9477" max="9477" width="16.7109375" bestFit="1" customWidth="1"/>
    <col min="9478" max="9479" width="16.7109375" customWidth="1"/>
    <col min="9480" max="9480" width="21.7109375" customWidth="1"/>
    <col min="9481" max="9481" width="19.140625" bestFit="1" customWidth="1"/>
    <col min="9482" max="9482" width="13.28515625" customWidth="1"/>
    <col min="9731" max="9731" width="19.85546875" customWidth="1"/>
    <col min="9732" max="9732" width="15.85546875" bestFit="1" customWidth="1"/>
    <col min="9733" max="9733" width="16.7109375" bestFit="1" customWidth="1"/>
    <col min="9734" max="9735" width="16.7109375" customWidth="1"/>
    <col min="9736" max="9736" width="21.7109375" customWidth="1"/>
    <col min="9737" max="9737" width="19.140625" bestFit="1" customWidth="1"/>
    <col min="9738" max="9738" width="13.28515625" customWidth="1"/>
    <col min="9987" max="9987" width="19.85546875" customWidth="1"/>
    <col min="9988" max="9988" width="15.85546875" bestFit="1" customWidth="1"/>
    <col min="9989" max="9989" width="16.7109375" bestFit="1" customWidth="1"/>
    <col min="9990" max="9991" width="16.7109375" customWidth="1"/>
    <col min="9992" max="9992" width="21.7109375" customWidth="1"/>
    <col min="9993" max="9993" width="19.140625" bestFit="1" customWidth="1"/>
    <col min="9994" max="9994" width="13.28515625" customWidth="1"/>
    <col min="10243" max="10243" width="19.85546875" customWidth="1"/>
    <col min="10244" max="10244" width="15.85546875" bestFit="1" customWidth="1"/>
    <col min="10245" max="10245" width="16.7109375" bestFit="1" customWidth="1"/>
    <col min="10246" max="10247" width="16.7109375" customWidth="1"/>
    <col min="10248" max="10248" width="21.7109375" customWidth="1"/>
    <col min="10249" max="10249" width="19.140625" bestFit="1" customWidth="1"/>
    <col min="10250" max="10250" width="13.28515625" customWidth="1"/>
    <col min="10499" max="10499" width="19.85546875" customWidth="1"/>
    <col min="10500" max="10500" width="15.85546875" bestFit="1" customWidth="1"/>
    <col min="10501" max="10501" width="16.7109375" bestFit="1" customWidth="1"/>
    <col min="10502" max="10503" width="16.7109375" customWidth="1"/>
    <col min="10504" max="10504" width="21.7109375" customWidth="1"/>
    <col min="10505" max="10505" width="19.140625" bestFit="1" customWidth="1"/>
    <col min="10506" max="10506" width="13.28515625" customWidth="1"/>
    <col min="10755" max="10755" width="19.85546875" customWidth="1"/>
    <col min="10756" max="10756" width="15.85546875" bestFit="1" customWidth="1"/>
    <col min="10757" max="10757" width="16.7109375" bestFit="1" customWidth="1"/>
    <col min="10758" max="10759" width="16.7109375" customWidth="1"/>
    <col min="10760" max="10760" width="21.7109375" customWidth="1"/>
    <col min="10761" max="10761" width="19.140625" bestFit="1" customWidth="1"/>
    <col min="10762" max="10762" width="13.28515625" customWidth="1"/>
    <col min="11011" max="11011" width="19.85546875" customWidth="1"/>
    <col min="11012" max="11012" width="15.85546875" bestFit="1" customWidth="1"/>
    <col min="11013" max="11013" width="16.7109375" bestFit="1" customWidth="1"/>
    <col min="11014" max="11015" width="16.7109375" customWidth="1"/>
    <col min="11016" max="11016" width="21.7109375" customWidth="1"/>
    <col min="11017" max="11017" width="19.140625" bestFit="1" customWidth="1"/>
    <col min="11018" max="11018" width="13.28515625" customWidth="1"/>
    <col min="11267" max="11267" width="19.85546875" customWidth="1"/>
    <col min="11268" max="11268" width="15.85546875" bestFit="1" customWidth="1"/>
    <col min="11269" max="11269" width="16.7109375" bestFit="1" customWidth="1"/>
    <col min="11270" max="11271" width="16.7109375" customWidth="1"/>
    <col min="11272" max="11272" width="21.7109375" customWidth="1"/>
    <col min="11273" max="11273" width="19.140625" bestFit="1" customWidth="1"/>
    <col min="11274" max="11274" width="13.28515625" customWidth="1"/>
    <col min="11523" max="11523" width="19.85546875" customWidth="1"/>
    <col min="11524" max="11524" width="15.85546875" bestFit="1" customWidth="1"/>
    <col min="11525" max="11525" width="16.7109375" bestFit="1" customWidth="1"/>
    <col min="11526" max="11527" width="16.7109375" customWidth="1"/>
    <col min="11528" max="11528" width="21.7109375" customWidth="1"/>
    <col min="11529" max="11529" width="19.140625" bestFit="1" customWidth="1"/>
    <col min="11530" max="11530" width="13.28515625" customWidth="1"/>
    <col min="11779" max="11779" width="19.85546875" customWidth="1"/>
    <col min="11780" max="11780" width="15.85546875" bestFit="1" customWidth="1"/>
    <col min="11781" max="11781" width="16.7109375" bestFit="1" customWidth="1"/>
    <col min="11782" max="11783" width="16.7109375" customWidth="1"/>
    <col min="11784" max="11784" width="21.7109375" customWidth="1"/>
    <col min="11785" max="11785" width="19.140625" bestFit="1" customWidth="1"/>
    <col min="11786" max="11786" width="13.28515625" customWidth="1"/>
    <col min="12035" max="12035" width="19.85546875" customWidth="1"/>
    <col min="12036" max="12036" width="15.85546875" bestFit="1" customWidth="1"/>
    <col min="12037" max="12037" width="16.7109375" bestFit="1" customWidth="1"/>
    <col min="12038" max="12039" width="16.7109375" customWidth="1"/>
    <col min="12040" max="12040" width="21.7109375" customWidth="1"/>
    <col min="12041" max="12041" width="19.140625" bestFit="1" customWidth="1"/>
    <col min="12042" max="12042" width="13.28515625" customWidth="1"/>
    <col min="12291" max="12291" width="19.85546875" customWidth="1"/>
    <col min="12292" max="12292" width="15.85546875" bestFit="1" customWidth="1"/>
    <col min="12293" max="12293" width="16.7109375" bestFit="1" customWidth="1"/>
    <col min="12294" max="12295" width="16.7109375" customWidth="1"/>
    <col min="12296" max="12296" width="21.7109375" customWidth="1"/>
    <col min="12297" max="12297" width="19.140625" bestFit="1" customWidth="1"/>
    <col min="12298" max="12298" width="13.28515625" customWidth="1"/>
    <col min="12547" max="12547" width="19.85546875" customWidth="1"/>
    <col min="12548" max="12548" width="15.85546875" bestFit="1" customWidth="1"/>
    <col min="12549" max="12549" width="16.7109375" bestFit="1" customWidth="1"/>
    <col min="12550" max="12551" width="16.7109375" customWidth="1"/>
    <col min="12552" max="12552" width="21.7109375" customWidth="1"/>
    <col min="12553" max="12553" width="19.140625" bestFit="1" customWidth="1"/>
    <col min="12554" max="12554" width="13.28515625" customWidth="1"/>
    <col min="12803" max="12803" width="19.85546875" customWidth="1"/>
    <col min="12804" max="12804" width="15.85546875" bestFit="1" customWidth="1"/>
    <col min="12805" max="12805" width="16.7109375" bestFit="1" customWidth="1"/>
    <col min="12806" max="12807" width="16.7109375" customWidth="1"/>
    <col min="12808" max="12808" width="21.7109375" customWidth="1"/>
    <col min="12809" max="12809" width="19.140625" bestFit="1" customWidth="1"/>
    <col min="12810" max="12810" width="13.28515625" customWidth="1"/>
    <col min="13059" max="13059" width="19.85546875" customWidth="1"/>
    <col min="13060" max="13060" width="15.85546875" bestFit="1" customWidth="1"/>
    <col min="13061" max="13061" width="16.7109375" bestFit="1" customWidth="1"/>
    <col min="13062" max="13063" width="16.7109375" customWidth="1"/>
    <col min="13064" max="13064" width="21.7109375" customWidth="1"/>
    <col min="13065" max="13065" width="19.140625" bestFit="1" customWidth="1"/>
    <col min="13066" max="13066" width="13.28515625" customWidth="1"/>
    <col min="13315" max="13315" width="19.85546875" customWidth="1"/>
    <col min="13316" max="13316" width="15.85546875" bestFit="1" customWidth="1"/>
    <col min="13317" max="13317" width="16.7109375" bestFit="1" customWidth="1"/>
    <col min="13318" max="13319" width="16.7109375" customWidth="1"/>
    <col min="13320" max="13320" width="21.7109375" customWidth="1"/>
    <col min="13321" max="13321" width="19.140625" bestFit="1" customWidth="1"/>
    <col min="13322" max="13322" width="13.28515625" customWidth="1"/>
    <col min="13571" max="13571" width="19.85546875" customWidth="1"/>
    <col min="13572" max="13572" width="15.85546875" bestFit="1" customWidth="1"/>
    <col min="13573" max="13573" width="16.7109375" bestFit="1" customWidth="1"/>
    <col min="13574" max="13575" width="16.7109375" customWidth="1"/>
    <col min="13576" max="13576" width="21.7109375" customWidth="1"/>
    <col min="13577" max="13577" width="19.140625" bestFit="1" customWidth="1"/>
    <col min="13578" max="13578" width="13.28515625" customWidth="1"/>
    <col min="13827" max="13827" width="19.85546875" customWidth="1"/>
    <col min="13828" max="13828" width="15.85546875" bestFit="1" customWidth="1"/>
    <col min="13829" max="13829" width="16.7109375" bestFit="1" customWidth="1"/>
    <col min="13830" max="13831" width="16.7109375" customWidth="1"/>
    <col min="13832" max="13832" width="21.7109375" customWidth="1"/>
    <col min="13833" max="13833" width="19.140625" bestFit="1" customWidth="1"/>
    <col min="13834" max="13834" width="13.28515625" customWidth="1"/>
    <col min="14083" max="14083" width="19.85546875" customWidth="1"/>
    <col min="14084" max="14084" width="15.85546875" bestFit="1" customWidth="1"/>
    <col min="14085" max="14085" width="16.7109375" bestFit="1" customWidth="1"/>
    <col min="14086" max="14087" width="16.7109375" customWidth="1"/>
    <col min="14088" max="14088" width="21.7109375" customWidth="1"/>
    <col min="14089" max="14089" width="19.140625" bestFit="1" customWidth="1"/>
    <col min="14090" max="14090" width="13.28515625" customWidth="1"/>
    <col min="14339" max="14339" width="19.85546875" customWidth="1"/>
    <col min="14340" max="14340" width="15.85546875" bestFit="1" customWidth="1"/>
    <col min="14341" max="14341" width="16.7109375" bestFit="1" customWidth="1"/>
    <col min="14342" max="14343" width="16.7109375" customWidth="1"/>
    <col min="14344" max="14344" width="21.7109375" customWidth="1"/>
    <col min="14345" max="14345" width="19.140625" bestFit="1" customWidth="1"/>
    <col min="14346" max="14346" width="13.28515625" customWidth="1"/>
    <col min="14595" max="14595" width="19.85546875" customWidth="1"/>
    <col min="14596" max="14596" width="15.85546875" bestFit="1" customWidth="1"/>
    <col min="14597" max="14597" width="16.7109375" bestFit="1" customWidth="1"/>
    <col min="14598" max="14599" width="16.7109375" customWidth="1"/>
    <col min="14600" max="14600" width="21.7109375" customWidth="1"/>
    <col min="14601" max="14601" width="19.140625" bestFit="1" customWidth="1"/>
    <col min="14602" max="14602" width="13.28515625" customWidth="1"/>
    <col min="14851" max="14851" width="19.85546875" customWidth="1"/>
    <col min="14852" max="14852" width="15.85546875" bestFit="1" customWidth="1"/>
    <col min="14853" max="14853" width="16.7109375" bestFit="1" customWidth="1"/>
    <col min="14854" max="14855" width="16.7109375" customWidth="1"/>
    <col min="14856" max="14856" width="21.7109375" customWidth="1"/>
    <col min="14857" max="14857" width="19.140625" bestFit="1" customWidth="1"/>
    <col min="14858" max="14858" width="13.28515625" customWidth="1"/>
    <col min="15107" max="15107" width="19.85546875" customWidth="1"/>
    <col min="15108" max="15108" width="15.85546875" bestFit="1" customWidth="1"/>
    <col min="15109" max="15109" width="16.7109375" bestFit="1" customWidth="1"/>
    <col min="15110" max="15111" width="16.7109375" customWidth="1"/>
    <col min="15112" max="15112" width="21.7109375" customWidth="1"/>
    <col min="15113" max="15113" width="19.140625" bestFit="1" customWidth="1"/>
    <col min="15114" max="15114" width="13.28515625" customWidth="1"/>
    <col min="15363" max="15363" width="19.85546875" customWidth="1"/>
    <col min="15364" max="15364" width="15.85546875" bestFit="1" customWidth="1"/>
    <col min="15365" max="15365" width="16.7109375" bestFit="1" customWidth="1"/>
    <col min="15366" max="15367" width="16.7109375" customWidth="1"/>
    <col min="15368" max="15368" width="21.7109375" customWidth="1"/>
    <col min="15369" max="15369" width="19.140625" bestFit="1" customWidth="1"/>
    <col min="15370" max="15370" width="13.28515625" customWidth="1"/>
    <col min="15619" max="15619" width="19.85546875" customWidth="1"/>
    <col min="15620" max="15620" width="15.85546875" bestFit="1" customWidth="1"/>
    <col min="15621" max="15621" width="16.7109375" bestFit="1" customWidth="1"/>
    <col min="15622" max="15623" width="16.7109375" customWidth="1"/>
    <col min="15624" max="15624" width="21.7109375" customWidth="1"/>
    <col min="15625" max="15625" width="19.140625" bestFit="1" customWidth="1"/>
    <col min="15626" max="15626" width="13.28515625" customWidth="1"/>
    <col min="15875" max="15875" width="19.85546875" customWidth="1"/>
    <col min="15876" max="15876" width="15.85546875" bestFit="1" customWidth="1"/>
    <col min="15877" max="15877" width="16.7109375" bestFit="1" customWidth="1"/>
    <col min="15878" max="15879" width="16.7109375" customWidth="1"/>
    <col min="15880" max="15880" width="21.7109375" customWidth="1"/>
    <col min="15881" max="15881" width="19.140625" bestFit="1" customWidth="1"/>
    <col min="15882" max="15882" width="13.28515625" customWidth="1"/>
    <col min="16131" max="16131" width="19.85546875" customWidth="1"/>
    <col min="16132" max="16132" width="15.85546875" bestFit="1" customWidth="1"/>
    <col min="16133" max="16133" width="16.7109375" bestFit="1" customWidth="1"/>
    <col min="16134" max="16135" width="16.7109375" customWidth="1"/>
    <col min="16136" max="16136" width="21.7109375" customWidth="1"/>
    <col min="16137" max="16137" width="19.140625" bestFit="1" customWidth="1"/>
    <col min="16138" max="16138" width="13.28515625" customWidth="1"/>
  </cols>
  <sheetData>
    <row r="1" spans="1:15" x14ac:dyDescent="0.25">
      <c r="A1" s="270" t="s">
        <v>134</v>
      </c>
      <c r="B1" s="270"/>
      <c r="C1" s="270"/>
      <c r="D1" s="270"/>
      <c r="E1" s="270"/>
      <c r="F1" s="270"/>
      <c r="G1" s="270"/>
    </row>
    <row r="2" spans="1:15" x14ac:dyDescent="0.25">
      <c r="J2" s="274" t="s">
        <v>193</v>
      </c>
      <c r="K2" s="274"/>
      <c r="L2" s="274"/>
      <c r="M2" s="274"/>
      <c r="N2" s="274"/>
    </row>
    <row r="3" spans="1:15" x14ac:dyDescent="0.25">
      <c r="A3" s="123" t="s">
        <v>135</v>
      </c>
      <c r="B3" s="160" t="s">
        <v>91</v>
      </c>
      <c r="C3" s="271" t="s">
        <v>92</v>
      </c>
      <c r="D3" s="272"/>
      <c r="E3" s="273"/>
      <c r="F3" s="123" t="s">
        <v>93</v>
      </c>
      <c r="G3" s="123" t="s">
        <v>94</v>
      </c>
      <c r="H3" s="163" t="s">
        <v>174</v>
      </c>
      <c r="I3" s="163" t="s">
        <v>175</v>
      </c>
      <c r="J3" s="161" t="s">
        <v>148</v>
      </c>
      <c r="K3" s="163" t="s">
        <v>117</v>
      </c>
      <c r="L3" s="163" t="s">
        <v>113</v>
      </c>
      <c r="M3" s="163" t="s">
        <v>190</v>
      </c>
      <c r="N3" s="161" t="s">
        <v>189</v>
      </c>
      <c r="O3" s="161" t="s">
        <v>194</v>
      </c>
    </row>
    <row r="4" spans="1:15" x14ac:dyDescent="0.25">
      <c r="A4" s="123">
        <v>2019</v>
      </c>
      <c r="B4" s="160" t="s">
        <v>109</v>
      </c>
      <c r="C4" s="162">
        <v>31</v>
      </c>
      <c r="D4" s="162">
        <v>1</v>
      </c>
      <c r="E4" s="162">
        <f>$A$4</f>
        <v>2019</v>
      </c>
      <c r="F4" s="123" t="s">
        <v>112</v>
      </c>
      <c r="G4" s="123" t="s">
        <v>111</v>
      </c>
      <c r="H4" s="160">
        <v>100</v>
      </c>
      <c r="I4" s="160">
        <v>50</v>
      </c>
      <c r="J4" s="123" t="s">
        <v>152</v>
      </c>
      <c r="K4" s="163" t="s">
        <v>154</v>
      </c>
      <c r="L4" s="163" t="s">
        <v>138</v>
      </c>
      <c r="M4" s="163" t="s">
        <v>191</v>
      </c>
      <c r="N4" s="123" t="s">
        <v>214</v>
      </c>
      <c r="O4" s="161" t="s">
        <v>191</v>
      </c>
    </row>
    <row r="5" spans="1:15" x14ac:dyDescent="0.25">
      <c r="A5" s="123"/>
      <c r="B5" s="160" t="s">
        <v>122</v>
      </c>
      <c r="C5" s="162">
        <v>28</v>
      </c>
      <c r="D5" s="162">
        <v>2</v>
      </c>
      <c r="E5" s="162">
        <f t="shared" ref="E5:E15" si="0">$A$4</f>
        <v>2019</v>
      </c>
      <c r="F5" s="123" t="s">
        <v>115</v>
      </c>
      <c r="G5" s="123" t="s">
        <v>114</v>
      </c>
      <c r="J5" s="123" t="s">
        <v>153</v>
      </c>
      <c r="K5" s="163" t="s">
        <v>155</v>
      </c>
      <c r="L5" s="163" t="s">
        <v>139</v>
      </c>
      <c r="M5" s="163" t="s">
        <v>192</v>
      </c>
      <c r="N5" s="123" t="s">
        <v>202</v>
      </c>
      <c r="O5" s="161" t="s">
        <v>192</v>
      </c>
    </row>
    <row r="6" spans="1:15" x14ac:dyDescent="0.25">
      <c r="B6" s="160" t="s">
        <v>121</v>
      </c>
      <c r="C6" s="162">
        <v>31</v>
      </c>
      <c r="D6" s="162">
        <v>3</v>
      </c>
      <c r="E6" s="162">
        <f t="shared" si="0"/>
        <v>2019</v>
      </c>
      <c r="F6" s="123" t="s">
        <v>118</v>
      </c>
      <c r="G6" s="123"/>
      <c r="J6" s="123" t="s">
        <v>149</v>
      </c>
      <c r="K6" s="163" t="s">
        <v>156</v>
      </c>
      <c r="L6" s="163" t="s">
        <v>225</v>
      </c>
      <c r="M6" s="163"/>
      <c r="N6" s="123" t="s">
        <v>195</v>
      </c>
      <c r="O6" s="123" t="s">
        <v>152</v>
      </c>
    </row>
    <row r="7" spans="1:15" x14ac:dyDescent="0.25">
      <c r="B7" s="160"/>
      <c r="C7" s="162">
        <v>30</v>
      </c>
      <c r="D7" s="162">
        <v>4</v>
      </c>
      <c r="E7" s="162">
        <f t="shared" si="0"/>
        <v>2019</v>
      </c>
      <c r="F7" s="123" t="s">
        <v>116</v>
      </c>
      <c r="J7" s="161" t="s">
        <v>131</v>
      </c>
      <c r="K7" s="163" t="s">
        <v>151</v>
      </c>
      <c r="L7" s="163" t="s">
        <v>226</v>
      </c>
      <c r="M7" s="163"/>
      <c r="N7" s="123" t="s">
        <v>203</v>
      </c>
      <c r="O7" s="123" t="s">
        <v>153</v>
      </c>
    </row>
    <row r="8" spans="1:15" x14ac:dyDescent="0.25">
      <c r="B8" s="160"/>
      <c r="C8" s="162">
        <v>31</v>
      </c>
      <c r="D8" s="162">
        <v>5</v>
      </c>
      <c r="E8" s="162">
        <f t="shared" si="0"/>
        <v>2019</v>
      </c>
      <c r="F8" s="123" t="s">
        <v>136</v>
      </c>
      <c r="K8" s="163" t="s">
        <v>177</v>
      </c>
      <c r="L8" s="163" t="s">
        <v>141</v>
      </c>
      <c r="M8" s="163"/>
      <c r="N8" s="123" t="s">
        <v>201</v>
      </c>
      <c r="O8" s="123" t="s">
        <v>149</v>
      </c>
    </row>
    <row r="9" spans="1:15" x14ac:dyDescent="0.25">
      <c r="C9" s="162">
        <v>30</v>
      </c>
      <c r="D9" s="162">
        <v>6</v>
      </c>
      <c r="E9" s="162">
        <f t="shared" si="0"/>
        <v>2019</v>
      </c>
      <c r="F9" s="123" t="s">
        <v>125</v>
      </c>
      <c r="K9" s="161" t="s">
        <v>131</v>
      </c>
      <c r="L9" s="163" t="s">
        <v>142</v>
      </c>
      <c r="M9" s="163"/>
      <c r="N9" s="123" t="s">
        <v>196</v>
      </c>
      <c r="O9" s="161" t="s">
        <v>138</v>
      </c>
    </row>
    <row r="10" spans="1:15" x14ac:dyDescent="0.25">
      <c r="C10" s="162">
        <v>31</v>
      </c>
      <c r="D10" s="162">
        <v>7</v>
      </c>
      <c r="E10" s="162">
        <f t="shared" si="0"/>
        <v>2019</v>
      </c>
      <c r="F10" s="123" t="s">
        <v>110</v>
      </c>
      <c r="L10" s="163" t="s">
        <v>140</v>
      </c>
      <c r="M10" s="163"/>
      <c r="N10" s="123" t="s">
        <v>197</v>
      </c>
      <c r="O10" s="161" t="s">
        <v>139</v>
      </c>
    </row>
    <row r="11" spans="1:15" x14ac:dyDescent="0.25">
      <c r="C11" s="162">
        <v>31</v>
      </c>
      <c r="D11" s="162">
        <v>8</v>
      </c>
      <c r="E11" s="162">
        <f t="shared" si="0"/>
        <v>2019</v>
      </c>
      <c r="F11" s="123" t="s">
        <v>119</v>
      </c>
      <c r="L11" s="163" t="s">
        <v>227</v>
      </c>
      <c r="M11" s="163"/>
      <c r="N11" s="123"/>
      <c r="O11" s="161" t="s">
        <v>143</v>
      </c>
    </row>
    <row r="12" spans="1:15" x14ac:dyDescent="0.25">
      <c r="C12" s="162">
        <v>30</v>
      </c>
      <c r="D12" s="162">
        <v>9</v>
      </c>
      <c r="E12" s="162">
        <f t="shared" si="0"/>
        <v>2019</v>
      </c>
      <c r="F12" s="123" t="s">
        <v>126</v>
      </c>
      <c r="I12" s="123" t="s">
        <v>221</v>
      </c>
      <c r="N12" s="123"/>
      <c r="O12" s="161" t="s">
        <v>144</v>
      </c>
    </row>
    <row r="13" spans="1:15" x14ac:dyDescent="0.25">
      <c r="C13" s="162">
        <v>31</v>
      </c>
      <c r="D13" s="162">
        <v>10</v>
      </c>
      <c r="E13" s="162">
        <f t="shared" si="0"/>
        <v>2019</v>
      </c>
      <c r="F13" s="123" t="s">
        <v>127</v>
      </c>
      <c r="I13" s="123" t="s">
        <v>200</v>
      </c>
      <c r="N13" s="123"/>
      <c r="O13" s="161" t="s">
        <v>141</v>
      </c>
    </row>
    <row r="14" spans="1:15" x14ac:dyDescent="0.25">
      <c r="C14" s="162">
        <v>30</v>
      </c>
      <c r="D14" s="162">
        <v>11</v>
      </c>
      <c r="E14" s="162">
        <f t="shared" si="0"/>
        <v>2019</v>
      </c>
      <c r="F14" s="123" t="s">
        <v>128</v>
      </c>
      <c r="I14" s="123" t="s">
        <v>205</v>
      </c>
      <c r="O14" s="161" t="s">
        <v>142</v>
      </c>
    </row>
    <row r="15" spans="1:15" x14ac:dyDescent="0.25">
      <c r="C15" s="162">
        <v>31</v>
      </c>
      <c r="D15" s="162">
        <v>12</v>
      </c>
      <c r="E15" s="162">
        <f t="shared" si="0"/>
        <v>2019</v>
      </c>
      <c r="F15" s="123" t="s">
        <v>129</v>
      </c>
      <c r="O15" s="161" t="s">
        <v>140</v>
      </c>
    </row>
    <row r="16" spans="1:15" x14ac:dyDescent="0.25">
      <c r="E16" s="162"/>
      <c r="F16" s="123" t="s">
        <v>130</v>
      </c>
      <c r="O16" s="161" t="s">
        <v>131</v>
      </c>
    </row>
    <row r="17" spans="3:11" x14ac:dyDescent="0.25">
      <c r="E17" s="162"/>
      <c r="F17" s="123" t="s">
        <v>137</v>
      </c>
    </row>
    <row r="18" spans="3:11" x14ac:dyDescent="0.25">
      <c r="F18" s="123"/>
    </row>
    <row r="21" spans="3:11" x14ac:dyDescent="0.25">
      <c r="E21" s="123" t="s">
        <v>99</v>
      </c>
      <c r="F21" s="123" t="s">
        <v>100</v>
      </c>
      <c r="G21" s="123" t="s">
        <v>101</v>
      </c>
      <c r="H21" s="123" t="s">
        <v>102</v>
      </c>
      <c r="I21" s="123" t="s">
        <v>103</v>
      </c>
      <c r="J21" s="123" t="s">
        <v>145</v>
      </c>
      <c r="K21" s="123" t="s">
        <v>185</v>
      </c>
    </row>
    <row r="22" spans="3:11" x14ac:dyDescent="0.25">
      <c r="E22" s="123" t="s">
        <v>200</v>
      </c>
      <c r="F22" s="244" t="s">
        <v>200</v>
      </c>
      <c r="G22" s="123" t="s">
        <v>113</v>
      </c>
      <c r="H22" s="123" t="s">
        <v>200</v>
      </c>
      <c r="I22" s="123" t="s">
        <v>200</v>
      </c>
      <c r="J22" s="123" t="s">
        <v>200</v>
      </c>
      <c r="K22" s="123" t="s">
        <v>200</v>
      </c>
    </row>
    <row r="23" spans="3:11" x14ac:dyDescent="0.25">
      <c r="E23" s="123" t="s">
        <v>205</v>
      </c>
      <c r="F23" s="123" t="s">
        <v>205</v>
      </c>
      <c r="G23" s="123" t="s">
        <v>117</v>
      </c>
      <c r="H23" s="123" t="s">
        <v>205</v>
      </c>
      <c r="I23" s="123" t="s">
        <v>205</v>
      </c>
      <c r="J23" s="123" t="s">
        <v>205</v>
      </c>
      <c r="K23" s="123" t="s">
        <v>205</v>
      </c>
    </row>
    <row r="24" spans="3:11" x14ac:dyDescent="0.25">
      <c r="E24" s="123" t="s">
        <v>222</v>
      </c>
      <c r="F24" s="123" t="s">
        <v>222</v>
      </c>
      <c r="H24" s="123" t="s">
        <v>223</v>
      </c>
      <c r="J24" s="123" t="s">
        <v>222</v>
      </c>
    </row>
    <row r="25" spans="3:11" x14ac:dyDescent="0.25">
      <c r="H25" s="123" t="s">
        <v>222</v>
      </c>
      <c r="J25" s="123" t="s">
        <v>224</v>
      </c>
    </row>
    <row r="26" spans="3:11" x14ac:dyDescent="0.25">
      <c r="C26" t="s">
        <v>138</v>
      </c>
      <c r="D26" t="s">
        <v>228</v>
      </c>
      <c r="E26" t="s">
        <v>225</v>
      </c>
      <c r="F26" t="s">
        <v>226</v>
      </c>
      <c r="G26" t="s">
        <v>141</v>
      </c>
      <c r="H26" s="245" t="s">
        <v>142</v>
      </c>
      <c r="I26" s="159" t="s">
        <v>140</v>
      </c>
    </row>
  </sheetData>
  <sheetProtection selectLockedCells="1" selectUnlockedCells="1"/>
  <mergeCells count="3">
    <mergeCell ref="A1:G1"/>
    <mergeCell ref="C3:E3"/>
    <mergeCell ref="J2:N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workbookViewId="0">
      <selection activeCell="AM14" sqref="AM14"/>
    </sheetView>
  </sheetViews>
  <sheetFormatPr baseColWidth="10" defaultRowHeight="15" x14ac:dyDescent="0.25"/>
  <cols>
    <col min="7" max="8" width="0" hidden="1" customWidth="1"/>
    <col min="19" max="37" width="0" hidden="1" customWidth="1"/>
    <col min="44" max="45" width="0" hidden="1" customWidth="1"/>
    <col min="48" max="49" width="0" hidden="1" customWidth="1"/>
  </cols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N174"/>
  <sheetViews>
    <sheetView tabSelected="1" zoomScale="85" zoomScaleNormal="85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B5" sqref="B5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customWidth="1"/>
    <col min="31" max="32" width="18" style="89" customWidth="1"/>
    <col min="33" max="33" width="11.42578125" style="89" customWidth="1"/>
    <col min="34" max="34" width="18.7109375" customWidth="1"/>
    <col min="35" max="35" width="18.7109375" style="168" customWidth="1"/>
    <col min="36" max="36" width="20" style="166" customWidth="1"/>
    <col min="37" max="39" width="18" style="89" customWidth="1"/>
    <col min="40" max="45" width="19" style="89" customWidth="1"/>
    <col min="46" max="46" width="11.42578125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2" width="11.42578125" style="89" customWidth="1"/>
    <col min="113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C1" s="90">
        <f>COLUMN()</f>
        <v>55</v>
      </c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7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220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72" t="s">
        <v>138</v>
      </c>
      <c r="B3" s="170" t="s">
        <v>231</v>
      </c>
      <c r="C3" s="165" t="s">
        <v>233</v>
      </c>
      <c r="D3" s="171"/>
      <c r="E3" s="189"/>
      <c r="F3" s="188"/>
      <c r="G3" s="188"/>
      <c r="H3" s="189"/>
      <c r="I3" s="189" t="s">
        <v>233</v>
      </c>
      <c r="J3" s="189" t="s">
        <v>233</v>
      </c>
      <c r="K3" s="190" t="str">
        <f t="shared" ref="K3:K51" si="0">IF(I3="","",MONTH(I3))</f>
        <v/>
      </c>
      <c r="L3" s="190" t="str">
        <f t="shared" ref="L3:L51" si="1">IF(I3="","",DAYS360(E3,I3))</f>
        <v/>
      </c>
      <c r="M3" s="188" t="s">
        <v>233</v>
      </c>
      <c r="N3" s="188" t="s">
        <v>233</v>
      </c>
      <c r="O3" s="188" t="s">
        <v>233</v>
      </c>
      <c r="P3" s="188" t="s">
        <v>233</v>
      </c>
      <c r="Q3" s="188" t="s">
        <v>233</v>
      </c>
      <c r="R3" s="188" t="s">
        <v>233</v>
      </c>
      <c r="S3" s="214"/>
      <c r="T3" s="208"/>
      <c r="U3" s="220"/>
      <c r="V3" s="220"/>
      <c r="W3" s="220"/>
      <c r="X3" s="220"/>
      <c r="Y3" s="220"/>
      <c r="Z3" s="220"/>
      <c r="AA3" s="220"/>
      <c r="AB3" s="220"/>
      <c r="AC3" s="220"/>
      <c r="AD3" s="220"/>
      <c r="AE3" s="220"/>
      <c r="AF3" s="220"/>
      <c r="AG3" s="219"/>
      <c r="AH3" s="225">
        <f>SUM(PORTEFEUILLE_DELPHINE[[#This Row],[PCR COMPTABLE €]:[MONTANT
RESPONSABLE RELATION CLIENT €]])-PORTEFEUILLE_DELPHINE[[#This Row],[MONTANT TOTAL LETTRE DE MISION €]]</f>
        <v>0</v>
      </c>
      <c r="AI3" s="191"/>
      <c r="AJ3" s="188"/>
      <c r="AK3" s="188"/>
      <c r="AL3" s="188"/>
      <c r="AM3" s="191"/>
      <c r="AN3" s="196"/>
      <c r="AO3" s="196" t="s">
        <v>233</v>
      </c>
      <c r="AP3" s="196" t="s">
        <v>233</v>
      </c>
      <c r="AQ3" s="196" t="s">
        <v>233</v>
      </c>
      <c r="AR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" s="188" t="str">
        <f>IF(PORTEFEUILLE_DELPHINE[[#This Row],[BONI AAC]]&lt;&gt;0,1,"")</f>
        <v/>
      </c>
      <c r="AU3" s="188" t="str">
        <f>IF(PORTEFEUILLE_DELPHINE[[#This Row],[MALI AAC]]&lt;&gt;0,1,"")</f>
        <v/>
      </c>
      <c r="AV3" s="225">
        <f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f>
        <v>0</v>
      </c>
      <c r="AW3" s="225">
        <f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" s="190" t="str">
        <f>IF(PORTEFEUILLE_DELPHINE[[#This Row],[BONI COMPTABLE]]&lt;&gt;0,1,"")</f>
        <v/>
      </c>
      <c r="AY3" s="190" t="str">
        <f>IF(PORTEFEUILLE_DELPHINE[[#This Row],[MALI COMPTABLE]]&lt;&gt;0,1,"")</f>
        <v/>
      </c>
      <c r="AZ3" s="196" t="s">
        <v>233</v>
      </c>
      <c r="BA3" s="188" t="s">
        <v>233</v>
      </c>
      <c r="BB3" s="188" t="s">
        <v>233</v>
      </c>
      <c r="BC3" s="188" t="s">
        <v>233</v>
      </c>
      <c r="BD3" s="188" t="s">
        <v>233</v>
      </c>
      <c r="BE3" s="188" t="s">
        <v>233</v>
      </c>
      <c r="BF3" s="188"/>
      <c r="BG3" s="192"/>
      <c r="BH3" s="194"/>
      <c r="BI3" s="194"/>
      <c r="BJ3" s="195"/>
      <c r="BK3" s="194"/>
    </row>
    <row r="4" spans="1:78" x14ac:dyDescent="0.25">
      <c r="A4" s="172" t="s">
        <v>138</v>
      </c>
      <c r="B4" s="173" t="s">
        <v>232</v>
      </c>
      <c r="C4" s="165" t="s">
        <v>235</v>
      </c>
      <c r="D4" s="171" t="s">
        <v>109</v>
      </c>
      <c r="E4" s="189">
        <v>43830</v>
      </c>
      <c r="F4" s="188" t="s">
        <v>112</v>
      </c>
      <c r="G4" s="189"/>
      <c r="H4" s="189"/>
      <c r="I4" s="189" t="s">
        <v>236</v>
      </c>
      <c r="J4" s="189" t="s">
        <v>237</v>
      </c>
      <c r="K4" s="190">
        <f t="shared" si="0"/>
        <v>10</v>
      </c>
      <c r="L4" s="190">
        <f t="shared" si="1"/>
        <v>954294</v>
      </c>
      <c r="M4" s="188" t="s">
        <v>233</v>
      </c>
      <c r="N4" s="188" t="s">
        <v>233</v>
      </c>
      <c r="O4" s="188" t="s">
        <v>233</v>
      </c>
      <c r="P4" s="188" t="s">
        <v>233</v>
      </c>
      <c r="Q4" s="188" t="s">
        <v>233</v>
      </c>
      <c r="R4" s="188" t="s">
        <v>233</v>
      </c>
      <c r="S4" s="213"/>
      <c r="T4" s="207"/>
      <c r="U4" s="219"/>
      <c r="V4" s="219"/>
      <c r="W4" s="219"/>
      <c r="X4" s="219"/>
      <c r="Y4" s="219"/>
      <c r="Z4" s="219"/>
      <c r="AA4" s="219"/>
      <c r="AB4" s="219"/>
      <c r="AC4" s="219"/>
      <c r="AD4" s="219"/>
      <c r="AE4" s="219"/>
      <c r="AF4" s="219"/>
      <c r="AG4" s="219"/>
      <c r="AH4" s="225">
        <f>SUM(PORTEFEUILLE_DELPHINE[[#This Row],[PCR COMPTABLE €]:[MONTANT
RESPONSABLE RELATION CLIENT €]])-PORTEFEUILLE_DELPHINE[[#This Row],[MONTANT TOTAL LETTRE DE MISION €]]</f>
        <v>0</v>
      </c>
      <c r="AI4" s="191"/>
      <c r="AJ4" s="188"/>
      <c r="AK4" s="188"/>
      <c r="AL4" s="188"/>
      <c r="AM4" s="191"/>
      <c r="AN4" s="188"/>
      <c r="AO4" s="188" t="s">
        <v>233</v>
      </c>
      <c r="AP4" s="188" t="s">
        <v>233</v>
      </c>
      <c r="AQ4" s="188" t="s">
        <v>233</v>
      </c>
      <c r="AR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" s="188" t="str">
        <f>IF(PORTEFEUILLE_DELPHINE[[#This Row],[BONI AAC]]&lt;&gt;0,1,"")</f>
        <v/>
      </c>
      <c r="AU4" s="188" t="str">
        <f>IF(PORTEFEUILLE_DELPHINE[[#This Row],[MALI AAC]]&lt;&gt;0,1,"")</f>
        <v/>
      </c>
      <c r="AV4" s="225">
        <f>IF(AP4&lt;&gt;"",IF((AP4*Paramètres!$H$4)-PORTEFEUILLE_DELPHINE[[#This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€]]-(DELPHINE!AP4*Paramètres!$H$4),0),0)</f>
        <v>0</v>
      </c>
      <c r="AW4" s="225">
        <f>IF(AP4&lt;&gt;"",IF(((AP4*Paramètres!$H$4)-PORTEFEUILLE_DELPHINE[[#This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" s="190" t="str">
        <f>IF(PORTEFEUILLE_DELPHINE[[#This Row],[BONI COMPTABLE]]&lt;&gt;0,1,"")</f>
        <v/>
      </c>
      <c r="AY4" s="190" t="str">
        <f>IF(PORTEFEUILLE_DELPHINE[[#This Row],[MALI COMPTABLE]]&lt;&gt;0,1,"")</f>
        <v/>
      </c>
      <c r="AZ4" s="188" t="s">
        <v>233</v>
      </c>
      <c r="BA4" s="188" t="s">
        <v>233</v>
      </c>
      <c r="BB4" s="188" t="s">
        <v>233</v>
      </c>
      <c r="BC4" s="188" t="s">
        <v>233</v>
      </c>
      <c r="BD4" s="188" t="s">
        <v>233</v>
      </c>
      <c r="BE4" s="188" t="s">
        <v>233</v>
      </c>
      <c r="BF4" s="188"/>
      <c r="BG4" s="192"/>
      <c r="BH4" s="194"/>
      <c r="BI4" s="194"/>
      <c r="BJ4" s="195"/>
      <c r="BK4" s="194"/>
    </row>
    <row r="5" spans="1:78" x14ac:dyDescent="0.25">
      <c r="A5" s="172" t="s">
        <v>138</v>
      </c>
      <c r="B5" s="170" t="s">
        <v>238</v>
      </c>
      <c r="C5" s="165" t="s">
        <v>239</v>
      </c>
      <c r="D5" s="171"/>
      <c r="E5" s="189"/>
      <c r="F5" s="188"/>
      <c r="G5" s="189"/>
      <c r="H5" s="189"/>
      <c r="I5" s="189" t="s">
        <v>234</v>
      </c>
      <c r="J5" s="189" t="s">
        <v>233</v>
      </c>
      <c r="K5" s="190">
        <f t="shared" si="0"/>
        <v>2</v>
      </c>
      <c r="L5" s="190">
        <f t="shared" si="1"/>
        <v>43231</v>
      </c>
      <c r="M5" s="188" t="s">
        <v>233</v>
      </c>
      <c r="N5" s="188" t="s">
        <v>233</v>
      </c>
      <c r="O5" s="188" t="s">
        <v>233</v>
      </c>
      <c r="P5" s="188" t="s">
        <v>233</v>
      </c>
      <c r="Q5" s="188" t="s">
        <v>233</v>
      </c>
      <c r="R5" s="188" t="s">
        <v>233</v>
      </c>
      <c r="S5" s="213"/>
      <c r="T5" s="207"/>
      <c r="U5" s="219"/>
      <c r="V5" s="219"/>
      <c r="W5" s="219"/>
      <c r="X5" s="219"/>
      <c r="Y5" s="219"/>
      <c r="Z5" s="219"/>
      <c r="AA5" s="219"/>
      <c r="AB5" s="219"/>
      <c r="AC5" s="219"/>
      <c r="AD5" s="219"/>
      <c r="AE5" s="219"/>
      <c r="AF5" s="219"/>
      <c r="AG5" s="219"/>
      <c r="AH5" s="225">
        <f>SUM(PORTEFEUILLE_DELPHINE[[#This Row],[PCR COMPTABLE €]:[MONTANT
RESPONSABLE RELATION CLIENT €]])-PORTEFEUILLE_DELPHINE[[#This Row],[MONTANT TOTAL LETTRE DE MISION €]]</f>
        <v>0</v>
      </c>
      <c r="AI5" s="191"/>
      <c r="AJ5" s="188"/>
      <c r="AK5" s="188"/>
      <c r="AL5" s="188"/>
      <c r="AM5" s="191"/>
      <c r="AN5" s="188"/>
      <c r="AO5" s="188" t="s">
        <v>233</v>
      </c>
      <c r="AP5" s="188" t="s">
        <v>233</v>
      </c>
      <c r="AQ5" s="188" t="s">
        <v>233</v>
      </c>
      <c r="AR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" s="188" t="str">
        <f>IF(PORTEFEUILLE_DELPHINE[[#This Row],[BONI AAC]]&lt;&gt;0,1,"")</f>
        <v/>
      </c>
      <c r="AU5" s="188" t="str">
        <f>IF(PORTEFEUILLE_DELPHINE[[#This Row],[MALI AAC]]&lt;&gt;0,1,"")</f>
        <v/>
      </c>
      <c r="AV5" s="225">
        <f>IF(AP5&lt;&gt;"",IF((AP5*Paramètres!$H$4)-PORTEFEUILLE_DELPHINE[[#This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€]]-(DELPHINE!AP5*Paramètres!$H$4),0),0)</f>
        <v>0</v>
      </c>
      <c r="AW5" s="225">
        <f>IF(AP5&lt;&gt;"",IF(((AP5*Paramètres!$H$4)-PORTEFEUILLE_DELPHINE[[#This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" s="190" t="str">
        <f>IF(PORTEFEUILLE_DELPHINE[[#This Row],[BONI COMPTABLE]]&lt;&gt;0,1,"")</f>
        <v/>
      </c>
      <c r="AY5" s="190" t="str">
        <f>IF(PORTEFEUILLE_DELPHINE[[#This Row],[MALI COMPTABLE]]&lt;&gt;0,1,"")</f>
        <v/>
      </c>
      <c r="AZ5" s="188" t="s">
        <v>233</v>
      </c>
      <c r="BA5" s="188" t="s">
        <v>233</v>
      </c>
      <c r="BB5" s="188" t="s">
        <v>233</v>
      </c>
      <c r="BC5" s="188" t="s">
        <v>233</v>
      </c>
      <c r="BD5" s="188" t="s">
        <v>233</v>
      </c>
      <c r="BE5" s="188" t="s">
        <v>233</v>
      </c>
      <c r="BF5" s="188"/>
      <c r="BG5" s="192"/>
      <c r="BH5" s="194"/>
      <c r="BI5" s="194"/>
      <c r="BJ5" s="195"/>
      <c r="BK5" s="194"/>
    </row>
    <row r="6" spans="1:78" x14ac:dyDescent="0.25">
      <c r="A6" s="172" t="s">
        <v>138</v>
      </c>
      <c r="B6" s="170" t="s">
        <v>240</v>
      </c>
      <c r="C6" s="165" t="s">
        <v>241</v>
      </c>
      <c r="D6" s="171"/>
      <c r="E6" s="189"/>
      <c r="F6" s="188"/>
      <c r="G6" s="189"/>
      <c r="H6" s="189"/>
      <c r="I6" s="189" t="s">
        <v>233</v>
      </c>
      <c r="J6" s="189" t="s">
        <v>233</v>
      </c>
      <c r="K6" s="190" t="str">
        <f t="shared" si="0"/>
        <v/>
      </c>
      <c r="L6" s="190" t="str">
        <f t="shared" si="1"/>
        <v/>
      </c>
      <c r="M6" s="188" t="s">
        <v>233</v>
      </c>
      <c r="N6" s="188" t="s">
        <v>233</v>
      </c>
      <c r="O6" s="188" t="s">
        <v>233</v>
      </c>
      <c r="P6" s="188" t="s">
        <v>233</v>
      </c>
      <c r="Q6" s="188" t="s">
        <v>233</v>
      </c>
      <c r="R6" s="188" t="s">
        <v>233</v>
      </c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SUM(PORTEFEUILLE_DELPHINE[[#This Row],[PCR COMPTABLE €]:[MONTANT
RESPONSABLE RELATION CLIENT €]])-PORTEFEUILLE_DELPHINE[[#This Row],[MONTANT TOTAL LETTRE DE MISION €]]</f>
        <v>0</v>
      </c>
      <c r="AI6" s="191"/>
      <c r="AJ6" s="188"/>
      <c r="AK6" s="188"/>
      <c r="AL6" s="188"/>
      <c r="AM6" s="191"/>
      <c r="AN6" s="188"/>
      <c r="AO6" s="188" t="s">
        <v>233</v>
      </c>
      <c r="AP6" s="188" t="s">
        <v>233</v>
      </c>
      <c r="AQ6" s="188" t="s">
        <v>233</v>
      </c>
      <c r="AR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" s="188" t="str">
        <f>IF(PORTEFEUILLE_DELPHINE[[#This Row],[BONI AAC]]&lt;&gt;0,1,"")</f>
        <v/>
      </c>
      <c r="AU6" s="188" t="str">
        <f>IF(PORTEFEUILLE_DELPHINE[[#This Row],[MALI AAC]]&lt;&gt;0,1,"")</f>
        <v/>
      </c>
      <c r="AV6" s="225">
        <f>IF(AP6&lt;&gt;"",IF((AP6*Paramètres!$H$4)-PORTEFEUILLE_DELPHINE[[#This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€]]-(DELPHINE!AP6*Paramètres!$H$4),0),0)</f>
        <v>0</v>
      </c>
      <c r="AW6" s="225">
        <f>IF(AP6&lt;&gt;"",IF(((AP6*Paramètres!$H$4)-PORTEFEUILLE_DELPHINE[[#This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" s="190" t="str">
        <f>IF(PORTEFEUILLE_DELPHINE[[#This Row],[BONI COMPTABLE]]&lt;&gt;0,1,"")</f>
        <v/>
      </c>
      <c r="AY6" s="190" t="str">
        <f>IF(PORTEFEUILLE_DELPHINE[[#This Row],[MALI COMPTABLE]]&lt;&gt;0,1,"")</f>
        <v/>
      </c>
      <c r="AZ6" s="188" t="s">
        <v>233</v>
      </c>
      <c r="BA6" s="188" t="s">
        <v>233</v>
      </c>
      <c r="BB6" s="188" t="s">
        <v>233</v>
      </c>
      <c r="BC6" s="188" t="s">
        <v>233</v>
      </c>
      <c r="BD6" s="188" t="s">
        <v>233</v>
      </c>
      <c r="BE6" s="188" t="s">
        <v>233</v>
      </c>
      <c r="BF6" s="188"/>
      <c r="BG6" s="192"/>
      <c r="BH6" s="194"/>
      <c r="BI6" s="194"/>
      <c r="BJ6" s="195"/>
      <c r="BK6" s="194"/>
    </row>
    <row r="7" spans="1:78" x14ac:dyDescent="0.25">
      <c r="A7" s="172"/>
      <c r="B7" s="170"/>
      <c r="C7" s="174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SUM(PORTEFEUILLE_DELPHINE[[#This Row],[PCR COMPTABLE €]:[MONTANT
RESPONSABLE RELATION CLIENT €]])-PORTEFEUILLE_DELPHINE[[#This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7" s="188" t="str">
        <f>IF(PORTEFEUILLE_DELPHINE[[#This Row],[BONI AAC]]&lt;&gt;0,1,"")</f>
        <v/>
      </c>
      <c r="AU7" s="188" t="str">
        <f>IF(PORTEFEUILLE_DELPHINE[[#This Row],[MALI AAC]]&lt;&gt;0,1,"")</f>
        <v/>
      </c>
      <c r="AV7" s="225">
        <f>IF(AP7&lt;&gt;"",IF((AP7*Paramètres!$H$4)-PORTEFEUILLE_DELPHINE[[#This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€]]-(DELPHINE!AP7*Paramètres!$H$4),0),0)</f>
        <v>0</v>
      </c>
      <c r="AW7" s="225">
        <f>IF(AP7&lt;&gt;"",IF(((AP7*Paramètres!$H$4)-PORTEFEUILLE_DELPHINE[[#This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7" s="190" t="str">
        <f>IF(PORTEFEUILLE_DELPHINE[[#This Row],[BONI COMPTABLE]]&lt;&gt;0,1,"")</f>
        <v/>
      </c>
      <c r="AY7" s="190" t="str">
        <f>IF(PORTEFEUILLE_DELPHINE[[#This Row],[MALI COMPTABLE]]&lt;&gt;0,1,"")</f>
        <v/>
      </c>
      <c r="AZ7" s="188"/>
      <c r="BA7" s="188"/>
      <c r="BB7" s="188"/>
      <c r="BC7" s="188"/>
      <c r="BD7" s="188"/>
      <c r="BE7" s="188"/>
      <c r="BF7" s="188"/>
      <c r="BG7" s="192"/>
      <c r="BH7" s="194"/>
      <c r="BI7" s="194"/>
      <c r="BJ7" s="195"/>
      <c r="BK7" s="194"/>
    </row>
    <row r="8" spans="1:78" x14ac:dyDescent="0.25">
      <c r="A8" s="172"/>
      <c r="B8" s="170"/>
      <c r="C8" s="17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SUM(PORTEFEUILLE_DELPHINE[[#This Row],[PCR COMPTABLE €]:[MONTANT
RESPONSABLE RELATION CLIENT €]])-PORTEFEUILLE_DELPHINE[[#This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8" s="188" t="str">
        <f>IF(PORTEFEUILLE_DELPHINE[[#This Row],[BONI AAC]]&lt;&gt;0,1,"")</f>
        <v/>
      </c>
      <c r="AU8" s="188" t="str">
        <f>IF(PORTEFEUILLE_DELPHINE[[#This Row],[MALI AAC]]&lt;&gt;0,1,"")</f>
        <v/>
      </c>
      <c r="AV8" s="225">
        <f>IF(AP8&lt;&gt;"",IF((AP8*Paramètres!$H$4)-PORTEFEUILLE_DELPHINE[[#This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€]]-(DELPHINE!AP8*Paramètres!$H$4),0),0)</f>
        <v>0</v>
      </c>
      <c r="AW8" s="225">
        <f>IF(AP8&lt;&gt;"",IF(((AP8*Paramètres!$H$4)-PORTEFEUILLE_DELPHINE[[#This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8" s="190" t="str">
        <f>IF(PORTEFEUILLE_DELPHINE[[#This Row],[BONI COMPTABLE]]&lt;&gt;0,1,"")</f>
        <v/>
      </c>
      <c r="AY8" s="190" t="str">
        <f>IF(PORTEFEUILLE_DELPHINE[[#This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customFormat="1" x14ac:dyDescent="0.25">
      <c r="A9" s="172"/>
      <c r="B9" s="170"/>
      <c r="C9" s="165"/>
      <c r="D9" s="171"/>
      <c r="E9" s="189"/>
      <c r="F9" s="188"/>
      <c r="G9" s="189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3"/>
      <c r="T9" s="207"/>
      <c r="U9" s="219"/>
      <c r="V9" s="219"/>
      <c r="W9" s="219"/>
      <c r="X9" s="219"/>
      <c r="Y9" s="219"/>
      <c r="Z9" s="219"/>
      <c r="AA9" s="219"/>
      <c r="AB9" s="219"/>
      <c r="AC9" s="219"/>
      <c r="AD9" s="219"/>
      <c r="AE9" s="219"/>
      <c r="AF9" s="219"/>
      <c r="AG9" s="219"/>
      <c r="AH9" s="225">
        <f>SUM(PORTEFEUILLE_DELPHINE[[#This Row],[PCR COMPTABLE €]:[MONTANT
RESPONSABLE RELATION CLIENT €]])-PORTEFEUILLE_DELPHINE[[#This Row],[MONTANT TOTAL LETTRE DE MISION €]]</f>
        <v>0</v>
      </c>
      <c r="AI9" s="191"/>
      <c r="AJ9" s="188"/>
      <c r="AK9" s="188"/>
      <c r="AL9" s="188"/>
      <c r="AM9" s="191"/>
      <c r="AN9" s="188"/>
      <c r="AO9" s="188"/>
      <c r="AP9" s="188"/>
      <c r="AQ9" s="188"/>
      <c r="AR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9" s="188" t="str">
        <f>IF(PORTEFEUILLE_DELPHINE[[#This Row],[BONI AAC]]&lt;&gt;0,1,"")</f>
        <v/>
      </c>
      <c r="AU9" s="188" t="str">
        <f>IF(PORTEFEUILLE_DELPHINE[[#This Row],[MALI AAC]]&lt;&gt;0,1,"")</f>
        <v/>
      </c>
      <c r="AV9" s="225">
        <f>IF(AP9&lt;&gt;"",IF((AP9*Paramètres!$H$4)-PORTEFEUILLE_DELPHINE[[#This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€]]-(DELPHINE!AP9*Paramètres!$H$4),0),0)</f>
        <v>0</v>
      </c>
      <c r="AW9" s="225">
        <f>IF(AP9&lt;&gt;"",IF(((AP9*Paramètres!$H$4)-PORTEFEUILLE_DELPHINE[[#This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9" s="190" t="str">
        <f>IF(PORTEFEUILLE_DELPHINE[[#This Row],[BONI COMPTABLE]]&lt;&gt;0,1,"")</f>
        <v/>
      </c>
      <c r="AY9" s="190" t="str">
        <f>IF(PORTEFEUILLE_DELPHINE[[#This Row],[MALI COMPTABLE]]&lt;&gt;0,1,"")</f>
        <v/>
      </c>
      <c r="AZ9" s="188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SUM(PORTEFEUILLE_DELPHINE[[#This Row],[PCR COMPTABLE €]:[MONTANT
RESPONSABLE RELATION CLIENT €]])-PORTEFEUILLE_DELPHINE[[#This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0" s="188" t="str">
        <f>IF(PORTEFEUILLE_DELPHINE[[#This Row],[BONI AAC]]&lt;&gt;0,1,"")</f>
        <v/>
      </c>
      <c r="AU10" s="188" t="str">
        <f>IF(PORTEFEUILLE_DELPHINE[[#This Row],[MALI AAC]]&lt;&gt;0,1,"")</f>
        <v/>
      </c>
      <c r="AV10" s="225">
        <f>IF(AP10&lt;&gt;"",IF((AP10*Paramètres!$H$4)-PORTEFEUILLE_DELPHINE[[#This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€]]-(DELPHINE!AP10*Paramètres!$H$4),0),0)</f>
        <v>0</v>
      </c>
      <c r="AW10" s="225">
        <f>IF(AP10&lt;&gt;"",IF(((AP10*Paramètres!$H$4)-PORTEFEUILLE_DELPHINE[[#This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0" s="190" t="str">
        <f>IF(PORTEFEUILLE_DELPHINE[[#This Row],[BONI COMPTABLE]]&lt;&gt;0,1,"")</f>
        <v/>
      </c>
      <c r="AY10" s="190" t="str">
        <f>IF(PORTEFEUILLE_DELPHINE[[#This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0"/>
      <c r="C11" s="165"/>
      <c r="D11" s="171"/>
      <c r="E11" s="189"/>
      <c r="F11" s="188"/>
      <c r="G11" s="188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4"/>
      <c r="T11" s="208"/>
      <c r="U11" s="220"/>
      <c r="V11" s="220"/>
      <c r="W11" s="220"/>
      <c r="X11" s="220"/>
      <c r="Y11" s="220"/>
      <c r="Z11" s="220"/>
      <c r="AA11" s="220"/>
      <c r="AB11" s="220"/>
      <c r="AC11" s="220"/>
      <c r="AD11" s="220"/>
      <c r="AE11" s="220"/>
      <c r="AF11" s="220"/>
      <c r="AG11" s="219"/>
      <c r="AH11" s="225">
        <f>SUM(PORTEFEUILLE_DELPHINE[[#This Row],[PCR COMPTABLE €]:[MONTANT
RESPONSABLE RELATION CLIENT €]])-PORTEFEUILLE_DELPHINE[[#This Row],[MONTANT TOTAL LETTRE DE MISION €]]</f>
        <v>0</v>
      </c>
      <c r="AI11" s="191"/>
      <c r="AJ11" s="188"/>
      <c r="AK11" s="188"/>
      <c r="AL11" s="188"/>
      <c r="AM11" s="191"/>
      <c r="AN11" s="196"/>
      <c r="AO11" s="196"/>
      <c r="AP11" s="196"/>
      <c r="AQ11" s="196"/>
      <c r="AR1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1" s="188" t="str">
        <f>IF(PORTEFEUILLE_DELPHINE[[#This Row],[BONI AAC]]&lt;&gt;0,1,"")</f>
        <v/>
      </c>
      <c r="AU11" s="188" t="str">
        <f>IF(PORTEFEUILLE_DELPHINE[[#This Row],[MALI AAC]]&lt;&gt;0,1,"")</f>
        <v/>
      </c>
      <c r="AV11" s="225">
        <f>IF(AP11&lt;&gt;"",IF((AP11*Paramètres!$H$4)-PORTEFEUILLE_DELPHINE[[#This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€]]-(DELPHINE!AP11*Paramètres!$H$4),0),0)</f>
        <v>0</v>
      </c>
      <c r="AW11" s="225">
        <f>IF(AP11&lt;&gt;"",IF(((AP11*Paramètres!$H$4)-PORTEFEUILLE_DELPHINE[[#This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1" s="190" t="str">
        <f>IF(PORTEFEUILLE_DELPHINE[[#This Row],[BONI COMPTABLE]]&lt;&gt;0,1,"")</f>
        <v/>
      </c>
      <c r="AY11" s="190" t="str">
        <f>IF(PORTEFEUILLE_DELPHINE[[#This Row],[MALI COMPTABLE]]&lt;&gt;0,1,"")</f>
        <v/>
      </c>
      <c r="AZ11" s="196"/>
      <c r="BA11" s="188"/>
      <c r="BB11" s="188"/>
      <c r="BC11" s="188"/>
      <c r="BD11" s="196"/>
      <c r="BE11" s="196"/>
      <c r="BF11" s="196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SUM(PORTEFEUILLE_DELPHINE[[#This Row],[PCR COMPTABLE €]:[MONTANT
RESPONSABLE RELATION CLIENT €]])-PORTEFEUILLE_DELPHINE[[#This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2" s="188" t="str">
        <f>IF(PORTEFEUILLE_DELPHINE[[#This Row],[BONI AAC]]&lt;&gt;0,1,"")</f>
        <v/>
      </c>
      <c r="AU12" s="188" t="str">
        <f>IF(PORTEFEUILLE_DELPHINE[[#This Row],[MALI AAC]]&lt;&gt;0,1,"")</f>
        <v/>
      </c>
      <c r="AV12" s="225">
        <f>IF(AP12&lt;&gt;"",IF((AP12*Paramètres!$H$4)-PORTEFEUILLE_DELPHINE[[#This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€]]-(DELPHINE!AP12*Paramètres!$H$4),0),0)</f>
        <v>0</v>
      </c>
      <c r="AW12" s="225">
        <f>IF(AP12&lt;&gt;"",IF(((AP12*Paramètres!$H$4)-PORTEFEUILLE_DELPHINE[[#This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2" s="190" t="str">
        <f>IF(PORTEFEUILLE_DELPHINE[[#This Row],[BONI COMPTABLE]]&lt;&gt;0,1,"")</f>
        <v/>
      </c>
      <c r="AY12" s="190" t="str">
        <f>IF(PORTEFEUILLE_DELPHINE[[#This Row],[MALI COMPTABLE]]&lt;&gt;0,1,"")</f>
        <v/>
      </c>
      <c r="AZ12" s="188"/>
      <c r="BA12" s="188"/>
      <c r="BB12" s="188"/>
      <c r="BC12" s="188"/>
      <c r="BD12" s="196"/>
      <c r="BE12" s="196"/>
      <c r="BF12" s="196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5"/>
      <c r="T13" s="209"/>
      <c r="U13" s="221"/>
      <c r="V13" s="221"/>
      <c r="W13" s="221"/>
      <c r="X13" s="221"/>
      <c r="Y13" s="221"/>
      <c r="Z13" s="221"/>
      <c r="AA13" s="221"/>
      <c r="AB13" s="221"/>
      <c r="AC13" s="221"/>
      <c r="AD13" s="221"/>
      <c r="AE13" s="221"/>
      <c r="AF13" s="221"/>
      <c r="AG13" s="219"/>
      <c r="AH13" s="225">
        <f>SUM(PORTEFEUILLE_DELPHINE[[#This Row],[PCR COMPTABLE €]:[MONTANT
RESPONSABLE RELATION CLIENT €]])-PORTEFEUILLE_DELPHINE[[#This Row],[MONTANT TOTAL LETTRE DE MISION €]]</f>
        <v>0</v>
      </c>
      <c r="AI13" s="191"/>
      <c r="AJ13" s="188"/>
      <c r="AK13" s="188"/>
      <c r="AL13" s="188"/>
      <c r="AM13" s="191"/>
      <c r="AN13" s="197"/>
      <c r="AO13" s="197"/>
      <c r="AP13" s="197"/>
      <c r="AQ13" s="197"/>
      <c r="AR1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3" s="188" t="str">
        <f>IF(PORTEFEUILLE_DELPHINE[[#This Row],[BONI AAC]]&lt;&gt;0,1,"")</f>
        <v/>
      </c>
      <c r="AU13" s="188" t="str">
        <f>IF(PORTEFEUILLE_DELPHINE[[#This Row],[MALI AAC]]&lt;&gt;0,1,"")</f>
        <v/>
      </c>
      <c r="AV13" s="225">
        <f>IF(AP13&lt;&gt;"",IF((AP13*Paramètres!$H$4)-PORTEFEUILLE_DELPHINE[[#This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€]]-(DELPHINE!AP13*Paramètres!$H$4),0),0)</f>
        <v>0</v>
      </c>
      <c r="AW13" s="225">
        <f>IF(AP13&lt;&gt;"",IF(((AP13*Paramètres!$H$4)-PORTEFEUILLE_DELPHINE[[#This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3" s="190" t="str">
        <f>IF(PORTEFEUILLE_DELPHINE[[#This Row],[BONI COMPTABLE]]&lt;&gt;0,1,"")</f>
        <v/>
      </c>
      <c r="AY13" s="190" t="str">
        <f>IF(PORTEFEUILLE_DELPHINE[[#This Row],[MALI COMPTABLE]]&lt;&gt;0,1,"")</f>
        <v/>
      </c>
      <c r="AZ13" s="188"/>
      <c r="BA13" s="188"/>
      <c r="BB13" s="188"/>
      <c r="BC13" s="188"/>
      <c r="BD13" s="196"/>
      <c r="BE13" s="196"/>
      <c r="BF13" s="196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SUM(PORTEFEUILLE_DELPHINE[[#This Row],[PCR COMPTABLE €]:[MONTANT
RESPONSABLE RELATION CLIENT €]])-PORTEFEUILLE_DELPHINE[[#This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4" s="188" t="str">
        <f>IF(PORTEFEUILLE_DELPHINE[[#This Row],[BONI AAC]]&lt;&gt;0,1,"")</f>
        <v/>
      </c>
      <c r="AU14" s="188" t="str">
        <f>IF(PORTEFEUILLE_DELPHINE[[#This Row],[MALI AAC]]&lt;&gt;0,1,"")</f>
        <v/>
      </c>
      <c r="AV14" s="225">
        <f>IF(AP14&lt;&gt;"",IF((AP14*Paramètres!$H$4)-PORTEFEUILLE_DELPHINE[[#This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€]]-(DELPHINE!AP14*Paramètres!$H$4),0),0)</f>
        <v>0</v>
      </c>
      <c r="AW14" s="225">
        <f>IF(AP14&lt;&gt;"",IF(((AP14*Paramètres!$H$4)-PORTEFEUILLE_DELPHINE[[#This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4" s="190" t="str">
        <f>IF(PORTEFEUILLE_DELPHINE[[#This Row],[BONI COMPTABLE]]&lt;&gt;0,1,"")</f>
        <v/>
      </c>
      <c r="AY14" s="190" t="str">
        <f>IF(PORTEFEUILLE_DELPHINE[[#This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65"/>
      <c r="D15" s="171"/>
      <c r="E15" s="189"/>
      <c r="F15" s="188"/>
      <c r="G15" s="188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4"/>
      <c r="T15" s="208"/>
      <c r="U15" s="220"/>
      <c r="V15" s="220"/>
      <c r="W15" s="220"/>
      <c r="X15" s="220"/>
      <c r="Y15" s="220"/>
      <c r="Z15" s="220"/>
      <c r="AA15" s="220"/>
      <c r="AB15" s="220"/>
      <c r="AC15" s="220"/>
      <c r="AD15" s="220"/>
      <c r="AE15" s="220"/>
      <c r="AF15" s="220"/>
      <c r="AG15" s="219"/>
      <c r="AH15" s="225">
        <f>SUM(PORTEFEUILLE_DELPHINE[[#This Row],[PCR COMPTABLE €]:[MONTANT
RESPONSABLE RELATION CLIENT €]])-PORTEFEUILLE_DELPHINE[[#This Row],[MONTANT TOTAL LETTRE DE MISION €]]</f>
        <v>0</v>
      </c>
      <c r="AI15" s="191"/>
      <c r="AJ15" s="188"/>
      <c r="AK15" s="188"/>
      <c r="AL15" s="188"/>
      <c r="AM15" s="191"/>
      <c r="AN15" s="196"/>
      <c r="AO15" s="196"/>
      <c r="AP15" s="196"/>
      <c r="AQ15" s="196"/>
      <c r="AR1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5" s="188" t="str">
        <f>IF(PORTEFEUILLE_DELPHINE[[#This Row],[BONI AAC]]&lt;&gt;0,1,"")</f>
        <v/>
      </c>
      <c r="AU15" s="188" t="str">
        <f>IF(PORTEFEUILLE_DELPHINE[[#This Row],[MALI AAC]]&lt;&gt;0,1,"")</f>
        <v/>
      </c>
      <c r="AV15" s="225">
        <f>IF(AP15&lt;&gt;"",IF((AP15*Paramètres!$H$4)-PORTEFEUILLE_DELPHINE[[#This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€]]-(DELPHINE!AP15*Paramètres!$H$4),0),0)</f>
        <v>0</v>
      </c>
      <c r="AW15" s="225">
        <f>IF(AP15&lt;&gt;"",IF(((AP15*Paramètres!$H$4)-PORTEFEUILLE_DELPHINE[[#This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5" s="190" t="str">
        <f>IF(PORTEFEUILLE_DELPHINE[[#This Row],[BONI COMPTABLE]]&lt;&gt;0,1,"")</f>
        <v/>
      </c>
      <c r="AY15" s="190" t="str">
        <f>IF(PORTEFEUILLE_DELPHINE[[#This Row],[MALI COMPTABLE]]&lt;&gt;0,1,"")</f>
        <v/>
      </c>
      <c r="AZ15" s="196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65"/>
      <c r="D16" s="171"/>
      <c r="E16" s="189"/>
      <c r="F16" s="188"/>
      <c r="G16" s="188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4"/>
      <c r="T16" s="208"/>
      <c r="U16" s="220"/>
      <c r="V16" s="220"/>
      <c r="W16" s="220"/>
      <c r="X16" s="220"/>
      <c r="Y16" s="220"/>
      <c r="Z16" s="220"/>
      <c r="AA16" s="220"/>
      <c r="AB16" s="220"/>
      <c r="AC16" s="220"/>
      <c r="AD16" s="220"/>
      <c r="AE16" s="220"/>
      <c r="AF16" s="220"/>
      <c r="AG16" s="219"/>
      <c r="AH16" s="225">
        <f>SUM(PORTEFEUILLE_DELPHINE[[#This Row],[PCR COMPTABLE €]:[MONTANT
RESPONSABLE RELATION CLIENT €]])-PORTEFEUILLE_DELPHINE[[#This Row],[MONTANT TOTAL LETTRE DE MISION €]]</f>
        <v>0</v>
      </c>
      <c r="AI16" s="191"/>
      <c r="AJ16" s="188"/>
      <c r="AK16" s="188"/>
      <c r="AL16" s="188"/>
      <c r="AM16" s="191"/>
      <c r="AN16" s="196"/>
      <c r="AO16" s="196"/>
      <c r="AP16" s="196"/>
      <c r="AQ16" s="196"/>
      <c r="AR1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6" s="188" t="str">
        <f>IF(PORTEFEUILLE_DELPHINE[[#This Row],[BONI AAC]]&lt;&gt;0,1,"")</f>
        <v/>
      </c>
      <c r="AU16" s="188" t="str">
        <f>IF(PORTEFEUILLE_DELPHINE[[#This Row],[MALI AAC]]&lt;&gt;0,1,"")</f>
        <v/>
      </c>
      <c r="AV16" s="225">
        <f>IF(AP16&lt;&gt;"",IF((AP16*Paramètres!$H$4)-PORTEFEUILLE_DELPHINE[[#This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€]]-(DELPHINE!AP16*Paramètres!$H$4),0),0)</f>
        <v>0</v>
      </c>
      <c r="AW16" s="225">
        <f>IF(AP16&lt;&gt;"",IF(((AP16*Paramètres!$H$4)-PORTEFEUILLE_DELPHINE[[#This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6" s="190" t="str">
        <f>IF(PORTEFEUILLE_DELPHINE[[#This Row],[BONI COMPTABLE]]&lt;&gt;0,1,"")</f>
        <v/>
      </c>
      <c r="AY16" s="190" t="str">
        <f>IF(PORTEFEUILLE_DELPHINE[[#This Row],[MALI COMPTABLE]]&lt;&gt;0,1,"")</f>
        <v/>
      </c>
      <c r="AZ16" s="196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65"/>
      <c r="D17" s="171"/>
      <c r="E17" s="189"/>
      <c r="F17" s="188"/>
      <c r="G17" s="188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4"/>
      <c r="T17" s="208"/>
      <c r="U17" s="220"/>
      <c r="V17" s="220"/>
      <c r="W17" s="220"/>
      <c r="X17" s="220"/>
      <c r="Y17" s="220"/>
      <c r="Z17" s="220"/>
      <c r="AA17" s="220"/>
      <c r="AB17" s="220"/>
      <c r="AC17" s="220"/>
      <c r="AD17" s="220"/>
      <c r="AE17" s="220"/>
      <c r="AF17" s="220"/>
      <c r="AG17" s="219"/>
      <c r="AH17" s="225">
        <f>SUM(PORTEFEUILLE_DELPHINE[[#This Row],[PCR COMPTABLE €]:[MONTANT
RESPONSABLE RELATION CLIENT €]])-PORTEFEUILLE_DELPHINE[[#This Row],[MONTANT TOTAL LETTRE DE MISION €]]</f>
        <v>0</v>
      </c>
      <c r="AI17" s="191"/>
      <c r="AJ17" s="188"/>
      <c r="AK17" s="188"/>
      <c r="AL17" s="188"/>
      <c r="AM17" s="191"/>
      <c r="AN17" s="196"/>
      <c r="AO17" s="196"/>
      <c r="AP17" s="196"/>
      <c r="AQ17" s="196"/>
      <c r="AR1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7" s="188" t="str">
        <f>IF(PORTEFEUILLE_DELPHINE[[#This Row],[BONI AAC]]&lt;&gt;0,1,"")</f>
        <v/>
      </c>
      <c r="AU17" s="188" t="str">
        <f>IF(PORTEFEUILLE_DELPHINE[[#This Row],[MALI AAC]]&lt;&gt;0,1,"")</f>
        <v/>
      </c>
      <c r="AV17" s="225">
        <f>IF(AP17&lt;&gt;"",IF((AP17*Paramètres!$H$4)-PORTEFEUILLE_DELPHINE[[#This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€]]-(DELPHINE!AP17*Paramètres!$H$4),0),0)</f>
        <v>0</v>
      </c>
      <c r="AW17" s="225">
        <f>IF(AP17&lt;&gt;"",IF(((AP17*Paramètres!$H$4)-PORTEFEUILLE_DELPHINE[[#This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7" s="190" t="str">
        <f>IF(PORTEFEUILLE_DELPHINE[[#This Row],[BONI COMPTABLE]]&lt;&gt;0,1,"")</f>
        <v/>
      </c>
      <c r="AY17" s="190" t="str">
        <f>IF(PORTEFEUILLE_DELPHINE[[#This Row],[MALI COMPTABLE]]&lt;&gt;0,1,"")</f>
        <v/>
      </c>
      <c r="AZ17" s="196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x14ac:dyDescent="0.25">
      <c r="A18" s="172"/>
      <c r="B18" s="170"/>
      <c r="C18" s="165"/>
      <c r="D18" s="171"/>
      <c r="E18" s="189"/>
      <c r="F18" s="188"/>
      <c r="G18" s="188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4"/>
      <c r="T18" s="208"/>
      <c r="U18" s="220"/>
      <c r="V18" s="220"/>
      <c r="W18" s="220"/>
      <c r="X18" s="220"/>
      <c r="Y18" s="220"/>
      <c r="Z18" s="220"/>
      <c r="AA18" s="220"/>
      <c r="AB18" s="220"/>
      <c r="AC18" s="220"/>
      <c r="AD18" s="220"/>
      <c r="AE18" s="220"/>
      <c r="AF18" s="220"/>
      <c r="AG18" s="219"/>
      <c r="AH18" s="225">
        <f>SUM(PORTEFEUILLE_DELPHINE[[#This Row],[PCR COMPTABLE €]:[MONTANT
RESPONSABLE RELATION CLIENT €]])-PORTEFEUILLE_DELPHINE[[#This Row],[MONTANT TOTAL LETTRE DE MISION €]]</f>
        <v>0</v>
      </c>
      <c r="AI18" s="191"/>
      <c r="AJ18" s="188"/>
      <c r="AK18" s="188"/>
      <c r="AL18" s="188"/>
      <c r="AM18" s="191"/>
      <c r="AN18" s="196"/>
      <c r="AO18" s="196"/>
      <c r="AP18" s="196"/>
      <c r="AQ18" s="196"/>
      <c r="AR1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8" s="188" t="str">
        <f>IF(PORTEFEUILLE_DELPHINE[[#This Row],[BONI AAC]]&lt;&gt;0,1,"")</f>
        <v/>
      </c>
      <c r="AU18" s="188" t="str">
        <f>IF(PORTEFEUILLE_DELPHINE[[#This Row],[MALI AAC]]&lt;&gt;0,1,"")</f>
        <v/>
      </c>
      <c r="AV18" s="225">
        <f>IF(AP18&lt;&gt;"",IF((AP18*Paramètres!$H$4)-PORTEFEUILLE_DELPHINE[[#This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€]]-(DELPHINE!AP18*Paramètres!$H$4),0),0)</f>
        <v>0</v>
      </c>
      <c r="AW18" s="225">
        <f>IF(AP18&lt;&gt;"",IF(((AP18*Paramètres!$H$4)-PORTEFEUILLE_DELPHINE[[#This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8" s="190" t="str">
        <f>IF(PORTEFEUILLE_DELPHINE[[#This Row],[BONI COMPTABLE]]&lt;&gt;0,1,"")</f>
        <v/>
      </c>
      <c r="AY18" s="190" t="str">
        <f>IF(PORTEFEUILLE_DELPHINE[[#This Row],[MALI COMPTABLE]]&lt;&gt;0,1,"")</f>
        <v/>
      </c>
      <c r="AZ18" s="196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s="90" customFormat="1" x14ac:dyDescent="0.25">
      <c r="A19" s="176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SUM(PORTEFEUILLE_DELPHINE[[#This Row],[PCR COMPTABLE €]:[MONTANT
RESPONSABLE RELATION CLIENT €]])-PORTEFEUILLE_DELPHINE[[#This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9" s="188" t="str">
        <f>IF(PORTEFEUILLE_DELPHINE[[#This Row],[BONI AAC]]&lt;&gt;0,1,"")</f>
        <v/>
      </c>
      <c r="AU19" s="188" t="str">
        <f>IF(PORTEFEUILLE_DELPHINE[[#This Row],[MALI AAC]]&lt;&gt;0,1,"")</f>
        <v/>
      </c>
      <c r="AV19" s="225">
        <f>IF(AP19&lt;&gt;"",IF((AP19*Paramètres!$H$4)-PORTEFEUILLE_DELPHINE[[#This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€]]-(DELPHINE!AP19*Paramètres!$H$4),0),0)</f>
        <v>0</v>
      </c>
      <c r="AW19" s="225">
        <f>IF(AP19&lt;&gt;"",IF(((AP19*Paramètres!$H$4)-PORTEFEUILLE_DELPHINE[[#This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9" s="190" t="str">
        <f>IF(PORTEFEUILLE_DELPHINE[[#This Row],[BONI COMPTABLE]]&lt;&gt;0,1,"")</f>
        <v/>
      </c>
      <c r="AY19" s="190" t="str">
        <f>IF(PORTEFEUILLE_DELPHINE[[#This Row],[MALI COMPTABLE]]&lt;&gt;0,1,"")</f>
        <v/>
      </c>
      <c r="AZ19" s="188"/>
      <c r="BA19" s="188"/>
      <c r="BB19" s="188"/>
      <c r="BC19" s="188"/>
      <c r="BD19" s="196"/>
      <c r="BE19" s="196"/>
      <c r="BF19" s="196"/>
      <c r="BG19" s="192"/>
      <c r="BH19" s="196"/>
      <c r="BI19" s="196"/>
      <c r="BJ19" s="198"/>
      <c r="BK19" s="196"/>
    </row>
    <row r="20" spans="1:63" x14ac:dyDescent="0.25">
      <c r="A20" s="172"/>
      <c r="B20" s="170"/>
      <c r="C20" s="165"/>
      <c r="D20" s="171"/>
      <c r="E20" s="189"/>
      <c r="F20" s="188"/>
      <c r="G20" s="189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3"/>
      <c r="T20" s="207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25">
        <f>SUM(PORTEFEUILLE_DELPHINE[[#This Row],[PCR COMPTABLE €]:[MONTANT
RESPONSABLE RELATION CLIENT €]])-PORTEFEUILLE_DELPHINE[[#This Row],[MONTANT TOTAL LETTRE DE MISION €]]</f>
        <v>0</v>
      </c>
      <c r="AI20" s="191"/>
      <c r="AJ20" s="188"/>
      <c r="AK20" s="188"/>
      <c r="AL20" s="188"/>
      <c r="AM20" s="191"/>
      <c r="AN20" s="188"/>
      <c r="AO20" s="188"/>
      <c r="AP20" s="188"/>
      <c r="AQ20" s="188"/>
      <c r="AR2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0" s="188" t="str">
        <f>IF(PORTEFEUILLE_DELPHINE[[#This Row],[BONI AAC]]&lt;&gt;0,1,"")</f>
        <v/>
      </c>
      <c r="AU20" s="188" t="str">
        <f>IF(PORTEFEUILLE_DELPHINE[[#This Row],[MALI AAC]]&lt;&gt;0,1,"")</f>
        <v/>
      </c>
      <c r="AV20" s="225">
        <f>IF(AP20&lt;&gt;"",IF((AP20*Paramètres!$H$4)-PORTEFEUILLE_DELPHINE[[#This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€]]-(DELPHINE!AP20*Paramètres!$H$4),0),0)</f>
        <v>0</v>
      </c>
      <c r="AW20" s="225">
        <f>IF(AP20&lt;&gt;"",IF(((AP20*Paramètres!$H$4)-PORTEFEUILLE_DELPHINE[[#This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0" s="190" t="str">
        <f>IF(PORTEFEUILLE_DELPHINE[[#This Row],[BONI COMPTABLE]]&lt;&gt;0,1,"")</f>
        <v/>
      </c>
      <c r="AY20" s="190" t="str">
        <f>IF(PORTEFEUILLE_DELPHINE[[#This Row],[MALI COMPTABLE]]&lt;&gt;0,1,"")</f>
        <v/>
      </c>
      <c r="AZ20" s="188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SUM(PORTEFEUILLE_DELPHINE[[#This Row],[PCR COMPTABLE €]:[MONTANT
RESPONSABLE RELATION CLIENT €]])-PORTEFEUILLE_DELPHINE[[#This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1" s="188" t="str">
        <f>IF(PORTEFEUILLE_DELPHINE[[#This Row],[BONI AAC]]&lt;&gt;0,1,"")</f>
        <v/>
      </c>
      <c r="AU21" s="188" t="str">
        <f>IF(PORTEFEUILLE_DELPHINE[[#This Row],[MALI AAC]]&lt;&gt;0,1,"")</f>
        <v/>
      </c>
      <c r="AV21" s="225">
        <f>IF(AP21&lt;&gt;"",IF((AP21*Paramètres!$H$4)-PORTEFEUILLE_DELPHINE[[#This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€]]-(DELPHINE!AP21*Paramètres!$H$4),0),0)</f>
        <v>0</v>
      </c>
      <c r="AW21" s="225">
        <f>IF(AP21&lt;&gt;"",IF(((AP21*Paramètres!$H$4)-PORTEFEUILLE_DELPHINE[[#This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1" s="190" t="str">
        <f>IF(PORTEFEUILLE_DELPHINE[[#This Row],[BONI COMPTABLE]]&lt;&gt;0,1,"")</f>
        <v/>
      </c>
      <c r="AY21" s="190" t="str">
        <f>IF(PORTEFEUILLE_DELPHINE[[#This Row],[MALI COMPTABLE]]&lt;&gt;0,1,"")</f>
        <v/>
      </c>
      <c r="AZ21" s="188"/>
      <c r="BA21" s="188"/>
      <c r="BB21" s="188"/>
      <c r="BC21" s="188"/>
      <c r="BD21" s="188"/>
      <c r="BE21" s="188"/>
      <c r="BF21" s="188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3"/>
      <c r="T22" s="207"/>
      <c r="U22" s="219"/>
      <c r="V22" s="219"/>
      <c r="W22" s="219"/>
      <c r="X22" s="219"/>
      <c r="Y22" s="219"/>
      <c r="Z22" s="219"/>
      <c r="AA22" s="219"/>
      <c r="AB22" s="219"/>
      <c r="AC22" s="219"/>
      <c r="AD22" s="219"/>
      <c r="AE22" s="219"/>
      <c r="AF22" s="219"/>
      <c r="AG22" s="219"/>
      <c r="AH22" s="225">
        <f>SUM(PORTEFEUILLE_DELPHINE[[#This Row],[PCR COMPTABLE €]:[MONTANT
RESPONSABLE RELATION CLIENT €]])-PORTEFEUILLE_DELPHINE[[#This Row],[MONTANT TOTAL LETTRE DE MISION €]]</f>
        <v>0</v>
      </c>
      <c r="AI22" s="191"/>
      <c r="AJ22" s="188"/>
      <c r="AK22" s="188"/>
      <c r="AL22" s="188"/>
      <c r="AM22" s="191"/>
      <c r="AN22" s="188"/>
      <c r="AO22" s="188"/>
      <c r="AP22" s="188"/>
      <c r="AQ22" s="188"/>
      <c r="AR2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2" s="188" t="str">
        <f>IF(PORTEFEUILLE_DELPHINE[[#This Row],[BONI AAC]]&lt;&gt;0,1,"")</f>
        <v/>
      </c>
      <c r="AU22" s="188" t="str">
        <f>IF(PORTEFEUILLE_DELPHINE[[#This Row],[MALI AAC]]&lt;&gt;0,1,"")</f>
        <v/>
      </c>
      <c r="AV22" s="225">
        <f>IF(AP22&lt;&gt;"",IF((AP22*Paramètres!$H$4)-PORTEFEUILLE_DELPHINE[[#This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€]]-(DELPHINE!AP22*Paramètres!$H$4),0),0)</f>
        <v>0</v>
      </c>
      <c r="AW22" s="225">
        <f>IF(AP22&lt;&gt;"",IF(((AP22*Paramètres!$H$4)-PORTEFEUILLE_DELPHINE[[#This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2" s="190" t="str">
        <f>IF(PORTEFEUILLE_DELPHINE[[#This Row],[BONI COMPTABLE]]&lt;&gt;0,1,"")</f>
        <v/>
      </c>
      <c r="AY22" s="190" t="str">
        <f>IF(PORTEFEUILLE_DELPHINE[[#This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7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SUM(PORTEFEUILLE_DELPHINE[[#This Row],[PCR COMPTABLE €]:[MONTANT
RESPONSABLE RELATION CLIENT €]])-PORTEFEUILLE_DELPHINE[[#This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3" s="188" t="str">
        <f>IF(PORTEFEUILLE_DELPHINE[[#This Row],[BONI AAC]]&lt;&gt;0,1,"")</f>
        <v/>
      </c>
      <c r="AU23" s="188" t="str">
        <f>IF(PORTEFEUILLE_DELPHINE[[#This Row],[MALI AAC]]&lt;&gt;0,1,"")</f>
        <v/>
      </c>
      <c r="AV23" s="225">
        <f>IF(AP23&lt;&gt;"",IF((AP23*Paramètres!$H$4)-PORTEFEUILLE_DELPHINE[[#This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€]]-(DELPHINE!AP23*Paramètres!$H$4),0),0)</f>
        <v>0</v>
      </c>
      <c r="AW23" s="225">
        <f>IF(AP23&lt;&gt;"",IF(((AP23*Paramètres!$H$4)-PORTEFEUILLE_DELPHINE[[#This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3" s="190" t="str">
        <f>IF(PORTEFEUILLE_DELPHINE[[#This Row],[BONI COMPTABLE]]&lt;&gt;0,1,"")</f>
        <v/>
      </c>
      <c r="AY23" s="190" t="str">
        <f>IF(PORTEFEUILLE_DELPHINE[[#This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7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SUM(PORTEFEUILLE_DELPHINE[[#This Row],[PCR COMPTABLE €]:[MONTANT
RESPONSABLE RELATION CLIENT €]])-PORTEFEUILLE_DELPHINE[[#This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4" s="188" t="str">
        <f>IF(PORTEFEUILLE_DELPHINE[[#This Row],[BONI AAC]]&lt;&gt;0,1,"")</f>
        <v/>
      </c>
      <c r="AU24" s="188" t="str">
        <f>IF(PORTEFEUILLE_DELPHINE[[#This Row],[MALI AAC]]&lt;&gt;0,1,"")</f>
        <v/>
      </c>
      <c r="AV24" s="225">
        <f>IF(AP24&lt;&gt;"",IF((AP24*Paramètres!$H$4)-PORTEFEUILLE_DELPHINE[[#This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€]]-(DELPHINE!AP24*Paramètres!$H$4),0),0)</f>
        <v>0</v>
      </c>
      <c r="AW24" s="225">
        <f>IF(AP24&lt;&gt;"",IF(((AP24*Paramètres!$H$4)-PORTEFEUILLE_DELPHINE[[#This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4" s="190" t="str">
        <f>IF(PORTEFEUILLE_DELPHINE[[#This Row],[BONI COMPTABLE]]&lt;&gt;0,1,"")</f>
        <v/>
      </c>
      <c r="AY24" s="190" t="str">
        <f>IF(PORTEFEUILLE_DELPHINE[[#This Row],[MALI COMPTABLE]]&lt;&gt;0,1,"")</f>
        <v/>
      </c>
      <c r="AZ24" s="196"/>
      <c r="BA24" s="188"/>
      <c r="BB24" s="188"/>
      <c r="BC24" s="188"/>
      <c r="BD24" s="196"/>
      <c r="BE24" s="196"/>
      <c r="BF24" s="196"/>
      <c r="BG24" s="192"/>
      <c r="BH24" s="194"/>
      <c r="BI24" s="194"/>
      <c r="BJ24" s="195"/>
      <c r="BK24" s="194"/>
    </row>
    <row r="25" spans="1:63" x14ac:dyDescent="0.25">
      <c r="A25" s="172"/>
      <c r="B25" s="177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SUM(PORTEFEUILLE_DELPHINE[[#This Row],[PCR COMPTABLE €]:[MONTANT
RESPONSABLE RELATION CLIENT €]])-PORTEFEUILLE_DELPHINE[[#This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5" s="188" t="str">
        <f>IF(PORTEFEUILLE_DELPHINE[[#This Row],[BONI AAC]]&lt;&gt;0,1,"")</f>
        <v/>
      </c>
      <c r="AU25" s="188" t="str">
        <f>IF(PORTEFEUILLE_DELPHINE[[#This Row],[MALI AAC]]&lt;&gt;0,1,"")</f>
        <v/>
      </c>
      <c r="AV25" s="225">
        <f>IF(AP25&lt;&gt;"",IF((AP25*Paramètres!$H$4)-PORTEFEUILLE_DELPHINE[[#This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€]]-(DELPHINE!AP25*Paramètres!$H$4),0),0)</f>
        <v>0</v>
      </c>
      <c r="AW25" s="225">
        <f>IF(AP25&lt;&gt;"",IF(((AP25*Paramètres!$H$4)-PORTEFEUILLE_DELPHINE[[#This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5" s="190" t="str">
        <f>IF(PORTEFEUILLE_DELPHINE[[#This Row],[BONI COMPTABLE]]&lt;&gt;0,1,"")</f>
        <v/>
      </c>
      <c r="AY25" s="190" t="str">
        <f>IF(PORTEFEUILLE_DELPHINE[[#This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7"/>
      <c r="C26" s="165"/>
      <c r="D26" s="171"/>
      <c r="E26" s="189"/>
      <c r="F26" s="188"/>
      <c r="G26" s="189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3"/>
      <c r="T26" s="207"/>
      <c r="U26" s="219"/>
      <c r="V26" s="219"/>
      <c r="W26" s="219"/>
      <c r="X26" s="219"/>
      <c r="Y26" s="219"/>
      <c r="Z26" s="219"/>
      <c r="AA26" s="219"/>
      <c r="AB26" s="219"/>
      <c r="AC26" s="219"/>
      <c r="AD26" s="219"/>
      <c r="AE26" s="219"/>
      <c r="AF26" s="219"/>
      <c r="AG26" s="219"/>
      <c r="AH26" s="225">
        <f>SUM(PORTEFEUILLE_DELPHINE[[#This Row],[PCR COMPTABLE €]:[MONTANT
RESPONSABLE RELATION CLIENT €]])-PORTEFEUILLE_DELPHINE[[#This Row],[MONTANT TOTAL LETTRE DE MISION €]]</f>
        <v>0</v>
      </c>
      <c r="AI26" s="191"/>
      <c r="AJ26" s="188"/>
      <c r="AK26" s="188"/>
      <c r="AL26" s="188"/>
      <c r="AM26" s="191"/>
      <c r="AN26" s="188"/>
      <c r="AO26" s="188"/>
      <c r="AP26" s="188"/>
      <c r="AQ26" s="188"/>
      <c r="AR2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6" s="188" t="str">
        <f>IF(PORTEFEUILLE_DELPHINE[[#This Row],[BONI AAC]]&lt;&gt;0,1,"")</f>
        <v/>
      </c>
      <c r="AU26" s="188" t="str">
        <f>IF(PORTEFEUILLE_DELPHINE[[#This Row],[MALI AAC]]&lt;&gt;0,1,"")</f>
        <v/>
      </c>
      <c r="AV26" s="225">
        <f>IF(AP26&lt;&gt;"",IF((AP26*Paramètres!$H$4)-PORTEFEUILLE_DELPHINE[[#This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€]]-(DELPHINE!AP26*Paramètres!$H$4),0),0)</f>
        <v>0</v>
      </c>
      <c r="AW26" s="225">
        <f>IF(AP26&lt;&gt;"",IF(((AP26*Paramètres!$H$4)-PORTEFEUILLE_DELPHINE[[#This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6" s="190" t="str">
        <f>IF(PORTEFEUILLE_DELPHINE[[#This Row],[BONI COMPTABLE]]&lt;&gt;0,1,"")</f>
        <v/>
      </c>
      <c r="AY26" s="190" t="str">
        <f>IF(PORTEFEUILLE_DELPHINE[[#This Row],[MALI COMPTABLE]]&lt;&gt;0,1,"")</f>
        <v/>
      </c>
      <c r="AZ26" s="188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8"/>
      <c r="C27" s="165"/>
      <c r="D27" s="171"/>
      <c r="E27" s="189"/>
      <c r="F27" s="188"/>
      <c r="G27" s="189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3"/>
      <c r="T27" s="207"/>
      <c r="U27" s="219"/>
      <c r="V27" s="219"/>
      <c r="W27" s="219"/>
      <c r="X27" s="219"/>
      <c r="Y27" s="219"/>
      <c r="Z27" s="219"/>
      <c r="AA27" s="219"/>
      <c r="AB27" s="219"/>
      <c r="AC27" s="219"/>
      <c r="AD27" s="219"/>
      <c r="AE27" s="219"/>
      <c r="AF27" s="219"/>
      <c r="AG27" s="219"/>
      <c r="AH27" s="225">
        <f>SUM(PORTEFEUILLE_DELPHINE[[#This Row],[PCR COMPTABLE €]:[MONTANT
RESPONSABLE RELATION CLIENT €]])-PORTEFEUILLE_DELPHINE[[#This Row],[MONTANT TOTAL LETTRE DE MISION €]]</f>
        <v>0</v>
      </c>
      <c r="AI27" s="191"/>
      <c r="AJ27" s="188"/>
      <c r="AK27" s="188"/>
      <c r="AL27" s="188"/>
      <c r="AM27" s="191"/>
      <c r="AN27" s="188"/>
      <c r="AO27" s="188"/>
      <c r="AP27" s="188"/>
      <c r="AQ27" s="188"/>
      <c r="AR2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7" s="188" t="str">
        <f>IF(PORTEFEUILLE_DELPHINE[[#This Row],[BONI AAC]]&lt;&gt;0,1,"")</f>
        <v/>
      </c>
      <c r="AU27" s="188" t="str">
        <f>IF(PORTEFEUILLE_DELPHINE[[#This Row],[MALI AAC]]&lt;&gt;0,1,"")</f>
        <v/>
      </c>
      <c r="AV27" s="225">
        <f>IF(AP27&lt;&gt;"",IF((AP27*Paramètres!$H$4)-PORTEFEUILLE_DELPHINE[[#This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€]]-(DELPHINE!AP27*Paramètres!$H$4),0),0)</f>
        <v>0</v>
      </c>
      <c r="AW27" s="225">
        <f>IF(AP27&lt;&gt;"",IF(((AP27*Paramètres!$H$4)-PORTEFEUILLE_DELPHINE[[#This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7" s="190" t="str">
        <f>IF(PORTEFEUILLE_DELPHINE[[#This Row],[BONI COMPTABLE]]&lt;&gt;0,1,"")</f>
        <v/>
      </c>
      <c r="AY27" s="190" t="str">
        <f>IF(PORTEFEUILLE_DELPHINE[[#This Row],[MALI COMPTABLE]]&lt;&gt;0,1,"")</f>
        <v/>
      </c>
      <c r="AZ27" s="188"/>
      <c r="BA27" s="188"/>
      <c r="BB27" s="188"/>
      <c r="BC27" s="188"/>
      <c r="BD27" s="196"/>
      <c r="BE27" s="196"/>
      <c r="BF27" s="196"/>
      <c r="BG27" s="192"/>
      <c r="BH27" s="194"/>
      <c r="BI27" s="194"/>
      <c r="BJ27" s="195"/>
      <c r="BK27" s="194"/>
    </row>
    <row r="28" spans="1:63" x14ac:dyDescent="0.25">
      <c r="A28" s="172"/>
      <c r="B28" s="178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SUM(PORTEFEUILLE_DELPHINE[[#This Row],[PCR COMPTABLE €]:[MONTANT
RESPONSABLE RELATION CLIENT €]])-PORTEFEUILLE_DELPHINE[[#This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8" s="188" t="str">
        <f>IF(PORTEFEUILLE_DELPHINE[[#This Row],[BONI AAC]]&lt;&gt;0,1,"")</f>
        <v/>
      </c>
      <c r="AU28" s="188" t="str">
        <f>IF(PORTEFEUILLE_DELPHINE[[#This Row],[MALI AAC]]&lt;&gt;0,1,"")</f>
        <v/>
      </c>
      <c r="AV28" s="225">
        <f>IF(AP28&lt;&gt;"",IF((AP28*Paramètres!$H$4)-PORTEFEUILLE_DELPHINE[[#This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€]]-(DELPHINE!AP28*Paramètres!$H$4),0),0)</f>
        <v>0</v>
      </c>
      <c r="AW28" s="225">
        <f>IF(AP28&lt;&gt;"",IF(((AP28*Paramètres!$H$4)-PORTEFEUILLE_DELPHINE[[#This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8" s="190" t="str">
        <f>IF(PORTEFEUILLE_DELPHINE[[#This Row],[BONI COMPTABLE]]&lt;&gt;0,1,"")</f>
        <v/>
      </c>
      <c r="AY28" s="190" t="str">
        <f>IF(PORTEFEUILLE_DELPHINE[[#This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4"/>
      <c r="BI28" s="194"/>
      <c r="BJ28" s="195"/>
      <c r="BK28" s="194"/>
    </row>
    <row r="29" spans="1:63" x14ac:dyDescent="0.25">
      <c r="A29" s="172"/>
      <c r="B29" s="179"/>
      <c r="C29" s="165"/>
      <c r="D29" s="171"/>
      <c r="E29" s="189"/>
      <c r="F29" s="188"/>
      <c r="G29" s="188"/>
      <c r="H29" s="189"/>
      <c r="I29" s="189"/>
      <c r="J29" s="19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SUM(PORTEFEUILLE_DELPHINE[[#This Row],[PCR COMPTABLE €]:[MONTANT
RESPONSABLE RELATION CLIENT €]])-PORTEFEUILLE_DELPHINE[[#This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9" s="188" t="str">
        <f>IF(PORTEFEUILLE_DELPHINE[[#This Row],[BONI AAC]]&lt;&gt;0,1,"")</f>
        <v/>
      </c>
      <c r="AU29" s="188" t="str">
        <f>IF(PORTEFEUILLE_DELPHINE[[#This Row],[MALI AAC]]&lt;&gt;0,1,"")</f>
        <v/>
      </c>
      <c r="AV29" s="225">
        <f>IF(AP29&lt;&gt;"",IF((AP29*Paramètres!$H$4)-PORTEFEUILLE_DELPHINE[[#This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€]]-(DELPHINE!AP29*Paramètres!$H$4),0),0)</f>
        <v>0</v>
      </c>
      <c r="AW29" s="225">
        <f>IF(AP29&lt;&gt;"",IF(((AP29*Paramètres!$H$4)-PORTEFEUILLE_DELPHINE[[#This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9" s="190" t="str">
        <f>IF(PORTEFEUILLE_DELPHINE[[#This Row],[BONI COMPTABLE]]&lt;&gt;0,1,"")</f>
        <v/>
      </c>
      <c r="AY29" s="190" t="str">
        <f>IF(PORTEFEUILLE_DELPHINE[[#This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8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SUM(PORTEFEUILLE_DELPHINE[[#This Row],[PCR COMPTABLE €]:[MONTANT
RESPONSABLE RELATION CLIENT €]])-PORTEFEUILLE_DELPHINE[[#This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0" s="188" t="str">
        <f>IF(PORTEFEUILLE_DELPHINE[[#This Row],[BONI AAC]]&lt;&gt;0,1,"")</f>
        <v/>
      </c>
      <c r="AU30" s="188" t="str">
        <f>IF(PORTEFEUILLE_DELPHINE[[#This Row],[MALI AAC]]&lt;&gt;0,1,"")</f>
        <v/>
      </c>
      <c r="AV30" s="225">
        <f>IF(AP30&lt;&gt;"",IF((AP30*Paramètres!$H$4)-PORTEFEUILLE_DELPHINE[[#This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€]]-(DELPHINE!AP30*Paramètres!$H$4),0),0)</f>
        <v>0</v>
      </c>
      <c r="AW30" s="225">
        <f>IF(AP30&lt;&gt;"",IF(((AP30*Paramètres!$H$4)-PORTEFEUILLE_DELPHINE[[#This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0" s="190" t="str">
        <f>IF(PORTEFEUILLE_DELPHINE[[#This Row],[BONI COMPTABLE]]&lt;&gt;0,1,"")</f>
        <v/>
      </c>
      <c r="AY30" s="190" t="str">
        <f>IF(PORTEFEUILLE_DELPHINE[[#This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8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SUM(PORTEFEUILLE_DELPHINE[[#This Row],[PCR COMPTABLE €]:[MONTANT
RESPONSABLE RELATION CLIENT €]])-PORTEFEUILLE_DELPHINE[[#This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1" s="188" t="str">
        <f>IF(PORTEFEUILLE_DELPHINE[[#This Row],[BONI AAC]]&lt;&gt;0,1,"")</f>
        <v/>
      </c>
      <c r="AU31" s="188" t="str">
        <f>IF(PORTEFEUILLE_DELPHINE[[#This Row],[MALI AAC]]&lt;&gt;0,1,"")</f>
        <v/>
      </c>
      <c r="AV31" s="225">
        <f>IF(AP31&lt;&gt;"",IF((AP31*Paramètres!$H$4)-PORTEFEUILLE_DELPHINE[[#This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€]]-(DELPHINE!AP31*Paramètres!$H$4),0),0)</f>
        <v>0</v>
      </c>
      <c r="AW31" s="225">
        <f>IF(AP31&lt;&gt;"",IF(((AP31*Paramètres!$H$4)-PORTEFEUILLE_DELPHINE[[#This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1" s="190" t="str">
        <f>IF(PORTEFEUILLE_DELPHINE[[#This Row],[BONI COMPTABLE]]&lt;&gt;0,1,"")</f>
        <v/>
      </c>
      <c r="AY31" s="190" t="str">
        <f>IF(PORTEFEUILLE_DELPHINE[[#This Row],[MALI COMPTABLE]]&lt;&gt;0,1,"")</f>
        <v/>
      </c>
      <c r="AZ31" s="188"/>
      <c r="BA31" s="188"/>
      <c r="BB31" s="188"/>
      <c r="BC31" s="188"/>
      <c r="BD31" s="188"/>
      <c r="BE31" s="188"/>
      <c r="BF31" s="188"/>
      <c r="BG31" s="192"/>
      <c r="BH31" s="194"/>
      <c r="BI31" s="194"/>
      <c r="BJ31" s="195"/>
      <c r="BK31" s="194"/>
    </row>
    <row r="32" spans="1:63" x14ac:dyDescent="0.25">
      <c r="A32" s="172"/>
      <c r="B32" s="178"/>
      <c r="C32" s="165"/>
      <c r="D32" s="171"/>
      <c r="E32" s="189"/>
      <c r="F32" s="188"/>
      <c r="G32" s="188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4"/>
      <c r="T32" s="208"/>
      <c r="U32" s="220"/>
      <c r="V32" s="220"/>
      <c r="W32" s="220"/>
      <c r="X32" s="220"/>
      <c r="Y32" s="220"/>
      <c r="Z32" s="220"/>
      <c r="AA32" s="220"/>
      <c r="AB32" s="220"/>
      <c r="AC32" s="220"/>
      <c r="AD32" s="220"/>
      <c r="AE32" s="220"/>
      <c r="AF32" s="220"/>
      <c r="AG32" s="219"/>
      <c r="AH32" s="225">
        <f>SUM(PORTEFEUILLE_DELPHINE[[#This Row],[PCR COMPTABLE €]:[MONTANT
RESPONSABLE RELATION CLIENT €]])-PORTEFEUILLE_DELPHINE[[#This Row],[MONTANT TOTAL LETTRE DE MISION €]]</f>
        <v>0</v>
      </c>
      <c r="AI32" s="191"/>
      <c r="AJ32" s="188"/>
      <c r="AK32" s="188"/>
      <c r="AL32" s="188"/>
      <c r="AM32" s="191"/>
      <c r="AN32" s="196"/>
      <c r="AO32" s="196"/>
      <c r="AP32" s="196"/>
      <c r="AQ32" s="196"/>
      <c r="AR3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2" s="188" t="str">
        <f>IF(PORTEFEUILLE_DELPHINE[[#This Row],[BONI AAC]]&lt;&gt;0,1,"")</f>
        <v/>
      </c>
      <c r="AU32" s="188" t="str">
        <f>IF(PORTEFEUILLE_DELPHINE[[#This Row],[MALI AAC]]&lt;&gt;0,1,"")</f>
        <v/>
      </c>
      <c r="AV32" s="225">
        <f>IF(AP32&lt;&gt;"",IF((AP32*Paramètres!$H$4)-PORTEFEUILLE_DELPHINE[[#This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€]]-(DELPHINE!AP32*Paramètres!$H$4),0),0)</f>
        <v>0</v>
      </c>
      <c r="AW32" s="225">
        <f>IF(AP32&lt;&gt;"",IF(((AP32*Paramètres!$H$4)-PORTEFEUILLE_DELPHINE[[#This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2" s="190" t="str">
        <f>IF(PORTEFEUILLE_DELPHINE[[#This Row],[BONI COMPTABLE]]&lt;&gt;0,1,"")</f>
        <v/>
      </c>
      <c r="AY32" s="190" t="str">
        <f>IF(PORTEFEUILLE_DELPHINE[[#This Row],[MALI COMPTABLE]]&lt;&gt;0,1,"")</f>
        <v/>
      </c>
      <c r="AZ32" s="196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8"/>
      <c r="C33" s="165"/>
      <c r="D33" s="171"/>
      <c r="E33" s="189"/>
      <c r="F33" s="188"/>
      <c r="G33" s="188"/>
      <c r="H33" s="189"/>
      <c r="I33" s="189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SUM(PORTEFEUILLE_DELPHINE[[#This Row],[PCR COMPTABLE €]:[MONTANT
RESPONSABLE RELATION CLIENT €]])-PORTEFEUILLE_DELPHINE[[#This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3" s="188" t="str">
        <f>IF(PORTEFEUILLE_DELPHINE[[#This Row],[BONI AAC]]&lt;&gt;0,1,"")</f>
        <v/>
      </c>
      <c r="AU33" s="188" t="str">
        <f>IF(PORTEFEUILLE_DELPHINE[[#This Row],[MALI AAC]]&lt;&gt;0,1,"")</f>
        <v/>
      </c>
      <c r="AV33" s="225">
        <f>IF(AP33&lt;&gt;"",IF((AP33*Paramètres!$H$4)-PORTEFEUILLE_DELPHINE[[#This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€]]-(DELPHINE!AP33*Paramètres!$H$4),0),0)</f>
        <v>0</v>
      </c>
      <c r="AW33" s="225">
        <f>IF(AP33&lt;&gt;"",IF(((AP33*Paramètres!$H$4)-PORTEFEUILLE_DELPHINE[[#This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3" s="190" t="str">
        <f>IF(PORTEFEUILLE_DELPHINE[[#This Row],[BONI COMPTABLE]]&lt;&gt;0,1,"")</f>
        <v/>
      </c>
      <c r="AY33" s="190" t="str">
        <f>IF(PORTEFEUILLE_DELPHINE[[#This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8"/>
      <c r="C34" s="165"/>
      <c r="D34" s="171"/>
      <c r="E34" s="189"/>
      <c r="F34" s="188"/>
      <c r="G34" s="189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3"/>
      <c r="T34" s="207"/>
      <c r="U34" s="219"/>
      <c r="V34" s="219"/>
      <c r="W34" s="219"/>
      <c r="X34" s="219"/>
      <c r="Y34" s="219"/>
      <c r="Z34" s="219"/>
      <c r="AA34" s="219"/>
      <c r="AB34" s="219"/>
      <c r="AC34" s="219"/>
      <c r="AD34" s="219"/>
      <c r="AE34" s="219"/>
      <c r="AF34" s="219"/>
      <c r="AG34" s="219"/>
      <c r="AH34" s="225">
        <f>SUM(PORTEFEUILLE_DELPHINE[[#This Row],[PCR COMPTABLE €]:[MONTANT
RESPONSABLE RELATION CLIENT €]])-PORTEFEUILLE_DELPHINE[[#This Row],[MONTANT TOTAL LETTRE DE MISION €]]</f>
        <v>0</v>
      </c>
      <c r="AI34" s="191"/>
      <c r="AJ34" s="188"/>
      <c r="AK34" s="188"/>
      <c r="AL34" s="188"/>
      <c r="AM34" s="191"/>
      <c r="AN34" s="188"/>
      <c r="AO34" s="188"/>
      <c r="AP34" s="188"/>
      <c r="AQ34" s="188"/>
      <c r="AR3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4" s="188" t="str">
        <f>IF(PORTEFEUILLE_DELPHINE[[#This Row],[BONI AAC]]&lt;&gt;0,1,"")</f>
        <v/>
      </c>
      <c r="AU34" s="188" t="str">
        <f>IF(PORTEFEUILLE_DELPHINE[[#This Row],[MALI AAC]]&lt;&gt;0,1,"")</f>
        <v/>
      </c>
      <c r="AV34" s="225">
        <f>IF(AP34&lt;&gt;"",IF((AP34*Paramètres!$H$4)-PORTEFEUILLE_DELPHINE[[#This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€]]-(DELPHINE!AP34*Paramètres!$H$4),0),0)</f>
        <v>0</v>
      </c>
      <c r="AW34" s="225">
        <f>IF(AP34&lt;&gt;"",IF(((AP34*Paramètres!$H$4)-PORTEFEUILLE_DELPHINE[[#This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4" s="190" t="str">
        <f>IF(PORTEFEUILLE_DELPHINE[[#This Row],[BONI COMPTABLE]]&lt;&gt;0,1,"")</f>
        <v/>
      </c>
      <c r="AY34" s="190" t="str">
        <f>IF(PORTEFEUILLE_DELPHINE[[#This Row],[MALI COMPTABLE]]&lt;&gt;0,1,"")</f>
        <v/>
      </c>
      <c r="AZ34" s="188"/>
      <c r="BA34" s="188"/>
      <c r="BB34" s="188"/>
      <c r="BC34" s="188"/>
      <c r="BD34" s="196"/>
      <c r="BE34" s="196"/>
      <c r="BF34" s="196"/>
      <c r="BG34" s="192"/>
      <c r="BH34" s="194"/>
      <c r="BI34" s="194"/>
      <c r="BJ34" s="195"/>
      <c r="BK34" s="194"/>
    </row>
    <row r="35" spans="1:63" customFormat="1" x14ac:dyDescent="0.25">
      <c r="A35" s="172"/>
      <c r="B35" s="181"/>
      <c r="C35" s="165"/>
      <c r="D35" s="165"/>
      <c r="E35" s="189"/>
      <c r="F35" s="188"/>
      <c r="G35" s="189"/>
      <c r="H35" s="189"/>
      <c r="I35" s="189"/>
      <c r="J35" s="19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SUM(PORTEFEUILLE_DELPHINE[[#This Row],[PCR COMPTABLE €]:[MONTANT
RESPONSABLE RELATION CLIENT €]])-PORTEFEUILLE_DELPHINE[[#This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5" s="188" t="str">
        <f>IF(PORTEFEUILLE_DELPHINE[[#This Row],[BONI AAC]]&lt;&gt;0,1,"")</f>
        <v/>
      </c>
      <c r="AU35" s="188" t="str">
        <f>IF(PORTEFEUILLE_DELPHINE[[#This Row],[MALI AAC]]&lt;&gt;0,1,"")</f>
        <v/>
      </c>
      <c r="AV35" s="225">
        <f>IF(AP35&lt;&gt;"",IF((AP35*Paramètres!$H$4)-PORTEFEUILLE_DELPHINE[[#This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€]]-(DELPHINE!AP35*Paramètres!$H$4),0),0)</f>
        <v>0</v>
      </c>
      <c r="AW35" s="225">
        <f>IF(AP35&lt;&gt;"",IF(((AP35*Paramètres!$H$4)-PORTEFEUILLE_DELPHINE[[#This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5" s="190" t="str">
        <f>IF(PORTEFEUILLE_DELPHINE[[#This Row],[BONI COMPTABLE]]&lt;&gt;0,1,"")</f>
        <v/>
      </c>
      <c r="AY35" s="190" t="str">
        <f>IF(PORTEFEUILLE_DELPHINE[[#This Row],[MALI COMPTABLE]]&lt;&gt;0,1,"")</f>
        <v/>
      </c>
      <c r="AZ35" s="188"/>
      <c r="BA35" s="188"/>
      <c r="BB35" s="188"/>
      <c r="BC35" s="188"/>
      <c r="BD35" s="196"/>
      <c r="BE35" s="196"/>
      <c r="BF35" s="196"/>
      <c r="BG35" s="192"/>
      <c r="BH35" s="194"/>
      <c r="BI35" s="194"/>
      <c r="BJ35" s="195"/>
      <c r="BK35" s="194"/>
    </row>
    <row r="36" spans="1:63" x14ac:dyDescent="0.25">
      <c r="A36" s="172"/>
      <c r="B36" s="181"/>
      <c r="C36" s="165"/>
      <c r="D36" s="165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SUM(PORTEFEUILLE_DELPHINE[[#This Row],[PCR COMPTABLE €]:[MONTANT
RESPONSABLE RELATION CLIENT €]])-PORTEFEUILLE_DELPHINE[[#This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6" s="188" t="str">
        <f>IF(PORTEFEUILLE_DELPHINE[[#This Row],[BONI AAC]]&lt;&gt;0,1,"")</f>
        <v/>
      </c>
      <c r="AU36" s="188" t="str">
        <f>IF(PORTEFEUILLE_DELPHINE[[#This Row],[MALI AAC]]&lt;&gt;0,1,"")</f>
        <v/>
      </c>
      <c r="AV36" s="225">
        <f>IF(AP36&lt;&gt;"",IF((AP36*Paramètres!$H$4)-PORTEFEUILLE_DELPHINE[[#This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€]]-(DELPHINE!AP36*Paramètres!$H$4),0),0)</f>
        <v>0</v>
      </c>
      <c r="AW36" s="225">
        <f>IF(AP36&lt;&gt;"",IF(((AP36*Paramètres!$H$4)-PORTEFEUILLE_DELPHINE[[#This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6" s="190" t="str">
        <f>IF(PORTEFEUILLE_DELPHINE[[#This Row],[BONI COMPTABLE]]&lt;&gt;0,1,"")</f>
        <v/>
      </c>
      <c r="AY36" s="190" t="str">
        <f>IF(PORTEFEUILLE_DELPHINE[[#This Row],[MALI COMPTABLE]]&lt;&gt;0,1,"")</f>
        <v/>
      </c>
      <c r="AZ36" s="188"/>
      <c r="BA36" s="188"/>
      <c r="BB36" s="188"/>
      <c r="BC36" s="188"/>
      <c r="BD36" s="188"/>
      <c r="BE36" s="188"/>
      <c r="BF36" s="188"/>
      <c r="BG36" s="192"/>
      <c r="BH36" s="194"/>
      <c r="BI36" s="194"/>
      <c r="BJ36" s="195"/>
      <c r="BK36" s="194"/>
    </row>
    <row r="37" spans="1:63" x14ac:dyDescent="0.25">
      <c r="A37" s="172"/>
      <c r="B37" s="181"/>
      <c r="C37" s="165"/>
      <c r="D37" s="171"/>
      <c r="E37" s="189"/>
      <c r="F37" s="188"/>
      <c r="G37" s="188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4"/>
      <c r="T37" s="208"/>
      <c r="U37" s="220"/>
      <c r="V37" s="220"/>
      <c r="W37" s="220"/>
      <c r="X37" s="220"/>
      <c r="Y37" s="220"/>
      <c r="Z37" s="220"/>
      <c r="AA37" s="220"/>
      <c r="AB37" s="220"/>
      <c r="AC37" s="220"/>
      <c r="AD37" s="220"/>
      <c r="AE37" s="220"/>
      <c r="AF37" s="220"/>
      <c r="AG37" s="219"/>
      <c r="AH37" s="225">
        <f>SUM(PORTEFEUILLE_DELPHINE[[#This Row],[PCR COMPTABLE €]:[MONTANT
RESPONSABLE RELATION CLIENT €]])-PORTEFEUILLE_DELPHINE[[#This Row],[MONTANT TOTAL LETTRE DE MISION €]]</f>
        <v>0</v>
      </c>
      <c r="AI37" s="191"/>
      <c r="AJ37" s="188"/>
      <c r="AK37" s="188"/>
      <c r="AL37" s="188"/>
      <c r="AM37" s="191"/>
      <c r="AN37" s="196"/>
      <c r="AO37" s="196"/>
      <c r="AP37" s="196"/>
      <c r="AQ37" s="196"/>
      <c r="AR3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7" s="188" t="str">
        <f>IF(PORTEFEUILLE_DELPHINE[[#This Row],[BONI AAC]]&lt;&gt;0,1,"")</f>
        <v/>
      </c>
      <c r="AU37" s="188" t="str">
        <f>IF(PORTEFEUILLE_DELPHINE[[#This Row],[MALI AAC]]&lt;&gt;0,1,"")</f>
        <v/>
      </c>
      <c r="AV37" s="225">
        <f>IF(AP37&lt;&gt;"",IF((AP37*Paramètres!$H$4)-PORTEFEUILLE_DELPHINE[[#This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€]]-(DELPHINE!AP37*Paramètres!$H$4),0),0)</f>
        <v>0</v>
      </c>
      <c r="AW37" s="225">
        <f>IF(AP37&lt;&gt;"",IF(((AP37*Paramètres!$H$4)-PORTEFEUILLE_DELPHINE[[#This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7" s="190" t="str">
        <f>IF(PORTEFEUILLE_DELPHINE[[#This Row],[BONI COMPTABLE]]&lt;&gt;0,1,"")</f>
        <v/>
      </c>
      <c r="AY37" s="190" t="str">
        <f>IF(PORTEFEUILLE_DELPHINE[[#This Row],[MALI COMPTABLE]]&lt;&gt;0,1,"")</f>
        <v/>
      </c>
      <c r="AZ37" s="196"/>
      <c r="BA37" s="188"/>
      <c r="BB37" s="188"/>
      <c r="BC37" s="188"/>
      <c r="BD37" s="188"/>
      <c r="BE37" s="188"/>
      <c r="BF37" s="188"/>
      <c r="BG37" s="192"/>
      <c r="BH37" s="194"/>
      <c r="BI37" s="194"/>
      <c r="BJ37" s="195"/>
      <c r="BK37" s="194"/>
    </row>
    <row r="38" spans="1:63" x14ac:dyDescent="0.25">
      <c r="A38" s="172"/>
      <c r="B38" s="181"/>
      <c r="C38" s="165"/>
      <c r="D38" s="171"/>
      <c r="E38" s="189"/>
      <c r="F38" s="188"/>
      <c r="G38" s="189"/>
      <c r="H38" s="189"/>
      <c r="I38" s="189"/>
      <c r="J38" s="18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SUM(PORTEFEUILLE_DELPHINE[[#This Row],[PCR COMPTABLE €]:[MONTANT
RESPONSABLE RELATION CLIENT €]])-PORTEFEUILLE_DELPHINE[[#This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8" s="188" t="str">
        <f>IF(PORTEFEUILLE_DELPHINE[[#This Row],[BONI AAC]]&lt;&gt;0,1,"")</f>
        <v/>
      </c>
      <c r="AU38" s="188" t="str">
        <f>IF(PORTEFEUILLE_DELPHINE[[#This Row],[MALI AAC]]&lt;&gt;0,1,"")</f>
        <v/>
      </c>
      <c r="AV38" s="225">
        <f>IF(AP38&lt;&gt;"",IF((AP38*Paramètres!$H$4)-PORTEFEUILLE_DELPHINE[[#This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€]]-(DELPHINE!AP38*Paramètres!$H$4),0),0)</f>
        <v>0</v>
      </c>
      <c r="AW38" s="225">
        <f>IF(AP38&lt;&gt;"",IF(((AP38*Paramètres!$H$4)-PORTEFEUILLE_DELPHINE[[#This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8" s="190" t="str">
        <f>IF(PORTEFEUILLE_DELPHINE[[#This Row],[BONI COMPTABLE]]&lt;&gt;0,1,"")</f>
        <v/>
      </c>
      <c r="AY38" s="190" t="str">
        <f>IF(PORTEFEUILLE_DELPHINE[[#This Row],[MALI COMPTABLE]]&lt;&gt;0,1,"")</f>
        <v/>
      </c>
      <c r="AZ38" s="188"/>
      <c r="BA38" s="188"/>
      <c r="BB38" s="188"/>
      <c r="BC38" s="188"/>
      <c r="BD38" s="188"/>
      <c r="BE38" s="188"/>
      <c r="BF38" s="188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8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4"/>
      <c r="T39" s="208"/>
      <c r="U39" s="220"/>
      <c r="V39" s="220"/>
      <c r="W39" s="220"/>
      <c r="X39" s="220"/>
      <c r="Y39" s="220"/>
      <c r="Z39" s="220"/>
      <c r="AA39" s="220"/>
      <c r="AB39" s="220"/>
      <c r="AC39" s="220"/>
      <c r="AD39" s="220"/>
      <c r="AE39" s="220"/>
      <c r="AF39" s="220"/>
      <c r="AG39" s="219"/>
      <c r="AH39" s="225">
        <f>SUM(PORTEFEUILLE_DELPHINE[[#This Row],[PCR COMPTABLE €]:[MONTANT
RESPONSABLE RELATION CLIENT €]])-PORTEFEUILLE_DELPHINE[[#This Row],[MONTANT TOTAL LETTRE DE MISION €]]</f>
        <v>0</v>
      </c>
      <c r="AI39" s="191"/>
      <c r="AJ39" s="188"/>
      <c r="AK39" s="188"/>
      <c r="AL39" s="188"/>
      <c r="AM39" s="191"/>
      <c r="AN39" s="196"/>
      <c r="AO39" s="196"/>
      <c r="AP39" s="196"/>
      <c r="AQ39" s="196"/>
      <c r="AR3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9" s="188" t="str">
        <f>IF(PORTEFEUILLE_DELPHINE[[#This Row],[BONI AAC]]&lt;&gt;0,1,"")</f>
        <v/>
      </c>
      <c r="AU39" s="188" t="str">
        <f>IF(PORTEFEUILLE_DELPHINE[[#This Row],[MALI AAC]]&lt;&gt;0,1,"")</f>
        <v/>
      </c>
      <c r="AV39" s="225">
        <f>IF(AP39&lt;&gt;"",IF((AP39*Paramètres!$H$4)-PORTEFEUILLE_DELPHINE[[#This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€]]-(DELPHINE!AP39*Paramètres!$H$4),0),0)</f>
        <v>0</v>
      </c>
      <c r="AW39" s="225">
        <f>IF(AP39&lt;&gt;"",IF(((AP39*Paramètres!$H$4)-PORTEFEUILLE_DELPHINE[[#This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9" s="190" t="str">
        <f>IF(PORTEFEUILLE_DELPHINE[[#This Row],[BONI COMPTABLE]]&lt;&gt;0,1,"")</f>
        <v/>
      </c>
      <c r="AY39" s="190" t="str">
        <f>IF(PORTEFEUILLE_DELPHINE[[#This Row],[MALI COMPTABLE]]&lt;&gt;0,1,"")</f>
        <v/>
      </c>
      <c r="AZ39" s="196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80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SUM(PORTEFEUILLE_DELPHINE[[#This Row],[PCR COMPTABLE €]:[MONTANT
RESPONSABLE RELATION CLIENT €]])-PORTEFEUILLE_DELPHINE[[#This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0" s="188" t="str">
        <f>IF(PORTEFEUILLE_DELPHINE[[#This Row],[BONI AAC]]&lt;&gt;0,1,"")</f>
        <v/>
      </c>
      <c r="AU40" s="188" t="str">
        <f>IF(PORTEFEUILLE_DELPHINE[[#This Row],[MALI AAC]]&lt;&gt;0,1,"")</f>
        <v/>
      </c>
      <c r="AV40" s="225">
        <f>IF(AP40&lt;&gt;"",IF((AP40*Paramètres!$H$4)-PORTEFEUILLE_DELPHINE[[#This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€]]-(DELPHINE!AP40*Paramètres!$H$4),0),0)</f>
        <v>0</v>
      </c>
      <c r="AW40" s="225">
        <f>IF(AP40&lt;&gt;"",IF(((AP40*Paramètres!$H$4)-PORTEFEUILLE_DELPHINE[[#This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0" s="190" t="str">
        <f>IF(PORTEFEUILLE_DELPHINE[[#This Row],[BONI COMPTABLE]]&lt;&gt;0,1,"")</f>
        <v/>
      </c>
      <c r="AY40" s="190" t="str">
        <f>IF(PORTEFEUILLE_DELPHINE[[#This Row],[MALI COMPTABLE]]&lt;&gt;0,1,"")</f>
        <v/>
      </c>
      <c r="AZ40" s="188"/>
      <c r="BA40" s="188"/>
      <c r="BB40" s="188"/>
      <c r="BC40" s="188"/>
      <c r="BD40" s="196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0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SUM(PORTEFEUILLE_DELPHINE[[#This Row],[PCR COMPTABLE €]:[MONTANT
RESPONSABLE RELATION CLIENT €]])-PORTEFEUILLE_DELPHINE[[#This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1" s="188" t="str">
        <f>IF(PORTEFEUILLE_DELPHINE[[#This Row],[BONI AAC]]&lt;&gt;0,1,"")</f>
        <v/>
      </c>
      <c r="AU41" s="188" t="str">
        <f>IF(PORTEFEUILLE_DELPHINE[[#This Row],[MALI AAC]]&lt;&gt;0,1,"")</f>
        <v/>
      </c>
      <c r="AV41" s="225">
        <f>IF(AP41&lt;&gt;"",IF((AP41*Paramètres!$H$4)-PORTEFEUILLE_DELPHINE[[#This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€]]-(DELPHINE!AP41*Paramètres!$H$4),0),0)</f>
        <v>0</v>
      </c>
      <c r="AW41" s="225">
        <f>IF(AP41&lt;&gt;"",IF(((AP41*Paramètres!$H$4)-PORTEFEUILLE_DELPHINE[[#This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1" s="190" t="str">
        <f>IF(PORTEFEUILLE_DELPHINE[[#This Row],[BONI COMPTABLE]]&lt;&gt;0,1,"")</f>
        <v/>
      </c>
      <c r="AY41" s="190" t="str">
        <f>IF(PORTEFEUILLE_DELPHINE[[#This Row],[MALI COMPTABLE]]&lt;&gt;0,1,"")</f>
        <v/>
      </c>
      <c r="AZ41" s="196"/>
      <c r="BA41" s="188"/>
      <c r="BB41" s="188"/>
      <c r="BC41" s="188"/>
      <c r="BD41" s="196"/>
      <c r="BE41" s="196"/>
      <c r="BF41" s="196"/>
      <c r="BG41" s="192"/>
      <c r="BH41" s="194"/>
      <c r="BI41" s="194"/>
      <c r="BJ41" s="195"/>
      <c r="BK41" s="194"/>
    </row>
    <row r="42" spans="1:63" x14ac:dyDescent="0.25">
      <c r="A42" s="172"/>
      <c r="B42" s="170"/>
      <c r="C42" s="165"/>
      <c r="D42" s="171"/>
      <c r="E42" s="189"/>
      <c r="F42" s="188"/>
      <c r="G42" s="188"/>
      <c r="H42" s="189"/>
      <c r="I42" s="189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SUM(PORTEFEUILLE_DELPHINE[[#This Row],[PCR COMPTABLE €]:[MONTANT
RESPONSABLE RELATION CLIENT €]])-PORTEFEUILLE_DELPHINE[[#This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2" s="188" t="str">
        <f>IF(PORTEFEUILLE_DELPHINE[[#This Row],[BONI AAC]]&lt;&gt;0,1,"")</f>
        <v/>
      </c>
      <c r="AU42" s="188" t="str">
        <f>IF(PORTEFEUILLE_DELPHINE[[#This Row],[MALI AAC]]&lt;&gt;0,1,"")</f>
        <v/>
      </c>
      <c r="AV42" s="225">
        <f>IF(AP42&lt;&gt;"",IF((AP42*Paramètres!$H$4)-PORTEFEUILLE_DELPHINE[[#This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€]]-(DELPHINE!AP42*Paramètres!$H$4),0),0)</f>
        <v>0</v>
      </c>
      <c r="AW42" s="225">
        <f>IF(AP42&lt;&gt;"",IF(((AP42*Paramètres!$H$4)-PORTEFEUILLE_DELPHINE[[#This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2" s="190" t="str">
        <f>IF(PORTEFEUILLE_DELPHINE[[#This Row],[BONI COMPTABLE]]&lt;&gt;0,1,"")</f>
        <v/>
      </c>
      <c r="AY42" s="190" t="str">
        <f>IF(PORTEFEUILLE_DELPHINE[[#This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0"/>
      <c r="C43" s="165"/>
      <c r="D43" s="171"/>
      <c r="E43" s="189"/>
      <c r="F43" s="188"/>
      <c r="G43" s="188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4"/>
      <c r="T43" s="208"/>
      <c r="U43" s="220"/>
      <c r="V43" s="220"/>
      <c r="W43" s="220"/>
      <c r="X43" s="220"/>
      <c r="Y43" s="220"/>
      <c r="Z43" s="220"/>
      <c r="AA43" s="220"/>
      <c r="AB43" s="220"/>
      <c r="AC43" s="220"/>
      <c r="AD43" s="220"/>
      <c r="AE43" s="220"/>
      <c r="AF43" s="220"/>
      <c r="AG43" s="219"/>
      <c r="AH43" s="225">
        <f>SUM(PORTEFEUILLE_DELPHINE[[#This Row],[PCR COMPTABLE €]:[MONTANT
RESPONSABLE RELATION CLIENT €]])-PORTEFEUILLE_DELPHINE[[#This Row],[MONTANT TOTAL LETTRE DE MISION €]]</f>
        <v>0</v>
      </c>
      <c r="AI43" s="191"/>
      <c r="AJ43" s="188"/>
      <c r="AK43" s="188"/>
      <c r="AL43" s="188"/>
      <c r="AM43" s="191"/>
      <c r="AN43" s="196"/>
      <c r="AO43" s="196"/>
      <c r="AP43" s="196"/>
      <c r="AQ43" s="196"/>
      <c r="AR4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3" s="188" t="str">
        <f>IF(PORTEFEUILLE_DELPHINE[[#This Row],[BONI AAC]]&lt;&gt;0,1,"")</f>
        <v/>
      </c>
      <c r="AU43" s="188" t="str">
        <f>IF(PORTEFEUILLE_DELPHINE[[#This Row],[MALI AAC]]&lt;&gt;0,1,"")</f>
        <v/>
      </c>
      <c r="AV43" s="225">
        <f>IF(AP43&lt;&gt;"",IF((AP43*Paramètres!$H$4)-PORTEFEUILLE_DELPHINE[[#This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€]]-(DELPHINE!AP43*Paramètres!$H$4),0),0)</f>
        <v>0</v>
      </c>
      <c r="AW43" s="225">
        <f>IF(AP43&lt;&gt;"",IF(((AP43*Paramètres!$H$4)-PORTEFEUILLE_DELPHINE[[#This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3" s="190" t="str">
        <f>IF(PORTEFEUILLE_DELPHINE[[#This Row],[BONI COMPTABLE]]&lt;&gt;0,1,"")</f>
        <v/>
      </c>
      <c r="AY43" s="190" t="str">
        <f>IF(PORTEFEUILLE_DELPHINE[[#This Row],[MALI COMPTABLE]]&lt;&gt;0,1,"")</f>
        <v/>
      </c>
      <c r="AZ43" s="196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x14ac:dyDescent="0.25">
      <c r="A44" s="172"/>
      <c r="B44" s="182"/>
      <c r="C44" s="183"/>
      <c r="D44" s="184"/>
      <c r="E44" s="200"/>
      <c r="F44" s="201"/>
      <c r="G44" s="201"/>
      <c r="H44" s="189"/>
      <c r="I44" s="200"/>
      <c r="J44" s="200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6"/>
      <c r="T44" s="210"/>
      <c r="U44" s="222"/>
      <c r="V44" s="222"/>
      <c r="W44" s="222"/>
      <c r="X44" s="222"/>
      <c r="Y44" s="222"/>
      <c r="Z44" s="222"/>
      <c r="AA44" s="222"/>
      <c r="AB44" s="222"/>
      <c r="AC44" s="222"/>
      <c r="AD44" s="222"/>
      <c r="AE44" s="222"/>
      <c r="AF44" s="222"/>
      <c r="AG44" s="219"/>
      <c r="AH44" s="225">
        <f>SUM(PORTEFEUILLE_DELPHINE[[#This Row],[PCR COMPTABLE €]:[MONTANT
RESPONSABLE RELATION CLIENT €]])-PORTEFEUILLE_DELPHINE[[#This Row],[MONTANT TOTAL LETTRE DE MISION €]]</f>
        <v>0</v>
      </c>
      <c r="AI44" s="191"/>
      <c r="AJ44" s="188"/>
      <c r="AK44" s="201"/>
      <c r="AL44" s="201"/>
      <c r="AM44" s="246"/>
      <c r="AN44" s="202"/>
      <c r="AO44" s="202"/>
      <c r="AP44" s="202"/>
      <c r="AQ44" s="202"/>
      <c r="AR4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4" s="188" t="str">
        <f>IF(PORTEFEUILLE_DELPHINE[[#This Row],[BONI AAC]]&lt;&gt;0,1,"")</f>
        <v/>
      </c>
      <c r="AU44" s="188" t="str">
        <f>IF(PORTEFEUILLE_DELPHINE[[#This Row],[MALI AAC]]&lt;&gt;0,1,"")</f>
        <v/>
      </c>
      <c r="AV44" s="225">
        <f>IF(AP44&lt;&gt;"",IF((AP44*Paramètres!$H$4)-PORTEFEUILLE_DELPHINE[[#This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€]]-(DELPHINE!AP44*Paramètres!$H$4),0),0)</f>
        <v>0</v>
      </c>
      <c r="AW44" s="225">
        <f>IF(AP44&lt;&gt;"",IF(((AP44*Paramètres!$H$4)-PORTEFEUILLE_DELPHINE[[#This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4" s="190" t="str">
        <f>IF(PORTEFEUILLE_DELPHINE[[#This Row],[BONI COMPTABLE]]&lt;&gt;0,1,"")</f>
        <v/>
      </c>
      <c r="AY44" s="190" t="str">
        <f>IF(PORTEFEUILLE_DELPHINE[[#This Row],[MALI COMPTABLE]]&lt;&gt;0,1,"")</f>
        <v/>
      </c>
      <c r="AZ44" s="202"/>
      <c r="BA44" s="188"/>
      <c r="BB44" s="188"/>
      <c r="BC44" s="188"/>
      <c r="BD44" s="202"/>
      <c r="BE44" s="202"/>
      <c r="BF44" s="202"/>
      <c r="BG44" s="192"/>
      <c r="BH44" s="194"/>
      <c r="BI44" s="194"/>
      <c r="BJ44" s="195"/>
      <c r="BK44" s="194"/>
    </row>
    <row r="45" spans="1:63" x14ac:dyDescent="0.25">
      <c r="A45" s="172"/>
      <c r="B45" s="185"/>
      <c r="C45" s="172"/>
      <c r="D45" s="172"/>
      <c r="E45" s="203"/>
      <c r="F45" s="194"/>
      <c r="G45" s="194"/>
      <c r="H45" s="189"/>
      <c r="I45" s="203"/>
      <c r="J45" s="203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7"/>
      <c r="T45" s="211"/>
      <c r="U45" s="223"/>
      <c r="V45" s="223"/>
      <c r="W45" s="223"/>
      <c r="X45" s="223"/>
      <c r="Y45" s="223"/>
      <c r="Z45" s="223"/>
      <c r="AA45" s="223"/>
      <c r="AB45" s="223"/>
      <c r="AC45" s="223"/>
      <c r="AD45" s="223"/>
      <c r="AE45" s="223"/>
      <c r="AF45" s="223"/>
      <c r="AG45" s="219"/>
      <c r="AH45" s="225">
        <f>SUM(PORTEFEUILLE_DELPHINE[[#This Row],[PCR COMPTABLE €]:[MONTANT
RESPONSABLE RELATION CLIENT €]])-PORTEFEUILLE_DELPHINE[[#This Row],[MONTANT TOTAL LETTRE DE MISION €]]</f>
        <v>0</v>
      </c>
      <c r="AI45" s="191"/>
      <c r="AJ45" s="188"/>
      <c r="AK45" s="188"/>
      <c r="AL45" s="188"/>
      <c r="AM45" s="191"/>
      <c r="AN45" s="194"/>
      <c r="AO45" s="194"/>
      <c r="AP45" s="194"/>
      <c r="AQ45" s="194"/>
      <c r="AR4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5" s="188" t="str">
        <f>IF(PORTEFEUILLE_DELPHINE[[#This Row],[BONI AAC]]&lt;&gt;0,1,"")</f>
        <v/>
      </c>
      <c r="AU45" s="188" t="str">
        <f>IF(PORTEFEUILLE_DELPHINE[[#This Row],[MALI AAC]]&lt;&gt;0,1,"")</f>
        <v/>
      </c>
      <c r="AV45" s="225">
        <f>IF(AP45&lt;&gt;"",IF((AP45*Paramètres!$H$4)-PORTEFEUILLE_DELPHINE[[#This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€]]-(DELPHINE!AP45*Paramètres!$H$4),0),0)</f>
        <v>0</v>
      </c>
      <c r="AW45" s="225">
        <f>IF(AP45&lt;&gt;"",IF(((AP45*Paramètres!$H$4)-PORTEFEUILLE_DELPHINE[[#This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5" s="190" t="str">
        <f>IF(PORTEFEUILLE_DELPHINE[[#This Row],[BONI COMPTABLE]]&lt;&gt;0,1,"")</f>
        <v/>
      </c>
      <c r="AY45" s="190" t="str">
        <f>IF(PORTEFEUILLE_DELPHINE[[#This Row],[MALI COMPTABLE]]&lt;&gt;0,1,"")</f>
        <v/>
      </c>
      <c r="AZ45" s="194"/>
      <c r="BA45" s="188"/>
      <c r="BB45" s="188"/>
      <c r="BC45" s="188"/>
      <c r="BD45" s="194"/>
      <c r="BE45" s="194"/>
      <c r="BF45" s="194"/>
      <c r="BG45" s="192"/>
      <c r="BH45" s="194"/>
      <c r="BI45" s="194"/>
      <c r="BJ45" s="195"/>
      <c r="BK45" s="194"/>
    </row>
    <row r="46" spans="1:63" x14ac:dyDescent="0.25">
      <c r="A46" s="172"/>
      <c r="B46" s="185"/>
      <c r="C46" s="172"/>
      <c r="D46" s="172"/>
      <c r="E46" s="203"/>
      <c r="F46" s="194"/>
      <c r="G46" s="194"/>
      <c r="H46" s="189"/>
      <c r="I46" s="203"/>
      <c r="J46" s="203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7"/>
      <c r="T46" s="211"/>
      <c r="U46" s="223"/>
      <c r="V46" s="223"/>
      <c r="W46" s="223"/>
      <c r="X46" s="223"/>
      <c r="Y46" s="223"/>
      <c r="Z46" s="223"/>
      <c r="AA46" s="223"/>
      <c r="AB46" s="223"/>
      <c r="AC46" s="223"/>
      <c r="AD46" s="223"/>
      <c r="AE46" s="223"/>
      <c r="AF46" s="223"/>
      <c r="AG46" s="219"/>
      <c r="AH46" s="225">
        <f>SUM(PORTEFEUILLE_DELPHINE[[#This Row],[PCR COMPTABLE €]:[MONTANT
RESPONSABLE RELATION CLIENT €]])-PORTEFEUILLE_DELPHINE[[#This Row],[MONTANT TOTAL LETTRE DE MISION €]]</f>
        <v>0</v>
      </c>
      <c r="AI46" s="191"/>
      <c r="AJ46" s="188"/>
      <c r="AK46" s="188"/>
      <c r="AL46" s="188"/>
      <c r="AM46" s="191"/>
      <c r="AN46" s="194"/>
      <c r="AO46" s="194"/>
      <c r="AP46" s="194"/>
      <c r="AQ46" s="194"/>
      <c r="AR4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6" s="188" t="str">
        <f>IF(PORTEFEUILLE_DELPHINE[[#This Row],[BONI AAC]]&lt;&gt;0,1,"")</f>
        <v/>
      </c>
      <c r="AU46" s="188" t="str">
        <f>IF(PORTEFEUILLE_DELPHINE[[#This Row],[MALI AAC]]&lt;&gt;0,1,"")</f>
        <v/>
      </c>
      <c r="AV46" s="225">
        <f>IF(AP46&lt;&gt;"",IF((AP46*Paramètres!$H$4)-PORTEFEUILLE_DELPHINE[[#This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€]]-(DELPHINE!AP46*Paramètres!$H$4),0),0)</f>
        <v>0</v>
      </c>
      <c r="AW46" s="225">
        <f>IF(AP46&lt;&gt;"",IF(((AP46*Paramètres!$H$4)-PORTEFEUILLE_DELPHINE[[#This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6" s="190" t="str">
        <f>IF(PORTEFEUILLE_DELPHINE[[#This Row],[BONI COMPTABLE]]&lt;&gt;0,1,"")</f>
        <v/>
      </c>
      <c r="AY46" s="190" t="str">
        <f>IF(PORTEFEUILLE_DELPHINE[[#This Row],[MALI COMPTABLE]]&lt;&gt;0,1,"")</f>
        <v/>
      </c>
      <c r="AZ46" s="194"/>
      <c r="BA46" s="188"/>
      <c r="BB46" s="188"/>
      <c r="BC46" s="188"/>
      <c r="BD46" s="194"/>
      <c r="BE46" s="194"/>
      <c r="BF46" s="194"/>
      <c r="BG46" s="192"/>
      <c r="BH46" s="194"/>
      <c r="BI46" s="194"/>
      <c r="BJ46" s="195"/>
      <c r="BK46" s="194"/>
    </row>
    <row r="47" spans="1:63" x14ac:dyDescent="0.25">
      <c r="A47" s="172"/>
      <c r="B47" s="185"/>
      <c r="C47" s="172"/>
      <c r="D47" s="172"/>
      <c r="E47" s="203"/>
      <c r="F47" s="194"/>
      <c r="G47" s="194"/>
      <c r="H47" s="189"/>
      <c r="I47" s="203"/>
      <c r="J47" s="203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7"/>
      <c r="T47" s="211"/>
      <c r="U47" s="223"/>
      <c r="V47" s="223"/>
      <c r="W47" s="223"/>
      <c r="X47" s="223"/>
      <c r="Y47" s="223"/>
      <c r="Z47" s="223"/>
      <c r="AA47" s="223"/>
      <c r="AB47" s="223"/>
      <c r="AC47" s="223"/>
      <c r="AD47" s="223"/>
      <c r="AE47" s="223"/>
      <c r="AF47" s="223"/>
      <c r="AG47" s="219"/>
      <c r="AH47" s="225">
        <f>SUM(PORTEFEUILLE_DELPHINE[[#This Row],[PCR COMPTABLE €]:[MONTANT
RESPONSABLE RELATION CLIENT €]])-PORTEFEUILLE_DELPHINE[[#This Row],[MONTANT TOTAL LETTRE DE MISION €]]</f>
        <v>0</v>
      </c>
      <c r="AI47" s="191"/>
      <c r="AJ47" s="188"/>
      <c r="AK47" s="188"/>
      <c r="AL47" s="188"/>
      <c r="AM47" s="191"/>
      <c r="AN47" s="194"/>
      <c r="AO47" s="194"/>
      <c r="AP47" s="194"/>
      <c r="AQ47" s="194"/>
      <c r="AR4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7" s="188" t="str">
        <f>IF(PORTEFEUILLE_DELPHINE[[#This Row],[BONI AAC]]&lt;&gt;0,1,"")</f>
        <v/>
      </c>
      <c r="AU47" s="188" t="str">
        <f>IF(PORTEFEUILLE_DELPHINE[[#This Row],[MALI AAC]]&lt;&gt;0,1,"")</f>
        <v/>
      </c>
      <c r="AV47" s="225">
        <f>IF(AP47&lt;&gt;"",IF((AP47*Paramètres!$H$4)-PORTEFEUILLE_DELPHINE[[#This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€]]-(DELPHINE!AP47*Paramètres!$H$4),0),0)</f>
        <v>0</v>
      </c>
      <c r="AW47" s="225">
        <f>IF(AP47&lt;&gt;"",IF(((AP47*Paramètres!$H$4)-PORTEFEUILLE_DELPHINE[[#This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7" s="190" t="str">
        <f>IF(PORTEFEUILLE_DELPHINE[[#This Row],[BONI COMPTABLE]]&lt;&gt;0,1,"")</f>
        <v/>
      </c>
      <c r="AY47" s="190" t="str">
        <f>IF(PORTEFEUILLE_DELPHINE[[#This Row],[MALI COMPTABLE]]&lt;&gt;0,1,"")</f>
        <v/>
      </c>
      <c r="AZ47" s="194"/>
      <c r="BA47" s="188"/>
      <c r="BB47" s="188"/>
      <c r="BC47" s="188"/>
      <c r="BD47" s="194"/>
      <c r="BE47" s="194"/>
      <c r="BF47" s="194"/>
      <c r="BG47" s="192"/>
      <c r="BH47" s="194"/>
      <c r="BI47" s="194"/>
      <c r="BJ47" s="195"/>
      <c r="BK47" s="194"/>
    </row>
    <row r="48" spans="1:63" x14ac:dyDescent="0.25">
      <c r="A48" s="172"/>
      <c r="B48" s="185"/>
      <c r="C48" s="172"/>
      <c r="D48" s="172"/>
      <c r="E48" s="203"/>
      <c r="F48" s="194"/>
      <c r="G48" s="194"/>
      <c r="H48" s="189"/>
      <c r="I48" s="203"/>
      <c r="J48" s="203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7"/>
      <c r="T48" s="211"/>
      <c r="U48" s="223"/>
      <c r="V48" s="223"/>
      <c r="W48" s="223"/>
      <c r="X48" s="223"/>
      <c r="Y48" s="223"/>
      <c r="Z48" s="223"/>
      <c r="AA48" s="223"/>
      <c r="AB48" s="223"/>
      <c r="AC48" s="223"/>
      <c r="AD48" s="223"/>
      <c r="AE48" s="223"/>
      <c r="AF48" s="223"/>
      <c r="AG48" s="219"/>
      <c r="AH48" s="225">
        <f>SUM(PORTEFEUILLE_DELPHINE[[#This Row],[PCR COMPTABLE €]:[MONTANT
RESPONSABLE RELATION CLIENT €]])-PORTEFEUILLE_DELPHINE[[#This Row],[MONTANT TOTAL LETTRE DE MISION €]]</f>
        <v>0</v>
      </c>
      <c r="AI48" s="191"/>
      <c r="AJ48" s="188"/>
      <c r="AK48" s="188"/>
      <c r="AL48" s="188"/>
      <c r="AM48" s="191"/>
      <c r="AN48" s="194"/>
      <c r="AO48" s="194"/>
      <c r="AP48" s="194"/>
      <c r="AQ48" s="194"/>
      <c r="AR4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8" s="188" t="str">
        <f>IF(PORTEFEUILLE_DELPHINE[[#This Row],[BONI AAC]]&lt;&gt;0,1,"")</f>
        <v/>
      </c>
      <c r="AU48" s="188" t="str">
        <f>IF(PORTEFEUILLE_DELPHINE[[#This Row],[MALI AAC]]&lt;&gt;0,1,"")</f>
        <v/>
      </c>
      <c r="AV48" s="225">
        <f>IF(AP48&lt;&gt;"",IF((AP48*Paramètres!$H$4)-PORTEFEUILLE_DELPHINE[[#This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€]]-(DELPHINE!AP48*Paramètres!$H$4),0),0)</f>
        <v>0</v>
      </c>
      <c r="AW48" s="225">
        <f>IF(AP48&lt;&gt;"",IF(((AP48*Paramètres!$H$4)-PORTEFEUILLE_DELPHINE[[#This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8" s="190" t="str">
        <f>IF(PORTEFEUILLE_DELPHINE[[#This Row],[BONI COMPTABLE]]&lt;&gt;0,1,"")</f>
        <v/>
      </c>
      <c r="AY48" s="190" t="str">
        <f>IF(PORTEFEUILLE_DELPHINE[[#This Row],[MALI COMPTABLE]]&lt;&gt;0,1,"")</f>
        <v/>
      </c>
      <c r="AZ48" s="194"/>
      <c r="BA48" s="188"/>
      <c r="BB48" s="188"/>
      <c r="BC48" s="188"/>
      <c r="BD48" s="194"/>
      <c r="BE48" s="194"/>
      <c r="BF48" s="194"/>
      <c r="BG48" s="192"/>
      <c r="BH48" s="194"/>
      <c r="BI48" s="194"/>
      <c r="BJ48" s="195"/>
      <c r="BK48" s="194"/>
    </row>
    <row r="49" spans="1:63" x14ac:dyDescent="0.25">
      <c r="A49" s="172"/>
      <c r="B49" s="179"/>
      <c r="C49" s="176"/>
      <c r="D49" s="172"/>
      <c r="E49" s="203"/>
      <c r="F49" s="194"/>
      <c r="G49" s="194"/>
      <c r="H49" s="189"/>
      <c r="I49" s="203"/>
      <c r="J49" s="203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7"/>
      <c r="T49" s="211"/>
      <c r="U49" s="223"/>
      <c r="V49" s="223"/>
      <c r="W49" s="223"/>
      <c r="X49" s="223"/>
      <c r="Y49" s="223"/>
      <c r="Z49" s="223"/>
      <c r="AA49" s="223"/>
      <c r="AB49" s="223"/>
      <c r="AC49" s="223"/>
      <c r="AD49" s="223"/>
      <c r="AE49" s="223"/>
      <c r="AF49" s="223"/>
      <c r="AG49" s="219"/>
      <c r="AH49" s="225">
        <f>SUM(PORTEFEUILLE_DELPHINE[[#This Row],[PCR COMPTABLE €]:[MONTANT
RESPONSABLE RELATION CLIENT €]])-PORTEFEUILLE_DELPHINE[[#This Row],[MONTANT TOTAL LETTRE DE MISION €]]</f>
        <v>0</v>
      </c>
      <c r="AI49" s="191"/>
      <c r="AJ49" s="188"/>
      <c r="AK49" s="188"/>
      <c r="AL49" s="188"/>
      <c r="AM49" s="191"/>
      <c r="AN49" s="194"/>
      <c r="AO49" s="194"/>
      <c r="AP49" s="194"/>
      <c r="AQ49" s="194"/>
      <c r="AR4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9" s="188" t="str">
        <f>IF(PORTEFEUILLE_DELPHINE[[#This Row],[BONI AAC]]&lt;&gt;0,1,"")</f>
        <v/>
      </c>
      <c r="AU49" s="188" t="str">
        <f>IF(PORTEFEUILLE_DELPHINE[[#This Row],[MALI AAC]]&lt;&gt;0,1,"")</f>
        <v/>
      </c>
      <c r="AV49" s="225">
        <f>IF(AP49&lt;&gt;"",IF((AP49*Paramètres!$H$4)-PORTEFEUILLE_DELPHINE[[#This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€]]-(DELPHINE!AP49*Paramètres!$H$4),0),0)</f>
        <v>0</v>
      </c>
      <c r="AW49" s="225">
        <f>IF(AP49&lt;&gt;"",IF(((AP49*Paramètres!$H$4)-PORTEFEUILLE_DELPHINE[[#This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9" s="190" t="str">
        <f>IF(PORTEFEUILLE_DELPHINE[[#This Row],[BONI COMPTABLE]]&lt;&gt;0,1,"")</f>
        <v/>
      </c>
      <c r="AY49" s="190" t="str">
        <f>IF(PORTEFEUILLE_DELPHINE[[#This Row],[MALI COMPTABLE]]&lt;&gt;0,1,"")</f>
        <v/>
      </c>
      <c r="AZ49" s="194"/>
      <c r="BA49" s="188"/>
      <c r="BB49" s="188"/>
      <c r="BC49" s="188"/>
      <c r="BD49" s="194"/>
      <c r="BE49" s="194"/>
      <c r="BF49" s="194"/>
      <c r="BG49" s="192"/>
      <c r="BH49" s="194"/>
      <c r="BI49" s="194"/>
      <c r="BJ49" s="195"/>
      <c r="BK49" s="194"/>
    </row>
    <row r="50" spans="1:63" x14ac:dyDescent="0.25">
      <c r="A50" s="172"/>
      <c r="B50" s="179"/>
      <c r="C50" s="176"/>
      <c r="D50" s="172"/>
      <c r="E50" s="203"/>
      <c r="F50" s="194"/>
      <c r="G50" s="194"/>
      <c r="H50" s="189"/>
      <c r="I50" s="203"/>
      <c r="J50" s="203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7"/>
      <c r="T50" s="211"/>
      <c r="U50" s="223"/>
      <c r="V50" s="223"/>
      <c r="W50" s="223"/>
      <c r="X50" s="223"/>
      <c r="Y50" s="223"/>
      <c r="Z50" s="223"/>
      <c r="AA50" s="223"/>
      <c r="AB50" s="223"/>
      <c r="AC50" s="223"/>
      <c r="AD50" s="223"/>
      <c r="AE50" s="223"/>
      <c r="AF50" s="223"/>
      <c r="AG50" s="219"/>
      <c r="AH50" s="225">
        <f>SUM(PORTEFEUILLE_DELPHINE[[#This Row],[PCR COMPTABLE €]:[MONTANT
RESPONSABLE RELATION CLIENT €]])-PORTEFEUILLE_DELPHINE[[#This Row],[MONTANT TOTAL LETTRE DE MISION €]]</f>
        <v>0</v>
      </c>
      <c r="AI50" s="191"/>
      <c r="AJ50" s="188"/>
      <c r="AK50" s="188"/>
      <c r="AL50" s="188"/>
      <c r="AM50" s="191"/>
      <c r="AN50" s="194"/>
      <c r="AO50" s="194"/>
      <c r="AP50" s="194"/>
      <c r="AQ50" s="194"/>
      <c r="AR5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0" s="188" t="str">
        <f>IF(PORTEFEUILLE_DELPHINE[[#This Row],[BONI AAC]]&lt;&gt;0,1,"")</f>
        <v/>
      </c>
      <c r="AU50" s="188" t="str">
        <f>IF(PORTEFEUILLE_DELPHINE[[#This Row],[MALI AAC]]&lt;&gt;0,1,"")</f>
        <v/>
      </c>
      <c r="AV50" s="225">
        <f>IF(AP50&lt;&gt;"",IF((AP50*Paramètres!$H$4)-PORTEFEUILLE_DELPHINE[[#This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€]]-(DELPHINE!AP50*Paramètres!$H$4),0),0)</f>
        <v>0</v>
      </c>
      <c r="AW50" s="225">
        <f>IF(AP50&lt;&gt;"",IF(((AP50*Paramètres!$H$4)-PORTEFEUILLE_DELPHINE[[#This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0" s="190" t="str">
        <f>IF(PORTEFEUILLE_DELPHINE[[#This Row],[BONI COMPTABLE]]&lt;&gt;0,1,"")</f>
        <v/>
      </c>
      <c r="AY50" s="190" t="str">
        <f>IF(PORTEFEUILLE_DELPHINE[[#This Row],[MALI COMPTABLE]]&lt;&gt;0,1,"")</f>
        <v/>
      </c>
      <c r="AZ50" s="194"/>
      <c r="BA50" s="188"/>
      <c r="BB50" s="188"/>
      <c r="BC50" s="188"/>
      <c r="BD50" s="194"/>
      <c r="BE50" s="194"/>
      <c r="BF50" s="194"/>
      <c r="BG50" s="192"/>
      <c r="BH50" s="194"/>
      <c r="BI50" s="194"/>
      <c r="BJ50" s="195"/>
      <c r="BK50" s="194"/>
    </row>
    <row r="51" spans="1:63" x14ac:dyDescent="0.25">
      <c r="A51" s="186"/>
      <c r="B51" s="187"/>
      <c r="C51" s="186"/>
      <c r="D51" s="186"/>
      <c r="E51" s="204"/>
      <c r="F51" s="205"/>
      <c r="G51" s="205"/>
      <c r="H51" s="189"/>
      <c r="I51" s="204"/>
      <c r="J51" s="204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8"/>
      <c r="T51" s="212"/>
      <c r="U51" s="224"/>
      <c r="V51" s="224"/>
      <c r="W51" s="224"/>
      <c r="X51" s="224"/>
      <c r="Y51" s="224"/>
      <c r="Z51" s="224"/>
      <c r="AA51" s="224"/>
      <c r="AB51" s="224"/>
      <c r="AC51" s="224"/>
      <c r="AD51" s="224"/>
      <c r="AE51" s="224"/>
      <c r="AF51" s="224"/>
      <c r="AG51" s="219"/>
      <c r="AH51" s="225">
        <f>SUM(PORTEFEUILLE_DELPHINE[[#This Row],[PCR COMPTABLE €]:[MONTANT
RESPONSABLE RELATION CLIENT €]])-PORTEFEUILLE_DELPHINE[[#This Row],[MONTANT TOTAL LETTRE DE MISION €]]</f>
        <v>0</v>
      </c>
      <c r="AI51" s="191"/>
      <c r="AJ51" s="188"/>
      <c r="AK51" s="201"/>
      <c r="AL51" s="201"/>
      <c r="AM51" s="246"/>
      <c r="AN51" s="205"/>
      <c r="AO51" s="205"/>
      <c r="AP51" s="205"/>
      <c r="AQ51" s="205"/>
      <c r="AR5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1" s="188" t="str">
        <f>IF(PORTEFEUILLE_DELPHINE[[#This Row],[BONI AAC]]&lt;&gt;0,1,"")</f>
        <v/>
      </c>
      <c r="AU51" s="188" t="str">
        <f>IF(PORTEFEUILLE_DELPHINE[[#This Row],[MALI AAC]]&lt;&gt;0,1,"")</f>
        <v/>
      </c>
      <c r="AV51" s="225">
        <f>IF(AP51&lt;&gt;"",IF((AP51*Paramètres!$H$4)-PORTEFEUILLE_DELPHINE[[#This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€]]-(DELPHINE!AP51*Paramètres!$H$4),0),0)</f>
        <v>0</v>
      </c>
      <c r="AW51" s="225">
        <f>IF(AP51&lt;&gt;"",IF(((AP51*Paramètres!$H$4)-PORTEFEUILLE_DELPHINE[[#This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1" s="190" t="str">
        <f>IF(PORTEFEUILLE_DELPHINE[[#This Row],[BONI COMPTABLE]]&lt;&gt;0,1,"")</f>
        <v/>
      </c>
      <c r="AY51" s="190" t="str">
        <f>IF(PORTEFEUILLE_DELPHINE[[#This Row],[MALI COMPTABLE]]&lt;&gt;0,1,"")</f>
        <v/>
      </c>
      <c r="AZ51" s="205"/>
      <c r="BA51" s="188"/>
      <c r="BB51" s="188"/>
      <c r="BC51" s="188"/>
      <c r="BD51" s="205"/>
      <c r="BE51" s="205"/>
      <c r="BF51" s="205"/>
      <c r="BG51" s="192"/>
      <c r="BH51" s="205"/>
      <c r="BI51" s="205"/>
      <c r="BJ51" s="206"/>
      <c r="BK51" s="205"/>
    </row>
    <row r="54" spans="1:63" x14ac:dyDescent="0.25">
      <c r="B54" s="89" t="s">
        <v>120</v>
      </c>
    </row>
    <row r="56" spans="1:63" x14ac:dyDescent="0.25">
      <c r="B56" s="275" t="s">
        <v>120</v>
      </c>
      <c r="C56" s="122"/>
      <c r="D56" s="122"/>
      <c r="E56" s="125" t="s">
        <v>112</v>
      </c>
      <c r="F56" s="121" t="s">
        <v>115</v>
      </c>
      <c r="G56" s="126" t="s">
        <v>118</v>
      </c>
      <c r="H56" s="127" t="s">
        <v>116</v>
      </c>
      <c r="I56" s="127" t="s">
        <v>136</v>
      </c>
      <c r="J56" s="128" t="s">
        <v>125</v>
      </c>
      <c r="K56" s="128" t="s">
        <v>110</v>
      </c>
      <c r="L56" s="128" t="s">
        <v>119</v>
      </c>
      <c r="M56" s="128" t="s">
        <v>126</v>
      </c>
      <c r="N56" s="128" t="s">
        <v>127</v>
      </c>
      <c r="O56" s="128" t="s">
        <v>128</v>
      </c>
      <c r="P56" s="128" t="s">
        <v>129</v>
      </c>
      <c r="Q56" s="128" t="s">
        <v>130</v>
      </c>
      <c r="R56" s="128" t="s">
        <v>137</v>
      </c>
      <c r="S56" s="128"/>
      <c r="T56" s="121"/>
      <c r="U56" s="164"/>
      <c r="V56" s="164"/>
      <c r="W56" s="164"/>
      <c r="X56" s="164"/>
      <c r="Y56" s="164"/>
      <c r="Z56" s="164"/>
      <c r="AA56" s="164"/>
      <c r="AB56" s="164"/>
      <c r="AC56" s="164"/>
      <c r="AE56" s="164"/>
      <c r="AF56" s="164"/>
      <c r="AG56" s="164"/>
      <c r="AH56" s="164"/>
      <c r="AI56" s="164"/>
      <c r="AJ56" s="164"/>
      <c r="AK56" s="164"/>
      <c r="AL56" s="164"/>
      <c r="AM56" s="164"/>
      <c r="AN56" s="164"/>
      <c r="AO56" s="164"/>
      <c r="AP56" s="164"/>
      <c r="AQ56" s="164"/>
      <c r="AR56" s="164"/>
      <c r="AS56" s="164"/>
      <c r="AT56" s="164"/>
      <c r="AU56" s="164"/>
      <c r="AV56" s="164"/>
      <c r="AW56" s="164"/>
      <c r="AX56" s="164"/>
      <c r="AY56" s="164"/>
      <c r="AZ56" s="164"/>
    </row>
    <row r="57" spans="1:63" x14ac:dyDescent="0.25">
      <c r="B57" s="276"/>
      <c r="C57" s="120" t="s">
        <v>109</v>
      </c>
      <c r="D57" s="122">
        <f>COUNTIF($D$3:$D$51,"ACS")</f>
        <v>1</v>
      </c>
      <c r="E57" s="129">
        <f>+COUNTIF($F$3:$F$51,"SARL")</f>
        <v>1</v>
      </c>
      <c r="F57" s="121">
        <f>+COUNTIF($F$3:$F$51,"EURL")</f>
        <v>0</v>
      </c>
      <c r="G57" s="124">
        <f>COUNTIFS($F$3:$F$51,"SAS",$D$3:$D$51,"ACS")</f>
        <v>0</v>
      </c>
      <c r="H57" s="122">
        <f>COUNTIFS($F$3:$F$51,"INDIVIDUEL",$D$3:$D$51,"ACS")</f>
        <v>0</v>
      </c>
      <c r="I57" s="122">
        <f>COUNTIF($F$3:$F$51,"ASSOCIATION")</f>
        <v>0</v>
      </c>
      <c r="J57" s="122"/>
      <c r="K57" s="122">
        <f>COUNTIF($F$3:$F$51,"SNC")</f>
        <v>0</v>
      </c>
      <c r="L57" s="122">
        <f>+COUNTIF($F$3:$F$51,"SCI")</f>
        <v>0</v>
      </c>
      <c r="M57" s="130"/>
      <c r="N57" s="131"/>
      <c r="O57" s="132"/>
      <c r="P57" s="122">
        <f>+COUNTIF($F$3:$F$51,"GROUPEMENT")</f>
        <v>0</v>
      </c>
      <c r="Q57" s="121">
        <f>COUNTIF($F$3:$F$51,"EIRL")</f>
        <v>0</v>
      </c>
      <c r="R57" s="121">
        <f>COUNTIF($F$3:$F$51,"AUTRE")</f>
        <v>0</v>
      </c>
      <c r="S57" s="121"/>
      <c r="T57" s="122">
        <f>+SUM(E57:P57)</f>
        <v>1</v>
      </c>
      <c r="U57" s="164"/>
      <c r="V57" s="164"/>
      <c r="W57" s="164"/>
      <c r="X57" s="164"/>
      <c r="Y57" s="164"/>
      <c r="Z57" s="164"/>
      <c r="AA57" s="164"/>
      <c r="AB57" s="164"/>
      <c r="AC57" s="164"/>
      <c r="AE57" s="164"/>
      <c r="AF57" s="164"/>
      <c r="AG57" s="164"/>
      <c r="AH57" s="164"/>
      <c r="AI57" s="164"/>
      <c r="AJ57" s="164"/>
      <c r="AK57" s="164"/>
      <c r="AL57" s="164"/>
      <c r="AM57" s="164"/>
      <c r="AN57" s="164"/>
      <c r="AO57" s="164"/>
      <c r="AP57" s="164"/>
      <c r="AQ57" s="164"/>
      <c r="AR57" s="164"/>
      <c r="AS57" s="164"/>
      <c r="AT57" s="164"/>
      <c r="AU57" s="164"/>
      <c r="AV57" s="164"/>
      <c r="AW57" s="164"/>
      <c r="AX57" s="164"/>
      <c r="AY57" s="164"/>
      <c r="AZ57" s="164"/>
    </row>
    <row r="58" spans="1:63" x14ac:dyDescent="0.25">
      <c r="B58" s="276"/>
      <c r="C58" s="120" t="s">
        <v>121</v>
      </c>
      <c r="D58" s="122">
        <f>COUNTIF($D$3:$D$51,"BNC")</f>
        <v>0</v>
      </c>
      <c r="E58" s="133"/>
      <c r="F58" s="121"/>
      <c r="G58" s="134"/>
      <c r="H58" s="135"/>
      <c r="I58" s="132"/>
      <c r="J58" s="122">
        <f>+COUNTIF($F$3:$F$51,"PROFESSION LIBERALE")</f>
        <v>0</v>
      </c>
      <c r="K58" s="122"/>
      <c r="L58" s="122"/>
      <c r="M58" s="122"/>
      <c r="N58" s="122"/>
      <c r="O58" s="122"/>
      <c r="P58" s="122"/>
      <c r="Q58" s="121"/>
      <c r="R58" s="121"/>
      <c r="S58" s="121"/>
      <c r="T58" s="122">
        <f>+SUM(E58:P58)</f>
        <v>0</v>
      </c>
      <c r="U58" s="164"/>
      <c r="V58" s="164"/>
      <c r="W58" s="164"/>
      <c r="X58" s="164"/>
      <c r="Y58" s="164"/>
      <c r="Z58" s="164"/>
      <c r="AA58" s="164"/>
      <c r="AB58" s="164"/>
      <c r="AC58" s="164"/>
      <c r="AE58" s="164"/>
      <c r="AF58" s="164"/>
      <c r="AG58" s="164"/>
      <c r="AH58" s="164"/>
      <c r="AI58" s="164"/>
      <c r="AJ58" s="164"/>
      <c r="AK58" s="164"/>
      <c r="AL58" s="164"/>
      <c r="AM58" s="164"/>
      <c r="AN58" s="164"/>
      <c r="AO58" s="164"/>
      <c r="AP58" s="164"/>
      <c r="AQ58" s="164"/>
      <c r="AR58" s="164"/>
      <c r="AS58" s="164"/>
      <c r="AT58" s="164"/>
      <c r="AU58" s="164"/>
      <c r="AV58" s="164"/>
      <c r="AW58" s="164"/>
      <c r="AX58" s="164"/>
      <c r="AY58" s="164"/>
      <c r="AZ58" s="164"/>
    </row>
    <row r="59" spans="1:63" x14ac:dyDescent="0.25">
      <c r="B59" s="277"/>
      <c r="C59" s="122" t="s">
        <v>122</v>
      </c>
      <c r="D59" s="122">
        <f>COUNTIF($D$3:$D$51,"AGRI")</f>
        <v>0</v>
      </c>
      <c r="E59" s="129"/>
      <c r="F59" s="121"/>
      <c r="G59" s="124">
        <f>COUNTIFS($F$3:$F$51,"SAS",$D$3:$D$51,"AGRI")</f>
        <v>0</v>
      </c>
      <c r="H59" s="122">
        <f>COUNTIFS($F$3:$F$51,"INDIVIDUEL",$D$3:$D$51,"AGRI")</f>
        <v>0</v>
      </c>
      <c r="I59" s="122"/>
      <c r="J59" s="122"/>
      <c r="K59" s="122"/>
      <c r="L59" s="122"/>
      <c r="M59" s="122">
        <f>COUNTIF($F$3:$F$53,"EARL")</f>
        <v>0</v>
      </c>
      <c r="N59" s="122">
        <f>COUNTIF($F$3:$F$53,"ETA")</f>
        <v>0</v>
      </c>
      <c r="O59" s="122">
        <f>COUNTIF($F$3:$F$53,"SCEA")</f>
        <v>0</v>
      </c>
      <c r="P59" s="122"/>
      <c r="Q59" s="121"/>
      <c r="R59" s="121"/>
      <c r="S59" s="121"/>
      <c r="T59" s="122">
        <f>+SUM(E59:P59)</f>
        <v>0</v>
      </c>
      <c r="U59" s="164"/>
      <c r="V59" s="164"/>
      <c r="W59" s="164"/>
      <c r="X59" s="164"/>
      <c r="Y59" s="164"/>
      <c r="Z59" s="164"/>
      <c r="AA59" s="164"/>
      <c r="AB59" s="164"/>
      <c r="AC59" s="164"/>
      <c r="AE59" s="164"/>
      <c r="AF59" s="164"/>
      <c r="AG59" s="164"/>
      <c r="AH59" s="164"/>
      <c r="AI59" s="164"/>
      <c r="AJ59" s="164"/>
      <c r="AK59" s="164"/>
      <c r="AL59" s="164"/>
      <c r="AM59" s="164"/>
      <c r="AN59" s="164"/>
      <c r="AO59" s="164"/>
      <c r="AP59" s="164"/>
      <c r="AQ59" s="164"/>
      <c r="AR59" s="164"/>
      <c r="AS59" s="164"/>
      <c r="AT59" s="164"/>
      <c r="AU59" s="164"/>
      <c r="AV59" s="164"/>
      <c r="AW59" s="164"/>
      <c r="AX59" s="164"/>
      <c r="AY59" s="164"/>
      <c r="AZ59" s="164"/>
    </row>
    <row r="60" spans="1:63" x14ac:dyDescent="0.25">
      <c r="B60" s="278" t="s">
        <v>123</v>
      </c>
      <c r="C60" s="278"/>
      <c r="D60" s="122">
        <f>+SUM(D57:D59)</f>
        <v>1</v>
      </c>
      <c r="E60" s="129">
        <f>+SUM(E57:E59)</f>
        <v>1</v>
      </c>
      <c r="F60" s="129">
        <f t="shared" ref="F60:R60" si="2">+SUM(F57:F59)</f>
        <v>0</v>
      </c>
      <c r="G60" s="129">
        <f t="shared" si="2"/>
        <v>0</v>
      </c>
      <c r="H60" s="129">
        <f t="shared" si="2"/>
        <v>0</v>
      </c>
      <c r="I60" s="129">
        <f t="shared" si="2"/>
        <v>0</v>
      </c>
      <c r="J60" s="129">
        <f t="shared" si="2"/>
        <v>0</v>
      </c>
      <c r="K60" s="129">
        <f t="shared" si="2"/>
        <v>0</v>
      </c>
      <c r="L60" s="129">
        <f t="shared" si="2"/>
        <v>0</v>
      </c>
      <c r="M60" s="129">
        <f t="shared" si="2"/>
        <v>0</v>
      </c>
      <c r="N60" s="129">
        <f t="shared" si="2"/>
        <v>0</v>
      </c>
      <c r="O60" s="129">
        <f t="shared" si="2"/>
        <v>0</v>
      </c>
      <c r="P60" s="129">
        <f t="shared" si="2"/>
        <v>0</v>
      </c>
      <c r="Q60" s="129">
        <f t="shared" si="2"/>
        <v>0</v>
      </c>
      <c r="R60" s="129">
        <f t="shared" si="2"/>
        <v>0</v>
      </c>
      <c r="S60" s="129"/>
      <c r="T60" s="122">
        <f>+SUM(T57:T59)</f>
        <v>1</v>
      </c>
      <c r="U60" s="164"/>
      <c r="V60" s="164"/>
      <c r="W60" s="164"/>
      <c r="X60" s="164"/>
      <c r="Y60" s="164"/>
      <c r="Z60" s="164"/>
      <c r="AA60" s="164"/>
      <c r="AB60" s="164"/>
      <c r="AC60" s="164"/>
      <c r="AE60" s="164"/>
      <c r="AF60" s="164"/>
      <c r="AG60" s="164"/>
      <c r="AH60" s="164"/>
      <c r="AI60" s="164"/>
      <c r="AJ60" s="164"/>
      <c r="AK60" s="164"/>
      <c r="AL60" s="164"/>
      <c r="AM60" s="164"/>
      <c r="AN60" s="164"/>
      <c r="AO60" s="164"/>
      <c r="AP60" s="164"/>
      <c r="AQ60" s="164"/>
      <c r="AR60" s="164"/>
      <c r="AS60" s="164"/>
      <c r="AT60" s="164"/>
      <c r="AU60" s="164"/>
      <c r="AV60" s="164"/>
      <c r="AW60" s="164"/>
      <c r="AX60" s="164"/>
      <c r="AY60" s="164"/>
      <c r="AZ60" s="164"/>
    </row>
    <row r="61" spans="1:63" x14ac:dyDescent="0.25">
      <c r="B61" s="90"/>
      <c r="C61" s="90"/>
      <c r="D61" s="90"/>
      <c r="E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T61" s="90"/>
      <c r="U61" s="164"/>
      <c r="V61" s="164"/>
      <c r="W61" s="164"/>
      <c r="X61" s="164"/>
      <c r="Y61" s="164"/>
      <c r="Z61" s="164"/>
      <c r="AA61" s="164"/>
      <c r="AB61" s="164"/>
      <c r="AC61" s="164"/>
      <c r="AE61" s="164"/>
      <c r="AF61" s="164"/>
      <c r="AG61" s="164"/>
      <c r="AH61" s="164"/>
      <c r="AI61" s="164"/>
      <c r="AJ61" s="164"/>
      <c r="AK61" s="164"/>
      <c r="AL61" s="164"/>
      <c r="AM61" s="164"/>
      <c r="AN61" s="164"/>
      <c r="AO61" s="164"/>
      <c r="AP61" s="164"/>
      <c r="AQ61" s="164"/>
      <c r="AR61" s="164"/>
      <c r="AS61" s="164"/>
      <c r="AT61" s="164"/>
      <c r="AU61" s="164"/>
      <c r="AV61" s="164"/>
      <c r="AW61" s="164"/>
      <c r="AX61" s="164"/>
      <c r="AY61" s="164"/>
      <c r="AZ61" s="164"/>
    </row>
    <row r="62" spans="1:63" x14ac:dyDescent="0.25">
      <c r="B62" s="279">
        <v>44196</v>
      </c>
      <c r="C62" s="122"/>
      <c r="D62" s="122"/>
      <c r="E62" s="125" t="str">
        <f t="shared" ref="E62:R62" si="3">E56</f>
        <v>SARL</v>
      </c>
      <c r="F62" s="122" t="str">
        <f t="shared" si="3"/>
        <v>EURL</v>
      </c>
      <c r="G62" s="126" t="str">
        <f t="shared" si="3"/>
        <v>SAS</v>
      </c>
      <c r="H62" s="127" t="str">
        <f t="shared" si="3"/>
        <v>INDIVIDUEL</v>
      </c>
      <c r="I62" s="127" t="str">
        <f t="shared" si="3"/>
        <v>ASSOCIATION</v>
      </c>
      <c r="J62" s="128" t="str">
        <f t="shared" si="3"/>
        <v>PROFESSION LIBERALE</v>
      </c>
      <c r="K62" s="128" t="str">
        <f t="shared" si="3"/>
        <v>SNC</v>
      </c>
      <c r="L62" s="128" t="str">
        <f t="shared" si="3"/>
        <v>SCI</v>
      </c>
      <c r="M62" s="128" t="str">
        <f t="shared" si="3"/>
        <v>EARL</v>
      </c>
      <c r="N62" s="128" t="str">
        <f t="shared" si="3"/>
        <v>ETA</v>
      </c>
      <c r="O62" s="128" t="str">
        <f t="shared" si="3"/>
        <v>SCEA</v>
      </c>
      <c r="P62" s="128" t="str">
        <f t="shared" si="3"/>
        <v>GROUPEMENT</v>
      </c>
      <c r="Q62" s="122" t="str">
        <f t="shared" si="3"/>
        <v>EIRL</v>
      </c>
      <c r="R62" s="122" t="str">
        <f t="shared" si="3"/>
        <v>AUTRES</v>
      </c>
      <c r="S62" s="122"/>
      <c r="T62" s="128" t="s">
        <v>86</v>
      </c>
      <c r="U62" s="164"/>
      <c r="V62" s="164"/>
      <c r="W62" s="164"/>
      <c r="X62" s="164"/>
      <c r="Y62" s="164"/>
      <c r="Z62" s="164"/>
      <c r="AA62" s="164"/>
      <c r="AB62" s="164"/>
      <c r="AC62" s="164"/>
      <c r="AE62" s="164"/>
      <c r="AF62" s="164"/>
      <c r="AG62" s="164"/>
      <c r="AH62" s="164"/>
      <c r="AI62" s="164"/>
      <c r="AJ62" s="164"/>
      <c r="AK62" s="164"/>
      <c r="AL62" s="164"/>
      <c r="AM62" s="164"/>
      <c r="AN62" s="164"/>
      <c r="AO62" s="164"/>
      <c r="AP62" s="164"/>
      <c r="AQ62" s="164"/>
      <c r="AR62" s="164"/>
      <c r="AS62" s="164"/>
      <c r="AT62" s="164"/>
      <c r="AU62" s="164"/>
      <c r="AV62" s="164"/>
      <c r="AW62" s="164"/>
      <c r="AX62" s="164"/>
      <c r="AY62" s="164"/>
      <c r="AZ62" s="164"/>
    </row>
    <row r="63" spans="1:63" x14ac:dyDescent="0.25">
      <c r="B63" s="276"/>
      <c r="C63" s="120" t="s">
        <v>109</v>
      </c>
      <c r="D63" s="122">
        <f>COUNTIFS($E$3:$E$51,DATE(Paramètres!A4,Paramètres!D15,Paramètres!C15),$D$3:$D$51,"ACS")</f>
        <v>1</v>
      </c>
      <c r="E63" s="129">
        <f>COUNTIFS($E$3:$E$51,DATE(Paramètres!A4,Paramètres!D15,Paramètres!C15),$F$3:$F$51,"SARL")</f>
        <v>1</v>
      </c>
      <c r="F63" s="122">
        <f>+COUNTIFS($E$3:$E$51,DATE(Paramètres!A4,Paramètres!D15,Paramètres!C15),$F$3:$F$51,"EURL")</f>
        <v>0</v>
      </c>
      <c r="G63" s="124">
        <f>COUNTIFS($E$3:$E$51,DATE(Paramètres!A4,Paramètres!D15,Paramètres!C15),$F$3:$F$51,"SAS",$D$3:$D$51,"ACS")</f>
        <v>0</v>
      </c>
      <c r="H63" s="122">
        <f>COUNTIFS($E$3:$E$51,DATE(Paramètres!A4,Paramètres!D15,Paramètres!C15),$F$3:$F$51,"INDIVIDUEL",$D$3:$D$51,"ACS")</f>
        <v>0</v>
      </c>
      <c r="I63" s="122">
        <f>+COUNTIFS($E$3:$E$51,DATE(Paramètres!A4,Paramètres!D15,Paramètres!C15),$F$3:$F$51,"ASSOCIATION")</f>
        <v>0</v>
      </c>
      <c r="J63" s="122"/>
      <c r="K63" s="122">
        <f>COUNTIFS($E$3:$E$51,DATE(Paramètres!A4,Paramètres!D15,Paramètres!C15),$F$3:$F$51,"SNC")</f>
        <v>0</v>
      </c>
      <c r="L63" s="122">
        <f>COUNTIFS($E$3:$E$51,DATE(Paramètres!A4,Paramètres!D15,Paramètres!C15),$F$3:$F$51,"SCI")</f>
        <v>0</v>
      </c>
      <c r="M63" s="130"/>
      <c r="N63" s="131"/>
      <c r="O63" s="132"/>
      <c r="P63" s="122">
        <f>COUNTIFS($E$3:$E$51,DATE(Paramètres!A4,Paramètres!D15,Paramètres!C15),$F$3:$F$51,"GROUPEMENT")</f>
        <v>0</v>
      </c>
      <c r="Q63" s="122">
        <f>+COUNTIFS($E$3:$E$51,DATE(Paramètres!A4,Paramètres!D15,Paramètres!C15),$F$3:$F$51,"EIRL")</f>
        <v>0</v>
      </c>
      <c r="R63" s="122">
        <f>+COUNTIFS($E$3:$E$51,DATE(Paramètres!B4,Paramètres!E15,Paramètres!D15),$F$3:$F$51,"AUTRES")</f>
        <v>0</v>
      </c>
      <c r="S63" s="122"/>
      <c r="T63" s="122">
        <f>+SUM(E63:P63)</f>
        <v>1</v>
      </c>
      <c r="U63" s="164"/>
      <c r="V63" s="164"/>
      <c r="W63" s="164"/>
      <c r="X63" s="164"/>
      <c r="Y63" s="164"/>
      <c r="Z63" s="164"/>
      <c r="AA63" s="164"/>
      <c r="AB63" s="164"/>
      <c r="AC63" s="164"/>
      <c r="AE63" s="164"/>
      <c r="AF63" s="164"/>
      <c r="AG63" s="164"/>
      <c r="AH63" s="164"/>
      <c r="AI63" s="164"/>
      <c r="AJ63" s="164"/>
      <c r="AK63" s="164"/>
      <c r="AL63" s="164"/>
      <c r="AM63" s="164"/>
      <c r="AN63" s="164"/>
      <c r="AO63" s="164"/>
      <c r="AP63" s="164"/>
      <c r="AQ63" s="164"/>
      <c r="AR63" s="164"/>
      <c r="AS63" s="164"/>
      <c r="AT63" s="164"/>
      <c r="AU63" s="164"/>
      <c r="AV63" s="164"/>
      <c r="AW63" s="164"/>
      <c r="AX63" s="164"/>
      <c r="AY63" s="164"/>
      <c r="AZ63" s="164"/>
    </row>
    <row r="64" spans="1:63" x14ac:dyDescent="0.25">
      <c r="B64" s="276"/>
      <c r="C64" s="120" t="s">
        <v>121</v>
      </c>
      <c r="D64" s="122">
        <f>COUNTIFS($E$3:$E$51,DATE(Paramètres!A4,Paramètres!D15,Paramètres!C15),$D$3:$D$51,"BNC")</f>
        <v>0</v>
      </c>
      <c r="E64" s="133"/>
      <c r="F64" s="122"/>
      <c r="G64" s="134"/>
      <c r="H64" s="135"/>
      <c r="I64" s="132"/>
      <c r="J64" s="122">
        <f>COUNTIFS($E$3:$E$51,DATE(Paramètres!A4,Paramètres!D15,Paramètres!C15),$D$3:$D$51,"BNC")</f>
        <v>0</v>
      </c>
      <c r="K64" s="130"/>
      <c r="L64" s="131"/>
      <c r="M64" s="131"/>
      <c r="N64" s="131"/>
      <c r="O64" s="131"/>
      <c r="P64" s="132"/>
      <c r="Q64" s="122"/>
      <c r="R64" s="122"/>
      <c r="S64" s="122"/>
      <c r="T64" s="122">
        <f>+SUM(E64:P64)</f>
        <v>0</v>
      </c>
      <c r="U64" s="164"/>
      <c r="V64" s="164"/>
      <c r="W64" s="164"/>
      <c r="X64" s="164"/>
      <c r="Y64" s="164"/>
      <c r="Z64" s="164"/>
      <c r="AA64" s="164"/>
      <c r="AB64" s="164"/>
      <c r="AC64" s="164"/>
      <c r="AE64" s="164"/>
      <c r="AF64" s="164"/>
      <c r="AG64" s="164"/>
      <c r="AH64" s="164"/>
      <c r="AI64" s="164"/>
      <c r="AJ64" s="164"/>
      <c r="AK64" s="164"/>
      <c r="AL64" s="164"/>
      <c r="AM64" s="164"/>
      <c r="AN64" s="164"/>
      <c r="AO64" s="164"/>
      <c r="AP64" s="164"/>
      <c r="AQ64" s="164"/>
      <c r="AR64" s="164"/>
      <c r="AS64" s="164"/>
      <c r="AT64" s="164"/>
      <c r="AU64" s="164"/>
      <c r="AV64" s="164"/>
      <c r="AW64" s="164"/>
      <c r="AX64" s="164"/>
      <c r="AY64" s="164"/>
      <c r="AZ64" s="164"/>
    </row>
    <row r="65" spans="2:52" x14ac:dyDescent="0.25">
      <c r="B65" s="277"/>
      <c r="C65" s="122" t="s">
        <v>122</v>
      </c>
      <c r="D65" s="122">
        <f>COUNTIFS($E$3:$E$51,DATE(Paramètres!A4,Paramètres!D15,Paramètres!C15),$D$3:$D$51,"AGRI")</f>
        <v>0</v>
      </c>
      <c r="E65" s="133"/>
      <c r="F65" s="122"/>
      <c r="G65" s="134">
        <f>COUNTIFS($E$3:$E$51,DATE(Paramètres!A4,Paramètres!D15,Paramètres!C15),$F$3:$F$51,"SAS",$D$3:$D$51,"AGRI")</f>
        <v>0</v>
      </c>
      <c r="H65" s="122">
        <f>COUNTIFS($E$3:$E$51,DATE(Paramètres!A4,Paramètres!D15,Paramètres!C15),$F$3:$F$51,"INDIVIDUEL",$D$3:$D$51,"AGRI")</f>
        <v>0</v>
      </c>
      <c r="I65" s="136"/>
      <c r="J65" s="131"/>
      <c r="K65" s="131"/>
      <c r="L65" s="132"/>
      <c r="M65" s="122">
        <f>COUNTIFS($E$3:$E$51,DATE(Paramètres!A4,Paramètres!D15,Paramètres!C15),$F$3:$F$51,"EARL")</f>
        <v>0</v>
      </c>
      <c r="N65" s="122">
        <f>COUNTIFS($E$3:$E$51,DATE(Paramètres!A4,Paramètres!D15,Paramètres!C15),$F$3:$F$51,"ETA")</f>
        <v>0</v>
      </c>
      <c r="O65" s="122">
        <f>COUNTIFS($E$3:$E$51,DATE(Paramètres!A4,Paramètres!D15,Paramètres!C15),$F$3:$F$51,"SCEA")</f>
        <v>0</v>
      </c>
      <c r="P65" s="122"/>
      <c r="Q65" s="122"/>
      <c r="R65" s="122"/>
      <c r="S65" s="122"/>
      <c r="T65" s="122">
        <f>+SUM(E65:P65)</f>
        <v>0</v>
      </c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8" t="s">
        <v>123</v>
      </c>
      <c r="C66" s="278"/>
      <c r="D66" s="122">
        <f>+SUM(D63:D65)</f>
        <v>1</v>
      </c>
      <c r="E66" s="129">
        <f>+SUM(E63:E65)</f>
        <v>1</v>
      </c>
      <c r="F66" s="129">
        <f>+SUM(F63:F65)</f>
        <v>0</v>
      </c>
      <c r="G66" s="124">
        <f>+SUM(G63:G65)</f>
        <v>0</v>
      </c>
      <c r="H66" s="122">
        <f>+SUM(H63:H65)</f>
        <v>0</v>
      </c>
      <c r="I66" s="122">
        <f t="shared" ref="I66:R66" si="4">+SUM(I63:I65)</f>
        <v>0</v>
      </c>
      <c r="J66" s="122">
        <f t="shared" si="4"/>
        <v>0</v>
      </c>
      <c r="K66" s="122">
        <f t="shared" si="4"/>
        <v>0</v>
      </c>
      <c r="L66" s="122">
        <f t="shared" si="4"/>
        <v>0</v>
      </c>
      <c r="M66" s="122">
        <f t="shared" si="4"/>
        <v>0</v>
      </c>
      <c r="N66" s="122">
        <f t="shared" si="4"/>
        <v>0</v>
      </c>
      <c r="O66" s="122">
        <f t="shared" si="4"/>
        <v>0</v>
      </c>
      <c r="P66" s="122">
        <f t="shared" si="4"/>
        <v>0</v>
      </c>
      <c r="Q66" s="122">
        <f t="shared" si="4"/>
        <v>0</v>
      </c>
      <c r="R66" s="122">
        <f t="shared" si="4"/>
        <v>0</v>
      </c>
      <c r="S66" s="122"/>
      <c r="T66" s="122">
        <f>+SUM(E66:R66)</f>
        <v>1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90"/>
      <c r="C67" s="90"/>
      <c r="D67" s="90"/>
      <c r="E67" s="90"/>
      <c r="G67" s="90"/>
      <c r="H67" s="90"/>
      <c r="I67" s="90"/>
      <c r="J67" s="90"/>
      <c r="K67" s="90"/>
      <c r="L67" s="90"/>
      <c r="M67" s="90"/>
      <c r="N67" s="90"/>
      <c r="O67" s="90"/>
      <c r="P67" s="90"/>
      <c r="T67" s="90"/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9" t="s">
        <v>40</v>
      </c>
      <c r="C68" s="122"/>
      <c r="D68" s="122"/>
      <c r="E68" s="125" t="s">
        <v>112</v>
      </c>
      <c r="F68" s="121" t="s">
        <v>115</v>
      </c>
      <c r="G68" s="126" t="s">
        <v>118</v>
      </c>
      <c r="H68" s="127" t="s">
        <v>116</v>
      </c>
      <c r="I68" s="127" t="s">
        <v>124</v>
      </c>
      <c r="J68" s="128" t="s">
        <v>125</v>
      </c>
      <c r="K68" s="128" t="s">
        <v>110</v>
      </c>
      <c r="L68" s="128" t="s">
        <v>119</v>
      </c>
      <c r="M68" s="128" t="s">
        <v>126</v>
      </c>
      <c r="N68" s="128" t="s">
        <v>127</v>
      </c>
      <c r="O68" s="128" t="s">
        <v>128</v>
      </c>
      <c r="P68" s="128" t="s">
        <v>129</v>
      </c>
      <c r="Q68" s="128" t="s">
        <v>130</v>
      </c>
      <c r="R68" s="128" t="s">
        <v>131</v>
      </c>
      <c r="S68" s="128"/>
      <c r="T68" s="128" t="s">
        <v>86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6"/>
      <c r="C69" s="120" t="s">
        <v>109</v>
      </c>
      <c r="D69" s="122">
        <f>+D57-D63</f>
        <v>0</v>
      </c>
      <c r="E69" s="122">
        <f>+E57-E63</f>
        <v>0</v>
      </c>
      <c r="F69" s="122">
        <f t="shared" ref="F69:R69" si="5">+F57-F63</f>
        <v>0</v>
      </c>
      <c r="G69" s="122">
        <f t="shared" si="5"/>
        <v>0</v>
      </c>
      <c r="H69" s="122">
        <f t="shared" si="5"/>
        <v>0</v>
      </c>
      <c r="I69" s="122">
        <f t="shared" si="5"/>
        <v>0</v>
      </c>
      <c r="J69" s="122">
        <f t="shared" si="5"/>
        <v>0</v>
      </c>
      <c r="K69" s="122">
        <f t="shared" si="5"/>
        <v>0</v>
      </c>
      <c r="L69" s="122">
        <f t="shared" si="5"/>
        <v>0</v>
      </c>
      <c r="M69" s="122">
        <f t="shared" si="5"/>
        <v>0</v>
      </c>
      <c r="N69" s="122">
        <f t="shared" si="5"/>
        <v>0</v>
      </c>
      <c r="O69" s="122">
        <f t="shared" si="5"/>
        <v>0</v>
      </c>
      <c r="P69" s="122">
        <f t="shared" si="5"/>
        <v>0</v>
      </c>
      <c r="Q69" s="122">
        <f t="shared" si="5"/>
        <v>0</v>
      </c>
      <c r="R69" s="122">
        <f t="shared" si="5"/>
        <v>0</v>
      </c>
      <c r="S69" s="122"/>
      <c r="T69" s="122">
        <f>+SUM(E69:P69)</f>
        <v>0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276"/>
      <c r="C70" s="120" t="s">
        <v>121</v>
      </c>
      <c r="D70" s="122">
        <f>+D58-D64</f>
        <v>0</v>
      </c>
      <c r="E70" s="122">
        <f t="shared" ref="E70:R72" si="6">+E58-E64</f>
        <v>0</v>
      </c>
      <c r="F70" s="122">
        <f t="shared" si="6"/>
        <v>0</v>
      </c>
      <c r="G70" s="122">
        <f t="shared" si="6"/>
        <v>0</v>
      </c>
      <c r="H70" s="122">
        <f t="shared" si="6"/>
        <v>0</v>
      </c>
      <c r="I70" s="122">
        <f t="shared" si="6"/>
        <v>0</v>
      </c>
      <c r="J70" s="122">
        <f t="shared" si="6"/>
        <v>0</v>
      </c>
      <c r="K70" s="122">
        <f t="shared" si="6"/>
        <v>0</v>
      </c>
      <c r="L70" s="122">
        <f t="shared" si="6"/>
        <v>0</v>
      </c>
      <c r="M70" s="122">
        <f t="shared" si="6"/>
        <v>0</v>
      </c>
      <c r="N70" s="122">
        <f t="shared" si="6"/>
        <v>0</v>
      </c>
      <c r="O70" s="122">
        <f t="shared" si="6"/>
        <v>0</v>
      </c>
      <c r="P70" s="122">
        <f t="shared" si="6"/>
        <v>0</v>
      </c>
      <c r="Q70" s="122">
        <f t="shared" si="6"/>
        <v>0</v>
      </c>
      <c r="R70" s="122">
        <f t="shared" si="6"/>
        <v>0</v>
      </c>
      <c r="S70" s="122"/>
      <c r="T70" s="122">
        <f>+SUM(E70:P70)</f>
        <v>0</v>
      </c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7"/>
      <c r="C71" s="122" t="s">
        <v>122</v>
      </c>
      <c r="D71" s="122">
        <f>+D59-D65</f>
        <v>0</v>
      </c>
      <c r="E71" s="122">
        <f t="shared" si="6"/>
        <v>0</v>
      </c>
      <c r="F71" s="122">
        <f t="shared" si="6"/>
        <v>0</v>
      </c>
      <c r="G71" s="122">
        <f t="shared" si="6"/>
        <v>0</v>
      </c>
      <c r="H71" s="122">
        <f t="shared" si="6"/>
        <v>0</v>
      </c>
      <c r="I71" s="122">
        <f t="shared" si="6"/>
        <v>0</v>
      </c>
      <c r="J71" s="122">
        <f t="shared" si="6"/>
        <v>0</v>
      </c>
      <c r="K71" s="122">
        <f t="shared" si="6"/>
        <v>0</v>
      </c>
      <c r="L71" s="122">
        <f t="shared" si="6"/>
        <v>0</v>
      </c>
      <c r="M71" s="122">
        <f t="shared" si="6"/>
        <v>0</v>
      </c>
      <c r="N71" s="122">
        <f t="shared" si="6"/>
        <v>0</v>
      </c>
      <c r="O71" s="122">
        <f t="shared" si="6"/>
        <v>0</v>
      </c>
      <c r="P71" s="122">
        <f t="shared" si="6"/>
        <v>0</v>
      </c>
      <c r="Q71" s="122">
        <f t="shared" si="6"/>
        <v>0</v>
      </c>
      <c r="R71" s="122">
        <f t="shared" si="6"/>
        <v>0</v>
      </c>
      <c r="S71" s="122"/>
      <c r="T71" s="122">
        <f>+SUM(E71:P71)</f>
        <v>0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8" t="s">
        <v>123</v>
      </c>
      <c r="C72" s="278"/>
      <c r="D72" s="122">
        <f>+D60-D66</f>
        <v>0</v>
      </c>
      <c r="E72" s="122">
        <f t="shared" si="6"/>
        <v>0</v>
      </c>
      <c r="F72" s="122">
        <f t="shared" si="6"/>
        <v>0</v>
      </c>
      <c r="G72" s="122">
        <f t="shared" si="6"/>
        <v>0</v>
      </c>
      <c r="H72" s="122">
        <f t="shared" si="6"/>
        <v>0</v>
      </c>
      <c r="I72" s="122">
        <f t="shared" si="6"/>
        <v>0</v>
      </c>
      <c r="J72" s="122">
        <f t="shared" si="6"/>
        <v>0</v>
      </c>
      <c r="K72" s="122">
        <f t="shared" si="6"/>
        <v>0</v>
      </c>
      <c r="L72" s="122">
        <f t="shared" si="6"/>
        <v>0</v>
      </c>
      <c r="M72" s="122">
        <f t="shared" si="6"/>
        <v>0</v>
      </c>
      <c r="N72" s="122">
        <f t="shared" si="6"/>
        <v>0</v>
      </c>
      <c r="O72" s="122">
        <f t="shared" si="6"/>
        <v>0</v>
      </c>
      <c r="P72" s="122">
        <f t="shared" si="6"/>
        <v>0</v>
      </c>
      <c r="Q72" s="122">
        <f t="shared" si="6"/>
        <v>0</v>
      </c>
      <c r="R72" s="122">
        <f t="shared" si="6"/>
        <v>0</v>
      </c>
      <c r="S72" s="122"/>
      <c r="T72" s="122">
        <f>+SUM(T69:T71)</f>
        <v>0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137" t="s">
        <v>132</v>
      </c>
      <c r="C74" s="137"/>
      <c r="D74" s="137"/>
      <c r="E74" s="137"/>
      <c r="F74" s="137"/>
      <c r="G74" s="137"/>
      <c r="H74" s="137"/>
      <c r="I74" s="137"/>
      <c r="J74" s="137"/>
      <c r="K74" s="137"/>
      <c r="L74" s="137"/>
      <c r="M74" s="137"/>
      <c r="N74" s="137"/>
      <c r="O74" s="137"/>
      <c r="P74" s="137"/>
      <c r="Q74" s="137"/>
      <c r="R74" s="138"/>
      <c r="S74" s="139"/>
      <c r="T74" s="137"/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80" t="s">
        <v>120</v>
      </c>
      <c r="C75" s="138"/>
      <c r="D75" s="138"/>
      <c r="E75" s="140" t="str">
        <f t="shared" ref="E75:R75" si="7">E56</f>
        <v>SARL</v>
      </c>
      <c r="F75" s="138" t="str">
        <f t="shared" si="7"/>
        <v>EURL</v>
      </c>
      <c r="G75" s="141" t="str">
        <f t="shared" si="7"/>
        <v>SAS</v>
      </c>
      <c r="H75" s="142" t="str">
        <f t="shared" si="7"/>
        <v>INDIVIDUEL</v>
      </c>
      <c r="I75" s="142" t="str">
        <f t="shared" si="7"/>
        <v>ASSOCIATION</v>
      </c>
      <c r="J75" s="143" t="str">
        <f t="shared" si="7"/>
        <v>PROFESSION LIBERALE</v>
      </c>
      <c r="K75" s="143" t="str">
        <f t="shared" si="7"/>
        <v>SNC</v>
      </c>
      <c r="L75" s="143" t="str">
        <f t="shared" si="7"/>
        <v>SCI</v>
      </c>
      <c r="M75" s="143" t="str">
        <f t="shared" si="7"/>
        <v>EARL</v>
      </c>
      <c r="N75" s="143" t="str">
        <f t="shared" si="7"/>
        <v>ETA</v>
      </c>
      <c r="O75" s="143" t="str">
        <f t="shared" si="7"/>
        <v>SCEA</v>
      </c>
      <c r="P75" s="143" t="str">
        <f t="shared" si="7"/>
        <v>GROUPEMENT</v>
      </c>
      <c r="Q75" s="143" t="str">
        <f t="shared" si="7"/>
        <v>EIRL</v>
      </c>
      <c r="R75" s="143" t="str">
        <f t="shared" si="7"/>
        <v>AUTRES</v>
      </c>
      <c r="S75" s="144"/>
      <c r="T75" s="145" t="s">
        <v>86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281"/>
      <c r="C76" s="146" t="s">
        <v>109</v>
      </c>
      <c r="D76" s="138">
        <f>COUNTIFS($I$3:$I$51,"&lt;&gt;",$D$3:$D$51,"ACS")</f>
        <v>1</v>
      </c>
      <c r="E76" s="147">
        <f>+COUNTIFS($I$3:$I$51,"&lt;&gt;",$F$3:$F$51,"SARL")</f>
        <v>1</v>
      </c>
      <c r="F76" s="138">
        <f>+COUNTIFS($I3:$I51,"&lt;&gt;",$F$3:$F$51,"EURL")</f>
        <v>0</v>
      </c>
      <c r="G76" s="148">
        <f>COUNTIFS($I$3:$I$51,"&lt;&gt;",$F$3:$F$51,"SAS",$D$3:$D$51,"ACS")</f>
        <v>0</v>
      </c>
      <c r="H76" s="138">
        <f>COUNTIFS($I$3:$I$51,"&lt;&gt;",$F$3:$F$51,"INDIVIDUEL",$D$3:$D$51,"ACS")</f>
        <v>0</v>
      </c>
      <c r="I76" s="138">
        <f>COUNTIFS($I$3:$I$51,"&lt;&gt;",$F$3:$F$51,"ASSOCIATION")</f>
        <v>0</v>
      </c>
      <c r="J76" s="138"/>
      <c r="K76" s="138">
        <f>COUNTIFS($I$3:$I$51,"&lt;&gt;",$F$3:$F$51,"SNC")</f>
        <v>0</v>
      </c>
      <c r="L76" s="138">
        <f>COUNTIFS($I$3:$I$51,"&lt;&gt;",$F$3:$F$51,"SCI")</f>
        <v>0</v>
      </c>
      <c r="M76" s="149"/>
      <c r="N76" s="150"/>
      <c r="O76" s="151"/>
      <c r="P76" s="138">
        <f>COUNTIFS($I$3:$I$51,"&lt;&gt;",$F$3:$F$51,"GROUPEMENT")</f>
        <v>0</v>
      </c>
      <c r="Q76" s="152">
        <f>COUNTIFS($I$3:$I$51,"&lt;&gt;",$F$3:$F$51,"EIRL")</f>
        <v>0</v>
      </c>
      <c r="R76" s="138">
        <f>COUNTIFS($I$3:$I$51,"&lt;&gt;",$F$3:$F$51,"AUTRES")</f>
        <v>0</v>
      </c>
      <c r="S76" s="148"/>
      <c r="T76" s="148">
        <f>+SUM(E76:P76)</f>
        <v>1</v>
      </c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/>
      <c r="C77" s="146" t="s">
        <v>121</v>
      </c>
      <c r="D77" s="138">
        <f>COUNTIFS($I$3:$I$51,"&lt;&gt;",$D$3:$D$51,"BNC")</f>
        <v>0</v>
      </c>
      <c r="E77" s="153"/>
      <c r="F77" s="138"/>
      <c r="G77" s="154"/>
      <c r="H77" s="155"/>
      <c r="I77" s="151"/>
      <c r="J77" s="138">
        <f>COUNTIFS($I$3:$I$51,"&lt;&gt;",$D$3:$D$51,"BNC")</f>
        <v>0</v>
      </c>
      <c r="K77" s="138"/>
      <c r="L77" s="138"/>
      <c r="M77" s="138"/>
      <c r="N77" s="138"/>
      <c r="O77" s="138"/>
      <c r="P77" s="138"/>
      <c r="Q77" s="152"/>
      <c r="R77" s="138"/>
      <c r="S77" s="148"/>
      <c r="T77" s="148">
        <f>+SUM(E77:P77)</f>
        <v>0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81"/>
      <c r="C78" s="138" t="s">
        <v>122</v>
      </c>
      <c r="D78" s="138">
        <f>COUNTIFS($I$3:$I$51,"&lt;&gt;",$D$3:$D$51,"AGRI")</f>
        <v>0</v>
      </c>
      <c r="E78" s="152"/>
      <c r="F78" s="138"/>
      <c r="G78" s="148">
        <f>COUNTIFS($I$3:$I$51,"&lt;&gt;",$F$3:$F$51,"SAS",$D$3:$D$51,"AGRI")</f>
        <v>0</v>
      </c>
      <c r="H78" s="138">
        <f>COUNTIFS($F$3:$F$51,"INDIVIDUEL",$D$3:$D$51,"AGRI",$I3:$I$51,"&lt;&gt;")</f>
        <v>0</v>
      </c>
      <c r="I78" s="138"/>
      <c r="J78" s="138"/>
      <c r="K78" s="138"/>
      <c r="L78" s="138"/>
      <c r="M78" s="138" t="e">
        <f>COUNTIFS($I$3:$I$51,"&lt;&gt;",$F$3:$F$53,"EARL")</f>
        <v>#VALUE!</v>
      </c>
      <c r="N78" s="138" t="e">
        <f>COUNTIFS($I$3:$I$51,"&lt;&gt;",$F$3:$F$53,"ETA")</f>
        <v>#VALUE!</v>
      </c>
      <c r="O78" s="138" t="e">
        <f>COUNTIFS($I$3:$I$51,"&lt;&gt;",$F$3:$F$53,"SCEA")</f>
        <v>#VALUE!</v>
      </c>
      <c r="P78" s="138"/>
      <c r="Q78" s="152"/>
      <c r="R78" s="138"/>
      <c r="S78" s="148"/>
      <c r="T78" s="148" t="e">
        <f>+SUM(E78:P78)</f>
        <v>#VALUE!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81" t="s">
        <v>123</v>
      </c>
      <c r="C79" s="281"/>
      <c r="D79" s="138">
        <f t="shared" ref="D79:R79" si="8">+SUM(D76:D78)</f>
        <v>1</v>
      </c>
      <c r="E79" s="152">
        <f t="shared" si="8"/>
        <v>1</v>
      </c>
      <c r="F79" s="152">
        <f t="shared" si="8"/>
        <v>0</v>
      </c>
      <c r="G79" s="152">
        <f t="shared" si="8"/>
        <v>0</v>
      </c>
      <c r="H79" s="152">
        <f t="shared" si="8"/>
        <v>0</v>
      </c>
      <c r="I79" s="152">
        <f t="shared" si="8"/>
        <v>0</v>
      </c>
      <c r="J79" s="152">
        <f t="shared" si="8"/>
        <v>0</v>
      </c>
      <c r="K79" s="152">
        <f t="shared" si="8"/>
        <v>0</v>
      </c>
      <c r="L79" s="152">
        <f t="shared" si="8"/>
        <v>0</v>
      </c>
      <c r="M79" s="152" t="e">
        <f t="shared" si="8"/>
        <v>#VALUE!</v>
      </c>
      <c r="N79" s="152" t="e">
        <f t="shared" si="8"/>
        <v>#VALUE!</v>
      </c>
      <c r="O79" s="152" t="e">
        <f t="shared" si="8"/>
        <v>#VALUE!</v>
      </c>
      <c r="P79" s="152">
        <f t="shared" si="8"/>
        <v>0</v>
      </c>
      <c r="Q79" s="152">
        <f t="shared" si="8"/>
        <v>0</v>
      </c>
      <c r="R79" s="152">
        <f t="shared" si="8"/>
        <v>0</v>
      </c>
      <c r="S79" s="156"/>
      <c r="T79" s="148" t="e">
        <f>+SUM(T76:T78)</f>
        <v>#VALUE!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137"/>
      <c r="C80" s="137"/>
      <c r="D80" s="137"/>
      <c r="E80" s="137"/>
      <c r="F80" s="137"/>
      <c r="G80" s="137"/>
      <c r="H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  <c r="S80" s="137"/>
      <c r="T80" s="137"/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82">
        <v>44196</v>
      </c>
      <c r="C81" s="138"/>
      <c r="D81" s="138"/>
      <c r="E81" s="140" t="str">
        <f t="shared" ref="E81:R81" si="9">E56</f>
        <v>SARL</v>
      </c>
      <c r="F81" s="138" t="str">
        <f t="shared" si="9"/>
        <v>EURL</v>
      </c>
      <c r="G81" s="141" t="str">
        <f t="shared" si="9"/>
        <v>SAS</v>
      </c>
      <c r="H81" s="142" t="str">
        <f t="shared" si="9"/>
        <v>INDIVIDUEL</v>
      </c>
      <c r="I81" s="142" t="str">
        <f t="shared" si="9"/>
        <v>ASSOCIATION</v>
      </c>
      <c r="J81" s="143" t="str">
        <f t="shared" si="9"/>
        <v>PROFESSION LIBERALE</v>
      </c>
      <c r="K81" s="143" t="str">
        <f t="shared" si="9"/>
        <v>SNC</v>
      </c>
      <c r="L81" s="143" t="str">
        <f t="shared" si="9"/>
        <v>SCI</v>
      </c>
      <c r="M81" s="143" t="str">
        <f t="shared" si="9"/>
        <v>EARL</v>
      </c>
      <c r="N81" s="143" t="str">
        <f t="shared" si="9"/>
        <v>ETA</v>
      </c>
      <c r="O81" s="143" t="str">
        <f t="shared" si="9"/>
        <v>SCEA</v>
      </c>
      <c r="P81" s="143" t="str">
        <f t="shared" si="9"/>
        <v>GROUPEMENT</v>
      </c>
      <c r="Q81" s="138" t="str">
        <f t="shared" si="9"/>
        <v>EIRL</v>
      </c>
      <c r="R81" s="138" t="str">
        <f t="shared" si="9"/>
        <v>AUTRES</v>
      </c>
      <c r="S81" s="138"/>
      <c r="T81" s="143" t="s">
        <v>86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B82" s="281"/>
      <c r="C82" s="146" t="s">
        <v>109</v>
      </c>
      <c r="D82" s="138">
        <f>COUNTIFS($I$3:$I$51,"&lt;&gt;",$E$3:$E$51,DATE(Paramètres!A4,Paramètres!D15,Paramètres!C15),$D$3:$D$51,"ACS")</f>
        <v>1</v>
      </c>
      <c r="E82" s="147">
        <f>COUNTIFS($I$3:$I$51,"&lt;&gt;",$E$3:$E$51,DATE(Paramètres!A4,Paramètres!D15,Paramètres!C15),$F$3:$F$51,"SARL")</f>
        <v>1</v>
      </c>
      <c r="F82" s="138">
        <f>+COUNTIFS($I$3:$I$51,"&lt;&gt;",$E$3:$E$51,DATE(Paramètres!A4,Paramètres!D15,Paramètres!C15),$F$3:$F$51,"EURL")</f>
        <v>0</v>
      </c>
      <c r="G82" s="148">
        <f>COUNTIFS($I$3:$I$51,"&lt;&gt;",$E$3:$E$51,DATE(Paramètres!A4,Paramètres!D15,Paramètres!C15),$F$3:$F$51,"SAS",$D$3:$D$51,"ACS")</f>
        <v>0</v>
      </c>
      <c r="H82" s="138">
        <f>COUNTIFS($I$3:$I$51,"&lt;&gt;",$E$3:$E$51,DATE(Paramètres!A4,Paramètres!D15,Paramètres!C15),$F$3:$F$51,"INDIVIDUEL",$D$3:$D$51,"ACS")</f>
        <v>0</v>
      </c>
      <c r="I82" s="138">
        <f>+COUNTIFS($I$3:$I$51,"&lt;&gt;",$E$3:$E$51,DATE(Paramètres!A4,Paramètres!D15,Paramètres!C15),$F$3:$F$51,"ASSOCIATION")</f>
        <v>0</v>
      </c>
      <c r="J82" s="138"/>
      <c r="K82" s="138">
        <f>COUNTIFS($I$3:$I$51,"&lt;&gt;",$E$3:$E$51,DATE(Paramètres!A4,Paramètres!D15,Paramètres!C15),$F$3:$F$51,"SNC")</f>
        <v>0</v>
      </c>
      <c r="L82" s="138">
        <f>COUNTIFS($I$3:$I$51,"&lt;&gt;",$E$3:$E$51,DATE(Paramètres!A4,Paramètres!D15,Paramètres!C15),$F$3:$F$51,"SCI")</f>
        <v>0</v>
      </c>
      <c r="M82" s="149"/>
      <c r="N82" s="150"/>
      <c r="O82" s="151"/>
      <c r="P82" s="138">
        <f>COUNTIFS($I$3:$I$51,"&lt;&gt;",$E$3:$E$51,DATE(Paramètres!A4,Paramètres!D15,Paramètres!C15),$F$3:$F$51,"GROUPEMENT")</f>
        <v>0</v>
      </c>
      <c r="Q82" s="138">
        <f>COUNTIFS($I$3:$I$51,"&lt;&gt;",$E$3:$E$51,DATE(Paramètres!A4,Paramètres!D15,Paramètres!C15),$F$3:$F$51,"EIRL")</f>
        <v>0</v>
      </c>
      <c r="R82" s="138">
        <f>COUNTIFS($I$3:$I$51,"&lt;&gt;",$E$3:$E$51,DATE(Paramètres!A4,Paramètres!D15,Paramètres!C15),$F$3:$F$51,"AUTRES")</f>
        <v>0</v>
      </c>
      <c r="S82" s="138"/>
      <c r="T82" s="138">
        <f>+SUM(E82:P82)</f>
        <v>1</v>
      </c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281"/>
      <c r="C83" s="146" t="s">
        <v>121</v>
      </c>
      <c r="D83" s="138">
        <f>COUNTIFS($I$3:$I$51,"&lt;&gt;",$E$3:$E$51,DATE(Paramètres!A4,Paramètres!D15,Paramètres!C15),$D$3:$D$51,"BNC")</f>
        <v>0</v>
      </c>
      <c r="E83" s="153"/>
      <c r="F83" s="138"/>
      <c r="G83" s="154"/>
      <c r="H83" s="155"/>
      <c r="I83" s="151"/>
      <c r="J83" s="138">
        <f>COUNTIFS($I$3:$I$51,"&lt;&gt;",$E$3:$E$51,DATE(Paramètres!A4,Paramètres!D15,Paramètres!C15),$D$3:$D$51,"BNC")</f>
        <v>0</v>
      </c>
      <c r="K83" s="149"/>
      <c r="L83" s="150"/>
      <c r="M83" s="150"/>
      <c r="N83" s="150"/>
      <c r="O83" s="150"/>
      <c r="P83" s="151"/>
      <c r="Q83" s="138"/>
      <c r="R83" s="138"/>
      <c r="S83" s="138"/>
      <c r="T83" s="138">
        <f>+SUM(E83:P83)</f>
        <v>0</v>
      </c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1"/>
      <c r="C84" s="138" t="s">
        <v>122</v>
      </c>
      <c r="D84" s="138">
        <f>COUNTIFS($I$3:$I$51,"&lt;&gt;",$E$3:$E$51,DATE(Paramètres!A4,Paramètres!D15,Paramètres!C15),$D$3:$D$51,"AGRI")</f>
        <v>0</v>
      </c>
      <c r="E84" s="153"/>
      <c r="F84" s="138"/>
      <c r="G84" s="154">
        <f>COUNTIFS($I$3:$I$51,"&lt;&gt;",$E$3:$E$51,DATE(Paramètres!A4,Paramètres!D15,Paramètres!C15),$F$3:$F$51,"SAS",$D$3:$D$51,"AGRI")</f>
        <v>0</v>
      </c>
      <c r="H84" s="138">
        <f>COUNTIFS($I$3:$I$51,"&lt;&gt;",$E$3:$E$51,DATE(Paramètres!A4,Paramètres!D15,Paramètres!C15),$F$3:$F$51,"INDIVIDUEL",$D$3:$D$51,"AGRI")</f>
        <v>0</v>
      </c>
      <c r="I84" s="152"/>
      <c r="J84" s="149"/>
      <c r="K84" s="150"/>
      <c r="L84" s="151"/>
      <c r="M84" s="138">
        <f>COUNTIFS($I$3:$I$51,"&lt;&gt;",$BB$3:$BB$51,"X",$E$3:$E$51,DATE(Paramètres!A4,Paramètres!D15,Paramètres!C15),$F$3:$F$51,"EARL")</f>
        <v>0</v>
      </c>
      <c r="N84" s="138">
        <f>COUNTIFS($I$3:$I$51,"&lt;&gt;",$E$3:$E$51,DATE(Paramètres!A4,Paramètres!D15,Paramètres!C15),$F$3:$F$51,"ETA")</f>
        <v>0</v>
      </c>
      <c r="O84" s="138">
        <f>COUNTIFS($I$3:$I$51,"&lt;&gt;",$E$3:$E$51,DATE(Paramètres!A4,Paramètres!D15,Paramètres!C15),$F$3:$F$51,"SCEA")</f>
        <v>0</v>
      </c>
      <c r="P84" s="138"/>
      <c r="Q84" s="138"/>
      <c r="R84" s="138"/>
      <c r="S84" s="138"/>
      <c r="T84" s="138">
        <f>+SUM(E84:P84)</f>
        <v>0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 t="s">
        <v>123</v>
      </c>
      <c r="C85" s="281"/>
      <c r="D85" s="138">
        <f t="shared" ref="D85:R85" si="10">+SUM(D82:D84)</f>
        <v>1</v>
      </c>
      <c r="E85" s="152">
        <f t="shared" si="10"/>
        <v>1</v>
      </c>
      <c r="F85" s="152">
        <f t="shared" si="10"/>
        <v>0</v>
      </c>
      <c r="G85" s="152">
        <f t="shared" si="10"/>
        <v>0</v>
      </c>
      <c r="H85" s="152">
        <f t="shared" si="10"/>
        <v>0</v>
      </c>
      <c r="I85" s="152">
        <f t="shared" si="10"/>
        <v>0</v>
      </c>
      <c r="J85" s="152">
        <f t="shared" si="10"/>
        <v>0</v>
      </c>
      <c r="K85" s="152">
        <f t="shared" si="10"/>
        <v>0</v>
      </c>
      <c r="L85" s="152">
        <f t="shared" si="10"/>
        <v>0</v>
      </c>
      <c r="M85" s="152">
        <f t="shared" si="10"/>
        <v>0</v>
      </c>
      <c r="N85" s="152">
        <f t="shared" si="10"/>
        <v>0</v>
      </c>
      <c r="O85" s="152">
        <f t="shared" si="10"/>
        <v>0</v>
      </c>
      <c r="P85" s="152">
        <f t="shared" si="10"/>
        <v>0</v>
      </c>
      <c r="Q85" s="152">
        <f t="shared" si="10"/>
        <v>0</v>
      </c>
      <c r="R85" s="152">
        <f t="shared" si="10"/>
        <v>0</v>
      </c>
      <c r="S85" s="152"/>
      <c r="T85" s="138">
        <f>+SUM(T82:T84)</f>
        <v>1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137"/>
      <c r="C86" s="137"/>
      <c r="D86" s="137"/>
      <c r="E86" s="137"/>
      <c r="F86" s="137"/>
      <c r="G86" s="137"/>
      <c r="H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  <c r="S86" s="137"/>
      <c r="T86" s="137"/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 t="s">
        <v>40</v>
      </c>
      <c r="C87" s="138"/>
      <c r="D87" s="138"/>
      <c r="E87" s="140" t="str">
        <f t="shared" ref="E87:R87" si="11">E56</f>
        <v>SARL</v>
      </c>
      <c r="F87" s="138" t="str">
        <f t="shared" si="11"/>
        <v>EURL</v>
      </c>
      <c r="G87" s="141" t="str">
        <f t="shared" si="11"/>
        <v>SAS</v>
      </c>
      <c r="H87" s="142" t="str">
        <f t="shared" si="11"/>
        <v>INDIVIDUEL</v>
      </c>
      <c r="I87" s="142" t="str">
        <f t="shared" si="11"/>
        <v>ASSOCIATION</v>
      </c>
      <c r="J87" s="143" t="str">
        <f t="shared" si="11"/>
        <v>PROFESSION LIBERALE</v>
      </c>
      <c r="K87" s="143" t="str">
        <f t="shared" si="11"/>
        <v>SNC</v>
      </c>
      <c r="L87" s="143" t="str">
        <f t="shared" si="11"/>
        <v>SCI</v>
      </c>
      <c r="M87" s="143" t="str">
        <f t="shared" si="11"/>
        <v>EARL</v>
      </c>
      <c r="N87" s="143" t="str">
        <f t="shared" si="11"/>
        <v>ETA</v>
      </c>
      <c r="O87" s="143" t="str">
        <f t="shared" si="11"/>
        <v>SCEA</v>
      </c>
      <c r="P87" s="143" t="str">
        <f t="shared" si="11"/>
        <v>GROUPEMENT</v>
      </c>
      <c r="Q87" s="138" t="str">
        <f t="shared" si="11"/>
        <v>EIRL</v>
      </c>
      <c r="R87" s="138" t="str">
        <f t="shared" si="11"/>
        <v>AUTRES</v>
      </c>
      <c r="S87" s="138"/>
      <c r="T87" s="143" t="s">
        <v>86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/>
      <c r="C88" s="146" t="s">
        <v>109</v>
      </c>
      <c r="D88" s="138">
        <f>+D76-D82</f>
        <v>0</v>
      </c>
      <c r="E88" s="152">
        <f>+E76-E82</f>
        <v>0</v>
      </c>
      <c r="F88" s="152">
        <f t="shared" ref="F88:R88" si="12">+F76-F82</f>
        <v>0</v>
      </c>
      <c r="G88" s="152">
        <f t="shared" si="12"/>
        <v>0</v>
      </c>
      <c r="H88" s="152">
        <f t="shared" si="12"/>
        <v>0</v>
      </c>
      <c r="I88" s="152">
        <f t="shared" si="12"/>
        <v>0</v>
      </c>
      <c r="J88" s="152">
        <f t="shared" si="12"/>
        <v>0</v>
      </c>
      <c r="K88" s="152">
        <f t="shared" si="12"/>
        <v>0</v>
      </c>
      <c r="L88" s="152">
        <f t="shared" si="12"/>
        <v>0</v>
      </c>
      <c r="M88" s="152">
        <f t="shared" si="12"/>
        <v>0</v>
      </c>
      <c r="N88" s="152">
        <f t="shared" si="12"/>
        <v>0</v>
      </c>
      <c r="O88" s="152">
        <f t="shared" si="12"/>
        <v>0</v>
      </c>
      <c r="P88" s="152">
        <f t="shared" si="12"/>
        <v>0</v>
      </c>
      <c r="Q88" s="152">
        <f t="shared" si="12"/>
        <v>0</v>
      </c>
      <c r="R88" s="152">
        <f t="shared" si="12"/>
        <v>0</v>
      </c>
      <c r="S88" s="152"/>
      <c r="T88" s="138">
        <f>+SUM(E88:P88)</f>
        <v>0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281"/>
      <c r="C89" s="146" t="s">
        <v>121</v>
      </c>
      <c r="D89" s="138">
        <f>+D77-D83</f>
        <v>0</v>
      </c>
      <c r="E89" s="138">
        <f t="shared" ref="E89:R91" si="13">+E77-E83</f>
        <v>0</v>
      </c>
      <c r="F89" s="138">
        <f t="shared" si="13"/>
        <v>0</v>
      </c>
      <c r="G89" s="138">
        <f t="shared" si="13"/>
        <v>0</v>
      </c>
      <c r="H89" s="138">
        <f t="shared" si="13"/>
        <v>0</v>
      </c>
      <c r="I89" s="138">
        <f t="shared" si="13"/>
        <v>0</v>
      </c>
      <c r="J89" s="138">
        <f t="shared" si="13"/>
        <v>0</v>
      </c>
      <c r="K89" s="138">
        <f t="shared" si="13"/>
        <v>0</v>
      </c>
      <c r="L89" s="138">
        <f t="shared" si="13"/>
        <v>0</v>
      </c>
      <c r="M89" s="138">
        <f t="shared" si="13"/>
        <v>0</v>
      </c>
      <c r="N89" s="138">
        <f t="shared" si="13"/>
        <v>0</v>
      </c>
      <c r="O89" s="138">
        <f t="shared" si="13"/>
        <v>0</v>
      </c>
      <c r="P89" s="138">
        <f t="shared" si="13"/>
        <v>0</v>
      </c>
      <c r="Q89" s="138">
        <f t="shared" si="13"/>
        <v>0</v>
      </c>
      <c r="R89" s="138">
        <f t="shared" si="13"/>
        <v>0</v>
      </c>
      <c r="S89" s="138"/>
      <c r="T89" s="138">
        <f>+SUM(E89:P89)</f>
        <v>0</v>
      </c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1"/>
      <c r="C90" s="138" t="s">
        <v>122</v>
      </c>
      <c r="D90" s="138">
        <f>+D78-D84</f>
        <v>0</v>
      </c>
      <c r="E90" s="138">
        <f t="shared" si="13"/>
        <v>0</v>
      </c>
      <c r="F90" s="138">
        <f t="shared" si="13"/>
        <v>0</v>
      </c>
      <c r="G90" s="138">
        <f t="shared" si="13"/>
        <v>0</v>
      </c>
      <c r="H90" s="138">
        <f t="shared" si="13"/>
        <v>0</v>
      </c>
      <c r="I90" s="138">
        <f t="shared" si="13"/>
        <v>0</v>
      </c>
      <c r="J90" s="138">
        <f t="shared" si="13"/>
        <v>0</v>
      </c>
      <c r="K90" s="138">
        <f t="shared" si="13"/>
        <v>0</v>
      </c>
      <c r="L90" s="138">
        <f t="shared" si="13"/>
        <v>0</v>
      </c>
      <c r="M90" s="138" t="e">
        <f t="shared" si="13"/>
        <v>#VALUE!</v>
      </c>
      <c r="N90" s="138" t="e">
        <f t="shared" si="13"/>
        <v>#VALUE!</v>
      </c>
      <c r="O90" s="138" t="e">
        <f t="shared" si="13"/>
        <v>#VALUE!</v>
      </c>
      <c r="P90" s="138">
        <f t="shared" si="13"/>
        <v>0</v>
      </c>
      <c r="Q90" s="138">
        <f t="shared" si="13"/>
        <v>0</v>
      </c>
      <c r="R90" s="138">
        <f t="shared" si="13"/>
        <v>0</v>
      </c>
      <c r="S90" s="138"/>
      <c r="T90" s="138" t="e">
        <f>+SUM(E90:P90)</f>
        <v>#VALUE!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 t="s">
        <v>123</v>
      </c>
      <c r="C91" s="281"/>
      <c r="D91" s="138">
        <f>+D79-D85</f>
        <v>0</v>
      </c>
      <c r="E91" s="138">
        <f t="shared" si="13"/>
        <v>0</v>
      </c>
      <c r="F91" s="138">
        <f t="shared" si="13"/>
        <v>0</v>
      </c>
      <c r="G91" s="138">
        <f t="shared" si="13"/>
        <v>0</v>
      </c>
      <c r="H91" s="138">
        <f t="shared" si="13"/>
        <v>0</v>
      </c>
      <c r="I91" s="138">
        <f t="shared" si="13"/>
        <v>0</v>
      </c>
      <c r="J91" s="138">
        <f t="shared" si="13"/>
        <v>0</v>
      </c>
      <c r="K91" s="138">
        <f t="shared" si="13"/>
        <v>0</v>
      </c>
      <c r="L91" s="138">
        <f t="shared" si="13"/>
        <v>0</v>
      </c>
      <c r="M91" s="138" t="e">
        <f t="shared" si="13"/>
        <v>#VALUE!</v>
      </c>
      <c r="N91" s="138" t="e">
        <f t="shared" si="13"/>
        <v>#VALUE!</v>
      </c>
      <c r="O91" s="138" t="e">
        <f t="shared" si="13"/>
        <v>#VALUE!</v>
      </c>
      <c r="P91" s="138">
        <f t="shared" si="13"/>
        <v>0</v>
      </c>
      <c r="Q91" s="138">
        <f t="shared" si="13"/>
        <v>0</v>
      </c>
      <c r="R91" s="138">
        <f t="shared" si="13"/>
        <v>0</v>
      </c>
      <c r="S91" s="138"/>
      <c r="T91" s="138" t="e">
        <f>+SUM(T88:T90)</f>
        <v>#VALUE!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89" t="s">
        <v>133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275" t="s">
        <v>120</v>
      </c>
      <c r="C95" s="122"/>
      <c r="D95" s="122"/>
      <c r="E95" s="157" t="str">
        <f t="shared" ref="E95:R95" si="14">E56</f>
        <v>SARL</v>
      </c>
      <c r="F95" s="121" t="str">
        <f t="shared" si="14"/>
        <v>EURL</v>
      </c>
      <c r="G95" s="158" t="str">
        <f t="shared" si="14"/>
        <v>SAS</v>
      </c>
      <c r="H95" s="158" t="str">
        <f t="shared" si="14"/>
        <v>INDIVIDUEL</v>
      </c>
      <c r="I95" s="158" t="str">
        <f t="shared" si="14"/>
        <v>ASSOCIATION</v>
      </c>
      <c r="J95" s="157" t="str">
        <f t="shared" si="14"/>
        <v>PROFESSION LIBERALE</v>
      </c>
      <c r="K95" s="157" t="str">
        <f t="shared" si="14"/>
        <v>SNC</v>
      </c>
      <c r="L95" s="157" t="str">
        <f t="shared" si="14"/>
        <v>SCI</v>
      </c>
      <c r="M95" s="157" t="str">
        <f t="shared" si="14"/>
        <v>EARL</v>
      </c>
      <c r="N95" s="157" t="str">
        <f t="shared" si="14"/>
        <v>ETA</v>
      </c>
      <c r="O95" s="157" t="str">
        <f t="shared" si="14"/>
        <v>SCEA</v>
      </c>
      <c r="P95" s="157" t="str">
        <f t="shared" si="14"/>
        <v>GROUPEMENT</v>
      </c>
      <c r="Q95" s="121" t="str">
        <f t="shared" si="14"/>
        <v>EIRL</v>
      </c>
      <c r="R95" s="121" t="str">
        <f t="shared" si="14"/>
        <v>AUTRES</v>
      </c>
      <c r="S95" s="121"/>
      <c r="T95" s="157" t="s">
        <v>86</v>
      </c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/>
      <c r="C96" s="120" t="s">
        <v>109</v>
      </c>
      <c r="D96" s="122">
        <f>+D57-D76</f>
        <v>0</v>
      </c>
      <c r="E96" s="122">
        <f t="shared" ref="E96:R98" si="15">+E57-E76</f>
        <v>0</v>
      </c>
      <c r="F96" s="122">
        <f t="shared" si="15"/>
        <v>0</v>
      </c>
      <c r="G96" s="122">
        <f t="shared" si="15"/>
        <v>0</v>
      </c>
      <c r="H96" s="122">
        <f t="shared" si="15"/>
        <v>0</v>
      </c>
      <c r="I96" s="122">
        <f t="shared" si="15"/>
        <v>0</v>
      </c>
      <c r="J96" s="122">
        <f t="shared" si="15"/>
        <v>0</v>
      </c>
      <c r="K96" s="122">
        <f t="shared" si="15"/>
        <v>0</v>
      </c>
      <c r="L96" s="122">
        <f t="shared" si="15"/>
        <v>0</v>
      </c>
      <c r="M96" s="122">
        <f t="shared" si="15"/>
        <v>0</v>
      </c>
      <c r="N96" s="122">
        <f t="shared" si="15"/>
        <v>0</v>
      </c>
      <c r="O96" s="122">
        <f t="shared" si="15"/>
        <v>0</v>
      </c>
      <c r="P96" s="122">
        <f t="shared" si="15"/>
        <v>0</v>
      </c>
      <c r="Q96" s="122">
        <f t="shared" si="15"/>
        <v>0</v>
      </c>
      <c r="R96" s="122">
        <f t="shared" si="15"/>
        <v>0</v>
      </c>
      <c r="S96" s="122"/>
      <c r="T96" s="122">
        <f>+SUM(E96:P96)</f>
        <v>0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20" t="s">
        <v>121</v>
      </c>
      <c r="D97" s="122">
        <f>+D58-D77</f>
        <v>0</v>
      </c>
      <c r="E97" s="122">
        <f t="shared" si="15"/>
        <v>0</v>
      </c>
      <c r="F97" s="122">
        <f t="shared" si="15"/>
        <v>0</v>
      </c>
      <c r="G97" s="122">
        <f t="shared" si="15"/>
        <v>0</v>
      </c>
      <c r="H97" s="122">
        <f t="shared" si="15"/>
        <v>0</v>
      </c>
      <c r="I97" s="122">
        <f t="shared" si="15"/>
        <v>0</v>
      </c>
      <c r="J97" s="122">
        <f t="shared" si="15"/>
        <v>0</v>
      </c>
      <c r="K97" s="122">
        <f t="shared" si="15"/>
        <v>0</v>
      </c>
      <c r="L97" s="122">
        <f t="shared" si="15"/>
        <v>0</v>
      </c>
      <c r="M97" s="122">
        <f t="shared" si="15"/>
        <v>0</v>
      </c>
      <c r="N97" s="122">
        <f t="shared" si="15"/>
        <v>0</v>
      </c>
      <c r="O97" s="122">
        <f t="shared" si="15"/>
        <v>0</v>
      </c>
      <c r="P97" s="122">
        <f t="shared" si="15"/>
        <v>0</v>
      </c>
      <c r="Q97" s="122">
        <f t="shared" si="15"/>
        <v>0</v>
      </c>
      <c r="R97" s="122">
        <f t="shared" si="15"/>
        <v>0</v>
      </c>
      <c r="S97" s="122"/>
      <c r="T97" s="122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7"/>
      <c r="C98" s="122" t="s">
        <v>122</v>
      </c>
      <c r="D98" s="122">
        <f>+D59-D78</f>
        <v>0</v>
      </c>
      <c r="E98" s="122">
        <f t="shared" si="15"/>
        <v>0</v>
      </c>
      <c r="F98" s="122">
        <f t="shared" si="15"/>
        <v>0</v>
      </c>
      <c r="G98" s="122">
        <f t="shared" si="15"/>
        <v>0</v>
      </c>
      <c r="H98" s="122">
        <f t="shared" si="15"/>
        <v>0</v>
      </c>
      <c r="I98" s="122">
        <f t="shared" si="15"/>
        <v>0</v>
      </c>
      <c r="J98" s="122">
        <f t="shared" si="15"/>
        <v>0</v>
      </c>
      <c r="K98" s="122">
        <f t="shared" si="15"/>
        <v>0</v>
      </c>
      <c r="L98" s="122">
        <f t="shared" si="15"/>
        <v>0</v>
      </c>
      <c r="M98" s="122" t="e">
        <f t="shared" si="15"/>
        <v>#VALUE!</v>
      </c>
      <c r="N98" s="122" t="e">
        <f t="shared" si="15"/>
        <v>#VALUE!</v>
      </c>
      <c r="O98" s="122" t="e">
        <f t="shared" si="15"/>
        <v>#VALUE!</v>
      </c>
      <c r="P98" s="122">
        <f t="shared" si="15"/>
        <v>0</v>
      </c>
      <c r="Q98" s="122">
        <f t="shared" si="15"/>
        <v>0</v>
      </c>
      <c r="R98" s="122">
        <f t="shared" si="15"/>
        <v>0</v>
      </c>
      <c r="S98" s="122"/>
      <c r="T98" s="122" t="e">
        <f>+SUM(E98:P98)</f>
        <v>#VALUE!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8" t="s">
        <v>123</v>
      </c>
      <c r="C99" s="278"/>
      <c r="D99" s="122">
        <f t="shared" ref="D99:R99" si="16">+SUM(D96:D98)</f>
        <v>0</v>
      </c>
      <c r="E99" s="122">
        <f t="shared" si="16"/>
        <v>0</v>
      </c>
      <c r="F99" s="122">
        <f t="shared" si="16"/>
        <v>0</v>
      </c>
      <c r="G99" s="122">
        <f t="shared" si="16"/>
        <v>0</v>
      </c>
      <c r="H99" s="122">
        <f t="shared" si="16"/>
        <v>0</v>
      </c>
      <c r="I99" s="122">
        <f t="shared" si="16"/>
        <v>0</v>
      </c>
      <c r="J99" s="122">
        <f t="shared" si="16"/>
        <v>0</v>
      </c>
      <c r="K99" s="122">
        <f t="shared" si="16"/>
        <v>0</v>
      </c>
      <c r="L99" s="122">
        <f t="shared" si="16"/>
        <v>0</v>
      </c>
      <c r="M99" s="122" t="e">
        <f t="shared" si="16"/>
        <v>#VALUE!</v>
      </c>
      <c r="N99" s="122" t="e">
        <f t="shared" si="16"/>
        <v>#VALUE!</v>
      </c>
      <c r="O99" s="122" t="e">
        <f t="shared" si="16"/>
        <v>#VALUE!</v>
      </c>
      <c r="P99" s="122">
        <f t="shared" si="16"/>
        <v>0</v>
      </c>
      <c r="Q99" s="122">
        <f t="shared" si="16"/>
        <v>0</v>
      </c>
      <c r="R99" s="122">
        <f t="shared" si="16"/>
        <v>0</v>
      </c>
      <c r="S99" s="122"/>
      <c r="T99" s="122" t="e">
        <f>+SUM(T96:T98)</f>
        <v>#VALUE!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90"/>
      <c r="C100" s="90"/>
      <c r="D100" s="90"/>
      <c r="E100" s="90"/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T100" s="90"/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B101" s="279">
        <v>44196</v>
      </c>
      <c r="C101" s="122"/>
      <c r="D101" s="122"/>
      <c r="E101" s="128" t="str">
        <f t="shared" ref="E101:R101" si="17">E56</f>
        <v>SARL</v>
      </c>
      <c r="F101" s="121" t="str">
        <f t="shared" si="17"/>
        <v>EURL</v>
      </c>
      <c r="G101" s="127" t="str">
        <f t="shared" si="17"/>
        <v>SAS</v>
      </c>
      <c r="H101" s="127" t="str">
        <f t="shared" si="17"/>
        <v>INDIVIDUEL</v>
      </c>
      <c r="I101" s="127" t="str">
        <f t="shared" si="17"/>
        <v>ASSOCIATION</v>
      </c>
      <c r="J101" s="128" t="str">
        <f t="shared" si="17"/>
        <v>PROFESSION LIBERALE</v>
      </c>
      <c r="K101" s="128" t="str">
        <f t="shared" si="17"/>
        <v>SNC</v>
      </c>
      <c r="L101" s="128" t="str">
        <f t="shared" si="17"/>
        <v>SCI</v>
      </c>
      <c r="M101" s="128" t="str">
        <f t="shared" si="17"/>
        <v>EARL</v>
      </c>
      <c r="N101" s="128" t="str">
        <f t="shared" si="17"/>
        <v>ETA</v>
      </c>
      <c r="O101" s="128" t="str">
        <f t="shared" si="17"/>
        <v>SCEA</v>
      </c>
      <c r="P101" s="128" t="str">
        <f t="shared" si="17"/>
        <v>GROUPEMENT</v>
      </c>
      <c r="Q101" s="128" t="str">
        <f t="shared" si="17"/>
        <v>EIRL</v>
      </c>
      <c r="R101" s="121" t="str">
        <f t="shared" si="17"/>
        <v>AUTRES</v>
      </c>
      <c r="S101" s="121"/>
      <c r="T101" s="128" t="s">
        <v>86</v>
      </c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276"/>
      <c r="C102" s="120" t="s">
        <v>109</v>
      </c>
      <c r="D102" s="122">
        <f>+D63-D82</f>
        <v>0</v>
      </c>
      <c r="E102" s="122">
        <f t="shared" ref="E102:R104" si="18">+E63-E82</f>
        <v>0</v>
      </c>
      <c r="F102" s="122">
        <f t="shared" si="18"/>
        <v>0</v>
      </c>
      <c r="G102" s="122">
        <f t="shared" si="18"/>
        <v>0</v>
      </c>
      <c r="H102" s="122">
        <f t="shared" si="18"/>
        <v>0</v>
      </c>
      <c r="I102" s="122">
        <f t="shared" si="18"/>
        <v>0</v>
      </c>
      <c r="J102" s="122">
        <f t="shared" si="18"/>
        <v>0</v>
      </c>
      <c r="K102" s="122">
        <f t="shared" si="18"/>
        <v>0</v>
      </c>
      <c r="L102" s="122">
        <f t="shared" si="18"/>
        <v>0</v>
      </c>
      <c r="M102" s="122">
        <f t="shared" si="18"/>
        <v>0</v>
      </c>
      <c r="N102" s="122">
        <f t="shared" si="18"/>
        <v>0</v>
      </c>
      <c r="O102" s="122">
        <f t="shared" si="18"/>
        <v>0</v>
      </c>
      <c r="P102" s="122">
        <f t="shared" si="18"/>
        <v>0</v>
      </c>
      <c r="Q102" s="122">
        <f t="shared" si="18"/>
        <v>0</v>
      </c>
      <c r="R102" s="122">
        <f t="shared" si="18"/>
        <v>0</v>
      </c>
      <c r="S102" s="122"/>
      <c r="T102" s="122">
        <f>+SUM(E102:P102)</f>
        <v>0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B103" s="276"/>
      <c r="C103" s="120" t="s">
        <v>121</v>
      </c>
      <c r="D103" s="122">
        <f>+D64-D83</f>
        <v>0</v>
      </c>
      <c r="E103" s="122">
        <f t="shared" si="18"/>
        <v>0</v>
      </c>
      <c r="F103" s="122">
        <f t="shared" si="18"/>
        <v>0</v>
      </c>
      <c r="G103" s="122">
        <f t="shared" si="18"/>
        <v>0</v>
      </c>
      <c r="H103" s="122">
        <f t="shared" si="18"/>
        <v>0</v>
      </c>
      <c r="I103" s="122">
        <f t="shared" si="18"/>
        <v>0</v>
      </c>
      <c r="J103" s="122">
        <f t="shared" si="18"/>
        <v>0</v>
      </c>
      <c r="K103" s="122">
        <f t="shared" si="18"/>
        <v>0</v>
      </c>
      <c r="L103" s="122">
        <f t="shared" si="18"/>
        <v>0</v>
      </c>
      <c r="M103" s="122">
        <f t="shared" si="18"/>
        <v>0</v>
      </c>
      <c r="N103" s="122">
        <f t="shared" si="18"/>
        <v>0</v>
      </c>
      <c r="O103" s="122">
        <f t="shared" si="18"/>
        <v>0</v>
      </c>
      <c r="P103" s="122">
        <f t="shared" si="18"/>
        <v>0</v>
      </c>
      <c r="Q103" s="122">
        <f t="shared" si="18"/>
        <v>0</v>
      </c>
      <c r="R103" s="122">
        <f t="shared" si="18"/>
        <v>0</v>
      </c>
      <c r="S103" s="122"/>
      <c r="T103" s="122">
        <f>+SUM(E103:P103)</f>
        <v>0</v>
      </c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7"/>
      <c r="C104" s="122" t="s">
        <v>122</v>
      </c>
      <c r="D104" s="122">
        <f>+D65-D84</f>
        <v>0</v>
      </c>
      <c r="E104" s="122">
        <f t="shared" si="18"/>
        <v>0</v>
      </c>
      <c r="F104" s="122">
        <f t="shared" si="18"/>
        <v>0</v>
      </c>
      <c r="G104" s="122">
        <f t="shared" si="18"/>
        <v>0</v>
      </c>
      <c r="H104" s="122">
        <f t="shared" si="18"/>
        <v>0</v>
      </c>
      <c r="I104" s="122">
        <f t="shared" si="18"/>
        <v>0</v>
      </c>
      <c r="J104" s="122">
        <f t="shared" si="18"/>
        <v>0</v>
      </c>
      <c r="K104" s="122">
        <f t="shared" si="18"/>
        <v>0</v>
      </c>
      <c r="L104" s="122">
        <f t="shared" si="18"/>
        <v>0</v>
      </c>
      <c r="M104" s="122">
        <f t="shared" si="18"/>
        <v>0</v>
      </c>
      <c r="N104" s="122">
        <f t="shared" si="18"/>
        <v>0</v>
      </c>
      <c r="O104" s="122">
        <f t="shared" si="18"/>
        <v>0</v>
      </c>
      <c r="P104" s="122">
        <f t="shared" si="18"/>
        <v>0</v>
      </c>
      <c r="Q104" s="122">
        <f t="shared" si="18"/>
        <v>0</v>
      </c>
      <c r="R104" s="122">
        <f t="shared" si="18"/>
        <v>0</v>
      </c>
      <c r="S104" s="122"/>
      <c r="T104" s="122">
        <f>+SUM(E104:P104)</f>
        <v>0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8" t="s">
        <v>123</v>
      </c>
      <c r="C105" s="278"/>
      <c r="D105" s="122">
        <f t="shared" ref="D105:R105" si="19">+SUM(D102:D104)</f>
        <v>0</v>
      </c>
      <c r="E105" s="122">
        <f t="shared" si="19"/>
        <v>0</v>
      </c>
      <c r="F105" s="122">
        <f t="shared" si="19"/>
        <v>0</v>
      </c>
      <c r="G105" s="122">
        <f t="shared" si="19"/>
        <v>0</v>
      </c>
      <c r="H105" s="122">
        <f t="shared" si="19"/>
        <v>0</v>
      </c>
      <c r="I105" s="122">
        <f t="shared" si="19"/>
        <v>0</v>
      </c>
      <c r="J105" s="122">
        <f t="shared" si="19"/>
        <v>0</v>
      </c>
      <c r="K105" s="122">
        <f t="shared" si="19"/>
        <v>0</v>
      </c>
      <c r="L105" s="122">
        <f t="shared" si="19"/>
        <v>0</v>
      </c>
      <c r="M105" s="122">
        <f t="shared" si="19"/>
        <v>0</v>
      </c>
      <c r="N105" s="122">
        <f t="shared" si="19"/>
        <v>0</v>
      </c>
      <c r="O105" s="122">
        <f t="shared" si="19"/>
        <v>0</v>
      </c>
      <c r="P105" s="122">
        <f t="shared" si="19"/>
        <v>0</v>
      </c>
      <c r="Q105" s="122">
        <f t="shared" si="19"/>
        <v>0</v>
      </c>
      <c r="R105" s="122">
        <f t="shared" si="19"/>
        <v>0</v>
      </c>
      <c r="S105" s="122"/>
      <c r="T105" s="122">
        <f>+SUM(T102:T104)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90"/>
      <c r="C106" s="90"/>
      <c r="D106" s="90"/>
      <c r="E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T106" s="90"/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9" t="s">
        <v>40</v>
      </c>
      <c r="C107" s="122"/>
      <c r="D107" s="122"/>
      <c r="E107" s="125" t="str">
        <f t="shared" ref="E107:R107" si="20">E56</f>
        <v>SARL</v>
      </c>
      <c r="F107" s="121" t="str">
        <f t="shared" si="20"/>
        <v>EURL</v>
      </c>
      <c r="G107" s="126" t="str">
        <f t="shared" si="20"/>
        <v>SAS</v>
      </c>
      <c r="H107" s="127" t="str">
        <f t="shared" si="20"/>
        <v>INDIVIDUEL</v>
      </c>
      <c r="I107" s="127" t="str">
        <f t="shared" si="20"/>
        <v>ASSOCIATION</v>
      </c>
      <c r="J107" s="128" t="str">
        <f t="shared" si="20"/>
        <v>PROFESSION LIBERALE</v>
      </c>
      <c r="K107" s="128" t="str">
        <f t="shared" si="20"/>
        <v>SNC</v>
      </c>
      <c r="L107" s="128" t="str">
        <f t="shared" si="20"/>
        <v>SCI</v>
      </c>
      <c r="M107" s="128" t="str">
        <f t="shared" si="20"/>
        <v>EARL</v>
      </c>
      <c r="N107" s="128" t="str">
        <f t="shared" si="20"/>
        <v>ETA</v>
      </c>
      <c r="O107" s="128" t="str">
        <f t="shared" si="20"/>
        <v>SCEA</v>
      </c>
      <c r="P107" s="128" t="str">
        <f t="shared" si="20"/>
        <v>GROUPEMENT</v>
      </c>
      <c r="Q107" s="128" t="str">
        <f t="shared" si="20"/>
        <v>EIRL</v>
      </c>
      <c r="R107" s="121" t="str">
        <f t="shared" si="20"/>
        <v>AUTRES</v>
      </c>
      <c r="S107" s="121"/>
      <c r="T107" s="128" t="s">
        <v>86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6"/>
      <c r="C108" s="120" t="s">
        <v>109</v>
      </c>
      <c r="D108" s="122">
        <f>+D96-D102</f>
        <v>0</v>
      </c>
      <c r="E108" s="122">
        <f t="shared" ref="E108:R111" si="21">+E96-E102</f>
        <v>0</v>
      </c>
      <c r="F108" s="122">
        <f t="shared" si="21"/>
        <v>0</v>
      </c>
      <c r="G108" s="122">
        <f t="shared" si="21"/>
        <v>0</v>
      </c>
      <c r="H108" s="122">
        <f t="shared" si="21"/>
        <v>0</v>
      </c>
      <c r="I108" s="122">
        <f t="shared" si="21"/>
        <v>0</v>
      </c>
      <c r="J108" s="122">
        <f t="shared" si="21"/>
        <v>0</v>
      </c>
      <c r="K108" s="122">
        <f t="shared" si="21"/>
        <v>0</v>
      </c>
      <c r="L108" s="122">
        <f t="shared" si="21"/>
        <v>0</v>
      </c>
      <c r="M108" s="122">
        <f t="shared" si="21"/>
        <v>0</v>
      </c>
      <c r="N108" s="122">
        <f t="shared" si="21"/>
        <v>0</v>
      </c>
      <c r="O108" s="122">
        <f t="shared" si="21"/>
        <v>0</v>
      </c>
      <c r="P108" s="122">
        <f t="shared" si="21"/>
        <v>0</v>
      </c>
      <c r="Q108" s="122">
        <f t="shared" si="21"/>
        <v>0</v>
      </c>
      <c r="R108" s="122">
        <f t="shared" si="21"/>
        <v>0</v>
      </c>
      <c r="S108" s="122"/>
      <c r="T108" s="122">
        <f>+SUM(E108:P108)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276"/>
      <c r="C109" s="120" t="s">
        <v>121</v>
      </c>
      <c r="D109" s="122">
        <f>+D97-D103</f>
        <v>0</v>
      </c>
      <c r="E109" s="122">
        <f t="shared" si="21"/>
        <v>0</v>
      </c>
      <c r="F109" s="122">
        <f t="shared" si="21"/>
        <v>0</v>
      </c>
      <c r="G109" s="122">
        <f t="shared" si="21"/>
        <v>0</v>
      </c>
      <c r="H109" s="122">
        <f t="shared" si="21"/>
        <v>0</v>
      </c>
      <c r="I109" s="122">
        <f t="shared" si="21"/>
        <v>0</v>
      </c>
      <c r="J109" s="122">
        <f t="shared" si="21"/>
        <v>0</v>
      </c>
      <c r="K109" s="122">
        <f t="shared" si="21"/>
        <v>0</v>
      </c>
      <c r="L109" s="122">
        <f t="shared" si="21"/>
        <v>0</v>
      </c>
      <c r="M109" s="122">
        <f t="shared" si="21"/>
        <v>0</v>
      </c>
      <c r="N109" s="122">
        <f t="shared" si="21"/>
        <v>0</v>
      </c>
      <c r="O109" s="122">
        <f t="shared" si="21"/>
        <v>0</v>
      </c>
      <c r="P109" s="122">
        <f t="shared" si="21"/>
        <v>0</v>
      </c>
      <c r="Q109" s="122">
        <f t="shared" si="21"/>
        <v>0</v>
      </c>
      <c r="R109" s="122">
        <f t="shared" si="21"/>
        <v>0</v>
      </c>
      <c r="S109" s="122"/>
      <c r="T109" s="122">
        <f>+SUM(E109:P109)</f>
        <v>0</v>
      </c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7"/>
      <c r="C110" s="122" t="s">
        <v>122</v>
      </c>
      <c r="D110" s="122">
        <f>+D98-D104</f>
        <v>0</v>
      </c>
      <c r="E110" s="122">
        <f t="shared" si="21"/>
        <v>0</v>
      </c>
      <c r="F110" s="122">
        <f t="shared" si="21"/>
        <v>0</v>
      </c>
      <c r="G110" s="122">
        <f t="shared" si="21"/>
        <v>0</v>
      </c>
      <c r="H110" s="122">
        <f t="shared" si="21"/>
        <v>0</v>
      </c>
      <c r="I110" s="122">
        <f t="shared" si="21"/>
        <v>0</v>
      </c>
      <c r="J110" s="122">
        <f t="shared" si="21"/>
        <v>0</v>
      </c>
      <c r="K110" s="122">
        <f t="shared" si="21"/>
        <v>0</v>
      </c>
      <c r="L110" s="122">
        <f t="shared" si="21"/>
        <v>0</v>
      </c>
      <c r="M110" s="122" t="e">
        <f t="shared" si="21"/>
        <v>#VALUE!</v>
      </c>
      <c r="N110" s="122" t="e">
        <f t="shared" si="21"/>
        <v>#VALUE!</v>
      </c>
      <c r="O110" s="122" t="e">
        <f t="shared" si="21"/>
        <v>#VALUE!</v>
      </c>
      <c r="P110" s="122">
        <f t="shared" si="21"/>
        <v>0</v>
      </c>
      <c r="Q110" s="122">
        <f t="shared" si="21"/>
        <v>0</v>
      </c>
      <c r="R110" s="122">
        <f t="shared" si="21"/>
        <v>0</v>
      </c>
      <c r="S110" s="122"/>
      <c r="T110" s="122" t="e">
        <f>+SUM(E110:P110)</f>
        <v>#VALUE!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8" t="s">
        <v>123</v>
      </c>
      <c r="C111" s="278"/>
      <c r="D111" s="122">
        <f>+D99-D105</f>
        <v>0</v>
      </c>
      <c r="E111" s="122">
        <f t="shared" si="21"/>
        <v>0</v>
      </c>
      <c r="F111" s="122">
        <f t="shared" si="21"/>
        <v>0</v>
      </c>
      <c r="G111" s="122">
        <f t="shared" si="21"/>
        <v>0</v>
      </c>
      <c r="H111" s="122">
        <f t="shared" si="21"/>
        <v>0</v>
      </c>
      <c r="I111" s="122">
        <f t="shared" si="21"/>
        <v>0</v>
      </c>
      <c r="J111" s="122">
        <f t="shared" si="21"/>
        <v>0</v>
      </c>
      <c r="K111" s="122">
        <f t="shared" si="21"/>
        <v>0</v>
      </c>
      <c r="L111" s="122">
        <f t="shared" si="21"/>
        <v>0</v>
      </c>
      <c r="M111" s="122" t="e">
        <f t="shared" si="21"/>
        <v>#VALUE!</v>
      </c>
      <c r="N111" s="122" t="e">
        <f t="shared" si="21"/>
        <v>#VALUE!</v>
      </c>
      <c r="O111" s="122" t="e">
        <f t="shared" si="21"/>
        <v>#VALUE!</v>
      </c>
      <c r="P111" s="122">
        <f t="shared" si="21"/>
        <v>0</v>
      </c>
      <c r="Q111" s="122">
        <f t="shared" si="21"/>
        <v>0</v>
      </c>
      <c r="R111" s="122">
        <f t="shared" si="21"/>
        <v>0</v>
      </c>
      <c r="S111" s="122"/>
      <c r="T111" s="122" t="e">
        <f>+SUM(T108:T110)</f>
        <v>#VALUE!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1:52" x14ac:dyDescent="0.25"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1:52" x14ac:dyDescent="0.25"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1:52" x14ac:dyDescent="0.25"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1:52" x14ac:dyDescent="0.25"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1:52" x14ac:dyDescent="0.25"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1:52" x14ac:dyDescent="0.25"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1:52" x14ac:dyDescent="0.25"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1:52" x14ac:dyDescent="0.25"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1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1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1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1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1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1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1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1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</sheetData>
  <sheetProtection selectLockedCells="1" selectUnlockedCells="1"/>
  <mergeCells count="18">
    <mergeCell ref="B72:C72"/>
    <mergeCell ref="B111:C111"/>
    <mergeCell ref="B75:B78"/>
    <mergeCell ref="B79:C79"/>
    <mergeCell ref="B81:B84"/>
    <mergeCell ref="B85:C85"/>
    <mergeCell ref="B87:B90"/>
    <mergeCell ref="B91:C91"/>
    <mergeCell ref="B95:B98"/>
    <mergeCell ref="B99:C99"/>
    <mergeCell ref="B101:B104"/>
    <mergeCell ref="B105:C105"/>
    <mergeCell ref="B107:B110"/>
    <mergeCell ref="B56:B59"/>
    <mergeCell ref="B60:C60"/>
    <mergeCell ref="B62:B65"/>
    <mergeCell ref="B66:C66"/>
    <mergeCell ref="B68:B71"/>
  </mergeCells>
  <conditionalFormatting sqref="P3:P51">
    <cfRule type="expression" dxfId="63" priority="4">
      <formula>AND(P3&lt;&gt;"",P3&lt;&gt;"OUI")</formula>
    </cfRule>
  </conditionalFormatting>
  <conditionalFormatting sqref="AN3:AO51 S3:AH51">
    <cfRule type="expression" dxfId="62" priority="1" stopIfTrue="1">
      <formula>$AH3&lt;&gt;0</formula>
    </cfRule>
  </conditionalFormatting>
  <conditionalFormatting sqref="A3:E51">
    <cfRule type="expression" dxfId="61" priority="29" stopIfTrue="1">
      <formula>AND($I3&lt;&gt;"",AND($J3="",AND($BA3="",$BB3="")))</formula>
    </cfRule>
    <cfRule type="expression" dxfId="60" priority="30" stopIfTrue="1">
      <formula>AND($J3&lt;&gt;"",AND($BA3="",$BB3=""))</formula>
    </cfRule>
    <cfRule type="expression" dxfId="59" priority="31" stopIfTrue="1">
      <formula>AND($BA3&lt;&gt;"",$BB3="")</formula>
    </cfRule>
    <cfRule type="expression" dxfId="58" priority="32" stopIfTrue="1">
      <formula>$BB3="X"</formula>
    </cfRule>
  </conditionalFormatting>
  <dataValidations count="12">
    <dataValidation type="list" allowBlank="1" showInputMessage="1" showErrorMessage="1" sqref="D65530:D65587 JU65530:JU65587 TQ65530:TQ65587 ADM65530:ADM65587 ANI65530:ANI65587 AXE65530:AXE65587 BHA65530:BHA65587 BQW65530:BQW65587 CAS65530:CAS65587 CKO65530:CKO65587 CUK65530:CUK65587 DEG65530:DEG65587 DOC65530:DOC65587 DXY65530:DXY65587 EHU65530:EHU65587 ERQ65530:ERQ65587 FBM65530:FBM65587 FLI65530:FLI65587 FVE65530:FVE65587 GFA65530:GFA65587 GOW65530:GOW65587 GYS65530:GYS65587 HIO65530:HIO65587 HSK65530:HSK65587 ICG65530:ICG65587 IMC65530:IMC65587 IVY65530:IVY65587 JFU65530:JFU65587 JPQ65530:JPQ65587 JZM65530:JZM65587 KJI65530:KJI65587 KTE65530:KTE65587 LDA65530:LDA65587 LMW65530:LMW65587 LWS65530:LWS65587 MGO65530:MGO65587 MQK65530:MQK65587 NAG65530:NAG65587 NKC65530:NKC65587 NTY65530:NTY65587 ODU65530:ODU65587 ONQ65530:ONQ65587 OXM65530:OXM65587 PHI65530:PHI65587 PRE65530:PRE65587 QBA65530:QBA65587 QKW65530:QKW65587 QUS65530:QUS65587 REO65530:REO65587 ROK65530:ROK65587 RYG65530:RYG65587 SIC65530:SIC65587 SRY65530:SRY65587 TBU65530:TBU65587 TLQ65530:TLQ65587 TVM65530:TVM65587 UFI65530:UFI65587 UPE65530:UPE65587 UZA65530:UZA65587 VIW65530:VIW65587 VSS65530:VSS65587 WCO65530:WCO65587 WMK65530:WMK65587 WWG65530:WWG65587 D131066:D131123 JU131066:JU131123 TQ131066:TQ131123 ADM131066:ADM131123 ANI131066:ANI131123 AXE131066:AXE131123 BHA131066:BHA131123 BQW131066:BQW131123 CAS131066:CAS131123 CKO131066:CKO131123 CUK131066:CUK131123 DEG131066:DEG131123 DOC131066:DOC131123 DXY131066:DXY131123 EHU131066:EHU131123 ERQ131066:ERQ131123 FBM131066:FBM131123 FLI131066:FLI131123 FVE131066:FVE131123 GFA131066:GFA131123 GOW131066:GOW131123 GYS131066:GYS131123 HIO131066:HIO131123 HSK131066:HSK131123 ICG131066:ICG131123 IMC131066:IMC131123 IVY131066:IVY131123 JFU131066:JFU131123 JPQ131066:JPQ131123 JZM131066:JZM131123 KJI131066:KJI131123 KTE131066:KTE131123 LDA131066:LDA131123 LMW131066:LMW131123 LWS131066:LWS131123 MGO131066:MGO131123 MQK131066:MQK131123 NAG131066:NAG131123 NKC131066:NKC131123 NTY131066:NTY131123 ODU131066:ODU131123 ONQ131066:ONQ131123 OXM131066:OXM131123 PHI131066:PHI131123 PRE131066:PRE131123 QBA131066:QBA131123 QKW131066:QKW131123 QUS131066:QUS131123 REO131066:REO131123 ROK131066:ROK131123 RYG131066:RYG131123 SIC131066:SIC131123 SRY131066:SRY131123 TBU131066:TBU131123 TLQ131066:TLQ131123 TVM131066:TVM131123 UFI131066:UFI131123 UPE131066:UPE131123 UZA131066:UZA131123 VIW131066:VIW131123 VSS131066:VSS131123 WCO131066:WCO131123 WMK131066:WMK131123 WWG131066:WWG131123 D196602:D196659 JU196602:JU196659 TQ196602:TQ196659 ADM196602:ADM196659 ANI196602:ANI196659 AXE196602:AXE196659 BHA196602:BHA196659 BQW196602:BQW196659 CAS196602:CAS196659 CKO196602:CKO196659 CUK196602:CUK196659 DEG196602:DEG196659 DOC196602:DOC196659 DXY196602:DXY196659 EHU196602:EHU196659 ERQ196602:ERQ196659 FBM196602:FBM196659 FLI196602:FLI196659 FVE196602:FVE196659 GFA196602:GFA196659 GOW196602:GOW196659 GYS196602:GYS196659 HIO196602:HIO196659 HSK196602:HSK196659 ICG196602:ICG196659 IMC196602:IMC196659 IVY196602:IVY196659 JFU196602:JFU196659 JPQ196602:JPQ196659 JZM196602:JZM196659 KJI196602:KJI196659 KTE196602:KTE196659 LDA196602:LDA196659 LMW196602:LMW196659 LWS196602:LWS196659 MGO196602:MGO196659 MQK196602:MQK196659 NAG196602:NAG196659 NKC196602:NKC196659 NTY196602:NTY196659 ODU196602:ODU196659 ONQ196602:ONQ196659 OXM196602:OXM196659 PHI196602:PHI196659 PRE196602:PRE196659 QBA196602:QBA196659 QKW196602:QKW196659 QUS196602:QUS196659 REO196602:REO196659 ROK196602:ROK196659 RYG196602:RYG196659 SIC196602:SIC196659 SRY196602:SRY196659 TBU196602:TBU196659 TLQ196602:TLQ196659 TVM196602:TVM196659 UFI196602:UFI196659 UPE196602:UPE196659 UZA196602:UZA196659 VIW196602:VIW196659 VSS196602:VSS196659 WCO196602:WCO196659 WMK196602:WMK196659 WWG196602:WWG196659 D262138:D262195 JU262138:JU262195 TQ262138:TQ262195 ADM262138:ADM262195 ANI262138:ANI262195 AXE262138:AXE262195 BHA262138:BHA262195 BQW262138:BQW262195 CAS262138:CAS262195 CKO262138:CKO262195 CUK262138:CUK262195 DEG262138:DEG262195 DOC262138:DOC262195 DXY262138:DXY262195 EHU262138:EHU262195 ERQ262138:ERQ262195 FBM262138:FBM262195 FLI262138:FLI262195 FVE262138:FVE262195 GFA262138:GFA262195 GOW262138:GOW262195 GYS262138:GYS262195 HIO262138:HIO262195 HSK262138:HSK262195 ICG262138:ICG262195 IMC262138:IMC262195 IVY262138:IVY262195 JFU262138:JFU262195 JPQ262138:JPQ262195 JZM262138:JZM262195 KJI262138:KJI262195 KTE262138:KTE262195 LDA262138:LDA262195 LMW262138:LMW262195 LWS262138:LWS262195 MGO262138:MGO262195 MQK262138:MQK262195 NAG262138:NAG262195 NKC262138:NKC262195 NTY262138:NTY262195 ODU262138:ODU262195 ONQ262138:ONQ262195 OXM262138:OXM262195 PHI262138:PHI262195 PRE262138:PRE262195 QBA262138:QBA262195 QKW262138:QKW262195 QUS262138:QUS262195 REO262138:REO262195 ROK262138:ROK262195 RYG262138:RYG262195 SIC262138:SIC262195 SRY262138:SRY262195 TBU262138:TBU262195 TLQ262138:TLQ262195 TVM262138:TVM262195 UFI262138:UFI262195 UPE262138:UPE262195 UZA262138:UZA262195 VIW262138:VIW262195 VSS262138:VSS262195 WCO262138:WCO262195 WMK262138:WMK262195 WWG262138:WWG262195 D327674:D327731 JU327674:JU327731 TQ327674:TQ327731 ADM327674:ADM327731 ANI327674:ANI327731 AXE327674:AXE327731 BHA327674:BHA327731 BQW327674:BQW327731 CAS327674:CAS327731 CKO327674:CKO327731 CUK327674:CUK327731 DEG327674:DEG327731 DOC327674:DOC327731 DXY327674:DXY327731 EHU327674:EHU327731 ERQ327674:ERQ327731 FBM327674:FBM327731 FLI327674:FLI327731 FVE327674:FVE327731 GFA327674:GFA327731 GOW327674:GOW327731 GYS327674:GYS327731 HIO327674:HIO327731 HSK327674:HSK327731 ICG327674:ICG327731 IMC327674:IMC327731 IVY327674:IVY327731 JFU327674:JFU327731 JPQ327674:JPQ327731 JZM327674:JZM327731 KJI327674:KJI327731 KTE327674:KTE327731 LDA327674:LDA327731 LMW327674:LMW327731 LWS327674:LWS327731 MGO327674:MGO327731 MQK327674:MQK327731 NAG327674:NAG327731 NKC327674:NKC327731 NTY327674:NTY327731 ODU327674:ODU327731 ONQ327674:ONQ327731 OXM327674:OXM327731 PHI327674:PHI327731 PRE327674:PRE327731 QBA327674:QBA327731 QKW327674:QKW327731 QUS327674:QUS327731 REO327674:REO327731 ROK327674:ROK327731 RYG327674:RYG327731 SIC327674:SIC327731 SRY327674:SRY327731 TBU327674:TBU327731 TLQ327674:TLQ327731 TVM327674:TVM327731 UFI327674:UFI327731 UPE327674:UPE327731 UZA327674:UZA327731 VIW327674:VIW327731 VSS327674:VSS327731 WCO327674:WCO327731 WMK327674:WMK327731 WWG327674:WWG327731 D393210:D393267 JU393210:JU393267 TQ393210:TQ393267 ADM393210:ADM393267 ANI393210:ANI393267 AXE393210:AXE393267 BHA393210:BHA393267 BQW393210:BQW393267 CAS393210:CAS393267 CKO393210:CKO393267 CUK393210:CUK393267 DEG393210:DEG393267 DOC393210:DOC393267 DXY393210:DXY393267 EHU393210:EHU393267 ERQ393210:ERQ393267 FBM393210:FBM393267 FLI393210:FLI393267 FVE393210:FVE393267 GFA393210:GFA393267 GOW393210:GOW393267 GYS393210:GYS393267 HIO393210:HIO393267 HSK393210:HSK393267 ICG393210:ICG393267 IMC393210:IMC393267 IVY393210:IVY393267 JFU393210:JFU393267 JPQ393210:JPQ393267 JZM393210:JZM393267 KJI393210:KJI393267 KTE393210:KTE393267 LDA393210:LDA393267 LMW393210:LMW393267 LWS393210:LWS393267 MGO393210:MGO393267 MQK393210:MQK393267 NAG393210:NAG393267 NKC393210:NKC393267 NTY393210:NTY393267 ODU393210:ODU393267 ONQ393210:ONQ393267 OXM393210:OXM393267 PHI393210:PHI393267 PRE393210:PRE393267 QBA393210:QBA393267 QKW393210:QKW393267 QUS393210:QUS393267 REO393210:REO393267 ROK393210:ROK393267 RYG393210:RYG393267 SIC393210:SIC393267 SRY393210:SRY393267 TBU393210:TBU393267 TLQ393210:TLQ393267 TVM393210:TVM393267 UFI393210:UFI393267 UPE393210:UPE393267 UZA393210:UZA393267 VIW393210:VIW393267 VSS393210:VSS393267 WCO393210:WCO393267 WMK393210:WMK393267 WWG393210:WWG393267 D458746:D458803 JU458746:JU458803 TQ458746:TQ458803 ADM458746:ADM458803 ANI458746:ANI458803 AXE458746:AXE458803 BHA458746:BHA458803 BQW458746:BQW458803 CAS458746:CAS458803 CKO458746:CKO458803 CUK458746:CUK458803 DEG458746:DEG458803 DOC458746:DOC458803 DXY458746:DXY458803 EHU458746:EHU458803 ERQ458746:ERQ458803 FBM458746:FBM458803 FLI458746:FLI458803 FVE458746:FVE458803 GFA458746:GFA458803 GOW458746:GOW458803 GYS458746:GYS458803 HIO458746:HIO458803 HSK458746:HSK458803 ICG458746:ICG458803 IMC458746:IMC458803 IVY458746:IVY458803 JFU458746:JFU458803 JPQ458746:JPQ458803 JZM458746:JZM458803 KJI458746:KJI458803 KTE458746:KTE458803 LDA458746:LDA458803 LMW458746:LMW458803 LWS458746:LWS458803 MGO458746:MGO458803 MQK458746:MQK458803 NAG458746:NAG458803 NKC458746:NKC458803 NTY458746:NTY458803 ODU458746:ODU458803 ONQ458746:ONQ458803 OXM458746:OXM458803 PHI458746:PHI458803 PRE458746:PRE458803 QBA458746:QBA458803 QKW458746:QKW458803 QUS458746:QUS458803 REO458746:REO458803 ROK458746:ROK458803 RYG458746:RYG458803 SIC458746:SIC458803 SRY458746:SRY458803 TBU458746:TBU458803 TLQ458746:TLQ458803 TVM458746:TVM458803 UFI458746:UFI458803 UPE458746:UPE458803 UZA458746:UZA458803 VIW458746:VIW458803 VSS458746:VSS458803 WCO458746:WCO458803 WMK458746:WMK458803 WWG458746:WWG458803 D524282:D524339 JU524282:JU524339 TQ524282:TQ524339 ADM524282:ADM524339 ANI524282:ANI524339 AXE524282:AXE524339 BHA524282:BHA524339 BQW524282:BQW524339 CAS524282:CAS524339 CKO524282:CKO524339 CUK524282:CUK524339 DEG524282:DEG524339 DOC524282:DOC524339 DXY524282:DXY524339 EHU524282:EHU524339 ERQ524282:ERQ524339 FBM524282:FBM524339 FLI524282:FLI524339 FVE524282:FVE524339 GFA524282:GFA524339 GOW524282:GOW524339 GYS524282:GYS524339 HIO524282:HIO524339 HSK524282:HSK524339 ICG524282:ICG524339 IMC524282:IMC524339 IVY524282:IVY524339 JFU524282:JFU524339 JPQ524282:JPQ524339 JZM524282:JZM524339 KJI524282:KJI524339 KTE524282:KTE524339 LDA524282:LDA524339 LMW524282:LMW524339 LWS524282:LWS524339 MGO524282:MGO524339 MQK524282:MQK524339 NAG524282:NAG524339 NKC524282:NKC524339 NTY524282:NTY524339 ODU524282:ODU524339 ONQ524282:ONQ524339 OXM524282:OXM524339 PHI524282:PHI524339 PRE524282:PRE524339 QBA524282:QBA524339 QKW524282:QKW524339 QUS524282:QUS524339 REO524282:REO524339 ROK524282:ROK524339 RYG524282:RYG524339 SIC524282:SIC524339 SRY524282:SRY524339 TBU524282:TBU524339 TLQ524282:TLQ524339 TVM524282:TVM524339 UFI524282:UFI524339 UPE524282:UPE524339 UZA524282:UZA524339 VIW524282:VIW524339 VSS524282:VSS524339 WCO524282:WCO524339 WMK524282:WMK524339 WWG524282:WWG524339 D589818:D589875 JU589818:JU589875 TQ589818:TQ589875 ADM589818:ADM589875 ANI589818:ANI589875 AXE589818:AXE589875 BHA589818:BHA589875 BQW589818:BQW589875 CAS589818:CAS589875 CKO589818:CKO589875 CUK589818:CUK589875 DEG589818:DEG589875 DOC589818:DOC589875 DXY589818:DXY589875 EHU589818:EHU589875 ERQ589818:ERQ589875 FBM589818:FBM589875 FLI589818:FLI589875 FVE589818:FVE589875 GFA589818:GFA589875 GOW589818:GOW589875 GYS589818:GYS589875 HIO589818:HIO589875 HSK589818:HSK589875 ICG589818:ICG589875 IMC589818:IMC589875 IVY589818:IVY589875 JFU589818:JFU589875 JPQ589818:JPQ589875 JZM589818:JZM589875 KJI589818:KJI589875 KTE589818:KTE589875 LDA589818:LDA589875 LMW589818:LMW589875 LWS589818:LWS589875 MGO589818:MGO589875 MQK589818:MQK589875 NAG589818:NAG589875 NKC589818:NKC589875 NTY589818:NTY589875 ODU589818:ODU589875 ONQ589818:ONQ589875 OXM589818:OXM589875 PHI589818:PHI589875 PRE589818:PRE589875 QBA589818:QBA589875 QKW589818:QKW589875 QUS589818:QUS589875 REO589818:REO589875 ROK589818:ROK589875 RYG589818:RYG589875 SIC589818:SIC589875 SRY589818:SRY589875 TBU589818:TBU589875 TLQ589818:TLQ589875 TVM589818:TVM589875 UFI589818:UFI589875 UPE589818:UPE589875 UZA589818:UZA589875 VIW589818:VIW589875 VSS589818:VSS589875 WCO589818:WCO589875 WMK589818:WMK589875 WWG589818:WWG589875 D655354:D655411 JU655354:JU655411 TQ655354:TQ655411 ADM655354:ADM655411 ANI655354:ANI655411 AXE655354:AXE655411 BHA655354:BHA655411 BQW655354:BQW655411 CAS655354:CAS655411 CKO655354:CKO655411 CUK655354:CUK655411 DEG655354:DEG655411 DOC655354:DOC655411 DXY655354:DXY655411 EHU655354:EHU655411 ERQ655354:ERQ655411 FBM655354:FBM655411 FLI655354:FLI655411 FVE655354:FVE655411 GFA655354:GFA655411 GOW655354:GOW655411 GYS655354:GYS655411 HIO655354:HIO655411 HSK655354:HSK655411 ICG655354:ICG655411 IMC655354:IMC655411 IVY655354:IVY655411 JFU655354:JFU655411 JPQ655354:JPQ655411 JZM655354:JZM655411 KJI655354:KJI655411 KTE655354:KTE655411 LDA655354:LDA655411 LMW655354:LMW655411 LWS655354:LWS655411 MGO655354:MGO655411 MQK655354:MQK655411 NAG655354:NAG655411 NKC655354:NKC655411 NTY655354:NTY655411 ODU655354:ODU655411 ONQ655354:ONQ655411 OXM655354:OXM655411 PHI655354:PHI655411 PRE655354:PRE655411 QBA655354:QBA655411 QKW655354:QKW655411 QUS655354:QUS655411 REO655354:REO655411 ROK655354:ROK655411 RYG655354:RYG655411 SIC655354:SIC655411 SRY655354:SRY655411 TBU655354:TBU655411 TLQ655354:TLQ655411 TVM655354:TVM655411 UFI655354:UFI655411 UPE655354:UPE655411 UZA655354:UZA655411 VIW655354:VIW655411 VSS655354:VSS655411 WCO655354:WCO655411 WMK655354:WMK655411 WWG655354:WWG655411 D720890:D720947 JU720890:JU720947 TQ720890:TQ720947 ADM720890:ADM720947 ANI720890:ANI720947 AXE720890:AXE720947 BHA720890:BHA720947 BQW720890:BQW720947 CAS720890:CAS720947 CKO720890:CKO720947 CUK720890:CUK720947 DEG720890:DEG720947 DOC720890:DOC720947 DXY720890:DXY720947 EHU720890:EHU720947 ERQ720890:ERQ720947 FBM720890:FBM720947 FLI720890:FLI720947 FVE720890:FVE720947 GFA720890:GFA720947 GOW720890:GOW720947 GYS720890:GYS720947 HIO720890:HIO720947 HSK720890:HSK720947 ICG720890:ICG720947 IMC720890:IMC720947 IVY720890:IVY720947 JFU720890:JFU720947 JPQ720890:JPQ720947 JZM720890:JZM720947 KJI720890:KJI720947 KTE720890:KTE720947 LDA720890:LDA720947 LMW720890:LMW720947 LWS720890:LWS720947 MGO720890:MGO720947 MQK720890:MQK720947 NAG720890:NAG720947 NKC720890:NKC720947 NTY720890:NTY720947 ODU720890:ODU720947 ONQ720890:ONQ720947 OXM720890:OXM720947 PHI720890:PHI720947 PRE720890:PRE720947 QBA720890:QBA720947 QKW720890:QKW720947 QUS720890:QUS720947 REO720890:REO720947 ROK720890:ROK720947 RYG720890:RYG720947 SIC720890:SIC720947 SRY720890:SRY720947 TBU720890:TBU720947 TLQ720890:TLQ720947 TVM720890:TVM720947 UFI720890:UFI720947 UPE720890:UPE720947 UZA720890:UZA720947 VIW720890:VIW720947 VSS720890:VSS720947 WCO720890:WCO720947 WMK720890:WMK720947 WWG720890:WWG720947 D786426:D786483 JU786426:JU786483 TQ786426:TQ786483 ADM786426:ADM786483 ANI786426:ANI786483 AXE786426:AXE786483 BHA786426:BHA786483 BQW786426:BQW786483 CAS786426:CAS786483 CKO786426:CKO786483 CUK786426:CUK786483 DEG786426:DEG786483 DOC786426:DOC786483 DXY786426:DXY786483 EHU786426:EHU786483 ERQ786426:ERQ786483 FBM786426:FBM786483 FLI786426:FLI786483 FVE786426:FVE786483 GFA786426:GFA786483 GOW786426:GOW786483 GYS786426:GYS786483 HIO786426:HIO786483 HSK786426:HSK786483 ICG786426:ICG786483 IMC786426:IMC786483 IVY786426:IVY786483 JFU786426:JFU786483 JPQ786426:JPQ786483 JZM786426:JZM786483 KJI786426:KJI786483 KTE786426:KTE786483 LDA786426:LDA786483 LMW786426:LMW786483 LWS786426:LWS786483 MGO786426:MGO786483 MQK786426:MQK786483 NAG786426:NAG786483 NKC786426:NKC786483 NTY786426:NTY786483 ODU786426:ODU786483 ONQ786426:ONQ786483 OXM786426:OXM786483 PHI786426:PHI786483 PRE786426:PRE786483 QBA786426:QBA786483 QKW786426:QKW786483 QUS786426:QUS786483 REO786426:REO786483 ROK786426:ROK786483 RYG786426:RYG786483 SIC786426:SIC786483 SRY786426:SRY786483 TBU786426:TBU786483 TLQ786426:TLQ786483 TVM786426:TVM786483 UFI786426:UFI786483 UPE786426:UPE786483 UZA786426:UZA786483 VIW786426:VIW786483 VSS786426:VSS786483 WCO786426:WCO786483 WMK786426:WMK786483 WWG786426:WWG786483 D851962:D852019 JU851962:JU852019 TQ851962:TQ852019 ADM851962:ADM852019 ANI851962:ANI852019 AXE851962:AXE852019 BHA851962:BHA852019 BQW851962:BQW852019 CAS851962:CAS852019 CKO851962:CKO852019 CUK851962:CUK852019 DEG851962:DEG852019 DOC851962:DOC852019 DXY851962:DXY852019 EHU851962:EHU852019 ERQ851962:ERQ852019 FBM851962:FBM852019 FLI851962:FLI852019 FVE851962:FVE852019 GFA851962:GFA852019 GOW851962:GOW852019 GYS851962:GYS852019 HIO851962:HIO852019 HSK851962:HSK852019 ICG851962:ICG852019 IMC851962:IMC852019 IVY851962:IVY852019 JFU851962:JFU852019 JPQ851962:JPQ852019 JZM851962:JZM852019 KJI851962:KJI852019 KTE851962:KTE852019 LDA851962:LDA852019 LMW851962:LMW852019 LWS851962:LWS852019 MGO851962:MGO852019 MQK851962:MQK852019 NAG851962:NAG852019 NKC851962:NKC852019 NTY851962:NTY852019 ODU851962:ODU852019 ONQ851962:ONQ852019 OXM851962:OXM852019 PHI851962:PHI852019 PRE851962:PRE852019 QBA851962:QBA852019 QKW851962:QKW852019 QUS851962:QUS852019 REO851962:REO852019 ROK851962:ROK852019 RYG851962:RYG852019 SIC851962:SIC852019 SRY851962:SRY852019 TBU851962:TBU852019 TLQ851962:TLQ852019 TVM851962:TVM852019 UFI851962:UFI852019 UPE851962:UPE852019 UZA851962:UZA852019 VIW851962:VIW852019 VSS851962:VSS852019 WCO851962:WCO852019 WMK851962:WMK852019 WWG851962:WWG852019 D917498:D917555 JU917498:JU917555 TQ917498:TQ917555 ADM917498:ADM917555 ANI917498:ANI917555 AXE917498:AXE917555 BHA917498:BHA917555 BQW917498:BQW917555 CAS917498:CAS917555 CKO917498:CKO917555 CUK917498:CUK917555 DEG917498:DEG917555 DOC917498:DOC917555 DXY917498:DXY917555 EHU917498:EHU917555 ERQ917498:ERQ917555 FBM917498:FBM917555 FLI917498:FLI917555 FVE917498:FVE917555 GFA917498:GFA917555 GOW917498:GOW917555 GYS917498:GYS917555 HIO917498:HIO917555 HSK917498:HSK917555 ICG917498:ICG917555 IMC917498:IMC917555 IVY917498:IVY917555 JFU917498:JFU917555 JPQ917498:JPQ917555 JZM917498:JZM917555 KJI917498:KJI917555 KTE917498:KTE917555 LDA917498:LDA917555 LMW917498:LMW917555 LWS917498:LWS917555 MGO917498:MGO917555 MQK917498:MQK917555 NAG917498:NAG917555 NKC917498:NKC917555 NTY917498:NTY917555 ODU917498:ODU917555 ONQ917498:ONQ917555 OXM917498:OXM917555 PHI917498:PHI917555 PRE917498:PRE917555 QBA917498:QBA917555 QKW917498:QKW917555 QUS917498:QUS917555 REO917498:REO917555 ROK917498:ROK917555 RYG917498:RYG917555 SIC917498:SIC917555 SRY917498:SRY917555 TBU917498:TBU917555 TLQ917498:TLQ917555 TVM917498:TVM917555 UFI917498:UFI917555 UPE917498:UPE917555 UZA917498:UZA917555 VIW917498:VIW917555 VSS917498:VSS917555 WCO917498:WCO917555 WMK917498:WMK917555 WWG917498:WWG917555 D983034:D983091 JU983034:JU983091 TQ983034:TQ983091 ADM983034:ADM983091 ANI983034:ANI983091 AXE983034:AXE983091 BHA983034:BHA983091 BQW983034:BQW983091 CAS983034:CAS983091 CKO983034:CKO983091 CUK983034:CUK983091 DEG983034:DEG983091 DOC983034:DOC983091 DXY983034:DXY983091 EHU983034:EHU983091 ERQ983034:ERQ983091 FBM983034:FBM983091 FLI983034:FLI983091 FVE983034:FVE983091 GFA983034:GFA983091 GOW983034:GOW983091 GYS983034:GYS983091 HIO983034:HIO983091 HSK983034:HSK983091 ICG983034:ICG983091 IMC983034:IMC983091 IVY983034:IVY983091 JFU983034:JFU983091 JPQ983034:JPQ983091 JZM983034:JZM983091 KJI983034:KJI983091 KTE983034:KTE983091 LDA983034:LDA983091 LMW983034:LMW983091 LWS983034:LWS983091 MGO983034:MGO983091 MQK983034:MQK983091 NAG983034:NAG983091 NKC983034:NKC983091 NTY983034:NTY983091 ODU983034:ODU983091 ONQ983034:ONQ983091 OXM983034:OXM983091 PHI983034:PHI983091 PRE983034:PRE983091 QBA983034:QBA983091 QKW983034:QKW983091 QUS983034:QUS983091 REO983034:REO983091 ROK983034:ROK983091 RYG983034:RYG983091 SIC983034:SIC983091 SRY983034:SRY983091 TBU983034:TBU983091 TLQ983034:TLQ983091 TVM983034:TVM983091 UFI983034:UFI983091 UPE983034:UPE983091 UZA983034:UZA983091 VIW983034:VIW983091 VSS983034:VSS983091 WCO983034:WCO983091 WMK983034:WMK983091 WWG983034:WWG983091 WWH3:WWH51 WML3:WML51 WCP3:WCP51 VST3:VST51 VIX3:VIX51 UZB3:UZB51 UPF3:UPF51 UFJ3:UFJ51 TVN3:TVN51 TLR3:TLR51 TBV3:TBV51 SRZ3:SRZ51 SID3:SID51 RYH3:RYH51 ROL3:ROL51 REP3:REP51 QUT3:QUT51 QKX3:QKX51 QBB3:QBB51 PRF3:PRF51 PHJ3:PHJ51 OXN3:OXN51 ONR3:ONR51 ODV3:ODV51 NTZ3:NTZ51 NKD3:NKD51 NAH3:NAH51 MQL3:MQL51 MGP3:MGP51 LWT3:LWT51 LMX3:LMX51 LDB3:LDB51 KTF3:KTF51 KJJ3:KJJ51 JZN3:JZN51 JPR3:JPR51 JFV3:JFV51 IVZ3:IVZ51 IMD3:IMD51 ICH3:ICH51 HSL3:HSL51 HIP3:HIP51 GYT3:GYT51 GOX3:GOX51 GFB3:GFB51 FVF3:FVF51 FLJ3:FLJ51 FBN3:FBN51 ERR3:ERR51 EHV3:EHV51 DXZ3:DXZ51 DOD3:DOD51 DEH3:DEH51 CUL3:CUL51 CKP3:CKP51 CAT3:CAT51 BQX3:BQX51 BHB3:BHB51 AXF3:AXF51 ANJ3:ANJ51 ADN3:ADN51 TR3:TR51 JV3:JV51 D3:D51">
      <formula1>"ACS,AGRI,BNC,"</formula1>
    </dataValidation>
    <dataValidation type="list" allowBlank="1" showInputMessage="1" showErrorMessage="1" sqref="G65530:G65587 JX65530:JX65587 TT65530:TT65587 ADP65530:ADP65587 ANL65530:ANL65587 AXH65530:AXH65587 BHD65530:BHD65587 BQZ65530:BQZ65587 CAV65530:CAV65587 CKR65530:CKR65587 CUN65530:CUN65587 DEJ65530:DEJ65587 DOF65530:DOF65587 DYB65530:DYB65587 EHX65530:EHX65587 ERT65530:ERT65587 FBP65530:FBP65587 FLL65530:FLL65587 FVH65530:FVH65587 GFD65530:GFD65587 GOZ65530:GOZ65587 GYV65530:GYV65587 HIR65530:HIR65587 HSN65530:HSN65587 ICJ65530:ICJ65587 IMF65530:IMF65587 IWB65530:IWB65587 JFX65530:JFX65587 JPT65530:JPT65587 JZP65530:JZP65587 KJL65530:KJL65587 KTH65530:KTH65587 LDD65530:LDD65587 LMZ65530:LMZ65587 LWV65530:LWV65587 MGR65530:MGR65587 MQN65530:MQN65587 NAJ65530:NAJ65587 NKF65530:NKF65587 NUB65530:NUB65587 ODX65530:ODX65587 ONT65530:ONT65587 OXP65530:OXP65587 PHL65530:PHL65587 PRH65530:PRH65587 QBD65530:QBD65587 QKZ65530:QKZ65587 QUV65530:QUV65587 RER65530:RER65587 RON65530:RON65587 RYJ65530:RYJ65587 SIF65530:SIF65587 SSB65530:SSB65587 TBX65530:TBX65587 TLT65530:TLT65587 TVP65530:TVP65587 UFL65530:UFL65587 UPH65530:UPH65587 UZD65530:UZD65587 VIZ65530:VIZ65587 VSV65530:VSV65587 WCR65530:WCR65587 WMN65530:WMN65587 WWJ65530:WWJ65587 G131066:G131123 JX131066:JX131123 TT131066:TT131123 ADP131066:ADP131123 ANL131066:ANL131123 AXH131066:AXH131123 BHD131066:BHD131123 BQZ131066:BQZ131123 CAV131066:CAV131123 CKR131066:CKR131123 CUN131066:CUN131123 DEJ131066:DEJ131123 DOF131066:DOF131123 DYB131066:DYB131123 EHX131066:EHX131123 ERT131066:ERT131123 FBP131066:FBP131123 FLL131066:FLL131123 FVH131066:FVH131123 GFD131066:GFD131123 GOZ131066:GOZ131123 GYV131066:GYV131123 HIR131066:HIR131123 HSN131066:HSN131123 ICJ131066:ICJ131123 IMF131066:IMF131123 IWB131066:IWB131123 JFX131066:JFX131123 JPT131066:JPT131123 JZP131066:JZP131123 KJL131066:KJL131123 KTH131066:KTH131123 LDD131066:LDD131123 LMZ131066:LMZ131123 LWV131066:LWV131123 MGR131066:MGR131123 MQN131066:MQN131123 NAJ131066:NAJ131123 NKF131066:NKF131123 NUB131066:NUB131123 ODX131066:ODX131123 ONT131066:ONT131123 OXP131066:OXP131123 PHL131066:PHL131123 PRH131066:PRH131123 QBD131066:QBD131123 QKZ131066:QKZ131123 QUV131066:QUV131123 RER131066:RER131123 RON131066:RON131123 RYJ131066:RYJ131123 SIF131066:SIF131123 SSB131066:SSB131123 TBX131066:TBX131123 TLT131066:TLT131123 TVP131066:TVP131123 UFL131066:UFL131123 UPH131066:UPH131123 UZD131066:UZD131123 VIZ131066:VIZ131123 VSV131066:VSV131123 WCR131066:WCR131123 WMN131066:WMN131123 WWJ131066:WWJ131123 G196602:G196659 JX196602:JX196659 TT196602:TT196659 ADP196602:ADP196659 ANL196602:ANL196659 AXH196602:AXH196659 BHD196602:BHD196659 BQZ196602:BQZ196659 CAV196602:CAV196659 CKR196602:CKR196659 CUN196602:CUN196659 DEJ196602:DEJ196659 DOF196602:DOF196659 DYB196602:DYB196659 EHX196602:EHX196659 ERT196602:ERT196659 FBP196602:FBP196659 FLL196602:FLL196659 FVH196602:FVH196659 GFD196602:GFD196659 GOZ196602:GOZ196659 GYV196602:GYV196659 HIR196602:HIR196659 HSN196602:HSN196659 ICJ196602:ICJ196659 IMF196602:IMF196659 IWB196602:IWB196659 JFX196602:JFX196659 JPT196602:JPT196659 JZP196602:JZP196659 KJL196602:KJL196659 KTH196602:KTH196659 LDD196602:LDD196659 LMZ196602:LMZ196659 LWV196602:LWV196659 MGR196602:MGR196659 MQN196602:MQN196659 NAJ196602:NAJ196659 NKF196602:NKF196659 NUB196602:NUB196659 ODX196602:ODX196659 ONT196602:ONT196659 OXP196602:OXP196659 PHL196602:PHL196659 PRH196602:PRH196659 QBD196602:QBD196659 QKZ196602:QKZ196659 QUV196602:QUV196659 RER196602:RER196659 RON196602:RON196659 RYJ196602:RYJ196659 SIF196602:SIF196659 SSB196602:SSB196659 TBX196602:TBX196659 TLT196602:TLT196659 TVP196602:TVP196659 UFL196602:UFL196659 UPH196602:UPH196659 UZD196602:UZD196659 VIZ196602:VIZ196659 VSV196602:VSV196659 WCR196602:WCR196659 WMN196602:WMN196659 WWJ196602:WWJ196659 G262138:G262195 JX262138:JX262195 TT262138:TT262195 ADP262138:ADP262195 ANL262138:ANL262195 AXH262138:AXH262195 BHD262138:BHD262195 BQZ262138:BQZ262195 CAV262138:CAV262195 CKR262138:CKR262195 CUN262138:CUN262195 DEJ262138:DEJ262195 DOF262138:DOF262195 DYB262138:DYB262195 EHX262138:EHX262195 ERT262138:ERT262195 FBP262138:FBP262195 FLL262138:FLL262195 FVH262138:FVH262195 GFD262138:GFD262195 GOZ262138:GOZ262195 GYV262138:GYV262195 HIR262138:HIR262195 HSN262138:HSN262195 ICJ262138:ICJ262195 IMF262138:IMF262195 IWB262138:IWB262195 JFX262138:JFX262195 JPT262138:JPT262195 JZP262138:JZP262195 KJL262138:KJL262195 KTH262138:KTH262195 LDD262138:LDD262195 LMZ262138:LMZ262195 LWV262138:LWV262195 MGR262138:MGR262195 MQN262138:MQN262195 NAJ262138:NAJ262195 NKF262138:NKF262195 NUB262138:NUB262195 ODX262138:ODX262195 ONT262138:ONT262195 OXP262138:OXP262195 PHL262138:PHL262195 PRH262138:PRH262195 QBD262138:QBD262195 QKZ262138:QKZ262195 QUV262138:QUV262195 RER262138:RER262195 RON262138:RON262195 RYJ262138:RYJ262195 SIF262138:SIF262195 SSB262138:SSB262195 TBX262138:TBX262195 TLT262138:TLT262195 TVP262138:TVP262195 UFL262138:UFL262195 UPH262138:UPH262195 UZD262138:UZD262195 VIZ262138:VIZ262195 VSV262138:VSV262195 WCR262138:WCR262195 WMN262138:WMN262195 WWJ262138:WWJ262195 G327674:G327731 JX327674:JX327731 TT327674:TT327731 ADP327674:ADP327731 ANL327674:ANL327731 AXH327674:AXH327731 BHD327674:BHD327731 BQZ327674:BQZ327731 CAV327674:CAV327731 CKR327674:CKR327731 CUN327674:CUN327731 DEJ327674:DEJ327731 DOF327674:DOF327731 DYB327674:DYB327731 EHX327674:EHX327731 ERT327674:ERT327731 FBP327674:FBP327731 FLL327674:FLL327731 FVH327674:FVH327731 GFD327674:GFD327731 GOZ327674:GOZ327731 GYV327674:GYV327731 HIR327674:HIR327731 HSN327674:HSN327731 ICJ327674:ICJ327731 IMF327674:IMF327731 IWB327674:IWB327731 JFX327674:JFX327731 JPT327674:JPT327731 JZP327674:JZP327731 KJL327674:KJL327731 KTH327674:KTH327731 LDD327674:LDD327731 LMZ327674:LMZ327731 LWV327674:LWV327731 MGR327674:MGR327731 MQN327674:MQN327731 NAJ327674:NAJ327731 NKF327674:NKF327731 NUB327674:NUB327731 ODX327674:ODX327731 ONT327674:ONT327731 OXP327674:OXP327731 PHL327674:PHL327731 PRH327674:PRH327731 QBD327674:QBD327731 QKZ327674:QKZ327731 QUV327674:QUV327731 RER327674:RER327731 RON327674:RON327731 RYJ327674:RYJ327731 SIF327674:SIF327731 SSB327674:SSB327731 TBX327674:TBX327731 TLT327674:TLT327731 TVP327674:TVP327731 UFL327674:UFL327731 UPH327674:UPH327731 UZD327674:UZD327731 VIZ327674:VIZ327731 VSV327674:VSV327731 WCR327674:WCR327731 WMN327674:WMN327731 WWJ327674:WWJ327731 G393210:G393267 JX393210:JX393267 TT393210:TT393267 ADP393210:ADP393267 ANL393210:ANL393267 AXH393210:AXH393267 BHD393210:BHD393267 BQZ393210:BQZ393267 CAV393210:CAV393267 CKR393210:CKR393267 CUN393210:CUN393267 DEJ393210:DEJ393267 DOF393210:DOF393267 DYB393210:DYB393267 EHX393210:EHX393267 ERT393210:ERT393267 FBP393210:FBP393267 FLL393210:FLL393267 FVH393210:FVH393267 GFD393210:GFD393267 GOZ393210:GOZ393267 GYV393210:GYV393267 HIR393210:HIR393267 HSN393210:HSN393267 ICJ393210:ICJ393267 IMF393210:IMF393267 IWB393210:IWB393267 JFX393210:JFX393267 JPT393210:JPT393267 JZP393210:JZP393267 KJL393210:KJL393267 KTH393210:KTH393267 LDD393210:LDD393267 LMZ393210:LMZ393267 LWV393210:LWV393267 MGR393210:MGR393267 MQN393210:MQN393267 NAJ393210:NAJ393267 NKF393210:NKF393267 NUB393210:NUB393267 ODX393210:ODX393267 ONT393210:ONT393267 OXP393210:OXP393267 PHL393210:PHL393267 PRH393210:PRH393267 QBD393210:QBD393267 QKZ393210:QKZ393267 QUV393210:QUV393267 RER393210:RER393267 RON393210:RON393267 RYJ393210:RYJ393267 SIF393210:SIF393267 SSB393210:SSB393267 TBX393210:TBX393267 TLT393210:TLT393267 TVP393210:TVP393267 UFL393210:UFL393267 UPH393210:UPH393267 UZD393210:UZD393267 VIZ393210:VIZ393267 VSV393210:VSV393267 WCR393210:WCR393267 WMN393210:WMN393267 WWJ393210:WWJ393267 G458746:G458803 JX458746:JX458803 TT458746:TT458803 ADP458746:ADP458803 ANL458746:ANL458803 AXH458746:AXH458803 BHD458746:BHD458803 BQZ458746:BQZ458803 CAV458746:CAV458803 CKR458746:CKR458803 CUN458746:CUN458803 DEJ458746:DEJ458803 DOF458746:DOF458803 DYB458746:DYB458803 EHX458746:EHX458803 ERT458746:ERT458803 FBP458746:FBP458803 FLL458746:FLL458803 FVH458746:FVH458803 GFD458746:GFD458803 GOZ458746:GOZ458803 GYV458746:GYV458803 HIR458746:HIR458803 HSN458746:HSN458803 ICJ458746:ICJ458803 IMF458746:IMF458803 IWB458746:IWB458803 JFX458746:JFX458803 JPT458746:JPT458803 JZP458746:JZP458803 KJL458746:KJL458803 KTH458746:KTH458803 LDD458746:LDD458803 LMZ458746:LMZ458803 LWV458746:LWV458803 MGR458746:MGR458803 MQN458746:MQN458803 NAJ458746:NAJ458803 NKF458746:NKF458803 NUB458746:NUB458803 ODX458746:ODX458803 ONT458746:ONT458803 OXP458746:OXP458803 PHL458746:PHL458803 PRH458746:PRH458803 QBD458746:QBD458803 QKZ458746:QKZ458803 QUV458746:QUV458803 RER458746:RER458803 RON458746:RON458803 RYJ458746:RYJ458803 SIF458746:SIF458803 SSB458746:SSB458803 TBX458746:TBX458803 TLT458746:TLT458803 TVP458746:TVP458803 UFL458746:UFL458803 UPH458746:UPH458803 UZD458746:UZD458803 VIZ458746:VIZ458803 VSV458746:VSV458803 WCR458746:WCR458803 WMN458746:WMN458803 WWJ458746:WWJ458803 G524282:G524339 JX524282:JX524339 TT524282:TT524339 ADP524282:ADP524339 ANL524282:ANL524339 AXH524282:AXH524339 BHD524282:BHD524339 BQZ524282:BQZ524339 CAV524282:CAV524339 CKR524282:CKR524339 CUN524282:CUN524339 DEJ524282:DEJ524339 DOF524282:DOF524339 DYB524282:DYB524339 EHX524282:EHX524339 ERT524282:ERT524339 FBP524282:FBP524339 FLL524282:FLL524339 FVH524282:FVH524339 GFD524282:GFD524339 GOZ524282:GOZ524339 GYV524282:GYV524339 HIR524282:HIR524339 HSN524282:HSN524339 ICJ524282:ICJ524339 IMF524282:IMF524339 IWB524282:IWB524339 JFX524282:JFX524339 JPT524282:JPT524339 JZP524282:JZP524339 KJL524282:KJL524339 KTH524282:KTH524339 LDD524282:LDD524339 LMZ524282:LMZ524339 LWV524282:LWV524339 MGR524282:MGR524339 MQN524282:MQN524339 NAJ524282:NAJ524339 NKF524282:NKF524339 NUB524282:NUB524339 ODX524282:ODX524339 ONT524282:ONT524339 OXP524282:OXP524339 PHL524282:PHL524339 PRH524282:PRH524339 QBD524282:QBD524339 QKZ524282:QKZ524339 QUV524282:QUV524339 RER524282:RER524339 RON524282:RON524339 RYJ524282:RYJ524339 SIF524282:SIF524339 SSB524282:SSB524339 TBX524282:TBX524339 TLT524282:TLT524339 TVP524282:TVP524339 UFL524282:UFL524339 UPH524282:UPH524339 UZD524282:UZD524339 VIZ524282:VIZ524339 VSV524282:VSV524339 WCR524282:WCR524339 WMN524282:WMN524339 WWJ524282:WWJ524339 G589818:G589875 JX589818:JX589875 TT589818:TT589875 ADP589818:ADP589875 ANL589818:ANL589875 AXH589818:AXH589875 BHD589818:BHD589875 BQZ589818:BQZ589875 CAV589818:CAV589875 CKR589818:CKR589875 CUN589818:CUN589875 DEJ589818:DEJ589875 DOF589818:DOF589875 DYB589818:DYB589875 EHX589818:EHX589875 ERT589818:ERT589875 FBP589818:FBP589875 FLL589818:FLL589875 FVH589818:FVH589875 GFD589818:GFD589875 GOZ589818:GOZ589875 GYV589818:GYV589875 HIR589818:HIR589875 HSN589818:HSN589875 ICJ589818:ICJ589875 IMF589818:IMF589875 IWB589818:IWB589875 JFX589818:JFX589875 JPT589818:JPT589875 JZP589818:JZP589875 KJL589818:KJL589875 KTH589818:KTH589875 LDD589818:LDD589875 LMZ589818:LMZ589875 LWV589818:LWV589875 MGR589818:MGR589875 MQN589818:MQN589875 NAJ589818:NAJ589875 NKF589818:NKF589875 NUB589818:NUB589875 ODX589818:ODX589875 ONT589818:ONT589875 OXP589818:OXP589875 PHL589818:PHL589875 PRH589818:PRH589875 QBD589818:QBD589875 QKZ589818:QKZ589875 QUV589818:QUV589875 RER589818:RER589875 RON589818:RON589875 RYJ589818:RYJ589875 SIF589818:SIF589875 SSB589818:SSB589875 TBX589818:TBX589875 TLT589818:TLT589875 TVP589818:TVP589875 UFL589818:UFL589875 UPH589818:UPH589875 UZD589818:UZD589875 VIZ589818:VIZ589875 VSV589818:VSV589875 WCR589818:WCR589875 WMN589818:WMN589875 WWJ589818:WWJ589875 G655354:G655411 JX655354:JX655411 TT655354:TT655411 ADP655354:ADP655411 ANL655354:ANL655411 AXH655354:AXH655411 BHD655354:BHD655411 BQZ655354:BQZ655411 CAV655354:CAV655411 CKR655354:CKR655411 CUN655354:CUN655411 DEJ655354:DEJ655411 DOF655354:DOF655411 DYB655354:DYB655411 EHX655354:EHX655411 ERT655354:ERT655411 FBP655354:FBP655411 FLL655354:FLL655411 FVH655354:FVH655411 GFD655354:GFD655411 GOZ655354:GOZ655411 GYV655354:GYV655411 HIR655354:HIR655411 HSN655354:HSN655411 ICJ655354:ICJ655411 IMF655354:IMF655411 IWB655354:IWB655411 JFX655354:JFX655411 JPT655354:JPT655411 JZP655354:JZP655411 KJL655354:KJL655411 KTH655354:KTH655411 LDD655354:LDD655411 LMZ655354:LMZ655411 LWV655354:LWV655411 MGR655354:MGR655411 MQN655354:MQN655411 NAJ655354:NAJ655411 NKF655354:NKF655411 NUB655354:NUB655411 ODX655354:ODX655411 ONT655354:ONT655411 OXP655354:OXP655411 PHL655354:PHL655411 PRH655354:PRH655411 QBD655354:QBD655411 QKZ655354:QKZ655411 QUV655354:QUV655411 RER655354:RER655411 RON655354:RON655411 RYJ655354:RYJ655411 SIF655354:SIF655411 SSB655354:SSB655411 TBX655354:TBX655411 TLT655354:TLT655411 TVP655354:TVP655411 UFL655354:UFL655411 UPH655354:UPH655411 UZD655354:UZD655411 VIZ655354:VIZ655411 VSV655354:VSV655411 WCR655354:WCR655411 WMN655354:WMN655411 WWJ655354:WWJ655411 G720890:G720947 JX720890:JX720947 TT720890:TT720947 ADP720890:ADP720947 ANL720890:ANL720947 AXH720890:AXH720947 BHD720890:BHD720947 BQZ720890:BQZ720947 CAV720890:CAV720947 CKR720890:CKR720947 CUN720890:CUN720947 DEJ720890:DEJ720947 DOF720890:DOF720947 DYB720890:DYB720947 EHX720890:EHX720947 ERT720890:ERT720947 FBP720890:FBP720947 FLL720890:FLL720947 FVH720890:FVH720947 GFD720890:GFD720947 GOZ720890:GOZ720947 GYV720890:GYV720947 HIR720890:HIR720947 HSN720890:HSN720947 ICJ720890:ICJ720947 IMF720890:IMF720947 IWB720890:IWB720947 JFX720890:JFX720947 JPT720890:JPT720947 JZP720890:JZP720947 KJL720890:KJL720947 KTH720890:KTH720947 LDD720890:LDD720947 LMZ720890:LMZ720947 LWV720890:LWV720947 MGR720890:MGR720947 MQN720890:MQN720947 NAJ720890:NAJ720947 NKF720890:NKF720947 NUB720890:NUB720947 ODX720890:ODX720947 ONT720890:ONT720947 OXP720890:OXP720947 PHL720890:PHL720947 PRH720890:PRH720947 QBD720890:QBD720947 QKZ720890:QKZ720947 QUV720890:QUV720947 RER720890:RER720947 RON720890:RON720947 RYJ720890:RYJ720947 SIF720890:SIF720947 SSB720890:SSB720947 TBX720890:TBX720947 TLT720890:TLT720947 TVP720890:TVP720947 UFL720890:UFL720947 UPH720890:UPH720947 UZD720890:UZD720947 VIZ720890:VIZ720947 VSV720890:VSV720947 WCR720890:WCR720947 WMN720890:WMN720947 WWJ720890:WWJ720947 G786426:G786483 JX786426:JX786483 TT786426:TT786483 ADP786426:ADP786483 ANL786426:ANL786483 AXH786426:AXH786483 BHD786426:BHD786483 BQZ786426:BQZ786483 CAV786426:CAV786483 CKR786426:CKR786483 CUN786426:CUN786483 DEJ786426:DEJ786483 DOF786426:DOF786483 DYB786426:DYB786483 EHX786426:EHX786483 ERT786426:ERT786483 FBP786426:FBP786483 FLL786426:FLL786483 FVH786426:FVH786483 GFD786426:GFD786483 GOZ786426:GOZ786483 GYV786426:GYV786483 HIR786426:HIR786483 HSN786426:HSN786483 ICJ786426:ICJ786483 IMF786426:IMF786483 IWB786426:IWB786483 JFX786426:JFX786483 JPT786426:JPT786483 JZP786426:JZP786483 KJL786426:KJL786483 KTH786426:KTH786483 LDD786426:LDD786483 LMZ786426:LMZ786483 LWV786426:LWV786483 MGR786426:MGR786483 MQN786426:MQN786483 NAJ786426:NAJ786483 NKF786426:NKF786483 NUB786426:NUB786483 ODX786426:ODX786483 ONT786426:ONT786483 OXP786426:OXP786483 PHL786426:PHL786483 PRH786426:PRH786483 QBD786426:QBD786483 QKZ786426:QKZ786483 QUV786426:QUV786483 RER786426:RER786483 RON786426:RON786483 RYJ786426:RYJ786483 SIF786426:SIF786483 SSB786426:SSB786483 TBX786426:TBX786483 TLT786426:TLT786483 TVP786426:TVP786483 UFL786426:UFL786483 UPH786426:UPH786483 UZD786426:UZD786483 VIZ786426:VIZ786483 VSV786426:VSV786483 WCR786426:WCR786483 WMN786426:WMN786483 WWJ786426:WWJ786483 G851962:G852019 JX851962:JX852019 TT851962:TT852019 ADP851962:ADP852019 ANL851962:ANL852019 AXH851962:AXH852019 BHD851962:BHD852019 BQZ851962:BQZ852019 CAV851962:CAV852019 CKR851962:CKR852019 CUN851962:CUN852019 DEJ851962:DEJ852019 DOF851962:DOF852019 DYB851962:DYB852019 EHX851962:EHX852019 ERT851962:ERT852019 FBP851962:FBP852019 FLL851962:FLL852019 FVH851962:FVH852019 GFD851962:GFD852019 GOZ851962:GOZ852019 GYV851962:GYV852019 HIR851962:HIR852019 HSN851962:HSN852019 ICJ851962:ICJ852019 IMF851962:IMF852019 IWB851962:IWB852019 JFX851962:JFX852019 JPT851962:JPT852019 JZP851962:JZP852019 KJL851962:KJL852019 KTH851962:KTH852019 LDD851962:LDD852019 LMZ851962:LMZ852019 LWV851962:LWV852019 MGR851962:MGR852019 MQN851962:MQN852019 NAJ851962:NAJ852019 NKF851962:NKF852019 NUB851962:NUB852019 ODX851962:ODX852019 ONT851962:ONT852019 OXP851962:OXP852019 PHL851962:PHL852019 PRH851962:PRH852019 QBD851962:QBD852019 QKZ851962:QKZ852019 QUV851962:QUV852019 RER851962:RER852019 RON851962:RON852019 RYJ851962:RYJ852019 SIF851962:SIF852019 SSB851962:SSB852019 TBX851962:TBX852019 TLT851962:TLT852019 TVP851962:TVP852019 UFL851962:UFL852019 UPH851962:UPH852019 UZD851962:UZD852019 VIZ851962:VIZ852019 VSV851962:VSV852019 WCR851962:WCR852019 WMN851962:WMN852019 WWJ851962:WWJ852019 G917498:G917555 JX917498:JX917555 TT917498:TT917555 ADP917498:ADP917555 ANL917498:ANL917555 AXH917498:AXH917555 BHD917498:BHD917555 BQZ917498:BQZ917555 CAV917498:CAV917555 CKR917498:CKR917555 CUN917498:CUN917555 DEJ917498:DEJ917555 DOF917498:DOF917555 DYB917498:DYB917555 EHX917498:EHX917555 ERT917498:ERT917555 FBP917498:FBP917555 FLL917498:FLL917555 FVH917498:FVH917555 GFD917498:GFD917555 GOZ917498:GOZ917555 GYV917498:GYV917555 HIR917498:HIR917555 HSN917498:HSN917555 ICJ917498:ICJ917555 IMF917498:IMF917555 IWB917498:IWB917555 JFX917498:JFX917555 JPT917498:JPT917555 JZP917498:JZP917555 KJL917498:KJL917555 KTH917498:KTH917555 LDD917498:LDD917555 LMZ917498:LMZ917555 LWV917498:LWV917555 MGR917498:MGR917555 MQN917498:MQN917555 NAJ917498:NAJ917555 NKF917498:NKF917555 NUB917498:NUB917555 ODX917498:ODX917555 ONT917498:ONT917555 OXP917498:OXP917555 PHL917498:PHL917555 PRH917498:PRH917555 QBD917498:QBD917555 QKZ917498:QKZ917555 QUV917498:QUV917555 RER917498:RER917555 RON917498:RON917555 RYJ917498:RYJ917555 SIF917498:SIF917555 SSB917498:SSB917555 TBX917498:TBX917555 TLT917498:TLT917555 TVP917498:TVP917555 UFL917498:UFL917555 UPH917498:UPH917555 UZD917498:UZD917555 VIZ917498:VIZ917555 VSV917498:VSV917555 WCR917498:WCR917555 WMN917498:WMN917555 WWJ917498:WWJ917555 G983034:G983091 JX983034:JX983091 TT983034:TT983091 ADP983034:ADP983091 ANL983034:ANL983091 AXH983034:AXH983091 BHD983034:BHD983091 BQZ983034:BQZ983091 CAV983034:CAV983091 CKR983034:CKR983091 CUN983034:CUN983091 DEJ983034:DEJ983091 DOF983034:DOF983091 DYB983034:DYB983091 EHX983034:EHX983091 ERT983034:ERT983091 FBP983034:FBP983091 FLL983034:FLL983091 FVH983034:FVH983091 GFD983034:GFD983091 GOZ983034:GOZ983091 GYV983034:GYV983091 HIR983034:HIR983091 HSN983034:HSN983091 ICJ983034:ICJ983091 IMF983034:IMF983091 IWB983034:IWB983091 JFX983034:JFX983091 JPT983034:JPT983091 JZP983034:JZP983091 KJL983034:KJL983091 KTH983034:KTH983091 LDD983034:LDD983091 LMZ983034:LMZ983091 LWV983034:LWV983091 MGR983034:MGR983091 MQN983034:MQN983091 NAJ983034:NAJ983091 NKF983034:NKF983091 NUB983034:NUB983091 ODX983034:ODX983091 ONT983034:ONT983091 OXP983034:OXP983091 PHL983034:PHL983091 PRH983034:PRH983091 QBD983034:QBD983091 QKZ983034:QKZ983091 QUV983034:QUV983091 RER983034:RER983091 RON983034:RON983091 RYJ983034:RYJ983091 SIF983034:SIF983091 SSB983034:SSB983091 TBX983034:TBX983091 TLT983034:TLT983091 TVP983034:TVP983091 UFL983034:UFL983091 UPH983034:UPH983091 UZD983034:UZD983091 VIZ983034:VIZ983091 VSV983034:VSV983091 WCR983034:WCR983091 WMN983034:WMN983091 WWJ983034:WWJ983091 G3:G51 WWK3:WWK51 WMO3:WMO51 WCS3:WCS51 VSW3:VSW51 VJA3:VJA51 UZE3:UZE51 UPI3:UPI51 UFM3:UFM51 TVQ3:TVQ51 TLU3:TLU51 TBY3:TBY51 SSC3:SSC51 SIG3:SIG51 RYK3:RYK51 ROO3:ROO51 RES3:RES51 QUW3:QUW51 QLA3:QLA51 QBE3:QBE51 PRI3:PRI51 PHM3:PHM51 OXQ3:OXQ51 ONU3:ONU51 ODY3:ODY51 NUC3:NUC51 NKG3:NKG51 NAK3:NAK51 MQO3:MQO51 MGS3:MGS51 LWW3:LWW51 LNA3:LNA51 LDE3:LDE51 KTI3:KTI51 KJM3:KJM51 JZQ3:JZQ51 JPU3:JPU51 JFY3:JFY51 IWC3:IWC51 IMG3:IMG51 ICK3:ICK51 HSO3:HSO51 HIS3:HIS51 GYW3:GYW51 GPA3:GPA51 GFE3:GFE51 FVI3:FVI51 FLM3:FLM51 FBQ3:FBQ51 ERU3:ERU51 EHY3:EHY51 DYC3:DYC51 DOG3:DOG51 DEK3:DEK51 CUO3:CUO51 CKS3:CKS51 CAW3:CAW51 BRA3:BRA51 BHE3:BHE51 AXI3:AXI51 ANM3:ANM51 ADQ3:ADQ51 TU3:TU51 JY3:JY51">
      <formula1>"IS,IR,"</formula1>
    </dataValidation>
    <dataValidation type="list" allowBlank="1" showInputMessage="1" showErrorMessage="1" sqref="M3:N51">
      <formula1>"OUI,NON,A FAIRE"</formula1>
    </dataValidation>
    <dataValidation type="list" allowBlank="1" showInputMessage="1" showErrorMessage="1" sqref="O3:O51">
      <formula1>"COMPTABLE,CONSEILLER"</formula1>
    </dataValidation>
    <dataValidation type="list" allowBlank="1" showInputMessage="1" showErrorMessage="1" sqref="Q3:Q51 AO3:AO51">
      <formula1>"OUI,NON"</formula1>
    </dataValidation>
    <dataValidation type="list" allowBlank="1" showInputMessage="1" showErrorMessage="1" sqref="R3:R51">
      <formula1>"OUI,NON,A FAIRE,N/A"</formula1>
    </dataValidation>
    <dataValidation type="list" allowBlank="1" showInputMessage="1" showErrorMessage="1" sqref="BA3:BC51">
      <formula1>"X"</formula1>
    </dataValidation>
    <dataValidation type="list" allowBlank="1" showInputMessage="1" showErrorMessage="1" sqref="P3:P51">
      <formula1>"OUI,NON,A TERMINER,A FAIRE"</formula1>
    </dataValidation>
    <dataValidation type="list" allowBlank="1" showInputMessage="1" showErrorMessage="1" sqref="AN3:AN51">
      <formula1>"ABONNE COURT,ABONNE LONG"</formula1>
    </dataValidation>
    <dataValidation type="list" allowBlank="1" showInputMessage="1" showErrorMessage="1" sqref="BI3:BK51">
      <formula1>"OUI,NON,N/C"</formula1>
    </dataValidation>
    <dataValidation type="list" allowBlank="1" showInputMessage="1" showErrorMessage="1" sqref="H3:H51">
      <formula1>"MENSUELLE,TRIMESTRIELLE,EXERCICE,ANNUELLE"</formula1>
    </dataValidation>
    <dataValidation type="list" allowBlank="1" showInputMessage="1" showErrorMessage="1" sqref="AL3:AL51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Paramètres!$K$4:$K$8</xm:f>
          </x14:formula1>
          <xm:sqref>AJ3:AJ51</xm:sqref>
        </x14:dataValidation>
        <x14:dataValidation type="list" allowBlank="1" showInputMessage="1" showErrorMessage="1">
          <x14:formula1>
            <xm:f>Paramètres!$F$4:$F$17</xm:f>
          </x14:formula1>
          <xm:sqref>F3:F43</xm:sqref>
        </x14:dataValidation>
        <x14:dataValidation type="list" allowBlank="1" showInputMessage="1" showErrorMessage="1">
          <x14:formula1>
            <xm:f>Paramètres!$J$4:$J$7</xm:f>
          </x14:formula1>
          <xm:sqref>AI3:AI51</xm:sqref>
        </x14:dataValidation>
        <x14:dataValidation type="list" allowBlank="1" showInputMessage="1" showErrorMessage="1">
          <x14:formula1>
            <xm:f>Paramètres!$L$4:$L$11</xm:f>
          </x14:formula1>
          <xm:sqref>A3:A51</xm:sqref>
        </x14:dataValidation>
        <x14:dataValidation type="list" allowBlank="1" showInputMessage="1" showErrorMessage="1">
          <x14:formula1>
            <xm:f>Paramètres!$N$4:$N$13</xm:f>
          </x14:formula1>
          <xm:sqref>BG3:BG51</xm:sqref>
        </x14:dataValidation>
        <x14:dataValidation type="list" allowBlank="1" showInputMessage="1" showErrorMessage="1">
          <x14:formula1>
            <xm:f>Paramètres!$O$4:$O$16</xm:f>
          </x14:formula1>
          <xm:sqref>BH3:BH51</xm:sqref>
        </x14:dataValidation>
        <x14:dataValidation type="list" allowBlank="1" showInputMessage="1" showErrorMessage="1">
          <x14:formula1>
            <xm:f>Paramètres!$O$6:$O$16</xm:f>
          </x14:formula1>
          <xm:sqref>AK3:AK51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N183"/>
  <sheetViews>
    <sheetView zoomScale="85" zoomScaleNormal="85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A3" sqref="A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139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SUM(PORTEFEUILLE_FREDERIQUE[[#This Row],[PCR COMPTABLE €]:[MONTANT
RESPONSABLE RELATION CLIENT €]])-PORTEFEUILLE_FREDERIQUE[[#This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400</v>
      </c>
      <c r="AT3" s="188" t="str">
        <f>IF(PORTEFEUILLE_FREDERIQUE[[#This Row],[BONI AAC]]&lt;&gt;0,1,"")</f>
        <v/>
      </c>
      <c r="AU3" s="188">
        <f>IF(PORTEFEUILLE_FREDERIQUE[[#This Row],[MALI AAC]]&lt;&gt;0,1,"")</f>
        <v>1</v>
      </c>
      <c r="AV3" s="225">
        <f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3" s="225">
        <f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" s="190" t="str">
        <f>IF(PORTEFEUILLE_FREDERIQUE[[#This Row],[BONI COMPTABLE]]&lt;&gt;0,1,"")</f>
        <v/>
      </c>
      <c r="AY3" s="190" t="str">
        <f>IF(PORTEFEUILLE_FREDERIQUE[[#This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139</v>
      </c>
      <c r="B4" s="170">
        <v>860073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SUM(PORTEFEUILLE_FREDERIQUE[[#This Row],[PCR COMPTABLE €]:[MONTANT
RESPONSABLE RELATION CLIENT €]])-PORTEFEUILLE_FREDERIQUE[[#This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1000</v>
      </c>
      <c r="AT4" s="188" t="str">
        <f>IF(PORTEFEUILLE_FREDERIQUE[[#This Row],[BONI AAC]]&lt;&gt;0,1,"")</f>
        <v/>
      </c>
      <c r="AU4" s="188">
        <f>IF(PORTEFEUILLE_FREDERIQUE[[#This Row],[MALI AAC]]&lt;&gt;0,1,"")</f>
        <v>1</v>
      </c>
      <c r="AV4" s="225">
        <f>IF(AP4&lt;&gt;"",IF((AP4*Paramètres!$H$4)-PORTEFEUILLE_FREDERIQUE[[#This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4" s="225">
        <f>IF(AP4&lt;&gt;"",IF(((AP4*Paramètres!$H$4)-PORTEFEUILLE_FREDERIQUE[[#This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3000</v>
      </c>
      <c r="AX4" s="190" t="str">
        <f>IF(PORTEFEUILLE_FREDERIQUE[[#This Row],[BONI COMPTABLE]]&lt;&gt;0,1,"")</f>
        <v/>
      </c>
      <c r="AY4" s="190">
        <f>IF(PORTEFEUILLE_FREDERIQUE[[#This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139</v>
      </c>
      <c r="B5" s="170">
        <v>860074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SUM(PORTEFEUILLE_FREDERIQUE[[#This Row],[PCR COMPTABLE €]:[MONTANT
RESPONSABLE RELATION CLIENT €]])-PORTEFEUILLE_FREDERIQUE[[#This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2200</v>
      </c>
      <c r="AT5" s="188" t="str">
        <f>IF(PORTEFEUILLE_FREDERIQUE[[#This Row],[BONI AAC]]&lt;&gt;0,1,"")</f>
        <v/>
      </c>
      <c r="AU5" s="188">
        <f>IF(PORTEFEUILLE_FREDERIQUE[[#This Row],[MALI AAC]]&lt;&gt;0,1,"")</f>
        <v>1</v>
      </c>
      <c r="AV5" s="225">
        <f>IF(AP5&lt;&gt;"",IF((AP5*Paramètres!$H$4)-PORTEFEUILLE_FREDERIQUE[[#This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5" s="225">
        <f>IF(AP5&lt;&gt;"",IF(((AP5*Paramètres!$H$4)-PORTEFEUILLE_FREDERIQUE[[#This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4150</v>
      </c>
      <c r="AX5" s="190" t="str">
        <f>IF(PORTEFEUILLE_FREDERIQUE[[#This Row],[BONI COMPTABLE]]&lt;&gt;0,1,"")</f>
        <v/>
      </c>
      <c r="AY5" s="190">
        <f>IF(PORTEFEUILLE_FREDERIQUE[[#This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SUM(PORTEFEUILLE_FREDERIQUE[[#This Row],[PCR COMPTABLE €]:[MONTANT
RESPONSABLE RELATION CLIENT €]])-PORTEFEUILLE_FREDERIQUE[[#This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" s="188" t="str">
        <f>IF(PORTEFEUILLE_FREDERIQUE[[#This Row],[BONI AAC]]&lt;&gt;0,1,"")</f>
        <v/>
      </c>
      <c r="AU6" s="188" t="str">
        <f>IF(PORTEFEUILLE_FREDERIQUE[[#This Row],[MALI AAC]]&lt;&gt;0,1,"")</f>
        <v/>
      </c>
      <c r="AV6" s="225">
        <f>IF(AP6&lt;&gt;"",IF((AP6*Paramètres!$H$4)-PORTEFEUILLE_FREDERIQUE[[#This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6" s="225">
        <f>IF(AP6&lt;&gt;"",IF(((AP6*Paramètres!$H$4)-PORTEFEUILLE_FREDERIQUE[[#This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" s="190" t="str">
        <f>IF(PORTEFEUILLE_FREDERIQUE[[#This Row],[BONI COMPTABLE]]&lt;&gt;0,1,"")</f>
        <v/>
      </c>
      <c r="AY6" s="190" t="str">
        <f>IF(PORTEFEUILLE_FREDERIQUE[[#This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SUM(PORTEFEUILLE_FREDERIQUE[[#This Row],[PCR COMPTABLE €]:[MONTANT
RESPONSABLE RELATION CLIENT €]])-PORTEFEUILLE_FREDERIQUE[[#This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7" s="188" t="str">
        <f>IF(PORTEFEUILLE_FREDERIQUE[[#This Row],[BONI AAC]]&lt;&gt;0,1,"")</f>
        <v/>
      </c>
      <c r="AU7" s="188" t="str">
        <f>IF(PORTEFEUILLE_FREDERIQUE[[#This Row],[MALI AAC]]&lt;&gt;0,1,"")</f>
        <v/>
      </c>
      <c r="AV7" s="225">
        <f>IF(AP7&lt;&gt;"",IF((AP7*Paramètres!$H$4)-PORTEFEUILLE_FREDERIQUE[[#This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7" s="225">
        <f>IF(AP7&lt;&gt;"",IF(((AP7*Paramètres!$H$4)-PORTEFEUILLE_FREDERIQUE[[#This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7" s="190" t="str">
        <f>IF(PORTEFEUILLE_FREDERIQUE[[#This Row],[BONI COMPTABLE]]&lt;&gt;0,1,"")</f>
        <v/>
      </c>
      <c r="AY7" s="190" t="str">
        <f>IF(PORTEFEUILLE_FREDERIQUE[[#This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SUM(PORTEFEUILLE_FREDERIQUE[[#This Row],[PCR COMPTABLE €]:[MONTANT
RESPONSABLE RELATION CLIENT €]])-PORTEFEUILLE_FREDERIQUE[[#This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8" s="188" t="str">
        <f>IF(PORTEFEUILLE_FREDERIQUE[[#This Row],[BONI AAC]]&lt;&gt;0,1,"")</f>
        <v/>
      </c>
      <c r="AU8" s="188" t="str">
        <f>IF(PORTEFEUILLE_FREDERIQUE[[#This Row],[MALI AAC]]&lt;&gt;0,1,"")</f>
        <v/>
      </c>
      <c r="AV8" s="225">
        <f>IF(AP8&lt;&gt;"",IF((AP8*Paramètres!$H$4)-PORTEFEUILLE_FREDERIQUE[[#This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8" s="225">
        <f>IF(AP8&lt;&gt;"",IF(((AP8*Paramètres!$H$4)-PORTEFEUILLE_FREDERIQUE[[#This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8" s="190" t="str">
        <f>IF(PORTEFEUILLE_FREDERIQUE[[#This Row],[BONI COMPTABLE]]&lt;&gt;0,1,"")</f>
        <v/>
      </c>
      <c r="AY8" s="190" t="str">
        <f>IF(PORTEFEUILLE_FREDERIQUE[[#This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SUM(PORTEFEUILLE_FREDERIQUE[[#This Row],[PCR COMPTABLE €]:[MONTANT
RESPONSABLE RELATION CLIENT €]])-PORTEFEUILLE_FREDERIQUE[[#This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9" s="188" t="str">
        <f>IF(PORTEFEUILLE_FREDERIQUE[[#This Row],[BONI AAC]]&lt;&gt;0,1,"")</f>
        <v/>
      </c>
      <c r="AU9" s="188" t="str">
        <f>IF(PORTEFEUILLE_FREDERIQUE[[#This Row],[MALI AAC]]&lt;&gt;0,1,"")</f>
        <v/>
      </c>
      <c r="AV9" s="225">
        <f>IF(AP9&lt;&gt;"",IF((AP9*Paramètres!$H$4)-PORTEFEUILLE_FREDERIQUE[[#This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f>
        <v>0</v>
      </c>
      <c r="AW9" s="225">
        <f>IF(AP9&lt;&gt;"",IF(((AP9*Paramètres!$H$4)-PORTEFEUILLE_FREDERIQUE[[#This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9" s="190" t="str">
        <f>IF(PORTEFEUILLE_FREDERIQUE[[#This Row],[BONI COMPTABLE]]&lt;&gt;0,1,"")</f>
        <v/>
      </c>
      <c r="AY9" s="190" t="str">
        <f>IF(PORTEFEUILLE_FREDERIQUE[[#This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SUM(PORTEFEUILLE_FREDERIQUE[[#This Row],[PCR COMPTABLE €]:[MONTANT
RESPONSABLE RELATION CLIENT €]])-PORTEFEUILLE_FREDERIQUE[[#This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0" s="188" t="str">
        <f>IF(PORTEFEUILLE_FREDERIQUE[[#This Row],[BONI AAC]]&lt;&gt;0,1,"")</f>
        <v/>
      </c>
      <c r="AU10" s="188" t="str">
        <f>IF(PORTEFEUILLE_FREDERIQUE[[#This Row],[MALI AAC]]&lt;&gt;0,1,"")</f>
        <v/>
      </c>
      <c r="AV10" s="225">
        <f>IF(AP10&lt;&gt;"",IF((AP10*Paramètres!$H$4)-PORTEFEUILLE_FREDERIQUE[[#This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10" s="225">
        <f>IF(AP10&lt;&gt;"",IF(((AP10*Paramètres!$H$4)-PORTEFEUILLE_FREDERIQUE[[#This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0" s="190" t="str">
        <f>IF(PORTEFEUILLE_FREDERIQUE[[#This Row],[BONI COMPTABLE]]&lt;&gt;0,1,"")</f>
        <v/>
      </c>
      <c r="AY10" s="190" t="str">
        <f>IF(PORTEFEUILLE_FREDERIQUE[[#This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SUM(PORTEFEUILLE_FREDERIQUE[[#This Row],[PCR COMPTABLE €]:[MONTANT
RESPONSABLE RELATION CLIENT €]])-PORTEFEUILLE_FREDERIQUE[[#This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1" s="188" t="str">
        <f>IF(PORTEFEUILLE_FREDERIQUE[[#This Row],[BONI AAC]]&lt;&gt;0,1,"")</f>
        <v/>
      </c>
      <c r="AU11" s="188" t="str">
        <f>IF(PORTEFEUILLE_FREDERIQUE[[#This Row],[MALI AAC]]&lt;&gt;0,1,"")</f>
        <v/>
      </c>
      <c r="AV11" s="225">
        <f>IF(AP11&lt;&gt;"",IF((AP11*Paramètres!$H$4)-PORTEFEUILLE_FREDERIQUE[[#This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€]]-(DELPHINE!AP4*Paramètres!$H$4),0),0)</f>
        <v>0</v>
      </c>
      <c r="AW11" s="225">
        <f>IF(AP11&lt;&gt;"",IF(((AP11*Paramètres!$H$4)-PORTEFEUILLE_FREDERIQUE[[#This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1" s="190" t="str">
        <f>IF(PORTEFEUILLE_FREDERIQUE[[#This Row],[BONI COMPTABLE]]&lt;&gt;0,1,"")</f>
        <v/>
      </c>
      <c r="AY11" s="190" t="str">
        <f>IF(PORTEFEUILLE_FREDERIQUE[[#This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SUM(PORTEFEUILLE_FREDERIQUE[[#This Row],[PCR COMPTABLE €]:[MONTANT
RESPONSABLE RELATION CLIENT €]])-PORTEFEUILLE_FREDERIQUE[[#This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2" s="188" t="str">
        <f>IF(PORTEFEUILLE_FREDERIQUE[[#This Row],[BONI AAC]]&lt;&gt;0,1,"")</f>
        <v/>
      </c>
      <c r="AU12" s="188" t="str">
        <f>IF(PORTEFEUILLE_FREDERIQUE[[#This Row],[MALI AAC]]&lt;&gt;0,1,"")</f>
        <v/>
      </c>
      <c r="AV12" s="225">
        <f>IF(AP12&lt;&gt;"",IF((AP12*Paramètres!$H$4)-PORTEFEUILLE_FREDERIQUE[[#This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€]]-(DELPHINE!AP5*Paramètres!$H$4),0),0)</f>
        <v>0</v>
      </c>
      <c r="AW12" s="225">
        <f>IF(AP12&lt;&gt;"",IF(((AP12*Paramètres!$H$4)-PORTEFEUILLE_FREDERIQUE[[#This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2" s="190" t="str">
        <f>IF(PORTEFEUILLE_FREDERIQUE[[#This Row],[BONI COMPTABLE]]&lt;&gt;0,1,"")</f>
        <v/>
      </c>
      <c r="AY12" s="190" t="str">
        <f>IF(PORTEFEUILLE_FREDERIQUE[[#This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SUM(PORTEFEUILLE_FREDERIQUE[[#This Row],[PCR COMPTABLE €]:[MONTANT
RESPONSABLE RELATION CLIENT €]])-PORTEFEUILLE_FREDERIQUE[[#This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3" s="188" t="str">
        <f>IF(PORTEFEUILLE_FREDERIQUE[[#This Row],[BONI AAC]]&lt;&gt;0,1,"")</f>
        <v/>
      </c>
      <c r="AU13" s="188" t="str">
        <f>IF(PORTEFEUILLE_FREDERIQUE[[#This Row],[MALI AAC]]&lt;&gt;0,1,"")</f>
        <v/>
      </c>
      <c r="AV13" s="225">
        <f>IF(AP13&lt;&gt;"",IF((AP13*Paramètres!$H$4)-PORTEFEUILLE_FREDERIQUE[[#This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€]]-(DELPHINE!AP6*Paramètres!$H$4),0),0)</f>
        <v>0</v>
      </c>
      <c r="AW13" s="225">
        <f>IF(AP13&lt;&gt;"",IF(((AP13*Paramètres!$H$4)-PORTEFEUILLE_FREDERIQUE[[#This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3" s="190" t="str">
        <f>IF(PORTEFEUILLE_FREDERIQUE[[#This Row],[BONI COMPTABLE]]&lt;&gt;0,1,"")</f>
        <v/>
      </c>
      <c r="AY13" s="190" t="str">
        <f>IF(PORTEFEUILLE_FREDERIQUE[[#This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SUM(PORTEFEUILLE_FREDERIQUE[[#This Row],[PCR COMPTABLE €]:[MONTANT
RESPONSABLE RELATION CLIENT €]])-PORTEFEUILLE_FREDERIQUE[[#This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4" s="188" t="str">
        <f>IF(PORTEFEUILLE_FREDERIQUE[[#This Row],[BONI AAC]]&lt;&gt;0,1,"")</f>
        <v/>
      </c>
      <c r="AU14" s="188" t="str">
        <f>IF(PORTEFEUILLE_FREDERIQUE[[#This Row],[MALI AAC]]&lt;&gt;0,1,"")</f>
        <v/>
      </c>
      <c r="AV14" s="225">
        <f>IF(AP14&lt;&gt;"",IF((AP14*Paramètres!$H$4)-PORTEFEUILLE_FREDERIQUE[[#This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14" s="225">
        <f>IF(AP14&lt;&gt;"",IF(((AP14*Paramètres!$H$4)-PORTEFEUILLE_FREDERIQUE[[#This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4" s="190" t="str">
        <f>IF(PORTEFEUILLE_FREDERIQUE[[#This Row],[BONI COMPTABLE]]&lt;&gt;0,1,"")</f>
        <v/>
      </c>
      <c r="AY14" s="190" t="str">
        <f>IF(PORTEFEUILLE_FREDERIQUE[[#This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SUM(PORTEFEUILLE_FREDERIQUE[[#This Row],[PCR COMPTABLE €]:[MONTANT
RESPONSABLE RELATION CLIENT €]])-PORTEFEUILLE_FREDERIQUE[[#This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5" s="188" t="str">
        <f>IF(PORTEFEUILLE_FREDERIQUE[[#This Row],[BONI AAC]]&lt;&gt;0,1,"")</f>
        <v/>
      </c>
      <c r="AU15" s="188" t="str">
        <f>IF(PORTEFEUILLE_FREDERIQUE[[#This Row],[MALI AAC]]&lt;&gt;0,1,"")</f>
        <v/>
      </c>
      <c r="AV15" s="225">
        <f>IF(AP15&lt;&gt;"",IF((AP15*Paramètres!$H$4)-PORTEFEUILLE_FREDERIQUE[[#This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€]]-(DELPHINE!#REF!*Paramètres!$H$4),0),0)</f>
        <v>0</v>
      </c>
      <c r="AW15" s="225">
        <f>IF(AP15&lt;&gt;"",IF(((AP15*Paramètres!$H$4)-PORTEFEUILLE_FREDERIQUE[[#This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5" s="190" t="str">
        <f>IF(PORTEFEUILLE_FREDERIQUE[[#This Row],[BONI COMPTABLE]]&lt;&gt;0,1,"")</f>
        <v/>
      </c>
      <c r="AY15" s="190" t="str">
        <f>IF(PORTEFEUILLE_FREDERIQUE[[#This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SUM(PORTEFEUILLE_FREDERIQUE[[#This Row],[PCR COMPTABLE €]:[MONTANT
RESPONSABLE RELATION CLIENT €]])-PORTEFEUILLE_FREDERIQUE[[#This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6" s="188" t="str">
        <f>IF(PORTEFEUILLE_FREDERIQUE[[#This Row],[BONI AAC]]&lt;&gt;0,1,"")</f>
        <v/>
      </c>
      <c r="AU16" s="188" t="str">
        <f>IF(PORTEFEUILLE_FREDERIQUE[[#This Row],[MALI AAC]]&lt;&gt;0,1,"")</f>
        <v/>
      </c>
      <c r="AV16" s="225">
        <f>IF(AP16&lt;&gt;"",IF((AP16*Paramètres!$H$4)-PORTEFEUILLE_FREDERIQUE[[#This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€]]-(DELPHINE!AP7*Paramètres!$H$4),0),0)</f>
        <v>0</v>
      </c>
      <c r="AW16" s="225">
        <f>IF(AP16&lt;&gt;"",IF(((AP16*Paramètres!$H$4)-PORTEFEUILLE_FREDERIQUE[[#This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6" s="190" t="str">
        <f>IF(PORTEFEUILLE_FREDERIQUE[[#This Row],[BONI COMPTABLE]]&lt;&gt;0,1,"")</f>
        <v/>
      </c>
      <c r="AY16" s="190" t="str">
        <f>IF(PORTEFEUILLE_FREDERIQUE[[#This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SUM(PORTEFEUILLE_FREDERIQUE[[#This Row],[PCR COMPTABLE €]:[MONTANT
RESPONSABLE RELATION CLIENT €]])-PORTEFEUILLE_FREDERIQUE[[#This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7" s="188" t="str">
        <f>IF(PORTEFEUILLE_FREDERIQUE[[#This Row],[BONI AAC]]&lt;&gt;0,1,"")</f>
        <v/>
      </c>
      <c r="AU17" s="188" t="str">
        <f>IF(PORTEFEUILLE_FREDERIQUE[[#This Row],[MALI AAC]]&lt;&gt;0,1,"")</f>
        <v/>
      </c>
      <c r="AV17" s="225">
        <f>IF(AP17&lt;&gt;"",IF((AP17*Paramètres!$H$4)-PORTEFEUILLE_FREDERIQUE[[#This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€]]-(DELPHINE!AP8*Paramètres!$H$4),0),0)</f>
        <v>0</v>
      </c>
      <c r="AW17" s="225">
        <f>IF(AP17&lt;&gt;"",IF(((AP17*Paramètres!$H$4)-PORTEFEUILLE_FREDERIQUE[[#This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7" s="190" t="str">
        <f>IF(PORTEFEUILLE_FREDERIQUE[[#This Row],[BONI COMPTABLE]]&lt;&gt;0,1,"")</f>
        <v/>
      </c>
      <c r="AY17" s="190" t="str">
        <f>IF(PORTEFEUILLE_FREDERIQUE[[#This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SUM(PORTEFEUILLE_FREDERIQUE[[#This Row],[PCR COMPTABLE €]:[MONTANT
RESPONSABLE RELATION CLIENT €]])-PORTEFEUILLE_FREDERIQUE[[#This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8" s="188" t="str">
        <f>IF(PORTEFEUILLE_FREDERIQUE[[#This Row],[BONI AAC]]&lt;&gt;0,1,"")</f>
        <v/>
      </c>
      <c r="AU18" s="188" t="str">
        <f>IF(PORTEFEUILLE_FREDERIQUE[[#This Row],[MALI AAC]]&lt;&gt;0,1,"")</f>
        <v/>
      </c>
      <c r="AV18" s="225">
        <f>IF(AP18&lt;&gt;"",IF((AP18*Paramètres!$H$4)-PORTEFEUILLE_FREDERIQUE[[#This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€]]-(DELPHINE!AP9*Paramètres!$H$4),0),0)</f>
        <v>0</v>
      </c>
      <c r="AW18" s="225">
        <f>IF(AP18&lt;&gt;"",IF(((AP18*Paramètres!$H$4)-PORTEFEUILLE_FREDERIQUE[[#This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8" s="190" t="str">
        <f>IF(PORTEFEUILLE_FREDERIQUE[[#This Row],[BONI COMPTABLE]]&lt;&gt;0,1,"")</f>
        <v/>
      </c>
      <c r="AY18" s="190" t="str">
        <f>IF(PORTEFEUILLE_FREDERIQUE[[#This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SUM(PORTEFEUILLE_FREDERIQUE[[#This Row],[PCR COMPTABLE €]:[MONTANT
RESPONSABLE RELATION CLIENT €]])-PORTEFEUILLE_FREDERIQUE[[#This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9" s="188" t="str">
        <f>IF(PORTEFEUILLE_FREDERIQUE[[#This Row],[BONI AAC]]&lt;&gt;0,1,"")</f>
        <v/>
      </c>
      <c r="AU19" s="188" t="str">
        <f>IF(PORTEFEUILLE_FREDERIQUE[[#This Row],[MALI AAC]]&lt;&gt;0,1,"")</f>
        <v/>
      </c>
      <c r="AV19" s="225">
        <f>IF(AP19&lt;&gt;"",IF((AP19*Paramètres!$H$4)-PORTEFEUILLE_FREDERIQUE[[#This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€]]-(DELPHINE!AP10*Paramètres!$H$4),0),0)</f>
        <v>0</v>
      </c>
      <c r="AW19" s="225">
        <f>IF(AP19&lt;&gt;"",IF(((AP19*Paramètres!$H$4)-PORTEFEUILLE_FREDERIQUE[[#This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9" s="190" t="str">
        <f>IF(PORTEFEUILLE_FREDERIQUE[[#This Row],[BONI COMPTABLE]]&lt;&gt;0,1,"")</f>
        <v/>
      </c>
      <c r="AY19" s="190" t="str">
        <f>IF(PORTEFEUILLE_FREDERIQUE[[#This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SUM(PORTEFEUILLE_FREDERIQUE[[#This Row],[PCR COMPTABLE €]:[MONTANT
RESPONSABLE RELATION CLIENT €]])-PORTEFEUILLE_FREDERIQUE[[#This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0" s="188" t="str">
        <f>IF(PORTEFEUILLE_FREDERIQUE[[#This Row],[BONI AAC]]&lt;&gt;0,1,"")</f>
        <v/>
      </c>
      <c r="AU20" s="188" t="str">
        <f>IF(PORTEFEUILLE_FREDERIQUE[[#This Row],[MALI AAC]]&lt;&gt;0,1,"")</f>
        <v/>
      </c>
      <c r="AV20" s="225">
        <f>IF(AP20&lt;&gt;"",IF((AP20*Paramètres!$H$4)-PORTEFEUILLE_FREDERIQUE[[#This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€]]-(DELPHINE!AP11*Paramètres!$H$4),0),0)</f>
        <v>0</v>
      </c>
      <c r="AW20" s="225">
        <f>IF(AP20&lt;&gt;"",IF(((AP20*Paramètres!$H$4)-PORTEFEUILLE_FREDERIQUE[[#This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0" s="190" t="str">
        <f>IF(PORTEFEUILLE_FREDERIQUE[[#This Row],[BONI COMPTABLE]]&lt;&gt;0,1,"")</f>
        <v/>
      </c>
      <c r="AY20" s="190" t="str">
        <f>IF(PORTEFEUILLE_FREDERIQUE[[#This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SUM(PORTEFEUILLE_FREDERIQUE[[#This Row],[PCR COMPTABLE €]:[MONTANT
RESPONSABLE RELATION CLIENT €]])-PORTEFEUILLE_FREDERIQUE[[#This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1" s="188" t="str">
        <f>IF(PORTEFEUILLE_FREDERIQUE[[#This Row],[BONI AAC]]&lt;&gt;0,1,"")</f>
        <v/>
      </c>
      <c r="AU21" s="188" t="str">
        <f>IF(PORTEFEUILLE_FREDERIQUE[[#This Row],[MALI AAC]]&lt;&gt;0,1,"")</f>
        <v/>
      </c>
      <c r="AV21" s="225">
        <f>IF(AP21&lt;&gt;"",IF((AP21*Paramètres!$H$4)-PORTEFEUILLE_FREDERIQUE[[#This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€]]-(DELPHINE!AP12*Paramètres!$H$4),0),0)</f>
        <v>0</v>
      </c>
      <c r="AW21" s="225">
        <f>IF(AP21&lt;&gt;"",IF(((AP21*Paramètres!$H$4)-PORTEFEUILLE_FREDERIQUE[[#This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1" s="190" t="str">
        <f>IF(PORTEFEUILLE_FREDERIQUE[[#This Row],[BONI COMPTABLE]]&lt;&gt;0,1,"")</f>
        <v/>
      </c>
      <c r="AY21" s="190" t="str">
        <f>IF(PORTEFEUILLE_FREDERIQUE[[#This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SUM(PORTEFEUILLE_FREDERIQUE[[#This Row],[PCR COMPTABLE €]:[MONTANT
RESPONSABLE RELATION CLIENT €]])-PORTEFEUILLE_FREDERIQUE[[#This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2" s="188" t="str">
        <f>IF(PORTEFEUILLE_FREDERIQUE[[#This Row],[BONI AAC]]&lt;&gt;0,1,"")</f>
        <v/>
      </c>
      <c r="AU22" s="188" t="str">
        <f>IF(PORTEFEUILLE_FREDERIQUE[[#This Row],[MALI AAC]]&lt;&gt;0,1,"")</f>
        <v/>
      </c>
      <c r="AV22" s="225">
        <f>IF(AP22&lt;&gt;"",IF((AP22*Paramètres!$H$4)-PORTEFEUILLE_FREDERIQUE[[#This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€]]-(DELPHINE!AP13*Paramètres!$H$4),0),0)</f>
        <v>0</v>
      </c>
      <c r="AW22" s="225">
        <f>IF(AP22&lt;&gt;"",IF(((AP22*Paramètres!$H$4)-PORTEFEUILLE_FREDERIQUE[[#This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2" s="190" t="str">
        <f>IF(PORTEFEUILLE_FREDERIQUE[[#This Row],[BONI COMPTABLE]]&lt;&gt;0,1,"")</f>
        <v/>
      </c>
      <c r="AY22" s="190" t="str">
        <f>IF(PORTEFEUILLE_FREDERIQUE[[#This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SUM(PORTEFEUILLE_FREDERIQUE[[#This Row],[PCR COMPTABLE €]:[MONTANT
RESPONSABLE RELATION CLIENT €]])-PORTEFEUILLE_FREDERIQUE[[#This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3" s="188" t="str">
        <f>IF(PORTEFEUILLE_FREDERIQUE[[#This Row],[BONI AAC]]&lt;&gt;0,1,"")</f>
        <v/>
      </c>
      <c r="AU23" s="188" t="str">
        <f>IF(PORTEFEUILLE_FREDERIQUE[[#This Row],[MALI AAC]]&lt;&gt;0,1,"")</f>
        <v/>
      </c>
      <c r="AV23" s="225">
        <f>IF(AP23&lt;&gt;"",IF((AP23*Paramètres!$H$4)-PORTEFEUILLE_FREDERIQUE[[#This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€]]-(DELPHINE!AP14*Paramètres!$H$4),0),0)</f>
        <v>0</v>
      </c>
      <c r="AW23" s="225">
        <f>IF(AP23&lt;&gt;"",IF(((AP23*Paramètres!$H$4)-PORTEFEUILLE_FREDERIQUE[[#This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3" s="190" t="str">
        <f>IF(PORTEFEUILLE_FREDERIQUE[[#This Row],[BONI COMPTABLE]]&lt;&gt;0,1,"")</f>
        <v/>
      </c>
      <c r="AY23" s="190" t="str">
        <f>IF(PORTEFEUILLE_FREDERIQUE[[#This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SUM(PORTEFEUILLE_FREDERIQUE[[#This Row],[PCR COMPTABLE €]:[MONTANT
RESPONSABLE RELATION CLIENT €]])-PORTEFEUILLE_FREDERIQUE[[#This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4" s="188" t="str">
        <f>IF(PORTEFEUILLE_FREDERIQUE[[#This Row],[BONI AAC]]&lt;&gt;0,1,"")</f>
        <v/>
      </c>
      <c r="AU24" s="188" t="str">
        <f>IF(PORTEFEUILLE_FREDERIQUE[[#This Row],[MALI AAC]]&lt;&gt;0,1,"")</f>
        <v/>
      </c>
      <c r="AV24" s="225">
        <f>IF(AP24&lt;&gt;"",IF((AP24*Paramètres!$H$4)-PORTEFEUILLE_FREDERIQUE[[#This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€]]-(DELPHINE!AP15*Paramètres!$H$4),0),0)</f>
        <v>0</v>
      </c>
      <c r="AW24" s="225">
        <f>IF(AP24&lt;&gt;"",IF(((AP24*Paramètres!$H$4)-PORTEFEUILLE_FREDERIQUE[[#This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4" s="190" t="str">
        <f>IF(PORTEFEUILLE_FREDERIQUE[[#This Row],[BONI COMPTABLE]]&lt;&gt;0,1,"")</f>
        <v/>
      </c>
      <c r="AY24" s="190" t="str">
        <f>IF(PORTEFEUILLE_FREDERIQUE[[#This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SUM(PORTEFEUILLE_FREDERIQUE[[#This Row],[PCR COMPTABLE €]:[MONTANT
RESPONSABLE RELATION CLIENT €]])-PORTEFEUILLE_FREDERIQUE[[#This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5" s="188" t="str">
        <f>IF(PORTEFEUILLE_FREDERIQUE[[#This Row],[BONI AAC]]&lt;&gt;0,1,"")</f>
        <v/>
      </c>
      <c r="AU25" s="188" t="str">
        <f>IF(PORTEFEUILLE_FREDERIQUE[[#This Row],[MALI AAC]]&lt;&gt;0,1,"")</f>
        <v/>
      </c>
      <c r="AV25" s="225">
        <f>IF(AP25&lt;&gt;"",IF((AP25*Paramètres!$H$4)-PORTEFEUILLE_FREDERIQUE[[#This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€]]-(DELPHINE!AP16*Paramètres!$H$4),0),0)</f>
        <v>0</v>
      </c>
      <c r="AW25" s="225">
        <f>IF(AP25&lt;&gt;"",IF(((AP25*Paramètres!$H$4)-PORTEFEUILLE_FREDERIQUE[[#This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5" s="190" t="str">
        <f>IF(PORTEFEUILLE_FREDERIQUE[[#This Row],[BONI COMPTABLE]]&lt;&gt;0,1,"")</f>
        <v/>
      </c>
      <c r="AY25" s="190" t="str">
        <f>IF(PORTEFEUILLE_FREDERIQUE[[#This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SUM(PORTEFEUILLE_FREDERIQUE[[#This Row],[PCR COMPTABLE €]:[MONTANT
RESPONSABLE RELATION CLIENT €]])-PORTEFEUILLE_FREDERIQUE[[#This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6" s="188" t="str">
        <f>IF(PORTEFEUILLE_FREDERIQUE[[#This Row],[BONI AAC]]&lt;&gt;0,1,"")</f>
        <v/>
      </c>
      <c r="AU26" s="188" t="str">
        <f>IF(PORTEFEUILLE_FREDERIQUE[[#This Row],[MALI AAC]]&lt;&gt;0,1,"")</f>
        <v/>
      </c>
      <c r="AV26" s="225">
        <f>IF(AP26&lt;&gt;"",IF((AP26*Paramètres!$H$4)-PORTEFEUILLE_FREDERIQUE[[#This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€]]-(DELPHINE!AP17*Paramètres!$H$4),0),0)</f>
        <v>0</v>
      </c>
      <c r="AW26" s="225">
        <f>IF(AP26&lt;&gt;"",IF(((AP26*Paramètres!$H$4)-PORTEFEUILLE_FREDERIQUE[[#This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6" s="190" t="str">
        <f>IF(PORTEFEUILLE_FREDERIQUE[[#This Row],[BONI COMPTABLE]]&lt;&gt;0,1,"")</f>
        <v/>
      </c>
      <c r="AY26" s="190" t="str">
        <f>IF(PORTEFEUILLE_FREDERIQUE[[#This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SUM(PORTEFEUILLE_FREDERIQUE[[#This Row],[PCR COMPTABLE €]:[MONTANT
RESPONSABLE RELATION CLIENT €]])-PORTEFEUILLE_FREDERIQUE[[#This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7" s="188" t="str">
        <f>IF(PORTEFEUILLE_FREDERIQUE[[#This Row],[BONI AAC]]&lt;&gt;0,1,"")</f>
        <v/>
      </c>
      <c r="AU27" s="188" t="str">
        <f>IF(PORTEFEUILLE_FREDERIQUE[[#This Row],[MALI AAC]]&lt;&gt;0,1,"")</f>
        <v/>
      </c>
      <c r="AV27" s="225">
        <f>IF(AP27&lt;&gt;"",IF((AP27*Paramètres!$H$4)-PORTEFEUILLE_FREDERIQUE[[#This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€]]-(DELPHINE!AP18*Paramètres!$H$4),0),0)</f>
        <v>0</v>
      </c>
      <c r="AW27" s="225">
        <f>IF(AP27&lt;&gt;"",IF(((AP27*Paramètres!$H$4)-PORTEFEUILLE_FREDERIQUE[[#This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7" s="190" t="str">
        <f>IF(PORTEFEUILLE_FREDERIQUE[[#This Row],[BONI COMPTABLE]]&lt;&gt;0,1,"")</f>
        <v/>
      </c>
      <c r="AY27" s="190" t="str">
        <f>IF(PORTEFEUILLE_FREDERIQUE[[#This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SUM(PORTEFEUILLE_FREDERIQUE[[#This Row],[PCR COMPTABLE €]:[MONTANT
RESPONSABLE RELATION CLIENT €]])-PORTEFEUILLE_FREDERIQUE[[#This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8" s="188" t="str">
        <f>IF(PORTEFEUILLE_FREDERIQUE[[#This Row],[BONI AAC]]&lt;&gt;0,1,"")</f>
        <v/>
      </c>
      <c r="AU28" s="188" t="str">
        <f>IF(PORTEFEUILLE_FREDERIQUE[[#This Row],[MALI AAC]]&lt;&gt;0,1,"")</f>
        <v/>
      </c>
      <c r="AV28" s="225">
        <f>IF(AP28&lt;&gt;"",IF((AP28*Paramètres!$H$4)-PORTEFEUILLE_FREDERIQUE[[#This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€]]-(DELPHINE!AP19*Paramètres!$H$4),0),0)</f>
        <v>0</v>
      </c>
      <c r="AW28" s="225">
        <f>IF(AP28&lt;&gt;"",IF(((AP28*Paramètres!$H$4)-PORTEFEUILLE_FREDERIQUE[[#This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8" s="190" t="str">
        <f>IF(PORTEFEUILLE_FREDERIQUE[[#This Row],[BONI COMPTABLE]]&lt;&gt;0,1,"")</f>
        <v/>
      </c>
      <c r="AY28" s="190" t="str">
        <f>IF(PORTEFEUILLE_FREDERIQUE[[#This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SUM(PORTEFEUILLE_FREDERIQUE[[#This Row],[PCR COMPTABLE €]:[MONTANT
RESPONSABLE RELATION CLIENT €]])-PORTEFEUILLE_FREDERIQUE[[#This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9" s="188" t="str">
        <f>IF(PORTEFEUILLE_FREDERIQUE[[#This Row],[BONI AAC]]&lt;&gt;0,1,"")</f>
        <v/>
      </c>
      <c r="AU29" s="188" t="str">
        <f>IF(PORTEFEUILLE_FREDERIQUE[[#This Row],[MALI AAC]]&lt;&gt;0,1,"")</f>
        <v/>
      </c>
      <c r="AV29" s="225">
        <f>IF(AP29&lt;&gt;"",IF((AP29*Paramètres!$H$4)-PORTEFEUILLE_FREDERIQUE[[#This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€]]-(DELPHINE!AP20*Paramètres!$H$4),0),0)</f>
        <v>0</v>
      </c>
      <c r="AW29" s="225">
        <f>IF(AP29&lt;&gt;"",IF(((AP29*Paramètres!$H$4)-PORTEFEUILLE_FREDERIQUE[[#This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9" s="190" t="str">
        <f>IF(PORTEFEUILLE_FREDERIQUE[[#This Row],[BONI COMPTABLE]]&lt;&gt;0,1,"")</f>
        <v/>
      </c>
      <c r="AY29" s="190" t="str">
        <f>IF(PORTEFEUILLE_FREDERIQUE[[#This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SUM(PORTEFEUILLE_FREDERIQUE[[#This Row],[PCR COMPTABLE €]:[MONTANT
RESPONSABLE RELATION CLIENT €]])-PORTEFEUILLE_FREDERIQUE[[#This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0" s="188" t="str">
        <f>IF(PORTEFEUILLE_FREDERIQUE[[#This Row],[BONI AAC]]&lt;&gt;0,1,"")</f>
        <v/>
      </c>
      <c r="AU30" s="188" t="str">
        <f>IF(PORTEFEUILLE_FREDERIQUE[[#This Row],[MALI AAC]]&lt;&gt;0,1,"")</f>
        <v/>
      </c>
      <c r="AV30" s="225">
        <f>IF(AP30&lt;&gt;"",IF((AP30*Paramètres!$H$4)-PORTEFEUILLE_FREDERIQUE[[#This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€]]-(DELPHINE!AP21*Paramètres!$H$4),0),0)</f>
        <v>0</v>
      </c>
      <c r="AW30" s="225">
        <f>IF(AP30&lt;&gt;"",IF(((AP30*Paramètres!$H$4)-PORTEFEUILLE_FREDERIQUE[[#This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0" s="190" t="str">
        <f>IF(PORTEFEUILLE_FREDERIQUE[[#This Row],[BONI COMPTABLE]]&lt;&gt;0,1,"")</f>
        <v/>
      </c>
      <c r="AY30" s="190" t="str">
        <f>IF(PORTEFEUILLE_FREDERIQUE[[#This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SUM(PORTEFEUILLE_FREDERIQUE[[#This Row],[PCR COMPTABLE €]:[MONTANT
RESPONSABLE RELATION CLIENT €]])-PORTEFEUILLE_FREDERIQUE[[#This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1" s="188" t="str">
        <f>IF(PORTEFEUILLE_FREDERIQUE[[#This Row],[BONI AAC]]&lt;&gt;0,1,"")</f>
        <v/>
      </c>
      <c r="AU31" s="188" t="str">
        <f>IF(PORTEFEUILLE_FREDERIQUE[[#This Row],[MALI AAC]]&lt;&gt;0,1,"")</f>
        <v/>
      </c>
      <c r="AV31" s="225">
        <f>IF(AP31&lt;&gt;"",IF((AP31*Paramètres!$H$4)-PORTEFEUILLE_FREDERIQUE[[#This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€]]-(DELPHINE!AP22*Paramètres!$H$4),0),0)</f>
        <v>0</v>
      </c>
      <c r="AW31" s="225">
        <f>IF(AP31&lt;&gt;"",IF(((AP31*Paramètres!$H$4)-PORTEFEUILLE_FREDERIQUE[[#This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1" s="190" t="str">
        <f>IF(PORTEFEUILLE_FREDERIQUE[[#This Row],[BONI COMPTABLE]]&lt;&gt;0,1,"")</f>
        <v/>
      </c>
      <c r="AY31" s="190" t="str">
        <f>IF(PORTEFEUILLE_FREDERIQUE[[#This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SUM(PORTEFEUILLE_FREDERIQUE[[#This Row],[PCR COMPTABLE €]:[MONTANT
RESPONSABLE RELATION CLIENT €]])-PORTEFEUILLE_FREDERIQUE[[#This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2" s="188" t="str">
        <f>IF(PORTEFEUILLE_FREDERIQUE[[#This Row],[BONI AAC]]&lt;&gt;0,1,"")</f>
        <v/>
      </c>
      <c r="AU32" s="188" t="str">
        <f>IF(PORTEFEUILLE_FREDERIQUE[[#This Row],[MALI AAC]]&lt;&gt;0,1,"")</f>
        <v/>
      </c>
      <c r="AV32" s="225">
        <f>IF(AP32&lt;&gt;"",IF((AP32*Paramètres!$H$4)-PORTEFEUILLE_FREDERIQUE[[#This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€]]-(DELPHINE!AP23*Paramètres!$H$4),0),0)</f>
        <v>0</v>
      </c>
      <c r="AW32" s="225">
        <f>IF(AP32&lt;&gt;"",IF(((AP32*Paramètres!$H$4)-PORTEFEUILLE_FREDERIQUE[[#This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2" s="190" t="str">
        <f>IF(PORTEFEUILLE_FREDERIQUE[[#This Row],[BONI COMPTABLE]]&lt;&gt;0,1,"")</f>
        <v/>
      </c>
      <c r="AY32" s="190" t="str">
        <f>IF(PORTEFEUILLE_FREDERIQUE[[#This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SUM(PORTEFEUILLE_FREDERIQUE[[#This Row],[PCR COMPTABLE €]:[MONTANT
RESPONSABLE RELATION CLIENT €]])-PORTEFEUILLE_FREDERIQUE[[#This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3" s="188" t="str">
        <f>IF(PORTEFEUILLE_FREDERIQUE[[#This Row],[BONI AAC]]&lt;&gt;0,1,"")</f>
        <v/>
      </c>
      <c r="AU33" s="188" t="str">
        <f>IF(PORTEFEUILLE_FREDERIQUE[[#This Row],[MALI AAC]]&lt;&gt;0,1,"")</f>
        <v/>
      </c>
      <c r="AV33" s="225">
        <f>IF(AP33&lt;&gt;"",IF((AP33*Paramètres!$H$4)-PORTEFEUILLE_FREDERIQUE[[#This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€]]-(DELPHINE!AP24*Paramètres!$H$4),0),0)</f>
        <v>0</v>
      </c>
      <c r="AW33" s="225">
        <f>IF(AP33&lt;&gt;"",IF(((AP33*Paramètres!$H$4)-PORTEFEUILLE_FREDERIQUE[[#This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3" s="190" t="str">
        <f>IF(PORTEFEUILLE_FREDERIQUE[[#This Row],[BONI COMPTABLE]]&lt;&gt;0,1,"")</f>
        <v/>
      </c>
      <c r="AY33" s="190" t="str">
        <f>IF(PORTEFEUILLE_FREDERIQUE[[#This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SUM(PORTEFEUILLE_FREDERIQUE[[#This Row],[PCR COMPTABLE €]:[MONTANT
RESPONSABLE RELATION CLIENT €]])-PORTEFEUILLE_FREDERIQUE[[#This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4" s="188" t="str">
        <f>IF(PORTEFEUILLE_FREDERIQUE[[#This Row],[BONI AAC]]&lt;&gt;0,1,"")</f>
        <v/>
      </c>
      <c r="AU34" s="188" t="str">
        <f>IF(PORTEFEUILLE_FREDERIQUE[[#This Row],[MALI AAC]]&lt;&gt;0,1,"")</f>
        <v/>
      </c>
      <c r="AV34" s="225">
        <f>IF(AP34&lt;&gt;"",IF((AP34*Paramètres!$H$4)-PORTEFEUILLE_FREDERIQUE[[#This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€]]-(DELPHINE!AP25*Paramètres!$H$4),0),0)</f>
        <v>0</v>
      </c>
      <c r="AW34" s="225">
        <f>IF(AP34&lt;&gt;"",IF(((AP34*Paramètres!$H$4)-PORTEFEUILLE_FREDERIQUE[[#This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4" s="190" t="str">
        <f>IF(PORTEFEUILLE_FREDERIQUE[[#This Row],[BONI COMPTABLE]]&lt;&gt;0,1,"")</f>
        <v/>
      </c>
      <c r="AY34" s="190" t="str">
        <f>IF(PORTEFEUILLE_FREDERIQUE[[#This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SUM(PORTEFEUILLE_FREDERIQUE[[#This Row],[PCR COMPTABLE €]:[MONTANT
RESPONSABLE RELATION CLIENT €]])-PORTEFEUILLE_FREDERIQUE[[#This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5" s="188" t="str">
        <f>IF(PORTEFEUILLE_FREDERIQUE[[#This Row],[BONI AAC]]&lt;&gt;0,1,"")</f>
        <v/>
      </c>
      <c r="AU35" s="188" t="str">
        <f>IF(PORTEFEUILLE_FREDERIQUE[[#This Row],[MALI AAC]]&lt;&gt;0,1,"")</f>
        <v/>
      </c>
      <c r="AV35" s="225">
        <f>IF(AP35&lt;&gt;"",IF((AP35*Paramètres!$H$4)-PORTEFEUILLE_FREDERIQUE[[#This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€]]-(DELPHINE!AP26*Paramètres!$H$4),0),0)</f>
        <v>0</v>
      </c>
      <c r="AW35" s="225">
        <f>IF(AP35&lt;&gt;"",IF(((AP35*Paramètres!$H$4)-PORTEFEUILLE_FREDERIQUE[[#This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5" s="190" t="str">
        <f>IF(PORTEFEUILLE_FREDERIQUE[[#This Row],[BONI COMPTABLE]]&lt;&gt;0,1,"")</f>
        <v/>
      </c>
      <c r="AY35" s="190" t="str">
        <f>IF(PORTEFEUILLE_FREDERIQUE[[#This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SUM(PORTEFEUILLE_FREDERIQUE[[#This Row],[PCR COMPTABLE €]:[MONTANT
RESPONSABLE RELATION CLIENT €]])-PORTEFEUILLE_FREDERIQUE[[#This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6" s="188" t="str">
        <f>IF(PORTEFEUILLE_FREDERIQUE[[#This Row],[BONI AAC]]&lt;&gt;0,1,"")</f>
        <v/>
      </c>
      <c r="AU36" s="188" t="str">
        <f>IF(PORTEFEUILLE_FREDERIQUE[[#This Row],[MALI AAC]]&lt;&gt;0,1,"")</f>
        <v/>
      </c>
      <c r="AV36" s="225">
        <f>IF(AP36&lt;&gt;"",IF((AP36*Paramètres!$H$4)-PORTEFEUILLE_FREDERIQUE[[#This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€]]-(DELPHINE!AP27*Paramètres!$H$4),0),0)</f>
        <v>0</v>
      </c>
      <c r="AW36" s="225">
        <f>IF(AP36&lt;&gt;"",IF(((AP36*Paramètres!$H$4)-PORTEFEUILLE_FREDERIQUE[[#This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6" s="190" t="str">
        <f>IF(PORTEFEUILLE_FREDERIQUE[[#This Row],[BONI COMPTABLE]]&lt;&gt;0,1,"")</f>
        <v/>
      </c>
      <c r="AY36" s="190" t="str">
        <f>IF(PORTEFEUILLE_FREDERIQUE[[#This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SUM(PORTEFEUILLE_FREDERIQUE[[#This Row],[PCR COMPTABLE €]:[MONTANT
RESPONSABLE RELATION CLIENT €]])-PORTEFEUILLE_FREDERIQUE[[#This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7" s="188" t="str">
        <f>IF(PORTEFEUILLE_FREDERIQUE[[#This Row],[BONI AAC]]&lt;&gt;0,1,"")</f>
        <v/>
      </c>
      <c r="AU37" s="188" t="str">
        <f>IF(PORTEFEUILLE_FREDERIQUE[[#This Row],[MALI AAC]]&lt;&gt;0,1,"")</f>
        <v/>
      </c>
      <c r="AV37" s="225">
        <f>IF(AP37&lt;&gt;"",IF((AP37*Paramètres!$H$4)-PORTEFEUILLE_FREDERIQUE[[#This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€]]-(DELPHINE!AP28*Paramètres!$H$4),0),0)</f>
        <v>0</v>
      </c>
      <c r="AW37" s="225">
        <f>IF(AP37&lt;&gt;"",IF(((AP37*Paramètres!$H$4)-PORTEFEUILLE_FREDERIQUE[[#This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7" s="190" t="str">
        <f>IF(PORTEFEUILLE_FREDERIQUE[[#This Row],[BONI COMPTABLE]]&lt;&gt;0,1,"")</f>
        <v/>
      </c>
      <c r="AY37" s="190" t="str">
        <f>IF(PORTEFEUILLE_FREDERIQUE[[#This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SUM(PORTEFEUILLE_FREDERIQUE[[#This Row],[PCR COMPTABLE €]:[MONTANT
RESPONSABLE RELATION CLIENT €]])-PORTEFEUILLE_FREDERIQUE[[#This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8" s="188" t="str">
        <f>IF(PORTEFEUILLE_FREDERIQUE[[#This Row],[BONI AAC]]&lt;&gt;0,1,"")</f>
        <v/>
      </c>
      <c r="AU38" s="188" t="str">
        <f>IF(PORTEFEUILLE_FREDERIQUE[[#This Row],[MALI AAC]]&lt;&gt;0,1,"")</f>
        <v/>
      </c>
      <c r="AV38" s="225">
        <f>IF(AP38&lt;&gt;"",IF((AP38*Paramètres!$H$4)-PORTEFEUILLE_FREDERIQUE[[#This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€]]-(DELPHINE!AP29*Paramètres!$H$4),0),0)</f>
        <v>0</v>
      </c>
      <c r="AW38" s="225">
        <f>IF(AP38&lt;&gt;"",IF(((AP38*Paramètres!$H$4)-PORTEFEUILLE_FREDERIQUE[[#This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8" s="190" t="str">
        <f>IF(PORTEFEUILLE_FREDERIQUE[[#This Row],[BONI COMPTABLE]]&lt;&gt;0,1,"")</f>
        <v/>
      </c>
      <c r="AY38" s="190" t="str">
        <f>IF(PORTEFEUILLE_FREDERIQUE[[#This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SUM(PORTEFEUILLE_FREDERIQUE[[#This Row],[PCR COMPTABLE €]:[MONTANT
RESPONSABLE RELATION CLIENT €]])-PORTEFEUILLE_FREDERIQUE[[#This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9" s="188" t="str">
        <f>IF(PORTEFEUILLE_FREDERIQUE[[#This Row],[BONI AAC]]&lt;&gt;0,1,"")</f>
        <v/>
      </c>
      <c r="AU39" s="188" t="str">
        <f>IF(PORTEFEUILLE_FREDERIQUE[[#This Row],[MALI AAC]]&lt;&gt;0,1,"")</f>
        <v/>
      </c>
      <c r="AV39" s="225">
        <f>IF(AP39&lt;&gt;"",IF((AP39*Paramètres!$H$4)-PORTEFEUILLE_FREDERIQUE[[#This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€]]-(DELPHINE!AP30*Paramètres!$H$4),0),0)</f>
        <v>0</v>
      </c>
      <c r="AW39" s="225">
        <f>IF(AP39&lt;&gt;"",IF(((AP39*Paramètres!$H$4)-PORTEFEUILLE_FREDERIQUE[[#This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9" s="190" t="str">
        <f>IF(PORTEFEUILLE_FREDERIQUE[[#This Row],[BONI COMPTABLE]]&lt;&gt;0,1,"")</f>
        <v/>
      </c>
      <c r="AY39" s="190" t="str">
        <f>IF(PORTEFEUILLE_FREDERIQUE[[#This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SUM(PORTEFEUILLE_FREDERIQUE[[#This Row],[PCR COMPTABLE €]:[MONTANT
RESPONSABLE RELATION CLIENT €]])-PORTEFEUILLE_FREDERIQUE[[#This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0" s="188" t="str">
        <f>IF(PORTEFEUILLE_FREDERIQUE[[#This Row],[BONI AAC]]&lt;&gt;0,1,"")</f>
        <v/>
      </c>
      <c r="AU40" s="188" t="str">
        <f>IF(PORTEFEUILLE_FREDERIQUE[[#This Row],[MALI AAC]]&lt;&gt;0,1,"")</f>
        <v/>
      </c>
      <c r="AV40" s="225">
        <f>IF(AP40&lt;&gt;"",IF((AP40*Paramètres!$H$4)-PORTEFEUILLE_FREDERIQUE[[#This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€]]-(DELPHINE!AP31*Paramètres!$H$4),0),0)</f>
        <v>0</v>
      </c>
      <c r="AW40" s="225">
        <f>IF(AP40&lt;&gt;"",IF(((AP40*Paramètres!$H$4)-PORTEFEUILLE_FREDERIQUE[[#This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0" s="190" t="str">
        <f>IF(PORTEFEUILLE_FREDERIQUE[[#This Row],[BONI COMPTABLE]]&lt;&gt;0,1,"")</f>
        <v/>
      </c>
      <c r="AY40" s="190" t="str">
        <f>IF(PORTEFEUILLE_FREDERIQUE[[#This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SUM(PORTEFEUILLE_FREDERIQUE[[#This Row],[PCR COMPTABLE €]:[MONTANT
RESPONSABLE RELATION CLIENT €]])-PORTEFEUILLE_FREDERIQUE[[#This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1" s="188" t="str">
        <f>IF(PORTEFEUILLE_FREDERIQUE[[#This Row],[BONI AAC]]&lt;&gt;0,1,"")</f>
        <v/>
      </c>
      <c r="AU41" s="188" t="str">
        <f>IF(PORTEFEUILLE_FREDERIQUE[[#This Row],[MALI AAC]]&lt;&gt;0,1,"")</f>
        <v/>
      </c>
      <c r="AV41" s="225">
        <f>IF(AP41&lt;&gt;"",IF((AP41*Paramètres!$H$4)-PORTEFEUILLE_FREDERIQUE[[#This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€]]-(DELPHINE!AP32*Paramètres!$H$4),0),0)</f>
        <v>0</v>
      </c>
      <c r="AW41" s="225">
        <f>IF(AP41&lt;&gt;"",IF(((AP41*Paramètres!$H$4)-PORTEFEUILLE_FREDERIQUE[[#This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1" s="190" t="str">
        <f>IF(PORTEFEUILLE_FREDERIQUE[[#This Row],[BONI COMPTABLE]]&lt;&gt;0,1,"")</f>
        <v/>
      </c>
      <c r="AY41" s="190" t="str">
        <f>IF(PORTEFEUILLE_FREDERIQUE[[#This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SUM(PORTEFEUILLE_FREDERIQUE[[#This Row],[PCR COMPTABLE €]:[MONTANT
RESPONSABLE RELATION CLIENT €]])-PORTEFEUILLE_FREDERIQUE[[#This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2" s="188" t="str">
        <f>IF(PORTEFEUILLE_FREDERIQUE[[#This Row],[BONI AAC]]&lt;&gt;0,1,"")</f>
        <v/>
      </c>
      <c r="AU42" s="188" t="str">
        <f>IF(PORTEFEUILLE_FREDERIQUE[[#This Row],[MALI AAC]]&lt;&gt;0,1,"")</f>
        <v/>
      </c>
      <c r="AV42" s="225">
        <f>IF(AP42&lt;&gt;"",IF((AP42*Paramètres!$H$4)-PORTEFEUILLE_FREDERIQUE[[#This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€]]-(DELPHINE!AP33*Paramètres!$H$4),0),0)</f>
        <v>0</v>
      </c>
      <c r="AW42" s="225">
        <f>IF(AP42&lt;&gt;"",IF(((AP42*Paramètres!$H$4)-PORTEFEUILLE_FREDERIQUE[[#This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2" s="190" t="str">
        <f>IF(PORTEFEUILLE_FREDERIQUE[[#This Row],[BONI COMPTABLE]]&lt;&gt;0,1,"")</f>
        <v/>
      </c>
      <c r="AY42" s="190" t="str">
        <f>IF(PORTEFEUILLE_FREDERIQUE[[#This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SUM(PORTEFEUILLE_FREDERIQUE[[#This Row],[PCR COMPTABLE €]:[MONTANT
RESPONSABLE RELATION CLIENT €]])-PORTEFEUILLE_FREDERIQUE[[#This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3" s="188" t="str">
        <f>IF(PORTEFEUILLE_FREDERIQUE[[#This Row],[BONI AAC]]&lt;&gt;0,1,"")</f>
        <v/>
      </c>
      <c r="AU43" s="188" t="str">
        <f>IF(PORTEFEUILLE_FREDERIQUE[[#This Row],[MALI AAC]]&lt;&gt;0,1,"")</f>
        <v/>
      </c>
      <c r="AV43" s="225">
        <f>IF(AP43&lt;&gt;"",IF((AP43*Paramètres!$H$4)-PORTEFEUILLE_FREDERIQUE[[#This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€]]-(DELPHINE!AP34*Paramètres!$H$4),0),0)</f>
        <v>0</v>
      </c>
      <c r="AW43" s="225">
        <f>IF(AP43&lt;&gt;"",IF(((AP43*Paramètres!$H$4)-PORTEFEUILLE_FREDERIQUE[[#This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3" s="190" t="str">
        <f>IF(PORTEFEUILLE_FREDERIQUE[[#This Row],[BONI COMPTABLE]]&lt;&gt;0,1,"")</f>
        <v/>
      </c>
      <c r="AY43" s="190" t="str">
        <f>IF(PORTEFEUILLE_FREDERIQUE[[#This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SUM(PORTEFEUILLE_FREDERIQUE[[#This Row],[PCR COMPTABLE €]:[MONTANT
RESPONSABLE RELATION CLIENT €]])-PORTEFEUILLE_FREDERIQUE[[#This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4" s="188" t="str">
        <f>IF(PORTEFEUILLE_FREDERIQUE[[#This Row],[BONI AAC]]&lt;&gt;0,1,"")</f>
        <v/>
      </c>
      <c r="AU44" s="188" t="str">
        <f>IF(PORTEFEUILLE_FREDERIQUE[[#This Row],[MALI AAC]]&lt;&gt;0,1,"")</f>
        <v/>
      </c>
      <c r="AV44" s="225">
        <f>IF(AP44&lt;&gt;"",IF((AP44*Paramètres!$H$4)-PORTEFEUILLE_FREDERIQUE[[#This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€]]-(DELPHINE!AP35*Paramètres!$H$4),0),0)</f>
        <v>0</v>
      </c>
      <c r="AW44" s="225">
        <f>IF(AP44&lt;&gt;"",IF(((AP44*Paramètres!$H$4)-PORTEFEUILLE_FREDERIQUE[[#This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4" s="190" t="str">
        <f>IF(PORTEFEUILLE_FREDERIQUE[[#This Row],[BONI COMPTABLE]]&lt;&gt;0,1,"")</f>
        <v/>
      </c>
      <c r="AY44" s="190" t="str">
        <f>IF(PORTEFEUILLE_FREDERIQUE[[#This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SUM(PORTEFEUILLE_FREDERIQUE[[#This Row],[PCR COMPTABLE €]:[MONTANT
RESPONSABLE RELATION CLIENT €]])-PORTEFEUILLE_FREDERIQUE[[#This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5" s="188" t="str">
        <f>IF(PORTEFEUILLE_FREDERIQUE[[#This Row],[BONI AAC]]&lt;&gt;0,1,"")</f>
        <v/>
      </c>
      <c r="AU45" s="188" t="str">
        <f>IF(PORTEFEUILLE_FREDERIQUE[[#This Row],[MALI AAC]]&lt;&gt;0,1,"")</f>
        <v/>
      </c>
      <c r="AV45" s="225">
        <f>IF(AP45&lt;&gt;"",IF((AP45*Paramètres!$H$4)-PORTEFEUILLE_FREDERIQUE[[#This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€]]-(DELPHINE!AP36*Paramètres!$H$4),0),0)</f>
        <v>0</v>
      </c>
      <c r="AW45" s="225">
        <f>IF(AP45&lt;&gt;"",IF(((AP45*Paramètres!$H$4)-PORTEFEUILLE_FREDERIQUE[[#This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5" s="190" t="str">
        <f>IF(PORTEFEUILLE_FREDERIQUE[[#This Row],[BONI COMPTABLE]]&lt;&gt;0,1,"")</f>
        <v/>
      </c>
      <c r="AY45" s="190" t="str">
        <f>IF(PORTEFEUILLE_FREDERIQUE[[#This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SUM(PORTEFEUILLE_FREDERIQUE[[#This Row],[PCR COMPTABLE €]:[MONTANT
RESPONSABLE RELATION CLIENT €]])-PORTEFEUILLE_FREDERIQUE[[#This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6" s="188" t="str">
        <f>IF(PORTEFEUILLE_FREDERIQUE[[#This Row],[BONI AAC]]&lt;&gt;0,1,"")</f>
        <v/>
      </c>
      <c r="AU46" s="188" t="str">
        <f>IF(PORTEFEUILLE_FREDERIQUE[[#This Row],[MALI AAC]]&lt;&gt;0,1,"")</f>
        <v/>
      </c>
      <c r="AV46" s="225">
        <f>IF(AP46&lt;&gt;"",IF((AP46*Paramètres!$H$4)-PORTEFEUILLE_FREDERIQUE[[#This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€]]-(DELPHINE!AP37*Paramètres!$H$4),0),0)</f>
        <v>0</v>
      </c>
      <c r="AW46" s="225">
        <f>IF(AP46&lt;&gt;"",IF(((AP46*Paramètres!$H$4)-PORTEFEUILLE_FREDERIQUE[[#This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6" s="190" t="str">
        <f>IF(PORTEFEUILLE_FREDERIQUE[[#This Row],[BONI COMPTABLE]]&lt;&gt;0,1,"")</f>
        <v/>
      </c>
      <c r="AY46" s="190" t="str">
        <f>IF(PORTEFEUILLE_FREDERIQUE[[#This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SUM(PORTEFEUILLE_FREDERIQUE[[#This Row],[PCR COMPTABLE €]:[MONTANT
RESPONSABLE RELATION CLIENT €]])-PORTEFEUILLE_FREDERIQUE[[#This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7" s="188" t="str">
        <f>IF(PORTEFEUILLE_FREDERIQUE[[#This Row],[BONI AAC]]&lt;&gt;0,1,"")</f>
        <v/>
      </c>
      <c r="AU47" s="188" t="str">
        <f>IF(PORTEFEUILLE_FREDERIQUE[[#This Row],[MALI AAC]]&lt;&gt;0,1,"")</f>
        <v/>
      </c>
      <c r="AV47" s="225">
        <f>IF(AP47&lt;&gt;"",IF((AP47*Paramètres!$H$4)-PORTEFEUILLE_FREDERIQUE[[#This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€]]-(DELPHINE!AP38*Paramètres!$H$4),0),0)</f>
        <v>0</v>
      </c>
      <c r="AW47" s="225">
        <f>IF(AP47&lt;&gt;"",IF(((AP47*Paramètres!$H$4)-PORTEFEUILLE_FREDERIQUE[[#This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7" s="190" t="str">
        <f>IF(PORTEFEUILLE_FREDERIQUE[[#This Row],[BONI COMPTABLE]]&lt;&gt;0,1,"")</f>
        <v/>
      </c>
      <c r="AY47" s="190" t="str">
        <f>IF(PORTEFEUILLE_FREDERIQUE[[#This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SUM(PORTEFEUILLE_FREDERIQUE[[#This Row],[PCR COMPTABLE €]:[MONTANT
RESPONSABLE RELATION CLIENT €]])-PORTEFEUILLE_FREDERIQUE[[#This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8" s="188" t="str">
        <f>IF(PORTEFEUILLE_FREDERIQUE[[#This Row],[BONI AAC]]&lt;&gt;0,1,"")</f>
        <v/>
      </c>
      <c r="AU48" s="188" t="str">
        <f>IF(PORTEFEUILLE_FREDERIQUE[[#This Row],[MALI AAC]]&lt;&gt;0,1,"")</f>
        <v/>
      </c>
      <c r="AV48" s="225">
        <f>IF(AP48&lt;&gt;"",IF((AP48*Paramètres!$H$4)-PORTEFEUILLE_FREDERIQUE[[#This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€]]-(DELPHINE!AP39*Paramètres!$H$4),0),0)</f>
        <v>0</v>
      </c>
      <c r="AW48" s="225">
        <f>IF(AP48&lt;&gt;"",IF(((AP48*Paramètres!$H$4)-PORTEFEUILLE_FREDERIQUE[[#This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8" s="190" t="str">
        <f>IF(PORTEFEUILLE_FREDERIQUE[[#This Row],[BONI COMPTABLE]]&lt;&gt;0,1,"")</f>
        <v/>
      </c>
      <c r="AY48" s="190" t="str">
        <f>IF(PORTEFEUILLE_FREDERIQUE[[#This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SUM(PORTEFEUILLE_FREDERIQUE[[#This Row],[PCR COMPTABLE €]:[MONTANT
RESPONSABLE RELATION CLIENT €]])-PORTEFEUILLE_FREDERIQUE[[#This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9" s="188" t="str">
        <f>IF(PORTEFEUILLE_FREDERIQUE[[#This Row],[BONI AAC]]&lt;&gt;0,1,"")</f>
        <v/>
      </c>
      <c r="AU49" s="188" t="str">
        <f>IF(PORTEFEUILLE_FREDERIQUE[[#This Row],[MALI AAC]]&lt;&gt;0,1,"")</f>
        <v/>
      </c>
      <c r="AV49" s="225">
        <f>IF(AP49&lt;&gt;"",IF((AP49*Paramètres!$H$4)-PORTEFEUILLE_FREDERIQUE[[#This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€]]-(DELPHINE!AP40*Paramètres!$H$4),0),0)</f>
        <v>0</v>
      </c>
      <c r="AW49" s="225">
        <f>IF(AP49&lt;&gt;"",IF(((AP49*Paramètres!$H$4)-PORTEFEUILLE_FREDERIQUE[[#This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9" s="190" t="str">
        <f>IF(PORTEFEUILLE_FREDERIQUE[[#This Row],[BONI COMPTABLE]]&lt;&gt;0,1,"")</f>
        <v/>
      </c>
      <c r="AY49" s="190" t="str">
        <f>IF(PORTEFEUILLE_FREDERIQUE[[#This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SUM(PORTEFEUILLE_FREDERIQUE[[#This Row],[PCR COMPTABLE €]:[MONTANT
RESPONSABLE RELATION CLIENT €]])-PORTEFEUILLE_FREDERIQUE[[#This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0" s="188" t="str">
        <f>IF(PORTEFEUILLE_FREDERIQUE[[#This Row],[BONI AAC]]&lt;&gt;0,1,"")</f>
        <v/>
      </c>
      <c r="AU50" s="188" t="str">
        <f>IF(PORTEFEUILLE_FREDERIQUE[[#This Row],[MALI AAC]]&lt;&gt;0,1,"")</f>
        <v/>
      </c>
      <c r="AV50" s="225">
        <f>IF(AP50&lt;&gt;"",IF((AP50*Paramètres!$H$4)-PORTEFEUILLE_FREDERIQUE[[#This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€]]-(DELPHINE!AP41*Paramètres!$H$4),0),0)</f>
        <v>0</v>
      </c>
      <c r="AW50" s="225">
        <f>IF(AP50&lt;&gt;"",IF(((AP50*Paramètres!$H$4)-PORTEFEUILLE_FREDERIQUE[[#This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0" s="190" t="str">
        <f>IF(PORTEFEUILLE_FREDERIQUE[[#This Row],[BONI COMPTABLE]]&lt;&gt;0,1,"")</f>
        <v/>
      </c>
      <c r="AY50" s="190" t="str">
        <f>IF(PORTEFEUILLE_FREDERIQUE[[#This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SUM(PORTEFEUILLE_FREDERIQUE[[#This Row],[PCR COMPTABLE €]:[MONTANT
RESPONSABLE RELATION CLIENT €]])-PORTEFEUILLE_FREDERIQUE[[#This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1" s="188" t="str">
        <f>IF(PORTEFEUILLE_FREDERIQUE[[#This Row],[BONI AAC]]&lt;&gt;0,1,"")</f>
        <v/>
      </c>
      <c r="AU51" s="188" t="str">
        <f>IF(PORTEFEUILLE_FREDERIQUE[[#This Row],[MALI AAC]]&lt;&gt;0,1,"")</f>
        <v/>
      </c>
      <c r="AV51" s="225">
        <f>IF(AP51&lt;&gt;"",IF((AP51*Paramètres!$H$4)-PORTEFEUILLE_FREDERIQUE[[#This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€]]-(DELPHINE!AP42*Paramètres!$H$4),0),0)</f>
        <v>0</v>
      </c>
      <c r="AW51" s="225">
        <f>IF(AP51&lt;&gt;"",IF(((AP51*Paramètres!$H$4)-PORTEFEUILLE_FREDERIQUE[[#This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1" s="190" t="str">
        <f>IF(PORTEFEUILLE_FREDERIQUE[[#This Row],[BONI COMPTABLE]]&lt;&gt;0,1,"")</f>
        <v/>
      </c>
      <c r="AY51" s="190" t="str">
        <f>IF(PORTEFEUILLE_FREDERIQUE[[#This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SUM(PORTEFEUILLE_FREDERIQUE[[#This Row],[PCR COMPTABLE €]:[MONTANT
RESPONSABLE RELATION CLIENT €]])-PORTEFEUILLE_FREDERIQUE[[#This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2" s="188" t="str">
        <f>IF(PORTEFEUILLE_FREDERIQUE[[#This Row],[BONI AAC]]&lt;&gt;0,1,"")</f>
        <v/>
      </c>
      <c r="AU52" s="188" t="str">
        <f>IF(PORTEFEUILLE_FREDERIQUE[[#This Row],[MALI AAC]]&lt;&gt;0,1,"")</f>
        <v/>
      </c>
      <c r="AV52" s="225">
        <f>IF(AP52&lt;&gt;"",IF((AP52*Paramètres!$H$4)-PORTEFEUILLE_FREDERIQUE[[#This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€]]-(DELPHINE!AP43*Paramètres!$H$4),0),0)</f>
        <v>0</v>
      </c>
      <c r="AW52" s="225">
        <f>IF(AP52&lt;&gt;"",IF(((AP52*Paramètres!$H$4)-PORTEFEUILLE_FREDERIQUE[[#This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2" s="190" t="str">
        <f>IF(PORTEFEUILLE_FREDERIQUE[[#This Row],[BONI COMPTABLE]]&lt;&gt;0,1,"")</f>
        <v/>
      </c>
      <c r="AY52" s="190" t="str">
        <f>IF(PORTEFEUILLE_FREDERIQUE[[#This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SUM(PORTEFEUILLE_FREDERIQUE[[#This Row],[PCR COMPTABLE €]:[MONTANT
RESPONSABLE RELATION CLIENT €]])-PORTEFEUILLE_FREDERIQUE[[#This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3" s="188" t="str">
        <f>IF(PORTEFEUILLE_FREDERIQUE[[#This Row],[BONI AAC]]&lt;&gt;0,1,"")</f>
        <v/>
      </c>
      <c r="AU53" s="188" t="str">
        <f>IF(PORTEFEUILLE_FREDERIQUE[[#This Row],[MALI AAC]]&lt;&gt;0,1,"")</f>
        <v/>
      </c>
      <c r="AV53" s="225">
        <f>IF(AP53&lt;&gt;"",IF((AP53*Paramètres!$H$4)-PORTEFEUILLE_FREDERIQUE[[#This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€]]-(DELPHINE!AP44*Paramètres!$H$4),0),0)</f>
        <v>0</v>
      </c>
      <c r="AW53" s="225">
        <f>IF(AP53&lt;&gt;"",IF(((AP53*Paramètres!$H$4)-PORTEFEUILLE_FREDERIQUE[[#This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3" s="190" t="str">
        <f>IF(PORTEFEUILLE_FREDERIQUE[[#This Row],[BONI COMPTABLE]]&lt;&gt;0,1,"")</f>
        <v/>
      </c>
      <c r="AY53" s="190" t="str">
        <f>IF(PORTEFEUILLE_FREDERIQUE[[#This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SUM(PORTEFEUILLE_FREDERIQUE[[#This Row],[PCR COMPTABLE €]:[MONTANT
RESPONSABLE RELATION CLIENT €]])-PORTEFEUILLE_FREDERIQUE[[#This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4" s="188" t="str">
        <f>IF(PORTEFEUILLE_FREDERIQUE[[#This Row],[BONI AAC]]&lt;&gt;0,1,"")</f>
        <v/>
      </c>
      <c r="AU54" s="188" t="str">
        <f>IF(PORTEFEUILLE_FREDERIQUE[[#This Row],[MALI AAC]]&lt;&gt;0,1,"")</f>
        <v/>
      </c>
      <c r="AV54" s="225">
        <f>IF(AP54&lt;&gt;"",IF((AP54*Paramètres!$H$4)-PORTEFEUILLE_FREDERIQUE[[#This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€]]-(DELPHINE!AP45*Paramètres!$H$4),0),0)</f>
        <v>0</v>
      </c>
      <c r="AW54" s="225">
        <f>IF(AP54&lt;&gt;"",IF(((AP54*Paramètres!$H$4)-PORTEFEUILLE_FREDERIQUE[[#This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4" s="190" t="str">
        <f>IF(PORTEFEUILLE_FREDERIQUE[[#This Row],[BONI COMPTABLE]]&lt;&gt;0,1,"")</f>
        <v/>
      </c>
      <c r="AY54" s="190" t="str">
        <f>IF(PORTEFEUILLE_FREDERIQUE[[#This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SUM(PORTEFEUILLE_FREDERIQUE[[#This Row],[PCR COMPTABLE €]:[MONTANT
RESPONSABLE RELATION CLIENT €]])-PORTEFEUILLE_FREDERIQUE[[#This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5" s="188" t="str">
        <f>IF(PORTEFEUILLE_FREDERIQUE[[#This Row],[BONI AAC]]&lt;&gt;0,1,"")</f>
        <v/>
      </c>
      <c r="AU55" s="188" t="str">
        <f>IF(PORTEFEUILLE_FREDERIQUE[[#This Row],[MALI AAC]]&lt;&gt;0,1,"")</f>
        <v/>
      </c>
      <c r="AV55" s="225">
        <f>IF(AP55&lt;&gt;"",IF((AP55*Paramètres!$H$4)-PORTEFEUILLE_FREDERIQUE[[#This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€]]-(DELPHINE!AP46*Paramètres!$H$4),0),0)</f>
        <v>0</v>
      </c>
      <c r="AW55" s="225">
        <f>IF(AP55&lt;&gt;"",IF(((AP55*Paramètres!$H$4)-PORTEFEUILLE_FREDERIQUE[[#This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5" s="190" t="str">
        <f>IF(PORTEFEUILLE_FREDERIQUE[[#This Row],[BONI COMPTABLE]]&lt;&gt;0,1,"")</f>
        <v/>
      </c>
      <c r="AY55" s="190" t="str">
        <f>IF(PORTEFEUILLE_FREDERIQUE[[#This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SUM(PORTEFEUILLE_FREDERIQUE[[#This Row],[PCR COMPTABLE €]:[MONTANT
RESPONSABLE RELATION CLIENT €]])-PORTEFEUILLE_FREDERIQUE[[#This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6" s="188" t="str">
        <f>IF(PORTEFEUILLE_FREDERIQUE[[#This Row],[BONI AAC]]&lt;&gt;0,1,"")</f>
        <v/>
      </c>
      <c r="AU56" s="188" t="str">
        <f>IF(PORTEFEUILLE_FREDERIQUE[[#This Row],[MALI AAC]]&lt;&gt;0,1,"")</f>
        <v/>
      </c>
      <c r="AV56" s="225">
        <f>IF(AP56&lt;&gt;"",IF((AP56*Paramètres!$H$4)-PORTEFEUILLE_FREDERIQUE[[#This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€]]-(DELPHINE!AP47*Paramètres!$H$4),0),0)</f>
        <v>0</v>
      </c>
      <c r="AW56" s="225">
        <f>IF(AP56&lt;&gt;"",IF(((AP56*Paramètres!$H$4)-PORTEFEUILLE_FREDERIQUE[[#This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6" s="190" t="str">
        <f>IF(PORTEFEUILLE_FREDERIQUE[[#This Row],[BONI COMPTABLE]]&lt;&gt;0,1,"")</f>
        <v/>
      </c>
      <c r="AY56" s="190" t="str">
        <f>IF(PORTEFEUILLE_FREDERIQUE[[#This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SUM(PORTEFEUILLE_FREDERIQUE[[#This Row],[PCR COMPTABLE €]:[MONTANT
RESPONSABLE RELATION CLIENT €]])-PORTEFEUILLE_FREDERIQUE[[#This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7" s="188" t="str">
        <f>IF(PORTEFEUILLE_FREDERIQUE[[#This Row],[BONI AAC]]&lt;&gt;0,1,"")</f>
        <v/>
      </c>
      <c r="AU57" s="188" t="str">
        <f>IF(PORTEFEUILLE_FREDERIQUE[[#This Row],[MALI AAC]]&lt;&gt;0,1,"")</f>
        <v/>
      </c>
      <c r="AV57" s="225">
        <f>IF(AP57&lt;&gt;"",IF((AP57*Paramètres!$H$4)-PORTEFEUILLE_FREDERIQUE[[#This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€]]-(DELPHINE!AP48*Paramètres!$H$4),0),0)</f>
        <v>0</v>
      </c>
      <c r="AW57" s="225">
        <f>IF(AP57&lt;&gt;"",IF(((AP57*Paramètres!$H$4)-PORTEFEUILLE_FREDERIQUE[[#This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7" s="190" t="str">
        <f>IF(PORTEFEUILLE_FREDERIQUE[[#This Row],[BONI COMPTABLE]]&lt;&gt;0,1,"")</f>
        <v/>
      </c>
      <c r="AY57" s="190" t="str">
        <f>IF(PORTEFEUILLE_FREDERIQUE[[#This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SUM(PORTEFEUILLE_FREDERIQUE[[#This Row],[PCR COMPTABLE €]:[MONTANT
RESPONSABLE RELATION CLIENT €]])-PORTEFEUILLE_FREDERIQUE[[#This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8" s="188" t="str">
        <f>IF(PORTEFEUILLE_FREDERIQUE[[#This Row],[BONI AAC]]&lt;&gt;0,1,"")</f>
        <v/>
      </c>
      <c r="AU58" s="188" t="str">
        <f>IF(PORTEFEUILLE_FREDERIQUE[[#This Row],[MALI AAC]]&lt;&gt;0,1,"")</f>
        <v/>
      </c>
      <c r="AV58" s="225">
        <f>IF(AP58&lt;&gt;"",IF((AP58*Paramètres!$H$4)-PORTEFEUILLE_FREDERIQUE[[#This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€]]-(DELPHINE!AP49*Paramètres!$H$4),0),0)</f>
        <v>0</v>
      </c>
      <c r="AW58" s="225">
        <f>IF(AP58&lt;&gt;"",IF(((AP58*Paramètres!$H$4)-PORTEFEUILLE_FREDERIQUE[[#This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8" s="190" t="str">
        <f>IF(PORTEFEUILLE_FREDERIQUE[[#This Row],[BONI COMPTABLE]]&lt;&gt;0,1,"")</f>
        <v/>
      </c>
      <c r="AY58" s="190" t="str">
        <f>IF(PORTEFEUILLE_FREDERIQUE[[#This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SUM(PORTEFEUILLE_FREDERIQUE[[#This Row],[PCR COMPTABLE €]:[MONTANT
RESPONSABLE RELATION CLIENT €]])-PORTEFEUILLE_FREDERIQUE[[#This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9" s="188" t="str">
        <f>IF(PORTEFEUILLE_FREDERIQUE[[#This Row],[BONI AAC]]&lt;&gt;0,1,"")</f>
        <v/>
      </c>
      <c r="AU59" s="188" t="str">
        <f>IF(PORTEFEUILLE_FREDERIQUE[[#This Row],[MALI AAC]]&lt;&gt;0,1,"")</f>
        <v/>
      </c>
      <c r="AV59" s="225">
        <f>IF(AP59&lt;&gt;"",IF((AP59*Paramètres!$H$4)-PORTEFEUILLE_FREDERIQUE[[#This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€]]-(DELPHINE!AP50*Paramètres!$H$4),0),0)</f>
        <v>0</v>
      </c>
      <c r="AW59" s="225">
        <f>IF(AP59&lt;&gt;"",IF(((AP59*Paramètres!$H$4)-PORTEFEUILLE_FREDERIQUE[[#This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9" s="190" t="str">
        <f>IF(PORTEFEUILLE_FREDERIQUE[[#This Row],[BONI COMPTABLE]]&lt;&gt;0,1,"")</f>
        <v/>
      </c>
      <c r="AY59" s="190" t="str">
        <f>IF(PORTEFEUILLE_FREDERIQUE[[#This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SUM(PORTEFEUILLE_FREDERIQUE[[#This Row],[PCR COMPTABLE €]:[MONTANT
RESPONSABLE RELATION CLIENT €]])-PORTEFEUILLE_FREDERIQUE[[#This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0" s="188" t="str">
        <f>IF(PORTEFEUILLE_FREDERIQUE[[#This Row],[BONI AAC]]&lt;&gt;0,1,"")</f>
        <v/>
      </c>
      <c r="AU60" s="188" t="str">
        <f>IF(PORTEFEUILLE_FREDERIQUE[[#This Row],[MALI AAC]]&lt;&gt;0,1,"")</f>
        <v/>
      </c>
      <c r="AV60" s="225">
        <f>IF(AP60&lt;&gt;"",IF((AP60*Paramètres!$H$4)-PORTEFEUILLE_FREDERIQUE[[#This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€]]-(DELPHINE!AP51*Paramètres!$H$4),0),0)</f>
        <v>0</v>
      </c>
      <c r="AW60" s="225">
        <f>IF(AP60&lt;&gt;"",IF(((AP60*Paramètres!$H$4)-PORTEFEUILLE_FREDERIQUE[[#This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0" s="190" t="str">
        <f>IF(PORTEFEUILLE_FREDERIQUE[[#This Row],[BONI COMPTABLE]]&lt;&gt;0,1,"")</f>
        <v/>
      </c>
      <c r="AY60" s="190" t="str">
        <f>IF(PORTEFEUILLE_FREDERIQUE[[#This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7" priority="6">
      <formula>AND(P3&lt;&gt;"",P3&lt;&gt;"OUI")</formula>
    </cfRule>
  </conditionalFormatting>
  <conditionalFormatting sqref="AN3:AO60 S3:AH60">
    <cfRule type="expression" dxfId="56" priority="5" stopIfTrue="1">
      <formula>$AH3&lt;&gt;0</formula>
    </cfRule>
  </conditionalFormatting>
  <conditionalFormatting sqref="A6:E60 C3:E5 A3:A5">
    <cfRule type="expression" dxfId="55" priority="7" stopIfTrue="1">
      <formula>AND($I3&lt;&gt;"",AND($J3="",AND($BA3="",$BB3="")))</formula>
    </cfRule>
    <cfRule type="expression" dxfId="54" priority="8" stopIfTrue="1">
      <formula>AND($J3&lt;&gt;"",AND($BA3="",$BB3=""))</formula>
    </cfRule>
    <cfRule type="expression" dxfId="53" priority="9" stopIfTrue="1">
      <formula>AND($BA3&lt;&gt;"",$BB3="")</formula>
    </cfRule>
    <cfRule type="expression" dxfId="52" priority="10" stopIfTrue="1">
      <formula>$BB3="X"</formula>
    </cfRule>
  </conditionalFormatting>
  <conditionalFormatting sqref="B3:B5">
    <cfRule type="expression" dxfId="51" priority="1" stopIfTrue="1">
      <formula>AND($I3&lt;&gt;"",AND($J3="",AND($BA3="",$BB3="")))</formula>
    </cfRule>
    <cfRule type="expression" dxfId="50" priority="2" stopIfTrue="1">
      <formula>AND($J3&lt;&gt;"",AND($BA3="",$BB3=""))</formula>
    </cfRule>
    <cfRule type="expression" dxfId="49" priority="3" stopIfTrue="1">
      <formula>AND($BA3&lt;&gt;"",$BB3="")</formula>
    </cfRule>
    <cfRule type="expression" dxfId="4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C23" sqref="C2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225</v>
      </c>
      <c r="B3" s="170">
        <v>860075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SUM(PORTEFEUILLE_AURELIE_T[[#This Row],[PCR COMPTABLE €]:[MONTANT
RESPONSABLE RELATION CLIENT €]])-PORTEFEUILLE_AURELIE_T[[#This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400</v>
      </c>
      <c r="AT3" s="188" t="str">
        <f>IF(PORTEFEUILLE_AURELIE_T[[#This Row],[BONI AAC]]&lt;&gt;0,1,"")</f>
        <v/>
      </c>
      <c r="AU3" s="188">
        <f>IF(PORTEFEUILLE_AURELIE_T[[#This Row],[MALI AAC]]&lt;&gt;0,1,"")</f>
        <v>1</v>
      </c>
      <c r="AV3" s="225">
        <f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3" s="225">
        <f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" s="190" t="str">
        <f>IF(PORTEFEUILLE_AURELIE_T[[#This Row],[BONI COMPTABLE]]&lt;&gt;0,1,"")</f>
        <v/>
      </c>
      <c r="AY3" s="190" t="str">
        <f>IF(PORTEFEUILLE_AURELIE_T[[#This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225</v>
      </c>
      <c r="B4" s="170">
        <v>860076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SUM(PORTEFEUILLE_AURELIE_T[[#This Row],[PCR COMPTABLE €]:[MONTANT
RESPONSABLE RELATION CLIENT €]])-PORTEFEUILLE_AURELIE_T[[#This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1000</v>
      </c>
      <c r="AT4" s="188" t="str">
        <f>IF(PORTEFEUILLE_AURELIE_T[[#This Row],[BONI AAC]]&lt;&gt;0,1,"")</f>
        <v/>
      </c>
      <c r="AU4" s="188">
        <f>IF(PORTEFEUILLE_AURELIE_T[[#This Row],[MALI AAC]]&lt;&gt;0,1,"")</f>
        <v>1</v>
      </c>
      <c r="AV4" s="225">
        <f>IF(AP4&lt;&gt;"",IF((AP4*Paramètres!$H$4)-PORTEFEUILLE_AURELIE_T[[#This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4" s="225">
        <f>IF(AP4&lt;&gt;"",IF(((AP4*Paramètres!$H$4)-PORTEFEUILLE_AURELIE_T[[#This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3000</v>
      </c>
      <c r="AX4" s="190" t="str">
        <f>IF(PORTEFEUILLE_AURELIE_T[[#This Row],[BONI COMPTABLE]]&lt;&gt;0,1,"")</f>
        <v/>
      </c>
      <c r="AY4" s="190">
        <f>IF(PORTEFEUILLE_AURELIE_T[[#This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225</v>
      </c>
      <c r="B5" s="170">
        <v>860077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SUM(PORTEFEUILLE_AURELIE_T[[#This Row],[PCR COMPTABLE €]:[MONTANT
RESPONSABLE RELATION CLIENT €]])-PORTEFEUILLE_AURELIE_T[[#This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2200</v>
      </c>
      <c r="AT5" s="188" t="str">
        <f>IF(PORTEFEUILLE_AURELIE_T[[#This Row],[BONI AAC]]&lt;&gt;0,1,"")</f>
        <v/>
      </c>
      <c r="AU5" s="188">
        <f>IF(PORTEFEUILLE_AURELIE_T[[#This Row],[MALI AAC]]&lt;&gt;0,1,"")</f>
        <v>1</v>
      </c>
      <c r="AV5" s="225">
        <f>IF(AP5&lt;&gt;"",IF((AP5*Paramètres!$H$4)-PORTEFEUILLE_AURELIE_T[[#This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5" s="225">
        <f>IF(AP5&lt;&gt;"",IF(((AP5*Paramètres!$H$4)-PORTEFEUILLE_AURELIE_T[[#This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4150</v>
      </c>
      <c r="AX5" s="190" t="str">
        <f>IF(PORTEFEUILLE_AURELIE_T[[#This Row],[BONI COMPTABLE]]&lt;&gt;0,1,"")</f>
        <v/>
      </c>
      <c r="AY5" s="190">
        <f>IF(PORTEFEUILLE_AURELIE_T[[#This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SUM(PORTEFEUILLE_AURELIE_T[[#This Row],[PCR COMPTABLE €]:[MONTANT
RESPONSABLE RELATION CLIENT €]])-PORTEFEUILLE_AURELIE_T[[#This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" s="188" t="str">
        <f>IF(PORTEFEUILLE_AURELIE_T[[#This Row],[BONI AAC]]&lt;&gt;0,1,"")</f>
        <v/>
      </c>
      <c r="AU6" s="188" t="str">
        <f>IF(PORTEFEUILLE_AURELIE_T[[#This Row],[MALI AAC]]&lt;&gt;0,1,"")</f>
        <v/>
      </c>
      <c r="AV6" s="225">
        <f>IF(AP6&lt;&gt;"",IF((AP6*Paramètres!$H$4)-PORTEFEUILLE_AURELIE_T[[#This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6" s="225">
        <f>IF(AP6&lt;&gt;"",IF(((AP6*Paramètres!$H$4)-PORTEFEUILLE_AURELIE_T[[#This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" s="190" t="str">
        <f>IF(PORTEFEUILLE_AURELIE_T[[#This Row],[BONI COMPTABLE]]&lt;&gt;0,1,"")</f>
        <v/>
      </c>
      <c r="AY6" s="190" t="str">
        <f>IF(PORTEFEUILLE_AURELIE_T[[#This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SUM(PORTEFEUILLE_AURELIE_T[[#This Row],[PCR COMPTABLE €]:[MONTANT
RESPONSABLE RELATION CLIENT €]])-PORTEFEUILLE_AURELIE_T[[#This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7" s="188" t="str">
        <f>IF(PORTEFEUILLE_AURELIE_T[[#This Row],[BONI AAC]]&lt;&gt;0,1,"")</f>
        <v/>
      </c>
      <c r="AU7" s="188" t="str">
        <f>IF(PORTEFEUILLE_AURELIE_T[[#This Row],[MALI AAC]]&lt;&gt;0,1,"")</f>
        <v/>
      </c>
      <c r="AV7" s="225">
        <f>IF(AP7&lt;&gt;"",IF((AP7*Paramètres!$H$4)-PORTEFEUILLE_AURELIE_T[[#This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7" s="225">
        <f>IF(AP7&lt;&gt;"",IF(((AP7*Paramètres!$H$4)-PORTEFEUILLE_AURELIE_T[[#This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7" s="190" t="str">
        <f>IF(PORTEFEUILLE_AURELIE_T[[#This Row],[BONI COMPTABLE]]&lt;&gt;0,1,"")</f>
        <v/>
      </c>
      <c r="AY7" s="190" t="str">
        <f>IF(PORTEFEUILLE_AURELIE_T[[#This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SUM(PORTEFEUILLE_AURELIE_T[[#This Row],[PCR COMPTABLE €]:[MONTANT
RESPONSABLE RELATION CLIENT €]])-PORTEFEUILLE_AURELIE_T[[#This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8" s="188" t="str">
        <f>IF(PORTEFEUILLE_AURELIE_T[[#This Row],[BONI AAC]]&lt;&gt;0,1,"")</f>
        <v/>
      </c>
      <c r="AU8" s="188" t="str">
        <f>IF(PORTEFEUILLE_AURELIE_T[[#This Row],[MALI AAC]]&lt;&gt;0,1,"")</f>
        <v/>
      </c>
      <c r="AV8" s="225">
        <f>IF(AP8&lt;&gt;"",IF((AP8*Paramètres!$H$4)-PORTEFEUILLE_AURELIE_T[[#This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8" s="225">
        <f>IF(AP8&lt;&gt;"",IF(((AP8*Paramètres!$H$4)-PORTEFEUILLE_AURELIE_T[[#This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8" s="190" t="str">
        <f>IF(PORTEFEUILLE_AURELIE_T[[#This Row],[BONI COMPTABLE]]&lt;&gt;0,1,"")</f>
        <v/>
      </c>
      <c r="AY8" s="190" t="str">
        <f>IF(PORTEFEUILLE_AURELIE_T[[#This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SUM(PORTEFEUILLE_AURELIE_T[[#This Row],[PCR COMPTABLE €]:[MONTANT
RESPONSABLE RELATION CLIENT €]])-PORTEFEUILLE_AURELIE_T[[#This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9" s="188" t="str">
        <f>IF(PORTEFEUILLE_AURELIE_T[[#This Row],[BONI AAC]]&lt;&gt;0,1,"")</f>
        <v/>
      </c>
      <c r="AU9" s="188" t="str">
        <f>IF(PORTEFEUILLE_AURELIE_T[[#This Row],[MALI AAC]]&lt;&gt;0,1,"")</f>
        <v/>
      </c>
      <c r="AV9" s="225">
        <f>IF(AP9&lt;&gt;"",IF((AP9*Paramètres!$H$4)-PORTEFEUILLE_AURELIE_T[[#This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f>
        <v>0</v>
      </c>
      <c r="AW9" s="225">
        <f>IF(AP9&lt;&gt;"",IF(((AP9*Paramètres!$H$4)-PORTEFEUILLE_AURELIE_T[[#This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9" s="190" t="str">
        <f>IF(PORTEFEUILLE_AURELIE_T[[#This Row],[BONI COMPTABLE]]&lt;&gt;0,1,"")</f>
        <v/>
      </c>
      <c r="AY9" s="190" t="str">
        <f>IF(PORTEFEUILLE_AURELIE_T[[#This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SUM(PORTEFEUILLE_AURELIE_T[[#This Row],[PCR COMPTABLE €]:[MONTANT
RESPONSABLE RELATION CLIENT €]])-PORTEFEUILLE_AURELIE_T[[#This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0" s="188" t="str">
        <f>IF(PORTEFEUILLE_AURELIE_T[[#This Row],[BONI AAC]]&lt;&gt;0,1,"")</f>
        <v/>
      </c>
      <c r="AU10" s="188" t="str">
        <f>IF(PORTEFEUILLE_AURELIE_T[[#This Row],[MALI AAC]]&lt;&gt;0,1,"")</f>
        <v/>
      </c>
      <c r="AV10" s="225">
        <f>IF(AP10&lt;&gt;"",IF((AP10*Paramètres!$H$4)-PORTEFEUILLE_AURELIE_T[[#This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10" s="225">
        <f>IF(AP10&lt;&gt;"",IF(((AP10*Paramètres!$H$4)-PORTEFEUILLE_AURELIE_T[[#This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0" s="190" t="str">
        <f>IF(PORTEFEUILLE_AURELIE_T[[#This Row],[BONI COMPTABLE]]&lt;&gt;0,1,"")</f>
        <v/>
      </c>
      <c r="AY10" s="190" t="str">
        <f>IF(PORTEFEUILLE_AURELIE_T[[#This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SUM(PORTEFEUILLE_AURELIE_T[[#This Row],[PCR COMPTABLE €]:[MONTANT
RESPONSABLE RELATION CLIENT €]])-PORTEFEUILLE_AURELIE_T[[#This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1" s="188" t="str">
        <f>IF(PORTEFEUILLE_AURELIE_T[[#This Row],[BONI AAC]]&lt;&gt;0,1,"")</f>
        <v/>
      </c>
      <c r="AU11" s="188" t="str">
        <f>IF(PORTEFEUILLE_AURELIE_T[[#This Row],[MALI AAC]]&lt;&gt;0,1,"")</f>
        <v/>
      </c>
      <c r="AV11" s="225">
        <f>IF(AP11&lt;&gt;"",IF((AP11*Paramètres!$H$4)-PORTEFEUILLE_AURELIE_T[[#This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€]]-(DELPHINE!AP4*Paramètres!$H$4),0),0)</f>
        <v>0</v>
      </c>
      <c r="AW11" s="225">
        <f>IF(AP11&lt;&gt;"",IF(((AP11*Paramètres!$H$4)-PORTEFEUILLE_AURELIE_T[[#This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1" s="190" t="str">
        <f>IF(PORTEFEUILLE_AURELIE_T[[#This Row],[BONI COMPTABLE]]&lt;&gt;0,1,"")</f>
        <v/>
      </c>
      <c r="AY11" s="190" t="str">
        <f>IF(PORTEFEUILLE_AURELIE_T[[#This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SUM(PORTEFEUILLE_AURELIE_T[[#This Row],[PCR COMPTABLE €]:[MONTANT
RESPONSABLE RELATION CLIENT €]])-PORTEFEUILLE_AURELIE_T[[#This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2" s="188" t="str">
        <f>IF(PORTEFEUILLE_AURELIE_T[[#This Row],[BONI AAC]]&lt;&gt;0,1,"")</f>
        <v/>
      </c>
      <c r="AU12" s="188" t="str">
        <f>IF(PORTEFEUILLE_AURELIE_T[[#This Row],[MALI AAC]]&lt;&gt;0,1,"")</f>
        <v/>
      </c>
      <c r="AV12" s="225">
        <f>IF(AP12&lt;&gt;"",IF((AP12*Paramètres!$H$4)-PORTEFEUILLE_AURELIE_T[[#This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€]]-(DELPHINE!AP5*Paramètres!$H$4),0),0)</f>
        <v>0</v>
      </c>
      <c r="AW12" s="225">
        <f>IF(AP12&lt;&gt;"",IF(((AP12*Paramètres!$H$4)-PORTEFEUILLE_AURELIE_T[[#This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2" s="190" t="str">
        <f>IF(PORTEFEUILLE_AURELIE_T[[#This Row],[BONI COMPTABLE]]&lt;&gt;0,1,"")</f>
        <v/>
      </c>
      <c r="AY12" s="190" t="str">
        <f>IF(PORTEFEUILLE_AURELIE_T[[#This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SUM(PORTEFEUILLE_AURELIE_T[[#This Row],[PCR COMPTABLE €]:[MONTANT
RESPONSABLE RELATION CLIENT €]])-PORTEFEUILLE_AURELIE_T[[#This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3" s="188" t="str">
        <f>IF(PORTEFEUILLE_AURELIE_T[[#This Row],[BONI AAC]]&lt;&gt;0,1,"")</f>
        <v/>
      </c>
      <c r="AU13" s="188" t="str">
        <f>IF(PORTEFEUILLE_AURELIE_T[[#This Row],[MALI AAC]]&lt;&gt;0,1,"")</f>
        <v/>
      </c>
      <c r="AV13" s="225">
        <f>IF(AP13&lt;&gt;"",IF((AP13*Paramètres!$H$4)-PORTEFEUILLE_AURELIE_T[[#This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€]]-(DELPHINE!AP6*Paramètres!$H$4),0),0)</f>
        <v>0</v>
      </c>
      <c r="AW13" s="225">
        <f>IF(AP13&lt;&gt;"",IF(((AP13*Paramètres!$H$4)-PORTEFEUILLE_AURELIE_T[[#This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3" s="190" t="str">
        <f>IF(PORTEFEUILLE_AURELIE_T[[#This Row],[BONI COMPTABLE]]&lt;&gt;0,1,"")</f>
        <v/>
      </c>
      <c r="AY13" s="190" t="str">
        <f>IF(PORTEFEUILLE_AURELIE_T[[#This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SUM(PORTEFEUILLE_AURELIE_T[[#This Row],[PCR COMPTABLE €]:[MONTANT
RESPONSABLE RELATION CLIENT €]])-PORTEFEUILLE_AURELIE_T[[#This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4" s="188" t="str">
        <f>IF(PORTEFEUILLE_AURELIE_T[[#This Row],[BONI AAC]]&lt;&gt;0,1,"")</f>
        <v/>
      </c>
      <c r="AU14" s="188" t="str">
        <f>IF(PORTEFEUILLE_AURELIE_T[[#This Row],[MALI AAC]]&lt;&gt;0,1,"")</f>
        <v/>
      </c>
      <c r="AV14" s="225">
        <f>IF(AP14&lt;&gt;"",IF((AP14*Paramètres!$H$4)-PORTEFEUILLE_AURELIE_T[[#This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14" s="225">
        <f>IF(AP14&lt;&gt;"",IF(((AP14*Paramètres!$H$4)-PORTEFEUILLE_AURELIE_T[[#This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4" s="190" t="str">
        <f>IF(PORTEFEUILLE_AURELIE_T[[#This Row],[BONI COMPTABLE]]&lt;&gt;0,1,"")</f>
        <v/>
      </c>
      <c r="AY14" s="190" t="str">
        <f>IF(PORTEFEUILLE_AURELIE_T[[#This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SUM(PORTEFEUILLE_AURELIE_T[[#This Row],[PCR COMPTABLE €]:[MONTANT
RESPONSABLE RELATION CLIENT €]])-PORTEFEUILLE_AURELIE_T[[#This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5" s="188" t="str">
        <f>IF(PORTEFEUILLE_AURELIE_T[[#This Row],[BONI AAC]]&lt;&gt;0,1,"")</f>
        <v/>
      </c>
      <c r="AU15" s="188" t="str">
        <f>IF(PORTEFEUILLE_AURELIE_T[[#This Row],[MALI AAC]]&lt;&gt;0,1,"")</f>
        <v/>
      </c>
      <c r="AV15" s="225">
        <f>IF(AP15&lt;&gt;"",IF((AP15*Paramètres!$H$4)-PORTEFEUILLE_AURELIE_T[[#This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€]]-(DELPHINE!#REF!*Paramètres!$H$4),0),0)</f>
        <v>0</v>
      </c>
      <c r="AW15" s="225">
        <f>IF(AP15&lt;&gt;"",IF(((AP15*Paramètres!$H$4)-PORTEFEUILLE_AURELIE_T[[#This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5" s="190" t="str">
        <f>IF(PORTEFEUILLE_AURELIE_T[[#This Row],[BONI COMPTABLE]]&lt;&gt;0,1,"")</f>
        <v/>
      </c>
      <c r="AY15" s="190" t="str">
        <f>IF(PORTEFEUILLE_AURELIE_T[[#This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SUM(PORTEFEUILLE_AURELIE_T[[#This Row],[PCR COMPTABLE €]:[MONTANT
RESPONSABLE RELATION CLIENT €]])-PORTEFEUILLE_AURELIE_T[[#This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6" s="188" t="str">
        <f>IF(PORTEFEUILLE_AURELIE_T[[#This Row],[BONI AAC]]&lt;&gt;0,1,"")</f>
        <v/>
      </c>
      <c r="AU16" s="188" t="str">
        <f>IF(PORTEFEUILLE_AURELIE_T[[#This Row],[MALI AAC]]&lt;&gt;0,1,"")</f>
        <v/>
      </c>
      <c r="AV16" s="225">
        <f>IF(AP16&lt;&gt;"",IF((AP16*Paramètres!$H$4)-PORTEFEUILLE_AURELIE_T[[#This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€]]-(DELPHINE!AP7*Paramètres!$H$4),0),0)</f>
        <v>0</v>
      </c>
      <c r="AW16" s="225">
        <f>IF(AP16&lt;&gt;"",IF(((AP16*Paramètres!$H$4)-PORTEFEUILLE_AURELIE_T[[#This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6" s="190" t="str">
        <f>IF(PORTEFEUILLE_AURELIE_T[[#This Row],[BONI COMPTABLE]]&lt;&gt;0,1,"")</f>
        <v/>
      </c>
      <c r="AY16" s="190" t="str">
        <f>IF(PORTEFEUILLE_AURELIE_T[[#This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SUM(PORTEFEUILLE_AURELIE_T[[#This Row],[PCR COMPTABLE €]:[MONTANT
RESPONSABLE RELATION CLIENT €]])-PORTEFEUILLE_AURELIE_T[[#This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7" s="188" t="str">
        <f>IF(PORTEFEUILLE_AURELIE_T[[#This Row],[BONI AAC]]&lt;&gt;0,1,"")</f>
        <v/>
      </c>
      <c r="AU17" s="188" t="str">
        <f>IF(PORTEFEUILLE_AURELIE_T[[#This Row],[MALI AAC]]&lt;&gt;0,1,"")</f>
        <v/>
      </c>
      <c r="AV17" s="225">
        <f>IF(AP17&lt;&gt;"",IF((AP17*Paramètres!$H$4)-PORTEFEUILLE_AURELIE_T[[#This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€]]-(DELPHINE!AP8*Paramètres!$H$4),0),0)</f>
        <v>0</v>
      </c>
      <c r="AW17" s="225">
        <f>IF(AP17&lt;&gt;"",IF(((AP17*Paramètres!$H$4)-PORTEFEUILLE_AURELIE_T[[#This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7" s="190" t="str">
        <f>IF(PORTEFEUILLE_AURELIE_T[[#This Row],[BONI COMPTABLE]]&lt;&gt;0,1,"")</f>
        <v/>
      </c>
      <c r="AY17" s="190" t="str">
        <f>IF(PORTEFEUILLE_AURELIE_T[[#This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SUM(PORTEFEUILLE_AURELIE_T[[#This Row],[PCR COMPTABLE €]:[MONTANT
RESPONSABLE RELATION CLIENT €]])-PORTEFEUILLE_AURELIE_T[[#This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8" s="188" t="str">
        <f>IF(PORTEFEUILLE_AURELIE_T[[#This Row],[BONI AAC]]&lt;&gt;0,1,"")</f>
        <v/>
      </c>
      <c r="AU18" s="188" t="str">
        <f>IF(PORTEFEUILLE_AURELIE_T[[#This Row],[MALI AAC]]&lt;&gt;0,1,"")</f>
        <v/>
      </c>
      <c r="AV18" s="225">
        <f>IF(AP18&lt;&gt;"",IF((AP18*Paramètres!$H$4)-PORTEFEUILLE_AURELIE_T[[#This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€]]-(DELPHINE!AP9*Paramètres!$H$4),0),0)</f>
        <v>0</v>
      </c>
      <c r="AW18" s="225">
        <f>IF(AP18&lt;&gt;"",IF(((AP18*Paramètres!$H$4)-PORTEFEUILLE_AURELIE_T[[#This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8" s="190" t="str">
        <f>IF(PORTEFEUILLE_AURELIE_T[[#This Row],[BONI COMPTABLE]]&lt;&gt;0,1,"")</f>
        <v/>
      </c>
      <c r="AY18" s="190" t="str">
        <f>IF(PORTEFEUILLE_AURELIE_T[[#This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SUM(PORTEFEUILLE_AURELIE_T[[#This Row],[PCR COMPTABLE €]:[MONTANT
RESPONSABLE RELATION CLIENT €]])-PORTEFEUILLE_AURELIE_T[[#This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9" s="188" t="str">
        <f>IF(PORTEFEUILLE_AURELIE_T[[#This Row],[BONI AAC]]&lt;&gt;0,1,"")</f>
        <v/>
      </c>
      <c r="AU19" s="188" t="str">
        <f>IF(PORTEFEUILLE_AURELIE_T[[#This Row],[MALI AAC]]&lt;&gt;0,1,"")</f>
        <v/>
      </c>
      <c r="AV19" s="225">
        <f>IF(AP19&lt;&gt;"",IF((AP19*Paramètres!$H$4)-PORTEFEUILLE_AURELIE_T[[#This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€]]-(DELPHINE!AP10*Paramètres!$H$4),0),0)</f>
        <v>0</v>
      </c>
      <c r="AW19" s="225">
        <f>IF(AP19&lt;&gt;"",IF(((AP19*Paramètres!$H$4)-PORTEFEUILLE_AURELIE_T[[#This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9" s="190" t="str">
        <f>IF(PORTEFEUILLE_AURELIE_T[[#This Row],[BONI COMPTABLE]]&lt;&gt;0,1,"")</f>
        <v/>
      </c>
      <c r="AY19" s="190" t="str">
        <f>IF(PORTEFEUILLE_AURELIE_T[[#This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SUM(PORTEFEUILLE_AURELIE_T[[#This Row],[PCR COMPTABLE €]:[MONTANT
RESPONSABLE RELATION CLIENT €]])-PORTEFEUILLE_AURELIE_T[[#This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0" s="188" t="str">
        <f>IF(PORTEFEUILLE_AURELIE_T[[#This Row],[BONI AAC]]&lt;&gt;0,1,"")</f>
        <v/>
      </c>
      <c r="AU20" s="188" t="str">
        <f>IF(PORTEFEUILLE_AURELIE_T[[#This Row],[MALI AAC]]&lt;&gt;0,1,"")</f>
        <v/>
      </c>
      <c r="AV20" s="225">
        <f>IF(AP20&lt;&gt;"",IF((AP20*Paramètres!$H$4)-PORTEFEUILLE_AURELIE_T[[#This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€]]-(DELPHINE!AP11*Paramètres!$H$4),0),0)</f>
        <v>0</v>
      </c>
      <c r="AW20" s="225">
        <f>IF(AP20&lt;&gt;"",IF(((AP20*Paramètres!$H$4)-PORTEFEUILLE_AURELIE_T[[#This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0" s="190" t="str">
        <f>IF(PORTEFEUILLE_AURELIE_T[[#This Row],[BONI COMPTABLE]]&lt;&gt;0,1,"")</f>
        <v/>
      </c>
      <c r="AY20" s="190" t="str">
        <f>IF(PORTEFEUILLE_AURELIE_T[[#This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SUM(PORTEFEUILLE_AURELIE_T[[#This Row],[PCR COMPTABLE €]:[MONTANT
RESPONSABLE RELATION CLIENT €]])-PORTEFEUILLE_AURELIE_T[[#This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1" s="188" t="str">
        <f>IF(PORTEFEUILLE_AURELIE_T[[#This Row],[BONI AAC]]&lt;&gt;0,1,"")</f>
        <v/>
      </c>
      <c r="AU21" s="188" t="str">
        <f>IF(PORTEFEUILLE_AURELIE_T[[#This Row],[MALI AAC]]&lt;&gt;0,1,"")</f>
        <v/>
      </c>
      <c r="AV21" s="225">
        <f>IF(AP21&lt;&gt;"",IF((AP21*Paramètres!$H$4)-PORTEFEUILLE_AURELIE_T[[#This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€]]-(DELPHINE!AP12*Paramètres!$H$4),0),0)</f>
        <v>0</v>
      </c>
      <c r="AW21" s="225">
        <f>IF(AP21&lt;&gt;"",IF(((AP21*Paramètres!$H$4)-PORTEFEUILLE_AURELIE_T[[#This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1" s="190" t="str">
        <f>IF(PORTEFEUILLE_AURELIE_T[[#This Row],[BONI COMPTABLE]]&lt;&gt;0,1,"")</f>
        <v/>
      </c>
      <c r="AY21" s="190" t="str">
        <f>IF(PORTEFEUILLE_AURELIE_T[[#This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SUM(PORTEFEUILLE_AURELIE_T[[#This Row],[PCR COMPTABLE €]:[MONTANT
RESPONSABLE RELATION CLIENT €]])-PORTEFEUILLE_AURELIE_T[[#This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2" s="188" t="str">
        <f>IF(PORTEFEUILLE_AURELIE_T[[#This Row],[BONI AAC]]&lt;&gt;0,1,"")</f>
        <v/>
      </c>
      <c r="AU22" s="188" t="str">
        <f>IF(PORTEFEUILLE_AURELIE_T[[#This Row],[MALI AAC]]&lt;&gt;0,1,"")</f>
        <v/>
      </c>
      <c r="AV22" s="225">
        <f>IF(AP22&lt;&gt;"",IF((AP22*Paramètres!$H$4)-PORTEFEUILLE_AURELIE_T[[#This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€]]-(DELPHINE!AP13*Paramètres!$H$4),0),0)</f>
        <v>0</v>
      </c>
      <c r="AW22" s="225">
        <f>IF(AP22&lt;&gt;"",IF(((AP22*Paramètres!$H$4)-PORTEFEUILLE_AURELIE_T[[#This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2" s="190" t="str">
        <f>IF(PORTEFEUILLE_AURELIE_T[[#This Row],[BONI COMPTABLE]]&lt;&gt;0,1,"")</f>
        <v/>
      </c>
      <c r="AY22" s="190" t="str">
        <f>IF(PORTEFEUILLE_AURELIE_T[[#This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SUM(PORTEFEUILLE_AURELIE_T[[#This Row],[PCR COMPTABLE €]:[MONTANT
RESPONSABLE RELATION CLIENT €]])-PORTEFEUILLE_AURELIE_T[[#This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3" s="188" t="str">
        <f>IF(PORTEFEUILLE_AURELIE_T[[#This Row],[BONI AAC]]&lt;&gt;0,1,"")</f>
        <v/>
      </c>
      <c r="AU23" s="188" t="str">
        <f>IF(PORTEFEUILLE_AURELIE_T[[#This Row],[MALI AAC]]&lt;&gt;0,1,"")</f>
        <v/>
      </c>
      <c r="AV23" s="225">
        <f>IF(AP23&lt;&gt;"",IF((AP23*Paramètres!$H$4)-PORTEFEUILLE_AURELIE_T[[#This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€]]-(DELPHINE!AP14*Paramètres!$H$4),0),0)</f>
        <v>0</v>
      </c>
      <c r="AW23" s="225">
        <f>IF(AP23&lt;&gt;"",IF(((AP23*Paramètres!$H$4)-PORTEFEUILLE_AURELIE_T[[#This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3" s="190" t="str">
        <f>IF(PORTEFEUILLE_AURELIE_T[[#This Row],[BONI COMPTABLE]]&lt;&gt;0,1,"")</f>
        <v/>
      </c>
      <c r="AY23" s="190" t="str">
        <f>IF(PORTEFEUILLE_AURELIE_T[[#This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SUM(PORTEFEUILLE_AURELIE_T[[#This Row],[PCR COMPTABLE €]:[MONTANT
RESPONSABLE RELATION CLIENT €]])-PORTEFEUILLE_AURELIE_T[[#This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4" s="188" t="str">
        <f>IF(PORTEFEUILLE_AURELIE_T[[#This Row],[BONI AAC]]&lt;&gt;0,1,"")</f>
        <v/>
      </c>
      <c r="AU24" s="188" t="str">
        <f>IF(PORTEFEUILLE_AURELIE_T[[#This Row],[MALI AAC]]&lt;&gt;0,1,"")</f>
        <v/>
      </c>
      <c r="AV24" s="225">
        <f>IF(AP24&lt;&gt;"",IF((AP24*Paramètres!$H$4)-PORTEFEUILLE_AURELIE_T[[#This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€]]-(DELPHINE!AP15*Paramètres!$H$4),0),0)</f>
        <v>0</v>
      </c>
      <c r="AW24" s="225">
        <f>IF(AP24&lt;&gt;"",IF(((AP24*Paramètres!$H$4)-PORTEFEUILLE_AURELIE_T[[#This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4" s="190" t="str">
        <f>IF(PORTEFEUILLE_AURELIE_T[[#This Row],[BONI COMPTABLE]]&lt;&gt;0,1,"")</f>
        <v/>
      </c>
      <c r="AY24" s="190" t="str">
        <f>IF(PORTEFEUILLE_AURELIE_T[[#This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SUM(PORTEFEUILLE_AURELIE_T[[#This Row],[PCR COMPTABLE €]:[MONTANT
RESPONSABLE RELATION CLIENT €]])-PORTEFEUILLE_AURELIE_T[[#This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5" s="188" t="str">
        <f>IF(PORTEFEUILLE_AURELIE_T[[#This Row],[BONI AAC]]&lt;&gt;0,1,"")</f>
        <v/>
      </c>
      <c r="AU25" s="188" t="str">
        <f>IF(PORTEFEUILLE_AURELIE_T[[#This Row],[MALI AAC]]&lt;&gt;0,1,"")</f>
        <v/>
      </c>
      <c r="AV25" s="225">
        <f>IF(AP25&lt;&gt;"",IF((AP25*Paramètres!$H$4)-PORTEFEUILLE_AURELIE_T[[#This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€]]-(DELPHINE!AP16*Paramètres!$H$4),0),0)</f>
        <v>0</v>
      </c>
      <c r="AW25" s="225">
        <f>IF(AP25&lt;&gt;"",IF(((AP25*Paramètres!$H$4)-PORTEFEUILLE_AURELIE_T[[#This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5" s="190" t="str">
        <f>IF(PORTEFEUILLE_AURELIE_T[[#This Row],[BONI COMPTABLE]]&lt;&gt;0,1,"")</f>
        <v/>
      </c>
      <c r="AY25" s="190" t="str">
        <f>IF(PORTEFEUILLE_AURELIE_T[[#This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SUM(PORTEFEUILLE_AURELIE_T[[#This Row],[PCR COMPTABLE €]:[MONTANT
RESPONSABLE RELATION CLIENT €]])-PORTEFEUILLE_AURELIE_T[[#This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6" s="188" t="str">
        <f>IF(PORTEFEUILLE_AURELIE_T[[#This Row],[BONI AAC]]&lt;&gt;0,1,"")</f>
        <v/>
      </c>
      <c r="AU26" s="188" t="str">
        <f>IF(PORTEFEUILLE_AURELIE_T[[#This Row],[MALI AAC]]&lt;&gt;0,1,"")</f>
        <v/>
      </c>
      <c r="AV26" s="225">
        <f>IF(AP26&lt;&gt;"",IF((AP26*Paramètres!$H$4)-PORTEFEUILLE_AURELIE_T[[#This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€]]-(DELPHINE!AP17*Paramètres!$H$4),0),0)</f>
        <v>0</v>
      </c>
      <c r="AW26" s="225">
        <f>IF(AP26&lt;&gt;"",IF(((AP26*Paramètres!$H$4)-PORTEFEUILLE_AURELIE_T[[#This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6" s="190" t="str">
        <f>IF(PORTEFEUILLE_AURELIE_T[[#This Row],[BONI COMPTABLE]]&lt;&gt;0,1,"")</f>
        <v/>
      </c>
      <c r="AY26" s="190" t="str">
        <f>IF(PORTEFEUILLE_AURELIE_T[[#This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SUM(PORTEFEUILLE_AURELIE_T[[#This Row],[PCR COMPTABLE €]:[MONTANT
RESPONSABLE RELATION CLIENT €]])-PORTEFEUILLE_AURELIE_T[[#This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7" s="188" t="str">
        <f>IF(PORTEFEUILLE_AURELIE_T[[#This Row],[BONI AAC]]&lt;&gt;0,1,"")</f>
        <v/>
      </c>
      <c r="AU27" s="188" t="str">
        <f>IF(PORTEFEUILLE_AURELIE_T[[#This Row],[MALI AAC]]&lt;&gt;0,1,"")</f>
        <v/>
      </c>
      <c r="AV27" s="225">
        <f>IF(AP27&lt;&gt;"",IF((AP27*Paramètres!$H$4)-PORTEFEUILLE_AURELIE_T[[#This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€]]-(DELPHINE!AP18*Paramètres!$H$4),0),0)</f>
        <v>0</v>
      </c>
      <c r="AW27" s="225">
        <f>IF(AP27&lt;&gt;"",IF(((AP27*Paramètres!$H$4)-PORTEFEUILLE_AURELIE_T[[#This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7" s="190" t="str">
        <f>IF(PORTEFEUILLE_AURELIE_T[[#This Row],[BONI COMPTABLE]]&lt;&gt;0,1,"")</f>
        <v/>
      </c>
      <c r="AY27" s="190" t="str">
        <f>IF(PORTEFEUILLE_AURELIE_T[[#This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SUM(PORTEFEUILLE_AURELIE_T[[#This Row],[PCR COMPTABLE €]:[MONTANT
RESPONSABLE RELATION CLIENT €]])-PORTEFEUILLE_AURELIE_T[[#This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8" s="188" t="str">
        <f>IF(PORTEFEUILLE_AURELIE_T[[#This Row],[BONI AAC]]&lt;&gt;0,1,"")</f>
        <v/>
      </c>
      <c r="AU28" s="188" t="str">
        <f>IF(PORTEFEUILLE_AURELIE_T[[#This Row],[MALI AAC]]&lt;&gt;0,1,"")</f>
        <v/>
      </c>
      <c r="AV28" s="225">
        <f>IF(AP28&lt;&gt;"",IF((AP28*Paramètres!$H$4)-PORTEFEUILLE_AURELIE_T[[#This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€]]-(DELPHINE!AP19*Paramètres!$H$4),0),0)</f>
        <v>0</v>
      </c>
      <c r="AW28" s="225">
        <f>IF(AP28&lt;&gt;"",IF(((AP28*Paramètres!$H$4)-PORTEFEUILLE_AURELIE_T[[#This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8" s="190" t="str">
        <f>IF(PORTEFEUILLE_AURELIE_T[[#This Row],[BONI COMPTABLE]]&lt;&gt;0,1,"")</f>
        <v/>
      </c>
      <c r="AY28" s="190" t="str">
        <f>IF(PORTEFEUILLE_AURELIE_T[[#This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SUM(PORTEFEUILLE_AURELIE_T[[#This Row],[PCR COMPTABLE €]:[MONTANT
RESPONSABLE RELATION CLIENT €]])-PORTEFEUILLE_AURELIE_T[[#This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9" s="188" t="str">
        <f>IF(PORTEFEUILLE_AURELIE_T[[#This Row],[BONI AAC]]&lt;&gt;0,1,"")</f>
        <v/>
      </c>
      <c r="AU29" s="188" t="str">
        <f>IF(PORTEFEUILLE_AURELIE_T[[#This Row],[MALI AAC]]&lt;&gt;0,1,"")</f>
        <v/>
      </c>
      <c r="AV29" s="225">
        <f>IF(AP29&lt;&gt;"",IF((AP29*Paramètres!$H$4)-PORTEFEUILLE_AURELIE_T[[#This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€]]-(DELPHINE!AP20*Paramètres!$H$4),0),0)</f>
        <v>0</v>
      </c>
      <c r="AW29" s="225">
        <f>IF(AP29&lt;&gt;"",IF(((AP29*Paramètres!$H$4)-PORTEFEUILLE_AURELIE_T[[#This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9" s="190" t="str">
        <f>IF(PORTEFEUILLE_AURELIE_T[[#This Row],[BONI COMPTABLE]]&lt;&gt;0,1,"")</f>
        <v/>
      </c>
      <c r="AY29" s="190" t="str">
        <f>IF(PORTEFEUILLE_AURELIE_T[[#This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SUM(PORTEFEUILLE_AURELIE_T[[#This Row],[PCR COMPTABLE €]:[MONTANT
RESPONSABLE RELATION CLIENT €]])-PORTEFEUILLE_AURELIE_T[[#This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0" s="188" t="str">
        <f>IF(PORTEFEUILLE_AURELIE_T[[#This Row],[BONI AAC]]&lt;&gt;0,1,"")</f>
        <v/>
      </c>
      <c r="AU30" s="188" t="str">
        <f>IF(PORTEFEUILLE_AURELIE_T[[#This Row],[MALI AAC]]&lt;&gt;0,1,"")</f>
        <v/>
      </c>
      <c r="AV30" s="225">
        <f>IF(AP30&lt;&gt;"",IF((AP30*Paramètres!$H$4)-PORTEFEUILLE_AURELIE_T[[#This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€]]-(DELPHINE!AP21*Paramètres!$H$4),0),0)</f>
        <v>0</v>
      </c>
      <c r="AW30" s="225">
        <f>IF(AP30&lt;&gt;"",IF(((AP30*Paramètres!$H$4)-PORTEFEUILLE_AURELIE_T[[#This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0" s="190" t="str">
        <f>IF(PORTEFEUILLE_AURELIE_T[[#This Row],[BONI COMPTABLE]]&lt;&gt;0,1,"")</f>
        <v/>
      </c>
      <c r="AY30" s="190" t="str">
        <f>IF(PORTEFEUILLE_AURELIE_T[[#This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SUM(PORTEFEUILLE_AURELIE_T[[#This Row],[PCR COMPTABLE €]:[MONTANT
RESPONSABLE RELATION CLIENT €]])-PORTEFEUILLE_AURELIE_T[[#This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1" s="188" t="str">
        <f>IF(PORTEFEUILLE_AURELIE_T[[#This Row],[BONI AAC]]&lt;&gt;0,1,"")</f>
        <v/>
      </c>
      <c r="AU31" s="188" t="str">
        <f>IF(PORTEFEUILLE_AURELIE_T[[#This Row],[MALI AAC]]&lt;&gt;0,1,"")</f>
        <v/>
      </c>
      <c r="AV31" s="225">
        <f>IF(AP31&lt;&gt;"",IF((AP31*Paramètres!$H$4)-PORTEFEUILLE_AURELIE_T[[#This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€]]-(DELPHINE!AP22*Paramètres!$H$4),0),0)</f>
        <v>0</v>
      </c>
      <c r="AW31" s="225">
        <f>IF(AP31&lt;&gt;"",IF(((AP31*Paramètres!$H$4)-PORTEFEUILLE_AURELIE_T[[#This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1" s="190" t="str">
        <f>IF(PORTEFEUILLE_AURELIE_T[[#This Row],[BONI COMPTABLE]]&lt;&gt;0,1,"")</f>
        <v/>
      </c>
      <c r="AY31" s="190" t="str">
        <f>IF(PORTEFEUILLE_AURELIE_T[[#This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SUM(PORTEFEUILLE_AURELIE_T[[#This Row],[PCR COMPTABLE €]:[MONTANT
RESPONSABLE RELATION CLIENT €]])-PORTEFEUILLE_AURELIE_T[[#This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2" s="188" t="str">
        <f>IF(PORTEFEUILLE_AURELIE_T[[#This Row],[BONI AAC]]&lt;&gt;0,1,"")</f>
        <v/>
      </c>
      <c r="AU32" s="188" t="str">
        <f>IF(PORTEFEUILLE_AURELIE_T[[#This Row],[MALI AAC]]&lt;&gt;0,1,"")</f>
        <v/>
      </c>
      <c r="AV32" s="225">
        <f>IF(AP32&lt;&gt;"",IF((AP32*Paramètres!$H$4)-PORTEFEUILLE_AURELIE_T[[#This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€]]-(DELPHINE!AP23*Paramètres!$H$4),0),0)</f>
        <v>0</v>
      </c>
      <c r="AW32" s="225">
        <f>IF(AP32&lt;&gt;"",IF(((AP32*Paramètres!$H$4)-PORTEFEUILLE_AURELIE_T[[#This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2" s="190" t="str">
        <f>IF(PORTEFEUILLE_AURELIE_T[[#This Row],[BONI COMPTABLE]]&lt;&gt;0,1,"")</f>
        <v/>
      </c>
      <c r="AY32" s="190" t="str">
        <f>IF(PORTEFEUILLE_AURELIE_T[[#This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SUM(PORTEFEUILLE_AURELIE_T[[#This Row],[PCR COMPTABLE €]:[MONTANT
RESPONSABLE RELATION CLIENT €]])-PORTEFEUILLE_AURELIE_T[[#This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3" s="188" t="str">
        <f>IF(PORTEFEUILLE_AURELIE_T[[#This Row],[BONI AAC]]&lt;&gt;0,1,"")</f>
        <v/>
      </c>
      <c r="AU33" s="188" t="str">
        <f>IF(PORTEFEUILLE_AURELIE_T[[#This Row],[MALI AAC]]&lt;&gt;0,1,"")</f>
        <v/>
      </c>
      <c r="AV33" s="225">
        <f>IF(AP33&lt;&gt;"",IF((AP33*Paramètres!$H$4)-PORTEFEUILLE_AURELIE_T[[#This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€]]-(DELPHINE!AP24*Paramètres!$H$4),0),0)</f>
        <v>0</v>
      </c>
      <c r="AW33" s="225">
        <f>IF(AP33&lt;&gt;"",IF(((AP33*Paramètres!$H$4)-PORTEFEUILLE_AURELIE_T[[#This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3" s="190" t="str">
        <f>IF(PORTEFEUILLE_AURELIE_T[[#This Row],[BONI COMPTABLE]]&lt;&gt;0,1,"")</f>
        <v/>
      </c>
      <c r="AY33" s="190" t="str">
        <f>IF(PORTEFEUILLE_AURELIE_T[[#This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SUM(PORTEFEUILLE_AURELIE_T[[#This Row],[PCR COMPTABLE €]:[MONTANT
RESPONSABLE RELATION CLIENT €]])-PORTEFEUILLE_AURELIE_T[[#This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4" s="188" t="str">
        <f>IF(PORTEFEUILLE_AURELIE_T[[#This Row],[BONI AAC]]&lt;&gt;0,1,"")</f>
        <v/>
      </c>
      <c r="AU34" s="188" t="str">
        <f>IF(PORTEFEUILLE_AURELIE_T[[#This Row],[MALI AAC]]&lt;&gt;0,1,"")</f>
        <v/>
      </c>
      <c r="AV34" s="225">
        <f>IF(AP34&lt;&gt;"",IF((AP34*Paramètres!$H$4)-PORTEFEUILLE_AURELIE_T[[#This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€]]-(DELPHINE!AP25*Paramètres!$H$4),0),0)</f>
        <v>0</v>
      </c>
      <c r="AW34" s="225">
        <f>IF(AP34&lt;&gt;"",IF(((AP34*Paramètres!$H$4)-PORTEFEUILLE_AURELIE_T[[#This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4" s="190" t="str">
        <f>IF(PORTEFEUILLE_AURELIE_T[[#This Row],[BONI COMPTABLE]]&lt;&gt;0,1,"")</f>
        <v/>
      </c>
      <c r="AY34" s="190" t="str">
        <f>IF(PORTEFEUILLE_AURELIE_T[[#This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SUM(PORTEFEUILLE_AURELIE_T[[#This Row],[PCR COMPTABLE €]:[MONTANT
RESPONSABLE RELATION CLIENT €]])-PORTEFEUILLE_AURELIE_T[[#This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5" s="188" t="str">
        <f>IF(PORTEFEUILLE_AURELIE_T[[#This Row],[BONI AAC]]&lt;&gt;0,1,"")</f>
        <v/>
      </c>
      <c r="AU35" s="188" t="str">
        <f>IF(PORTEFEUILLE_AURELIE_T[[#This Row],[MALI AAC]]&lt;&gt;0,1,"")</f>
        <v/>
      </c>
      <c r="AV35" s="225">
        <f>IF(AP35&lt;&gt;"",IF((AP35*Paramètres!$H$4)-PORTEFEUILLE_AURELIE_T[[#This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€]]-(DELPHINE!AP26*Paramètres!$H$4),0),0)</f>
        <v>0</v>
      </c>
      <c r="AW35" s="225">
        <f>IF(AP35&lt;&gt;"",IF(((AP35*Paramètres!$H$4)-PORTEFEUILLE_AURELIE_T[[#This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5" s="190" t="str">
        <f>IF(PORTEFEUILLE_AURELIE_T[[#This Row],[BONI COMPTABLE]]&lt;&gt;0,1,"")</f>
        <v/>
      </c>
      <c r="AY35" s="190" t="str">
        <f>IF(PORTEFEUILLE_AURELIE_T[[#This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SUM(PORTEFEUILLE_AURELIE_T[[#This Row],[PCR COMPTABLE €]:[MONTANT
RESPONSABLE RELATION CLIENT €]])-PORTEFEUILLE_AURELIE_T[[#This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6" s="188" t="str">
        <f>IF(PORTEFEUILLE_AURELIE_T[[#This Row],[BONI AAC]]&lt;&gt;0,1,"")</f>
        <v/>
      </c>
      <c r="AU36" s="188" t="str">
        <f>IF(PORTEFEUILLE_AURELIE_T[[#This Row],[MALI AAC]]&lt;&gt;0,1,"")</f>
        <v/>
      </c>
      <c r="AV36" s="225">
        <f>IF(AP36&lt;&gt;"",IF((AP36*Paramètres!$H$4)-PORTEFEUILLE_AURELIE_T[[#This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€]]-(DELPHINE!AP27*Paramètres!$H$4),0),0)</f>
        <v>0</v>
      </c>
      <c r="AW36" s="225">
        <f>IF(AP36&lt;&gt;"",IF(((AP36*Paramètres!$H$4)-PORTEFEUILLE_AURELIE_T[[#This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6" s="190" t="str">
        <f>IF(PORTEFEUILLE_AURELIE_T[[#This Row],[BONI COMPTABLE]]&lt;&gt;0,1,"")</f>
        <v/>
      </c>
      <c r="AY36" s="190" t="str">
        <f>IF(PORTEFEUILLE_AURELIE_T[[#This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SUM(PORTEFEUILLE_AURELIE_T[[#This Row],[PCR COMPTABLE €]:[MONTANT
RESPONSABLE RELATION CLIENT €]])-PORTEFEUILLE_AURELIE_T[[#This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7" s="188" t="str">
        <f>IF(PORTEFEUILLE_AURELIE_T[[#This Row],[BONI AAC]]&lt;&gt;0,1,"")</f>
        <v/>
      </c>
      <c r="AU37" s="188" t="str">
        <f>IF(PORTEFEUILLE_AURELIE_T[[#This Row],[MALI AAC]]&lt;&gt;0,1,"")</f>
        <v/>
      </c>
      <c r="AV37" s="225">
        <f>IF(AP37&lt;&gt;"",IF((AP37*Paramètres!$H$4)-PORTEFEUILLE_AURELIE_T[[#This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€]]-(DELPHINE!AP28*Paramètres!$H$4),0),0)</f>
        <v>0</v>
      </c>
      <c r="AW37" s="225">
        <f>IF(AP37&lt;&gt;"",IF(((AP37*Paramètres!$H$4)-PORTEFEUILLE_AURELIE_T[[#This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7" s="190" t="str">
        <f>IF(PORTEFEUILLE_AURELIE_T[[#This Row],[BONI COMPTABLE]]&lt;&gt;0,1,"")</f>
        <v/>
      </c>
      <c r="AY37" s="190" t="str">
        <f>IF(PORTEFEUILLE_AURELIE_T[[#This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SUM(PORTEFEUILLE_AURELIE_T[[#This Row],[PCR COMPTABLE €]:[MONTANT
RESPONSABLE RELATION CLIENT €]])-PORTEFEUILLE_AURELIE_T[[#This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8" s="188" t="str">
        <f>IF(PORTEFEUILLE_AURELIE_T[[#This Row],[BONI AAC]]&lt;&gt;0,1,"")</f>
        <v/>
      </c>
      <c r="AU38" s="188" t="str">
        <f>IF(PORTEFEUILLE_AURELIE_T[[#This Row],[MALI AAC]]&lt;&gt;0,1,"")</f>
        <v/>
      </c>
      <c r="AV38" s="225">
        <f>IF(AP38&lt;&gt;"",IF((AP38*Paramètres!$H$4)-PORTEFEUILLE_AURELIE_T[[#This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€]]-(DELPHINE!AP29*Paramètres!$H$4),0),0)</f>
        <v>0</v>
      </c>
      <c r="AW38" s="225">
        <f>IF(AP38&lt;&gt;"",IF(((AP38*Paramètres!$H$4)-PORTEFEUILLE_AURELIE_T[[#This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8" s="190" t="str">
        <f>IF(PORTEFEUILLE_AURELIE_T[[#This Row],[BONI COMPTABLE]]&lt;&gt;0,1,"")</f>
        <v/>
      </c>
      <c r="AY38" s="190" t="str">
        <f>IF(PORTEFEUILLE_AURELIE_T[[#This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SUM(PORTEFEUILLE_AURELIE_T[[#This Row],[PCR COMPTABLE €]:[MONTANT
RESPONSABLE RELATION CLIENT €]])-PORTEFEUILLE_AURELIE_T[[#This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9" s="188" t="str">
        <f>IF(PORTEFEUILLE_AURELIE_T[[#This Row],[BONI AAC]]&lt;&gt;0,1,"")</f>
        <v/>
      </c>
      <c r="AU39" s="188" t="str">
        <f>IF(PORTEFEUILLE_AURELIE_T[[#This Row],[MALI AAC]]&lt;&gt;0,1,"")</f>
        <v/>
      </c>
      <c r="AV39" s="225">
        <f>IF(AP39&lt;&gt;"",IF((AP39*Paramètres!$H$4)-PORTEFEUILLE_AURELIE_T[[#This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€]]-(DELPHINE!AP30*Paramètres!$H$4),0),0)</f>
        <v>0</v>
      </c>
      <c r="AW39" s="225">
        <f>IF(AP39&lt;&gt;"",IF(((AP39*Paramètres!$H$4)-PORTEFEUILLE_AURELIE_T[[#This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9" s="190" t="str">
        <f>IF(PORTEFEUILLE_AURELIE_T[[#This Row],[BONI COMPTABLE]]&lt;&gt;0,1,"")</f>
        <v/>
      </c>
      <c r="AY39" s="190" t="str">
        <f>IF(PORTEFEUILLE_AURELIE_T[[#This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SUM(PORTEFEUILLE_AURELIE_T[[#This Row],[PCR COMPTABLE €]:[MONTANT
RESPONSABLE RELATION CLIENT €]])-PORTEFEUILLE_AURELIE_T[[#This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0" s="188" t="str">
        <f>IF(PORTEFEUILLE_AURELIE_T[[#This Row],[BONI AAC]]&lt;&gt;0,1,"")</f>
        <v/>
      </c>
      <c r="AU40" s="188" t="str">
        <f>IF(PORTEFEUILLE_AURELIE_T[[#This Row],[MALI AAC]]&lt;&gt;0,1,"")</f>
        <v/>
      </c>
      <c r="AV40" s="225">
        <f>IF(AP40&lt;&gt;"",IF((AP40*Paramètres!$H$4)-PORTEFEUILLE_AURELIE_T[[#This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€]]-(DELPHINE!AP31*Paramètres!$H$4),0),0)</f>
        <v>0</v>
      </c>
      <c r="AW40" s="225">
        <f>IF(AP40&lt;&gt;"",IF(((AP40*Paramètres!$H$4)-PORTEFEUILLE_AURELIE_T[[#This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0" s="190" t="str">
        <f>IF(PORTEFEUILLE_AURELIE_T[[#This Row],[BONI COMPTABLE]]&lt;&gt;0,1,"")</f>
        <v/>
      </c>
      <c r="AY40" s="190" t="str">
        <f>IF(PORTEFEUILLE_AURELIE_T[[#This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SUM(PORTEFEUILLE_AURELIE_T[[#This Row],[PCR COMPTABLE €]:[MONTANT
RESPONSABLE RELATION CLIENT €]])-PORTEFEUILLE_AURELIE_T[[#This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1" s="188" t="str">
        <f>IF(PORTEFEUILLE_AURELIE_T[[#This Row],[BONI AAC]]&lt;&gt;0,1,"")</f>
        <v/>
      </c>
      <c r="AU41" s="188" t="str">
        <f>IF(PORTEFEUILLE_AURELIE_T[[#This Row],[MALI AAC]]&lt;&gt;0,1,"")</f>
        <v/>
      </c>
      <c r="AV41" s="225">
        <f>IF(AP41&lt;&gt;"",IF((AP41*Paramètres!$H$4)-PORTEFEUILLE_AURELIE_T[[#This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€]]-(DELPHINE!AP32*Paramètres!$H$4),0),0)</f>
        <v>0</v>
      </c>
      <c r="AW41" s="225">
        <f>IF(AP41&lt;&gt;"",IF(((AP41*Paramètres!$H$4)-PORTEFEUILLE_AURELIE_T[[#This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1" s="190" t="str">
        <f>IF(PORTEFEUILLE_AURELIE_T[[#This Row],[BONI COMPTABLE]]&lt;&gt;0,1,"")</f>
        <v/>
      </c>
      <c r="AY41" s="190" t="str">
        <f>IF(PORTEFEUILLE_AURELIE_T[[#This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SUM(PORTEFEUILLE_AURELIE_T[[#This Row],[PCR COMPTABLE €]:[MONTANT
RESPONSABLE RELATION CLIENT €]])-PORTEFEUILLE_AURELIE_T[[#This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2" s="188" t="str">
        <f>IF(PORTEFEUILLE_AURELIE_T[[#This Row],[BONI AAC]]&lt;&gt;0,1,"")</f>
        <v/>
      </c>
      <c r="AU42" s="188" t="str">
        <f>IF(PORTEFEUILLE_AURELIE_T[[#This Row],[MALI AAC]]&lt;&gt;0,1,"")</f>
        <v/>
      </c>
      <c r="AV42" s="225">
        <f>IF(AP42&lt;&gt;"",IF((AP42*Paramètres!$H$4)-PORTEFEUILLE_AURELIE_T[[#This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€]]-(DELPHINE!AP33*Paramètres!$H$4),0),0)</f>
        <v>0</v>
      </c>
      <c r="AW42" s="225">
        <f>IF(AP42&lt;&gt;"",IF(((AP42*Paramètres!$H$4)-PORTEFEUILLE_AURELIE_T[[#This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2" s="190" t="str">
        <f>IF(PORTEFEUILLE_AURELIE_T[[#This Row],[BONI COMPTABLE]]&lt;&gt;0,1,"")</f>
        <v/>
      </c>
      <c r="AY42" s="190" t="str">
        <f>IF(PORTEFEUILLE_AURELIE_T[[#This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SUM(PORTEFEUILLE_AURELIE_T[[#This Row],[PCR COMPTABLE €]:[MONTANT
RESPONSABLE RELATION CLIENT €]])-PORTEFEUILLE_AURELIE_T[[#This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3" s="188" t="str">
        <f>IF(PORTEFEUILLE_AURELIE_T[[#This Row],[BONI AAC]]&lt;&gt;0,1,"")</f>
        <v/>
      </c>
      <c r="AU43" s="188" t="str">
        <f>IF(PORTEFEUILLE_AURELIE_T[[#This Row],[MALI AAC]]&lt;&gt;0,1,"")</f>
        <v/>
      </c>
      <c r="AV43" s="225">
        <f>IF(AP43&lt;&gt;"",IF((AP43*Paramètres!$H$4)-PORTEFEUILLE_AURELIE_T[[#This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€]]-(DELPHINE!AP34*Paramètres!$H$4),0),0)</f>
        <v>0</v>
      </c>
      <c r="AW43" s="225">
        <f>IF(AP43&lt;&gt;"",IF(((AP43*Paramètres!$H$4)-PORTEFEUILLE_AURELIE_T[[#This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3" s="190" t="str">
        <f>IF(PORTEFEUILLE_AURELIE_T[[#This Row],[BONI COMPTABLE]]&lt;&gt;0,1,"")</f>
        <v/>
      </c>
      <c r="AY43" s="190" t="str">
        <f>IF(PORTEFEUILLE_AURELIE_T[[#This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SUM(PORTEFEUILLE_AURELIE_T[[#This Row],[PCR COMPTABLE €]:[MONTANT
RESPONSABLE RELATION CLIENT €]])-PORTEFEUILLE_AURELIE_T[[#This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4" s="188" t="str">
        <f>IF(PORTEFEUILLE_AURELIE_T[[#This Row],[BONI AAC]]&lt;&gt;0,1,"")</f>
        <v/>
      </c>
      <c r="AU44" s="188" t="str">
        <f>IF(PORTEFEUILLE_AURELIE_T[[#This Row],[MALI AAC]]&lt;&gt;0,1,"")</f>
        <v/>
      </c>
      <c r="AV44" s="225">
        <f>IF(AP44&lt;&gt;"",IF((AP44*Paramètres!$H$4)-PORTEFEUILLE_AURELIE_T[[#This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€]]-(DELPHINE!AP35*Paramètres!$H$4),0),0)</f>
        <v>0</v>
      </c>
      <c r="AW44" s="225">
        <f>IF(AP44&lt;&gt;"",IF(((AP44*Paramètres!$H$4)-PORTEFEUILLE_AURELIE_T[[#This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4" s="190" t="str">
        <f>IF(PORTEFEUILLE_AURELIE_T[[#This Row],[BONI COMPTABLE]]&lt;&gt;0,1,"")</f>
        <v/>
      </c>
      <c r="AY44" s="190" t="str">
        <f>IF(PORTEFEUILLE_AURELIE_T[[#This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SUM(PORTEFEUILLE_AURELIE_T[[#This Row],[PCR COMPTABLE €]:[MONTANT
RESPONSABLE RELATION CLIENT €]])-PORTEFEUILLE_AURELIE_T[[#This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5" s="188" t="str">
        <f>IF(PORTEFEUILLE_AURELIE_T[[#This Row],[BONI AAC]]&lt;&gt;0,1,"")</f>
        <v/>
      </c>
      <c r="AU45" s="188" t="str">
        <f>IF(PORTEFEUILLE_AURELIE_T[[#This Row],[MALI AAC]]&lt;&gt;0,1,"")</f>
        <v/>
      </c>
      <c r="AV45" s="225">
        <f>IF(AP45&lt;&gt;"",IF((AP45*Paramètres!$H$4)-PORTEFEUILLE_AURELIE_T[[#This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€]]-(DELPHINE!AP36*Paramètres!$H$4),0),0)</f>
        <v>0</v>
      </c>
      <c r="AW45" s="225">
        <f>IF(AP45&lt;&gt;"",IF(((AP45*Paramètres!$H$4)-PORTEFEUILLE_AURELIE_T[[#This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5" s="190" t="str">
        <f>IF(PORTEFEUILLE_AURELIE_T[[#This Row],[BONI COMPTABLE]]&lt;&gt;0,1,"")</f>
        <v/>
      </c>
      <c r="AY45" s="190" t="str">
        <f>IF(PORTEFEUILLE_AURELIE_T[[#This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SUM(PORTEFEUILLE_AURELIE_T[[#This Row],[PCR COMPTABLE €]:[MONTANT
RESPONSABLE RELATION CLIENT €]])-PORTEFEUILLE_AURELIE_T[[#This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6" s="188" t="str">
        <f>IF(PORTEFEUILLE_AURELIE_T[[#This Row],[BONI AAC]]&lt;&gt;0,1,"")</f>
        <v/>
      </c>
      <c r="AU46" s="188" t="str">
        <f>IF(PORTEFEUILLE_AURELIE_T[[#This Row],[MALI AAC]]&lt;&gt;0,1,"")</f>
        <v/>
      </c>
      <c r="AV46" s="225">
        <f>IF(AP46&lt;&gt;"",IF((AP46*Paramètres!$H$4)-PORTEFEUILLE_AURELIE_T[[#This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€]]-(DELPHINE!AP37*Paramètres!$H$4),0),0)</f>
        <v>0</v>
      </c>
      <c r="AW46" s="225">
        <f>IF(AP46&lt;&gt;"",IF(((AP46*Paramètres!$H$4)-PORTEFEUILLE_AURELIE_T[[#This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6" s="190" t="str">
        <f>IF(PORTEFEUILLE_AURELIE_T[[#This Row],[BONI COMPTABLE]]&lt;&gt;0,1,"")</f>
        <v/>
      </c>
      <c r="AY46" s="190" t="str">
        <f>IF(PORTEFEUILLE_AURELIE_T[[#This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SUM(PORTEFEUILLE_AURELIE_T[[#This Row],[PCR COMPTABLE €]:[MONTANT
RESPONSABLE RELATION CLIENT €]])-PORTEFEUILLE_AURELIE_T[[#This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7" s="188" t="str">
        <f>IF(PORTEFEUILLE_AURELIE_T[[#This Row],[BONI AAC]]&lt;&gt;0,1,"")</f>
        <v/>
      </c>
      <c r="AU47" s="188" t="str">
        <f>IF(PORTEFEUILLE_AURELIE_T[[#This Row],[MALI AAC]]&lt;&gt;0,1,"")</f>
        <v/>
      </c>
      <c r="AV47" s="225">
        <f>IF(AP47&lt;&gt;"",IF((AP47*Paramètres!$H$4)-PORTEFEUILLE_AURELIE_T[[#This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€]]-(DELPHINE!AP38*Paramètres!$H$4),0),0)</f>
        <v>0</v>
      </c>
      <c r="AW47" s="225">
        <f>IF(AP47&lt;&gt;"",IF(((AP47*Paramètres!$H$4)-PORTEFEUILLE_AURELIE_T[[#This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7" s="190" t="str">
        <f>IF(PORTEFEUILLE_AURELIE_T[[#This Row],[BONI COMPTABLE]]&lt;&gt;0,1,"")</f>
        <v/>
      </c>
      <c r="AY47" s="190" t="str">
        <f>IF(PORTEFEUILLE_AURELIE_T[[#This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SUM(PORTEFEUILLE_AURELIE_T[[#This Row],[PCR COMPTABLE €]:[MONTANT
RESPONSABLE RELATION CLIENT €]])-PORTEFEUILLE_AURELIE_T[[#This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8" s="188" t="str">
        <f>IF(PORTEFEUILLE_AURELIE_T[[#This Row],[BONI AAC]]&lt;&gt;0,1,"")</f>
        <v/>
      </c>
      <c r="AU48" s="188" t="str">
        <f>IF(PORTEFEUILLE_AURELIE_T[[#This Row],[MALI AAC]]&lt;&gt;0,1,"")</f>
        <v/>
      </c>
      <c r="AV48" s="225">
        <f>IF(AP48&lt;&gt;"",IF((AP48*Paramètres!$H$4)-PORTEFEUILLE_AURELIE_T[[#This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€]]-(DELPHINE!AP39*Paramètres!$H$4),0),0)</f>
        <v>0</v>
      </c>
      <c r="AW48" s="225">
        <f>IF(AP48&lt;&gt;"",IF(((AP48*Paramètres!$H$4)-PORTEFEUILLE_AURELIE_T[[#This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8" s="190" t="str">
        <f>IF(PORTEFEUILLE_AURELIE_T[[#This Row],[BONI COMPTABLE]]&lt;&gt;0,1,"")</f>
        <v/>
      </c>
      <c r="AY48" s="190" t="str">
        <f>IF(PORTEFEUILLE_AURELIE_T[[#This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SUM(PORTEFEUILLE_AURELIE_T[[#This Row],[PCR COMPTABLE €]:[MONTANT
RESPONSABLE RELATION CLIENT €]])-PORTEFEUILLE_AURELIE_T[[#This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9" s="188" t="str">
        <f>IF(PORTEFEUILLE_AURELIE_T[[#This Row],[BONI AAC]]&lt;&gt;0,1,"")</f>
        <v/>
      </c>
      <c r="AU49" s="188" t="str">
        <f>IF(PORTEFEUILLE_AURELIE_T[[#This Row],[MALI AAC]]&lt;&gt;0,1,"")</f>
        <v/>
      </c>
      <c r="AV49" s="225">
        <f>IF(AP49&lt;&gt;"",IF((AP49*Paramètres!$H$4)-PORTEFEUILLE_AURELIE_T[[#This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€]]-(DELPHINE!AP40*Paramètres!$H$4),0),0)</f>
        <v>0</v>
      </c>
      <c r="AW49" s="225">
        <f>IF(AP49&lt;&gt;"",IF(((AP49*Paramètres!$H$4)-PORTEFEUILLE_AURELIE_T[[#This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9" s="190" t="str">
        <f>IF(PORTEFEUILLE_AURELIE_T[[#This Row],[BONI COMPTABLE]]&lt;&gt;0,1,"")</f>
        <v/>
      </c>
      <c r="AY49" s="190" t="str">
        <f>IF(PORTEFEUILLE_AURELIE_T[[#This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SUM(PORTEFEUILLE_AURELIE_T[[#This Row],[PCR COMPTABLE €]:[MONTANT
RESPONSABLE RELATION CLIENT €]])-PORTEFEUILLE_AURELIE_T[[#This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0" s="188" t="str">
        <f>IF(PORTEFEUILLE_AURELIE_T[[#This Row],[BONI AAC]]&lt;&gt;0,1,"")</f>
        <v/>
      </c>
      <c r="AU50" s="188" t="str">
        <f>IF(PORTEFEUILLE_AURELIE_T[[#This Row],[MALI AAC]]&lt;&gt;0,1,"")</f>
        <v/>
      </c>
      <c r="AV50" s="225">
        <f>IF(AP50&lt;&gt;"",IF((AP50*Paramètres!$H$4)-PORTEFEUILLE_AURELIE_T[[#This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€]]-(DELPHINE!AP41*Paramètres!$H$4),0),0)</f>
        <v>0</v>
      </c>
      <c r="AW50" s="225">
        <f>IF(AP50&lt;&gt;"",IF(((AP50*Paramètres!$H$4)-PORTEFEUILLE_AURELIE_T[[#This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0" s="190" t="str">
        <f>IF(PORTEFEUILLE_AURELIE_T[[#This Row],[BONI COMPTABLE]]&lt;&gt;0,1,"")</f>
        <v/>
      </c>
      <c r="AY50" s="190" t="str">
        <f>IF(PORTEFEUILLE_AURELIE_T[[#This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SUM(PORTEFEUILLE_AURELIE_T[[#This Row],[PCR COMPTABLE €]:[MONTANT
RESPONSABLE RELATION CLIENT €]])-PORTEFEUILLE_AURELIE_T[[#This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1" s="188" t="str">
        <f>IF(PORTEFEUILLE_AURELIE_T[[#This Row],[BONI AAC]]&lt;&gt;0,1,"")</f>
        <v/>
      </c>
      <c r="AU51" s="188" t="str">
        <f>IF(PORTEFEUILLE_AURELIE_T[[#This Row],[MALI AAC]]&lt;&gt;0,1,"")</f>
        <v/>
      </c>
      <c r="AV51" s="225">
        <f>IF(AP51&lt;&gt;"",IF((AP51*Paramètres!$H$4)-PORTEFEUILLE_AURELIE_T[[#This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€]]-(DELPHINE!AP42*Paramètres!$H$4),0),0)</f>
        <v>0</v>
      </c>
      <c r="AW51" s="225">
        <f>IF(AP51&lt;&gt;"",IF(((AP51*Paramètres!$H$4)-PORTEFEUILLE_AURELIE_T[[#This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1" s="190" t="str">
        <f>IF(PORTEFEUILLE_AURELIE_T[[#This Row],[BONI COMPTABLE]]&lt;&gt;0,1,"")</f>
        <v/>
      </c>
      <c r="AY51" s="190" t="str">
        <f>IF(PORTEFEUILLE_AURELIE_T[[#This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SUM(PORTEFEUILLE_AURELIE_T[[#This Row],[PCR COMPTABLE €]:[MONTANT
RESPONSABLE RELATION CLIENT €]])-PORTEFEUILLE_AURELIE_T[[#This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2" s="188" t="str">
        <f>IF(PORTEFEUILLE_AURELIE_T[[#This Row],[BONI AAC]]&lt;&gt;0,1,"")</f>
        <v/>
      </c>
      <c r="AU52" s="188" t="str">
        <f>IF(PORTEFEUILLE_AURELIE_T[[#This Row],[MALI AAC]]&lt;&gt;0,1,"")</f>
        <v/>
      </c>
      <c r="AV52" s="225">
        <f>IF(AP52&lt;&gt;"",IF((AP52*Paramètres!$H$4)-PORTEFEUILLE_AURELIE_T[[#This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€]]-(DELPHINE!AP43*Paramètres!$H$4),0),0)</f>
        <v>0</v>
      </c>
      <c r="AW52" s="225">
        <f>IF(AP52&lt;&gt;"",IF(((AP52*Paramètres!$H$4)-PORTEFEUILLE_AURELIE_T[[#This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2" s="190" t="str">
        <f>IF(PORTEFEUILLE_AURELIE_T[[#This Row],[BONI COMPTABLE]]&lt;&gt;0,1,"")</f>
        <v/>
      </c>
      <c r="AY52" s="190" t="str">
        <f>IF(PORTEFEUILLE_AURELIE_T[[#This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SUM(PORTEFEUILLE_AURELIE_T[[#This Row],[PCR COMPTABLE €]:[MONTANT
RESPONSABLE RELATION CLIENT €]])-PORTEFEUILLE_AURELIE_T[[#This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3" s="188" t="str">
        <f>IF(PORTEFEUILLE_AURELIE_T[[#This Row],[BONI AAC]]&lt;&gt;0,1,"")</f>
        <v/>
      </c>
      <c r="AU53" s="188" t="str">
        <f>IF(PORTEFEUILLE_AURELIE_T[[#This Row],[MALI AAC]]&lt;&gt;0,1,"")</f>
        <v/>
      </c>
      <c r="AV53" s="225">
        <f>IF(AP53&lt;&gt;"",IF((AP53*Paramètres!$H$4)-PORTEFEUILLE_AURELIE_T[[#This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€]]-(DELPHINE!AP44*Paramètres!$H$4),0),0)</f>
        <v>0</v>
      </c>
      <c r="AW53" s="225">
        <f>IF(AP53&lt;&gt;"",IF(((AP53*Paramètres!$H$4)-PORTEFEUILLE_AURELIE_T[[#This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3" s="190" t="str">
        <f>IF(PORTEFEUILLE_AURELIE_T[[#This Row],[BONI COMPTABLE]]&lt;&gt;0,1,"")</f>
        <v/>
      </c>
      <c r="AY53" s="190" t="str">
        <f>IF(PORTEFEUILLE_AURELIE_T[[#This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SUM(PORTEFEUILLE_AURELIE_T[[#This Row],[PCR COMPTABLE €]:[MONTANT
RESPONSABLE RELATION CLIENT €]])-PORTEFEUILLE_AURELIE_T[[#This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4" s="188" t="str">
        <f>IF(PORTEFEUILLE_AURELIE_T[[#This Row],[BONI AAC]]&lt;&gt;0,1,"")</f>
        <v/>
      </c>
      <c r="AU54" s="188" t="str">
        <f>IF(PORTEFEUILLE_AURELIE_T[[#This Row],[MALI AAC]]&lt;&gt;0,1,"")</f>
        <v/>
      </c>
      <c r="AV54" s="225">
        <f>IF(AP54&lt;&gt;"",IF((AP54*Paramètres!$H$4)-PORTEFEUILLE_AURELIE_T[[#This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€]]-(DELPHINE!AP45*Paramètres!$H$4),0),0)</f>
        <v>0</v>
      </c>
      <c r="AW54" s="225">
        <f>IF(AP54&lt;&gt;"",IF(((AP54*Paramètres!$H$4)-PORTEFEUILLE_AURELIE_T[[#This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4" s="190" t="str">
        <f>IF(PORTEFEUILLE_AURELIE_T[[#This Row],[BONI COMPTABLE]]&lt;&gt;0,1,"")</f>
        <v/>
      </c>
      <c r="AY54" s="190" t="str">
        <f>IF(PORTEFEUILLE_AURELIE_T[[#This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SUM(PORTEFEUILLE_AURELIE_T[[#This Row],[PCR COMPTABLE €]:[MONTANT
RESPONSABLE RELATION CLIENT €]])-PORTEFEUILLE_AURELIE_T[[#This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5" s="188" t="str">
        <f>IF(PORTEFEUILLE_AURELIE_T[[#This Row],[BONI AAC]]&lt;&gt;0,1,"")</f>
        <v/>
      </c>
      <c r="AU55" s="188" t="str">
        <f>IF(PORTEFEUILLE_AURELIE_T[[#This Row],[MALI AAC]]&lt;&gt;0,1,"")</f>
        <v/>
      </c>
      <c r="AV55" s="225">
        <f>IF(AP55&lt;&gt;"",IF((AP55*Paramètres!$H$4)-PORTEFEUILLE_AURELIE_T[[#This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€]]-(DELPHINE!AP46*Paramètres!$H$4),0),0)</f>
        <v>0</v>
      </c>
      <c r="AW55" s="225">
        <f>IF(AP55&lt;&gt;"",IF(((AP55*Paramètres!$H$4)-PORTEFEUILLE_AURELIE_T[[#This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5" s="190" t="str">
        <f>IF(PORTEFEUILLE_AURELIE_T[[#This Row],[BONI COMPTABLE]]&lt;&gt;0,1,"")</f>
        <v/>
      </c>
      <c r="AY55" s="190" t="str">
        <f>IF(PORTEFEUILLE_AURELIE_T[[#This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SUM(PORTEFEUILLE_AURELIE_T[[#This Row],[PCR COMPTABLE €]:[MONTANT
RESPONSABLE RELATION CLIENT €]])-PORTEFEUILLE_AURELIE_T[[#This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6" s="188" t="str">
        <f>IF(PORTEFEUILLE_AURELIE_T[[#This Row],[BONI AAC]]&lt;&gt;0,1,"")</f>
        <v/>
      </c>
      <c r="AU56" s="188" t="str">
        <f>IF(PORTEFEUILLE_AURELIE_T[[#This Row],[MALI AAC]]&lt;&gt;0,1,"")</f>
        <v/>
      </c>
      <c r="AV56" s="225">
        <f>IF(AP56&lt;&gt;"",IF((AP56*Paramètres!$H$4)-PORTEFEUILLE_AURELIE_T[[#This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€]]-(DELPHINE!AP47*Paramètres!$H$4),0),0)</f>
        <v>0</v>
      </c>
      <c r="AW56" s="225">
        <f>IF(AP56&lt;&gt;"",IF(((AP56*Paramètres!$H$4)-PORTEFEUILLE_AURELIE_T[[#This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6" s="190" t="str">
        <f>IF(PORTEFEUILLE_AURELIE_T[[#This Row],[BONI COMPTABLE]]&lt;&gt;0,1,"")</f>
        <v/>
      </c>
      <c r="AY56" s="190" t="str">
        <f>IF(PORTEFEUILLE_AURELIE_T[[#This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SUM(PORTEFEUILLE_AURELIE_T[[#This Row],[PCR COMPTABLE €]:[MONTANT
RESPONSABLE RELATION CLIENT €]])-PORTEFEUILLE_AURELIE_T[[#This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7" s="188" t="str">
        <f>IF(PORTEFEUILLE_AURELIE_T[[#This Row],[BONI AAC]]&lt;&gt;0,1,"")</f>
        <v/>
      </c>
      <c r="AU57" s="188" t="str">
        <f>IF(PORTEFEUILLE_AURELIE_T[[#This Row],[MALI AAC]]&lt;&gt;0,1,"")</f>
        <v/>
      </c>
      <c r="AV57" s="225">
        <f>IF(AP57&lt;&gt;"",IF((AP57*Paramètres!$H$4)-PORTEFEUILLE_AURELIE_T[[#This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€]]-(DELPHINE!AP48*Paramètres!$H$4),0),0)</f>
        <v>0</v>
      </c>
      <c r="AW57" s="225">
        <f>IF(AP57&lt;&gt;"",IF(((AP57*Paramètres!$H$4)-PORTEFEUILLE_AURELIE_T[[#This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7" s="190" t="str">
        <f>IF(PORTEFEUILLE_AURELIE_T[[#This Row],[BONI COMPTABLE]]&lt;&gt;0,1,"")</f>
        <v/>
      </c>
      <c r="AY57" s="190" t="str">
        <f>IF(PORTEFEUILLE_AURELIE_T[[#This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SUM(PORTEFEUILLE_AURELIE_T[[#This Row],[PCR COMPTABLE €]:[MONTANT
RESPONSABLE RELATION CLIENT €]])-PORTEFEUILLE_AURELIE_T[[#This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8" s="188" t="str">
        <f>IF(PORTEFEUILLE_AURELIE_T[[#This Row],[BONI AAC]]&lt;&gt;0,1,"")</f>
        <v/>
      </c>
      <c r="AU58" s="188" t="str">
        <f>IF(PORTEFEUILLE_AURELIE_T[[#This Row],[MALI AAC]]&lt;&gt;0,1,"")</f>
        <v/>
      </c>
      <c r="AV58" s="225">
        <f>IF(AP58&lt;&gt;"",IF((AP58*Paramètres!$H$4)-PORTEFEUILLE_AURELIE_T[[#This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€]]-(DELPHINE!AP49*Paramètres!$H$4),0),0)</f>
        <v>0</v>
      </c>
      <c r="AW58" s="225">
        <f>IF(AP58&lt;&gt;"",IF(((AP58*Paramètres!$H$4)-PORTEFEUILLE_AURELIE_T[[#This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8" s="190" t="str">
        <f>IF(PORTEFEUILLE_AURELIE_T[[#This Row],[BONI COMPTABLE]]&lt;&gt;0,1,"")</f>
        <v/>
      </c>
      <c r="AY58" s="190" t="str">
        <f>IF(PORTEFEUILLE_AURELIE_T[[#This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SUM(PORTEFEUILLE_AURELIE_T[[#This Row],[PCR COMPTABLE €]:[MONTANT
RESPONSABLE RELATION CLIENT €]])-PORTEFEUILLE_AURELIE_T[[#This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9" s="188" t="str">
        <f>IF(PORTEFEUILLE_AURELIE_T[[#This Row],[BONI AAC]]&lt;&gt;0,1,"")</f>
        <v/>
      </c>
      <c r="AU59" s="188" t="str">
        <f>IF(PORTEFEUILLE_AURELIE_T[[#This Row],[MALI AAC]]&lt;&gt;0,1,"")</f>
        <v/>
      </c>
      <c r="AV59" s="225">
        <f>IF(AP59&lt;&gt;"",IF((AP59*Paramètres!$H$4)-PORTEFEUILLE_AURELIE_T[[#This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€]]-(DELPHINE!AP50*Paramètres!$H$4),0),0)</f>
        <v>0</v>
      </c>
      <c r="AW59" s="225">
        <f>IF(AP59&lt;&gt;"",IF(((AP59*Paramètres!$H$4)-PORTEFEUILLE_AURELIE_T[[#This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9" s="190" t="str">
        <f>IF(PORTEFEUILLE_AURELIE_T[[#This Row],[BONI COMPTABLE]]&lt;&gt;0,1,"")</f>
        <v/>
      </c>
      <c r="AY59" s="190" t="str">
        <f>IF(PORTEFEUILLE_AURELIE_T[[#This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SUM(PORTEFEUILLE_AURELIE_T[[#This Row],[PCR COMPTABLE €]:[MONTANT
RESPONSABLE RELATION CLIENT €]])-PORTEFEUILLE_AURELIE_T[[#This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0" s="188" t="str">
        <f>IF(PORTEFEUILLE_AURELIE_T[[#This Row],[BONI AAC]]&lt;&gt;0,1,"")</f>
        <v/>
      </c>
      <c r="AU60" s="188" t="str">
        <f>IF(PORTEFEUILLE_AURELIE_T[[#This Row],[MALI AAC]]&lt;&gt;0,1,"")</f>
        <v/>
      </c>
      <c r="AV60" s="225">
        <f>IF(AP60&lt;&gt;"",IF((AP60*Paramètres!$H$4)-PORTEFEUILLE_AURELIE_T[[#This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€]]-(DELPHINE!AP51*Paramètres!$H$4),0),0)</f>
        <v>0</v>
      </c>
      <c r="AW60" s="225">
        <f>IF(AP60&lt;&gt;"",IF(((AP60*Paramètres!$H$4)-PORTEFEUILLE_AURELIE_T[[#This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0" s="190" t="str">
        <f>IF(PORTEFEUILLE_AURELIE_T[[#This Row],[BONI COMPTABLE]]&lt;&gt;0,1,"")</f>
        <v/>
      </c>
      <c r="AY60" s="190" t="str">
        <f>IF(PORTEFEUILLE_AURELIE_T[[#This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47" priority="6">
      <formula>AND(P3&lt;&gt;"",P3&lt;&gt;"OUI")</formula>
    </cfRule>
  </conditionalFormatting>
  <conditionalFormatting sqref="AN3:AO60 S3:AH60">
    <cfRule type="expression" dxfId="46" priority="5" stopIfTrue="1">
      <formula>$AH3&lt;&gt;0</formula>
    </cfRule>
  </conditionalFormatting>
  <conditionalFormatting sqref="A6:E60 C3:E5 A3:A5">
    <cfRule type="expression" dxfId="45" priority="7" stopIfTrue="1">
      <formula>AND($I3&lt;&gt;"",AND($J3="",AND($BA3="",$BB3="")))</formula>
    </cfRule>
    <cfRule type="expression" dxfId="44" priority="8" stopIfTrue="1">
      <formula>AND($J3&lt;&gt;"",AND($BA3="",$BB3=""))</formula>
    </cfRule>
    <cfRule type="expression" dxfId="43" priority="9" stopIfTrue="1">
      <formula>AND($BA3&lt;&gt;"",$BB3="")</formula>
    </cfRule>
    <cfRule type="expression" dxfId="42" priority="10" stopIfTrue="1">
      <formula>$BB3="X"</formula>
    </cfRule>
  </conditionalFormatting>
  <conditionalFormatting sqref="B3:B5">
    <cfRule type="expression" dxfId="41" priority="1" stopIfTrue="1">
      <formula>AND($I3&lt;&gt;"",AND($J3="",AND($BA3="",$BB3="")))</formula>
    </cfRule>
    <cfRule type="expression" dxfId="40" priority="2" stopIfTrue="1">
      <formula>AND($J3&lt;&gt;"",AND($BA3="",$BB3=""))</formula>
    </cfRule>
    <cfRule type="expression" dxfId="39" priority="3" stopIfTrue="1">
      <formula>AND($BA3&lt;&gt;"",$BB3="")</formula>
    </cfRule>
    <cfRule type="expression" dxfId="3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183"/>
  <sheetViews>
    <sheetView zoomScale="85" zoomScaleNormal="85" workbookViewId="0">
      <pane xSplit="5" ySplit="2" topLeftCell="AH3" activePane="bottomRight" state="frozen"/>
      <selection pane="topRight" activeCell="F1" sqref="F1"/>
      <selection pane="bottomLeft" activeCell="A3" sqref="A3"/>
      <selection pane="bottomRight" activeCell="AM6" sqref="AM6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141</v>
      </c>
      <c r="B3" s="170">
        <v>862009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SUM(PORTEFEUILLE_ERIC[[#This Row],[PCR COMPTABLE €]:[MONTANT
RESPONSABLE RELATION CLIENT €]])-PORTEFEUILLE_ERIC[[#This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400</v>
      </c>
      <c r="AT3" s="188" t="str">
        <f>IF(PORTEFEUILLE_ERIC[[#This Row],[BONI AAC]]&lt;&gt;0,1,"")</f>
        <v/>
      </c>
      <c r="AU3" s="188">
        <f>IF(PORTEFEUILLE_ERIC[[#This Row],[MALI AAC]]&lt;&gt;0,1,"")</f>
        <v>1</v>
      </c>
      <c r="AV3" s="225">
        <f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3" s="225">
        <f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" s="190" t="str">
        <f>IF(PORTEFEUILLE_ERIC[[#This Row],[BONI COMPTABLE]]&lt;&gt;0,1,"")</f>
        <v/>
      </c>
      <c r="AY3" s="190" t="str">
        <f>IF(PORTEFEUILLE_ERIC[[#This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141</v>
      </c>
      <c r="B4" s="170">
        <v>860112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SUM(PORTEFEUILLE_ERIC[[#This Row],[PCR COMPTABLE €]:[MONTANT
RESPONSABLE RELATION CLIENT €]])-PORTEFEUILLE_ERIC[[#This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1000</v>
      </c>
      <c r="AT4" s="188" t="str">
        <f>IF(PORTEFEUILLE_ERIC[[#This Row],[BONI AAC]]&lt;&gt;0,1,"")</f>
        <v/>
      </c>
      <c r="AU4" s="188">
        <f>IF(PORTEFEUILLE_ERIC[[#This Row],[MALI AAC]]&lt;&gt;0,1,"")</f>
        <v>1</v>
      </c>
      <c r="AV4" s="225">
        <f>IF(AP4&lt;&gt;"",IF((AP4*Paramètres!$H$4)-PORTEFEUILLE_ERIC[[#This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4" s="225">
        <f>IF(AP4&lt;&gt;"",IF(((AP4*Paramètres!$H$4)-PORTEFEUILLE_ERIC[[#This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3000</v>
      </c>
      <c r="AX4" s="190" t="str">
        <f>IF(PORTEFEUILLE_ERIC[[#This Row],[BONI COMPTABLE]]&lt;&gt;0,1,"")</f>
        <v/>
      </c>
      <c r="AY4" s="190">
        <f>IF(PORTEFEUILLE_ERIC[[#This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141</v>
      </c>
      <c r="B5" s="170">
        <v>860083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SUM(PORTEFEUILLE_ERIC[[#This Row],[PCR COMPTABLE €]:[MONTANT
RESPONSABLE RELATION CLIENT €]])-PORTEFEUILLE_ERIC[[#This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2200</v>
      </c>
      <c r="AT5" s="188" t="str">
        <f>IF(PORTEFEUILLE_ERIC[[#This Row],[BONI AAC]]&lt;&gt;0,1,"")</f>
        <v/>
      </c>
      <c r="AU5" s="188">
        <f>IF(PORTEFEUILLE_ERIC[[#This Row],[MALI AAC]]&lt;&gt;0,1,"")</f>
        <v>1</v>
      </c>
      <c r="AV5" s="225">
        <f>IF(AP5&lt;&gt;"",IF((AP5*Paramètres!$H$4)-PORTEFEUILLE_ERIC[[#This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5" s="225">
        <f>IF(AP5&lt;&gt;"",IF(((AP5*Paramètres!$H$4)-PORTEFEUILLE_ERIC[[#This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4150</v>
      </c>
      <c r="AX5" s="190" t="str">
        <f>IF(PORTEFEUILLE_ERIC[[#This Row],[BONI COMPTABLE]]&lt;&gt;0,1,"")</f>
        <v/>
      </c>
      <c r="AY5" s="190">
        <f>IF(PORTEFEUILLE_ERIC[[#This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SUM(PORTEFEUILLE_ERIC[[#This Row],[PCR COMPTABLE €]:[MONTANT
RESPONSABLE RELATION CLIENT €]])-PORTEFEUILLE_ERIC[[#This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" s="188" t="str">
        <f>IF(PORTEFEUILLE_ERIC[[#This Row],[BONI AAC]]&lt;&gt;0,1,"")</f>
        <v/>
      </c>
      <c r="AU6" s="188" t="str">
        <f>IF(PORTEFEUILLE_ERIC[[#This Row],[MALI AAC]]&lt;&gt;0,1,"")</f>
        <v/>
      </c>
      <c r="AV6" s="225">
        <f>IF(AP6&lt;&gt;"",IF((AP6*Paramètres!$H$4)-PORTEFEUILLE_ERIC[[#This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6" s="225">
        <f>IF(AP6&lt;&gt;"",IF(((AP6*Paramètres!$H$4)-PORTEFEUILLE_ERIC[[#This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" s="190" t="str">
        <f>IF(PORTEFEUILLE_ERIC[[#This Row],[BONI COMPTABLE]]&lt;&gt;0,1,"")</f>
        <v/>
      </c>
      <c r="AY6" s="190" t="str">
        <f>IF(PORTEFEUILLE_ERIC[[#This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SUM(PORTEFEUILLE_ERIC[[#This Row],[PCR COMPTABLE €]:[MONTANT
RESPONSABLE RELATION CLIENT €]])-PORTEFEUILLE_ERIC[[#This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7" s="188" t="str">
        <f>IF(PORTEFEUILLE_ERIC[[#This Row],[BONI AAC]]&lt;&gt;0,1,"")</f>
        <v/>
      </c>
      <c r="AU7" s="188" t="str">
        <f>IF(PORTEFEUILLE_ERIC[[#This Row],[MALI AAC]]&lt;&gt;0,1,"")</f>
        <v/>
      </c>
      <c r="AV7" s="225">
        <f>IF(AP7&lt;&gt;"",IF((AP7*Paramètres!$H$4)-PORTEFEUILLE_ERIC[[#This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7" s="225">
        <f>IF(AP7&lt;&gt;"",IF(((AP7*Paramètres!$H$4)-PORTEFEUILLE_ERIC[[#This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7" s="190" t="str">
        <f>IF(PORTEFEUILLE_ERIC[[#This Row],[BONI COMPTABLE]]&lt;&gt;0,1,"")</f>
        <v/>
      </c>
      <c r="AY7" s="190" t="str">
        <f>IF(PORTEFEUILLE_ERIC[[#This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SUM(PORTEFEUILLE_ERIC[[#This Row],[PCR COMPTABLE €]:[MONTANT
RESPONSABLE RELATION CLIENT €]])-PORTEFEUILLE_ERIC[[#This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8" s="188" t="str">
        <f>IF(PORTEFEUILLE_ERIC[[#This Row],[BONI AAC]]&lt;&gt;0,1,"")</f>
        <v/>
      </c>
      <c r="AU8" s="188" t="str">
        <f>IF(PORTEFEUILLE_ERIC[[#This Row],[MALI AAC]]&lt;&gt;0,1,"")</f>
        <v/>
      </c>
      <c r="AV8" s="225">
        <f>IF(AP8&lt;&gt;"",IF((AP8*Paramètres!$H$4)-PORTEFEUILLE_ERIC[[#This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8" s="225">
        <f>IF(AP8&lt;&gt;"",IF(((AP8*Paramètres!$H$4)-PORTEFEUILLE_ERIC[[#This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8" s="190" t="str">
        <f>IF(PORTEFEUILLE_ERIC[[#This Row],[BONI COMPTABLE]]&lt;&gt;0,1,"")</f>
        <v/>
      </c>
      <c r="AY8" s="190" t="str">
        <f>IF(PORTEFEUILLE_ERIC[[#This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SUM(PORTEFEUILLE_ERIC[[#This Row],[PCR COMPTABLE €]:[MONTANT
RESPONSABLE RELATION CLIENT €]])-PORTEFEUILLE_ERIC[[#This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9" s="188" t="str">
        <f>IF(PORTEFEUILLE_ERIC[[#This Row],[BONI AAC]]&lt;&gt;0,1,"")</f>
        <v/>
      </c>
      <c r="AU9" s="188" t="str">
        <f>IF(PORTEFEUILLE_ERIC[[#This Row],[MALI AAC]]&lt;&gt;0,1,"")</f>
        <v/>
      </c>
      <c r="AV9" s="225">
        <f>IF(AP9&lt;&gt;"",IF((AP9*Paramètres!$H$4)-PORTEFEUILLE_ERIC[[#This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f>
        <v>0</v>
      </c>
      <c r="AW9" s="225">
        <f>IF(AP9&lt;&gt;"",IF(((AP9*Paramètres!$H$4)-PORTEFEUILLE_ERIC[[#This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9" s="190" t="str">
        <f>IF(PORTEFEUILLE_ERIC[[#This Row],[BONI COMPTABLE]]&lt;&gt;0,1,"")</f>
        <v/>
      </c>
      <c r="AY9" s="190" t="str">
        <f>IF(PORTEFEUILLE_ERIC[[#This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SUM(PORTEFEUILLE_ERIC[[#This Row],[PCR COMPTABLE €]:[MONTANT
RESPONSABLE RELATION CLIENT €]])-PORTEFEUILLE_ERIC[[#This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0" s="188" t="str">
        <f>IF(PORTEFEUILLE_ERIC[[#This Row],[BONI AAC]]&lt;&gt;0,1,"")</f>
        <v/>
      </c>
      <c r="AU10" s="188" t="str">
        <f>IF(PORTEFEUILLE_ERIC[[#This Row],[MALI AAC]]&lt;&gt;0,1,"")</f>
        <v/>
      </c>
      <c r="AV10" s="225">
        <f>IF(AP10&lt;&gt;"",IF((AP10*Paramètres!$H$4)-PORTEFEUILLE_ERIC[[#This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10" s="225">
        <f>IF(AP10&lt;&gt;"",IF(((AP10*Paramètres!$H$4)-PORTEFEUILLE_ERIC[[#This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0" s="190" t="str">
        <f>IF(PORTEFEUILLE_ERIC[[#This Row],[BONI COMPTABLE]]&lt;&gt;0,1,"")</f>
        <v/>
      </c>
      <c r="AY10" s="190" t="str">
        <f>IF(PORTEFEUILLE_ERIC[[#This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SUM(PORTEFEUILLE_ERIC[[#This Row],[PCR COMPTABLE €]:[MONTANT
RESPONSABLE RELATION CLIENT €]])-PORTEFEUILLE_ERIC[[#This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1" s="188" t="str">
        <f>IF(PORTEFEUILLE_ERIC[[#This Row],[BONI AAC]]&lt;&gt;0,1,"")</f>
        <v/>
      </c>
      <c r="AU11" s="188" t="str">
        <f>IF(PORTEFEUILLE_ERIC[[#This Row],[MALI AAC]]&lt;&gt;0,1,"")</f>
        <v/>
      </c>
      <c r="AV11" s="225">
        <f>IF(AP11&lt;&gt;"",IF((AP11*Paramètres!$H$4)-PORTEFEUILLE_ERIC[[#This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€]]-(DELPHINE!AP4*Paramètres!$H$4),0),0)</f>
        <v>0</v>
      </c>
      <c r="AW11" s="225">
        <f>IF(AP11&lt;&gt;"",IF(((AP11*Paramètres!$H$4)-PORTEFEUILLE_ERIC[[#This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1" s="190" t="str">
        <f>IF(PORTEFEUILLE_ERIC[[#This Row],[BONI COMPTABLE]]&lt;&gt;0,1,"")</f>
        <v/>
      </c>
      <c r="AY11" s="190" t="str">
        <f>IF(PORTEFEUILLE_ERIC[[#This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SUM(PORTEFEUILLE_ERIC[[#This Row],[PCR COMPTABLE €]:[MONTANT
RESPONSABLE RELATION CLIENT €]])-PORTEFEUILLE_ERIC[[#This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2" s="188" t="str">
        <f>IF(PORTEFEUILLE_ERIC[[#This Row],[BONI AAC]]&lt;&gt;0,1,"")</f>
        <v/>
      </c>
      <c r="AU12" s="188" t="str">
        <f>IF(PORTEFEUILLE_ERIC[[#This Row],[MALI AAC]]&lt;&gt;0,1,"")</f>
        <v/>
      </c>
      <c r="AV12" s="225">
        <f>IF(AP12&lt;&gt;"",IF((AP12*Paramètres!$H$4)-PORTEFEUILLE_ERIC[[#This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€]]-(DELPHINE!AP5*Paramètres!$H$4),0),0)</f>
        <v>0</v>
      </c>
      <c r="AW12" s="225">
        <f>IF(AP12&lt;&gt;"",IF(((AP12*Paramètres!$H$4)-PORTEFEUILLE_ERIC[[#This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2" s="190" t="str">
        <f>IF(PORTEFEUILLE_ERIC[[#This Row],[BONI COMPTABLE]]&lt;&gt;0,1,"")</f>
        <v/>
      </c>
      <c r="AY12" s="190" t="str">
        <f>IF(PORTEFEUILLE_ERIC[[#This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SUM(PORTEFEUILLE_ERIC[[#This Row],[PCR COMPTABLE €]:[MONTANT
RESPONSABLE RELATION CLIENT €]])-PORTEFEUILLE_ERIC[[#This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3" s="188" t="str">
        <f>IF(PORTEFEUILLE_ERIC[[#This Row],[BONI AAC]]&lt;&gt;0,1,"")</f>
        <v/>
      </c>
      <c r="AU13" s="188" t="str">
        <f>IF(PORTEFEUILLE_ERIC[[#This Row],[MALI AAC]]&lt;&gt;0,1,"")</f>
        <v/>
      </c>
      <c r="AV13" s="225">
        <f>IF(AP13&lt;&gt;"",IF((AP13*Paramètres!$H$4)-PORTEFEUILLE_ERIC[[#This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€]]-(DELPHINE!AP6*Paramètres!$H$4),0),0)</f>
        <v>0</v>
      </c>
      <c r="AW13" s="225">
        <f>IF(AP13&lt;&gt;"",IF(((AP13*Paramètres!$H$4)-PORTEFEUILLE_ERIC[[#This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3" s="190" t="str">
        <f>IF(PORTEFEUILLE_ERIC[[#This Row],[BONI COMPTABLE]]&lt;&gt;0,1,"")</f>
        <v/>
      </c>
      <c r="AY13" s="190" t="str">
        <f>IF(PORTEFEUILLE_ERIC[[#This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SUM(PORTEFEUILLE_ERIC[[#This Row],[PCR COMPTABLE €]:[MONTANT
RESPONSABLE RELATION CLIENT €]])-PORTEFEUILLE_ERIC[[#This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4" s="188" t="str">
        <f>IF(PORTEFEUILLE_ERIC[[#This Row],[BONI AAC]]&lt;&gt;0,1,"")</f>
        <v/>
      </c>
      <c r="AU14" s="188" t="str">
        <f>IF(PORTEFEUILLE_ERIC[[#This Row],[MALI AAC]]&lt;&gt;0,1,"")</f>
        <v/>
      </c>
      <c r="AV14" s="225">
        <f>IF(AP14&lt;&gt;"",IF((AP14*Paramètres!$H$4)-PORTEFEUILLE_ERIC[[#This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14" s="225">
        <f>IF(AP14&lt;&gt;"",IF(((AP14*Paramètres!$H$4)-PORTEFEUILLE_ERIC[[#This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4" s="190" t="str">
        <f>IF(PORTEFEUILLE_ERIC[[#This Row],[BONI COMPTABLE]]&lt;&gt;0,1,"")</f>
        <v/>
      </c>
      <c r="AY14" s="190" t="str">
        <f>IF(PORTEFEUILLE_ERIC[[#This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SUM(PORTEFEUILLE_ERIC[[#This Row],[PCR COMPTABLE €]:[MONTANT
RESPONSABLE RELATION CLIENT €]])-PORTEFEUILLE_ERIC[[#This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5" s="188" t="str">
        <f>IF(PORTEFEUILLE_ERIC[[#This Row],[BONI AAC]]&lt;&gt;0,1,"")</f>
        <v/>
      </c>
      <c r="AU15" s="188" t="str">
        <f>IF(PORTEFEUILLE_ERIC[[#This Row],[MALI AAC]]&lt;&gt;0,1,"")</f>
        <v/>
      </c>
      <c r="AV15" s="225">
        <f>IF(AP15&lt;&gt;"",IF((AP15*Paramètres!$H$4)-PORTEFEUILLE_ERIC[[#This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€]]-(DELPHINE!#REF!*Paramètres!$H$4),0),0)</f>
        <v>0</v>
      </c>
      <c r="AW15" s="225">
        <f>IF(AP15&lt;&gt;"",IF(((AP15*Paramètres!$H$4)-PORTEFEUILLE_ERIC[[#This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5" s="190" t="str">
        <f>IF(PORTEFEUILLE_ERIC[[#This Row],[BONI COMPTABLE]]&lt;&gt;0,1,"")</f>
        <v/>
      </c>
      <c r="AY15" s="190" t="str">
        <f>IF(PORTEFEUILLE_ERIC[[#This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SUM(PORTEFEUILLE_ERIC[[#This Row],[PCR COMPTABLE €]:[MONTANT
RESPONSABLE RELATION CLIENT €]])-PORTEFEUILLE_ERIC[[#This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6" s="188" t="str">
        <f>IF(PORTEFEUILLE_ERIC[[#This Row],[BONI AAC]]&lt;&gt;0,1,"")</f>
        <v/>
      </c>
      <c r="AU16" s="188" t="str">
        <f>IF(PORTEFEUILLE_ERIC[[#This Row],[MALI AAC]]&lt;&gt;0,1,"")</f>
        <v/>
      </c>
      <c r="AV16" s="225">
        <f>IF(AP16&lt;&gt;"",IF((AP16*Paramètres!$H$4)-PORTEFEUILLE_ERIC[[#This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€]]-(DELPHINE!AP7*Paramètres!$H$4),0),0)</f>
        <v>0</v>
      </c>
      <c r="AW16" s="225">
        <f>IF(AP16&lt;&gt;"",IF(((AP16*Paramètres!$H$4)-PORTEFEUILLE_ERIC[[#This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6" s="190" t="str">
        <f>IF(PORTEFEUILLE_ERIC[[#This Row],[BONI COMPTABLE]]&lt;&gt;0,1,"")</f>
        <v/>
      </c>
      <c r="AY16" s="190" t="str">
        <f>IF(PORTEFEUILLE_ERIC[[#This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SUM(PORTEFEUILLE_ERIC[[#This Row],[PCR COMPTABLE €]:[MONTANT
RESPONSABLE RELATION CLIENT €]])-PORTEFEUILLE_ERIC[[#This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7" s="188" t="str">
        <f>IF(PORTEFEUILLE_ERIC[[#This Row],[BONI AAC]]&lt;&gt;0,1,"")</f>
        <v/>
      </c>
      <c r="AU17" s="188" t="str">
        <f>IF(PORTEFEUILLE_ERIC[[#This Row],[MALI AAC]]&lt;&gt;0,1,"")</f>
        <v/>
      </c>
      <c r="AV17" s="225">
        <f>IF(AP17&lt;&gt;"",IF((AP17*Paramètres!$H$4)-PORTEFEUILLE_ERIC[[#This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€]]-(DELPHINE!AP8*Paramètres!$H$4),0),0)</f>
        <v>0</v>
      </c>
      <c r="AW17" s="225">
        <f>IF(AP17&lt;&gt;"",IF(((AP17*Paramètres!$H$4)-PORTEFEUILLE_ERIC[[#This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7" s="190" t="str">
        <f>IF(PORTEFEUILLE_ERIC[[#This Row],[BONI COMPTABLE]]&lt;&gt;0,1,"")</f>
        <v/>
      </c>
      <c r="AY17" s="190" t="str">
        <f>IF(PORTEFEUILLE_ERIC[[#This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SUM(PORTEFEUILLE_ERIC[[#This Row],[PCR COMPTABLE €]:[MONTANT
RESPONSABLE RELATION CLIENT €]])-PORTEFEUILLE_ERIC[[#This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8" s="188" t="str">
        <f>IF(PORTEFEUILLE_ERIC[[#This Row],[BONI AAC]]&lt;&gt;0,1,"")</f>
        <v/>
      </c>
      <c r="AU18" s="188" t="str">
        <f>IF(PORTEFEUILLE_ERIC[[#This Row],[MALI AAC]]&lt;&gt;0,1,"")</f>
        <v/>
      </c>
      <c r="AV18" s="225">
        <f>IF(AP18&lt;&gt;"",IF((AP18*Paramètres!$H$4)-PORTEFEUILLE_ERIC[[#This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€]]-(DELPHINE!AP9*Paramètres!$H$4),0),0)</f>
        <v>0</v>
      </c>
      <c r="AW18" s="225">
        <f>IF(AP18&lt;&gt;"",IF(((AP18*Paramètres!$H$4)-PORTEFEUILLE_ERIC[[#This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8" s="190" t="str">
        <f>IF(PORTEFEUILLE_ERIC[[#This Row],[BONI COMPTABLE]]&lt;&gt;0,1,"")</f>
        <v/>
      </c>
      <c r="AY18" s="190" t="str">
        <f>IF(PORTEFEUILLE_ERIC[[#This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SUM(PORTEFEUILLE_ERIC[[#This Row],[PCR COMPTABLE €]:[MONTANT
RESPONSABLE RELATION CLIENT €]])-PORTEFEUILLE_ERIC[[#This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9" s="188" t="str">
        <f>IF(PORTEFEUILLE_ERIC[[#This Row],[BONI AAC]]&lt;&gt;0,1,"")</f>
        <v/>
      </c>
      <c r="AU19" s="188" t="str">
        <f>IF(PORTEFEUILLE_ERIC[[#This Row],[MALI AAC]]&lt;&gt;0,1,"")</f>
        <v/>
      </c>
      <c r="AV19" s="225">
        <f>IF(AP19&lt;&gt;"",IF((AP19*Paramètres!$H$4)-PORTEFEUILLE_ERIC[[#This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€]]-(DELPHINE!AP10*Paramètres!$H$4),0),0)</f>
        <v>0</v>
      </c>
      <c r="AW19" s="225">
        <f>IF(AP19&lt;&gt;"",IF(((AP19*Paramètres!$H$4)-PORTEFEUILLE_ERIC[[#This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9" s="190" t="str">
        <f>IF(PORTEFEUILLE_ERIC[[#This Row],[BONI COMPTABLE]]&lt;&gt;0,1,"")</f>
        <v/>
      </c>
      <c r="AY19" s="190" t="str">
        <f>IF(PORTEFEUILLE_ERIC[[#This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SUM(PORTEFEUILLE_ERIC[[#This Row],[PCR COMPTABLE €]:[MONTANT
RESPONSABLE RELATION CLIENT €]])-PORTEFEUILLE_ERIC[[#This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0" s="188" t="str">
        <f>IF(PORTEFEUILLE_ERIC[[#This Row],[BONI AAC]]&lt;&gt;0,1,"")</f>
        <v/>
      </c>
      <c r="AU20" s="188" t="str">
        <f>IF(PORTEFEUILLE_ERIC[[#This Row],[MALI AAC]]&lt;&gt;0,1,"")</f>
        <v/>
      </c>
      <c r="AV20" s="225">
        <f>IF(AP20&lt;&gt;"",IF((AP20*Paramètres!$H$4)-PORTEFEUILLE_ERIC[[#This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€]]-(DELPHINE!AP11*Paramètres!$H$4),0),0)</f>
        <v>0</v>
      </c>
      <c r="AW20" s="225">
        <f>IF(AP20&lt;&gt;"",IF(((AP20*Paramètres!$H$4)-PORTEFEUILLE_ERIC[[#This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0" s="190" t="str">
        <f>IF(PORTEFEUILLE_ERIC[[#This Row],[BONI COMPTABLE]]&lt;&gt;0,1,"")</f>
        <v/>
      </c>
      <c r="AY20" s="190" t="str">
        <f>IF(PORTEFEUILLE_ERIC[[#This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SUM(PORTEFEUILLE_ERIC[[#This Row],[PCR COMPTABLE €]:[MONTANT
RESPONSABLE RELATION CLIENT €]])-PORTEFEUILLE_ERIC[[#This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1" s="188" t="str">
        <f>IF(PORTEFEUILLE_ERIC[[#This Row],[BONI AAC]]&lt;&gt;0,1,"")</f>
        <v/>
      </c>
      <c r="AU21" s="188" t="str">
        <f>IF(PORTEFEUILLE_ERIC[[#This Row],[MALI AAC]]&lt;&gt;0,1,"")</f>
        <v/>
      </c>
      <c r="AV21" s="225">
        <f>IF(AP21&lt;&gt;"",IF((AP21*Paramètres!$H$4)-PORTEFEUILLE_ERIC[[#This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€]]-(DELPHINE!AP12*Paramètres!$H$4),0),0)</f>
        <v>0</v>
      </c>
      <c r="AW21" s="225">
        <f>IF(AP21&lt;&gt;"",IF(((AP21*Paramètres!$H$4)-PORTEFEUILLE_ERIC[[#This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1" s="190" t="str">
        <f>IF(PORTEFEUILLE_ERIC[[#This Row],[BONI COMPTABLE]]&lt;&gt;0,1,"")</f>
        <v/>
      </c>
      <c r="AY21" s="190" t="str">
        <f>IF(PORTEFEUILLE_ERIC[[#This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SUM(PORTEFEUILLE_ERIC[[#This Row],[PCR COMPTABLE €]:[MONTANT
RESPONSABLE RELATION CLIENT €]])-PORTEFEUILLE_ERIC[[#This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2" s="188" t="str">
        <f>IF(PORTEFEUILLE_ERIC[[#This Row],[BONI AAC]]&lt;&gt;0,1,"")</f>
        <v/>
      </c>
      <c r="AU22" s="188" t="str">
        <f>IF(PORTEFEUILLE_ERIC[[#This Row],[MALI AAC]]&lt;&gt;0,1,"")</f>
        <v/>
      </c>
      <c r="AV22" s="225">
        <f>IF(AP22&lt;&gt;"",IF((AP22*Paramètres!$H$4)-PORTEFEUILLE_ERIC[[#This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€]]-(DELPHINE!AP13*Paramètres!$H$4),0),0)</f>
        <v>0</v>
      </c>
      <c r="AW22" s="225">
        <f>IF(AP22&lt;&gt;"",IF(((AP22*Paramètres!$H$4)-PORTEFEUILLE_ERIC[[#This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2" s="190" t="str">
        <f>IF(PORTEFEUILLE_ERIC[[#This Row],[BONI COMPTABLE]]&lt;&gt;0,1,"")</f>
        <v/>
      </c>
      <c r="AY22" s="190" t="str">
        <f>IF(PORTEFEUILLE_ERIC[[#This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SUM(PORTEFEUILLE_ERIC[[#This Row],[PCR COMPTABLE €]:[MONTANT
RESPONSABLE RELATION CLIENT €]])-PORTEFEUILLE_ERIC[[#This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3" s="188" t="str">
        <f>IF(PORTEFEUILLE_ERIC[[#This Row],[BONI AAC]]&lt;&gt;0,1,"")</f>
        <v/>
      </c>
      <c r="AU23" s="188" t="str">
        <f>IF(PORTEFEUILLE_ERIC[[#This Row],[MALI AAC]]&lt;&gt;0,1,"")</f>
        <v/>
      </c>
      <c r="AV23" s="225">
        <f>IF(AP23&lt;&gt;"",IF((AP23*Paramètres!$H$4)-PORTEFEUILLE_ERIC[[#This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€]]-(DELPHINE!AP14*Paramètres!$H$4),0),0)</f>
        <v>0</v>
      </c>
      <c r="AW23" s="225">
        <f>IF(AP23&lt;&gt;"",IF(((AP23*Paramètres!$H$4)-PORTEFEUILLE_ERIC[[#This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3" s="190" t="str">
        <f>IF(PORTEFEUILLE_ERIC[[#This Row],[BONI COMPTABLE]]&lt;&gt;0,1,"")</f>
        <v/>
      </c>
      <c r="AY23" s="190" t="str">
        <f>IF(PORTEFEUILLE_ERIC[[#This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SUM(PORTEFEUILLE_ERIC[[#This Row],[PCR COMPTABLE €]:[MONTANT
RESPONSABLE RELATION CLIENT €]])-PORTEFEUILLE_ERIC[[#This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4" s="188" t="str">
        <f>IF(PORTEFEUILLE_ERIC[[#This Row],[BONI AAC]]&lt;&gt;0,1,"")</f>
        <v/>
      </c>
      <c r="AU24" s="188" t="str">
        <f>IF(PORTEFEUILLE_ERIC[[#This Row],[MALI AAC]]&lt;&gt;0,1,"")</f>
        <v/>
      </c>
      <c r="AV24" s="225">
        <f>IF(AP24&lt;&gt;"",IF((AP24*Paramètres!$H$4)-PORTEFEUILLE_ERIC[[#This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€]]-(DELPHINE!AP15*Paramètres!$H$4),0),0)</f>
        <v>0</v>
      </c>
      <c r="AW24" s="225">
        <f>IF(AP24&lt;&gt;"",IF(((AP24*Paramètres!$H$4)-PORTEFEUILLE_ERIC[[#This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4" s="190" t="str">
        <f>IF(PORTEFEUILLE_ERIC[[#This Row],[BONI COMPTABLE]]&lt;&gt;0,1,"")</f>
        <v/>
      </c>
      <c r="AY24" s="190" t="str">
        <f>IF(PORTEFEUILLE_ERIC[[#This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SUM(PORTEFEUILLE_ERIC[[#This Row],[PCR COMPTABLE €]:[MONTANT
RESPONSABLE RELATION CLIENT €]])-PORTEFEUILLE_ERIC[[#This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5" s="188" t="str">
        <f>IF(PORTEFEUILLE_ERIC[[#This Row],[BONI AAC]]&lt;&gt;0,1,"")</f>
        <v/>
      </c>
      <c r="AU25" s="188" t="str">
        <f>IF(PORTEFEUILLE_ERIC[[#This Row],[MALI AAC]]&lt;&gt;0,1,"")</f>
        <v/>
      </c>
      <c r="AV25" s="225">
        <f>IF(AP25&lt;&gt;"",IF((AP25*Paramètres!$H$4)-PORTEFEUILLE_ERIC[[#This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€]]-(DELPHINE!AP16*Paramètres!$H$4),0),0)</f>
        <v>0</v>
      </c>
      <c r="AW25" s="225">
        <f>IF(AP25&lt;&gt;"",IF(((AP25*Paramètres!$H$4)-PORTEFEUILLE_ERIC[[#This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5" s="190" t="str">
        <f>IF(PORTEFEUILLE_ERIC[[#This Row],[BONI COMPTABLE]]&lt;&gt;0,1,"")</f>
        <v/>
      </c>
      <c r="AY25" s="190" t="str">
        <f>IF(PORTEFEUILLE_ERIC[[#This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SUM(PORTEFEUILLE_ERIC[[#This Row],[PCR COMPTABLE €]:[MONTANT
RESPONSABLE RELATION CLIENT €]])-PORTEFEUILLE_ERIC[[#This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6" s="188" t="str">
        <f>IF(PORTEFEUILLE_ERIC[[#This Row],[BONI AAC]]&lt;&gt;0,1,"")</f>
        <v/>
      </c>
      <c r="AU26" s="188" t="str">
        <f>IF(PORTEFEUILLE_ERIC[[#This Row],[MALI AAC]]&lt;&gt;0,1,"")</f>
        <v/>
      </c>
      <c r="AV26" s="225">
        <f>IF(AP26&lt;&gt;"",IF((AP26*Paramètres!$H$4)-PORTEFEUILLE_ERIC[[#This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€]]-(DELPHINE!AP17*Paramètres!$H$4),0),0)</f>
        <v>0</v>
      </c>
      <c r="AW26" s="225">
        <f>IF(AP26&lt;&gt;"",IF(((AP26*Paramètres!$H$4)-PORTEFEUILLE_ERIC[[#This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6" s="190" t="str">
        <f>IF(PORTEFEUILLE_ERIC[[#This Row],[BONI COMPTABLE]]&lt;&gt;0,1,"")</f>
        <v/>
      </c>
      <c r="AY26" s="190" t="str">
        <f>IF(PORTEFEUILLE_ERIC[[#This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SUM(PORTEFEUILLE_ERIC[[#This Row],[PCR COMPTABLE €]:[MONTANT
RESPONSABLE RELATION CLIENT €]])-PORTEFEUILLE_ERIC[[#This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7" s="188" t="str">
        <f>IF(PORTEFEUILLE_ERIC[[#This Row],[BONI AAC]]&lt;&gt;0,1,"")</f>
        <v/>
      </c>
      <c r="AU27" s="188" t="str">
        <f>IF(PORTEFEUILLE_ERIC[[#This Row],[MALI AAC]]&lt;&gt;0,1,"")</f>
        <v/>
      </c>
      <c r="AV27" s="225">
        <f>IF(AP27&lt;&gt;"",IF((AP27*Paramètres!$H$4)-PORTEFEUILLE_ERIC[[#This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€]]-(DELPHINE!AP18*Paramètres!$H$4),0),0)</f>
        <v>0</v>
      </c>
      <c r="AW27" s="225">
        <f>IF(AP27&lt;&gt;"",IF(((AP27*Paramètres!$H$4)-PORTEFEUILLE_ERIC[[#This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7" s="190" t="str">
        <f>IF(PORTEFEUILLE_ERIC[[#This Row],[BONI COMPTABLE]]&lt;&gt;0,1,"")</f>
        <v/>
      </c>
      <c r="AY27" s="190" t="str">
        <f>IF(PORTEFEUILLE_ERIC[[#This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SUM(PORTEFEUILLE_ERIC[[#This Row],[PCR COMPTABLE €]:[MONTANT
RESPONSABLE RELATION CLIENT €]])-PORTEFEUILLE_ERIC[[#This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8" s="188" t="str">
        <f>IF(PORTEFEUILLE_ERIC[[#This Row],[BONI AAC]]&lt;&gt;0,1,"")</f>
        <v/>
      </c>
      <c r="AU28" s="188" t="str">
        <f>IF(PORTEFEUILLE_ERIC[[#This Row],[MALI AAC]]&lt;&gt;0,1,"")</f>
        <v/>
      </c>
      <c r="AV28" s="225">
        <f>IF(AP28&lt;&gt;"",IF((AP28*Paramètres!$H$4)-PORTEFEUILLE_ERIC[[#This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€]]-(DELPHINE!AP19*Paramètres!$H$4),0),0)</f>
        <v>0</v>
      </c>
      <c r="AW28" s="225">
        <f>IF(AP28&lt;&gt;"",IF(((AP28*Paramètres!$H$4)-PORTEFEUILLE_ERIC[[#This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8" s="190" t="str">
        <f>IF(PORTEFEUILLE_ERIC[[#This Row],[BONI COMPTABLE]]&lt;&gt;0,1,"")</f>
        <v/>
      </c>
      <c r="AY28" s="190" t="str">
        <f>IF(PORTEFEUILLE_ERIC[[#This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SUM(PORTEFEUILLE_ERIC[[#This Row],[PCR COMPTABLE €]:[MONTANT
RESPONSABLE RELATION CLIENT €]])-PORTEFEUILLE_ERIC[[#This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9" s="188" t="str">
        <f>IF(PORTEFEUILLE_ERIC[[#This Row],[BONI AAC]]&lt;&gt;0,1,"")</f>
        <v/>
      </c>
      <c r="AU29" s="188" t="str">
        <f>IF(PORTEFEUILLE_ERIC[[#This Row],[MALI AAC]]&lt;&gt;0,1,"")</f>
        <v/>
      </c>
      <c r="AV29" s="225">
        <f>IF(AP29&lt;&gt;"",IF((AP29*Paramètres!$H$4)-PORTEFEUILLE_ERIC[[#This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€]]-(DELPHINE!AP20*Paramètres!$H$4),0),0)</f>
        <v>0</v>
      </c>
      <c r="AW29" s="225">
        <f>IF(AP29&lt;&gt;"",IF(((AP29*Paramètres!$H$4)-PORTEFEUILLE_ERIC[[#This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9" s="190" t="str">
        <f>IF(PORTEFEUILLE_ERIC[[#This Row],[BONI COMPTABLE]]&lt;&gt;0,1,"")</f>
        <v/>
      </c>
      <c r="AY29" s="190" t="str">
        <f>IF(PORTEFEUILLE_ERIC[[#This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SUM(PORTEFEUILLE_ERIC[[#This Row],[PCR COMPTABLE €]:[MONTANT
RESPONSABLE RELATION CLIENT €]])-PORTEFEUILLE_ERIC[[#This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0" s="188" t="str">
        <f>IF(PORTEFEUILLE_ERIC[[#This Row],[BONI AAC]]&lt;&gt;0,1,"")</f>
        <v/>
      </c>
      <c r="AU30" s="188" t="str">
        <f>IF(PORTEFEUILLE_ERIC[[#This Row],[MALI AAC]]&lt;&gt;0,1,"")</f>
        <v/>
      </c>
      <c r="AV30" s="225">
        <f>IF(AP30&lt;&gt;"",IF((AP30*Paramètres!$H$4)-PORTEFEUILLE_ERIC[[#This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€]]-(DELPHINE!AP21*Paramètres!$H$4),0),0)</f>
        <v>0</v>
      </c>
      <c r="AW30" s="225">
        <f>IF(AP30&lt;&gt;"",IF(((AP30*Paramètres!$H$4)-PORTEFEUILLE_ERIC[[#This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0" s="190" t="str">
        <f>IF(PORTEFEUILLE_ERIC[[#This Row],[BONI COMPTABLE]]&lt;&gt;0,1,"")</f>
        <v/>
      </c>
      <c r="AY30" s="190" t="str">
        <f>IF(PORTEFEUILLE_ERIC[[#This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SUM(PORTEFEUILLE_ERIC[[#This Row],[PCR COMPTABLE €]:[MONTANT
RESPONSABLE RELATION CLIENT €]])-PORTEFEUILLE_ERIC[[#This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1" s="188" t="str">
        <f>IF(PORTEFEUILLE_ERIC[[#This Row],[BONI AAC]]&lt;&gt;0,1,"")</f>
        <v/>
      </c>
      <c r="AU31" s="188" t="str">
        <f>IF(PORTEFEUILLE_ERIC[[#This Row],[MALI AAC]]&lt;&gt;0,1,"")</f>
        <v/>
      </c>
      <c r="AV31" s="225">
        <f>IF(AP31&lt;&gt;"",IF((AP31*Paramètres!$H$4)-PORTEFEUILLE_ERIC[[#This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€]]-(DELPHINE!AP22*Paramètres!$H$4),0),0)</f>
        <v>0</v>
      </c>
      <c r="AW31" s="225">
        <f>IF(AP31&lt;&gt;"",IF(((AP31*Paramètres!$H$4)-PORTEFEUILLE_ERIC[[#This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1" s="190" t="str">
        <f>IF(PORTEFEUILLE_ERIC[[#This Row],[BONI COMPTABLE]]&lt;&gt;0,1,"")</f>
        <v/>
      </c>
      <c r="AY31" s="190" t="str">
        <f>IF(PORTEFEUILLE_ERIC[[#This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SUM(PORTEFEUILLE_ERIC[[#This Row],[PCR COMPTABLE €]:[MONTANT
RESPONSABLE RELATION CLIENT €]])-PORTEFEUILLE_ERIC[[#This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2" s="188" t="str">
        <f>IF(PORTEFEUILLE_ERIC[[#This Row],[BONI AAC]]&lt;&gt;0,1,"")</f>
        <v/>
      </c>
      <c r="AU32" s="188" t="str">
        <f>IF(PORTEFEUILLE_ERIC[[#This Row],[MALI AAC]]&lt;&gt;0,1,"")</f>
        <v/>
      </c>
      <c r="AV32" s="225">
        <f>IF(AP32&lt;&gt;"",IF((AP32*Paramètres!$H$4)-PORTEFEUILLE_ERIC[[#This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€]]-(DELPHINE!AP23*Paramètres!$H$4),0),0)</f>
        <v>0</v>
      </c>
      <c r="AW32" s="225">
        <f>IF(AP32&lt;&gt;"",IF(((AP32*Paramètres!$H$4)-PORTEFEUILLE_ERIC[[#This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2" s="190" t="str">
        <f>IF(PORTEFEUILLE_ERIC[[#This Row],[BONI COMPTABLE]]&lt;&gt;0,1,"")</f>
        <v/>
      </c>
      <c r="AY32" s="190" t="str">
        <f>IF(PORTEFEUILLE_ERIC[[#This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SUM(PORTEFEUILLE_ERIC[[#This Row],[PCR COMPTABLE €]:[MONTANT
RESPONSABLE RELATION CLIENT €]])-PORTEFEUILLE_ERIC[[#This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3" s="188" t="str">
        <f>IF(PORTEFEUILLE_ERIC[[#This Row],[BONI AAC]]&lt;&gt;0,1,"")</f>
        <v/>
      </c>
      <c r="AU33" s="188" t="str">
        <f>IF(PORTEFEUILLE_ERIC[[#This Row],[MALI AAC]]&lt;&gt;0,1,"")</f>
        <v/>
      </c>
      <c r="AV33" s="225">
        <f>IF(AP33&lt;&gt;"",IF((AP33*Paramètres!$H$4)-PORTEFEUILLE_ERIC[[#This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€]]-(DELPHINE!AP24*Paramètres!$H$4),0),0)</f>
        <v>0</v>
      </c>
      <c r="AW33" s="225">
        <f>IF(AP33&lt;&gt;"",IF(((AP33*Paramètres!$H$4)-PORTEFEUILLE_ERIC[[#This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3" s="190" t="str">
        <f>IF(PORTEFEUILLE_ERIC[[#This Row],[BONI COMPTABLE]]&lt;&gt;0,1,"")</f>
        <v/>
      </c>
      <c r="AY33" s="190" t="str">
        <f>IF(PORTEFEUILLE_ERIC[[#This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SUM(PORTEFEUILLE_ERIC[[#This Row],[PCR COMPTABLE €]:[MONTANT
RESPONSABLE RELATION CLIENT €]])-PORTEFEUILLE_ERIC[[#This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4" s="188" t="str">
        <f>IF(PORTEFEUILLE_ERIC[[#This Row],[BONI AAC]]&lt;&gt;0,1,"")</f>
        <v/>
      </c>
      <c r="AU34" s="188" t="str">
        <f>IF(PORTEFEUILLE_ERIC[[#This Row],[MALI AAC]]&lt;&gt;0,1,"")</f>
        <v/>
      </c>
      <c r="AV34" s="225">
        <f>IF(AP34&lt;&gt;"",IF((AP34*Paramètres!$H$4)-PORTEFEUILLE_ERIC[[#This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€]]-(DELPHINE!AP25*Paramètres!$H$4),0),0)</f>
        <v>0</v>
      </c>
      <c r="AW34" s="225">
        <f>IF(AP34&lt;&gt;"",IF(((AP34*Paramètres!$H$4)-PORTEFEUILLE_ERIC[[#This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4" s="190" t="str">
        <f>IF(PORTEFEUILLE_ERIC[[#This Row],[BONI COMPTABLE]]&lt;&gt;0,1,"")</f>
        <v/>
      </c>
      <c r="AY34" s="190" t="str">
        <f>IF(PORTEFEUILLE_ERIC[[#This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SUM(PORTEFEUILLE_ERIC[[#This Row],[PCR COMPTABLE €]:[MONTANT
RESPONSABLE RELATION CLIENT €]])-PORTEFEUILLE_ERIC[[#This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5" s="188" t="str">
        <f>IF(PORTEFEUILLE_ERIC[[#This Row],[BONI AAC]]&lt;&gt;0,1,"")</f>
        <v/>
      </c>
      <c r="AU35" s="188" t="str">
        <f>IF(PORTEFEUILLE_ERIC[[#This Row],[MALI AAC]]&lt;&gt;0,1,"")</f>
        <v/>
      </c>
      <c r="AV35" s="225">
        <f>IF(AP35&lt;&gt;"",IF((AP35*Paramètres!$H$4)-PORTEFEUILLE_ERIC[[#This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€]]-(DELPHINE!AP26*Paramètres!$H$4),0),0)</f>
        <v>0</v>
      </c>
      <c r="AW35" s="225">
        <f>IF(AP35&lt;&gt;"",IF(((AP35*Paramètres!$H$4)-PORTEFEUILLE_ERIC[[#This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5" s="190" t="str">
        <f>IF(PORTEFEUILLE_ERIC[[#This Row],[BONI COMPTABLE]]&lt;&gt;0,1,"")</f>
        <v/>
      </c>
      <c r="AY35" s="190" t="str">
        <f>IF(PORTEFEUILLE_ERIC[[#This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SUM(PORTEFEUILLE_ERIC[[#This Row],[PCR COMPTABLE €]:[MONTANT
RESPONSABLE RELATION CLIENT €]])-PORTEFEUILLE_ERIC[[#This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6" s="188" t="str">
        <f>IF(PORTEFEUILLE_ERIC[[#This Row],[BONI AAC]]&lt;&gt;0,1,"")</f>
        <v/>
      </c>
      <c r="AU36" s="188" t="str">
        <f>IF(PORTEFEUILLE_ERIC[[#This Row],[MALI AAC]]&lt;&gt;0,1,"")</f>
        <v/>
      </c>
      <c r="AV36" s="225">
        <f>IF(AP36&lt;&gt;"",IF((AP36*Paramètres!$H$4)-PORTEFEUILLE_ERIC[[#This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€]]-(DELPHINE!AP27*Paramètres!$H$4),0),0)</f>
        <v>0</v>
      </c>
      <c r="AW36" s="225">
        <f>IF(AP36&lt;&gt;"",IF(((AP36*Paramètres!$H$4)-PORTEFEUILLE_ERIC[[#This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6" s="190" t="str">
        <f>IF(PORTEFEUILLE_ERIC[[#This Row],[BONI COMPTABLE]]&lt;&gt;0,1,"")</f>
        <v/>
      </c>
      <c r="AY36" s="190" t="str">
        <f>IF(PORTEFEUILLE_ERIC[[#This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SUM(PORTEFEUILLE_ERIC[[#This Row],[PCR COMPTABLE €]:[MONTANT
RESPONSABLE RELATION CLIENT €]])-PORTEFEUILLE_ERIC[[#This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7" s="188" t="str">
        <f>IF(PORTEFEUILLE_ERIC[[#This Row],[BONI AAC]]&lt;&gt;0,1,"")</f>
        <v/>
      </c>
      <c r="AU37" s="188" t="str">
        <f>IF(PORTEFEUILLE_ERIC[[#This Row],[MALI AAC]]&lt;&gt;0,1,"")</f>
        <v/>
      </c>
      <c r="AV37" s="225">
        <f>IF(AP37&lt;&gt;"",IF((AP37*Paramètres!$H$4)-PORTEFEUILLE_ERIC[[#This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€]]-(DELPHINE!AP28*Paramètres!$H$4),0),0)</f>
        <v>0</v>
      </c>
      <c r="AW37" s="225">
        <f>IF(AP37&lt;&gt;"",IF(((AP37*Paramètres!$H$4)-PORTEFEUILLE_ERIC[[#This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7" s="190" t="str">
        <f>IF(PORTEFEUILLE_ERIC[[#This Row],[BONI COMPTABLE]]&lt;&gt;0,1,"")</f>
        <v/>
      </c>
      <c r="AY37" s="190" t="str">
        <f>IF(PORTEFEUILLE_ERIC[[#This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SUM(PORTEFEUILLE_ERIC[[#This Row],[PCR COMPTABLE €]:[MONTANT
RESPONSABLE RELATION CLIENT €]])-PORTEFEUILLE_ERIC[[#This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8" s="188" t="str">
        <f>IF(PORTEFEUILLE_ERIC[[#This Row],[BONI AAC]]&lt;&gt;0,1,"")</f>
        <v/>
      </c>
      <c r="AU38" s="188" t="str">
        <f>IF(PORTEFEUILLE_ERIC[[#This Row],[MALI AAC]]&lt;&gt;0,1,"")</f>
        <v/>
      </c>
      <c r="AV38" s="225">
        <f>IF(AP38&lt;&gt;"",IF((AP38*Paramètres!$H$4)-PORTEFEUILLE_ERIC[[#This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€]]-(DELPHINE!AP29*Paramètres!$H$4),0),0)</f>
        <v>0</v>
      </c>
      <c r="AW38" s="225">
        <f>IF(AP38&lt;&gt;"",IF(((AP38*Paramètres!$H$4)-PORTEFEUILLE_ERIC[[#This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8" s="190" t="str">
        <f>IF(PORTEFEUILLE_ERIC[[#This Row],[BONI COMPTABLE]]&lt;&gt;0,1,"")</f>
        <v/>
      </c>
      <c r="AY38" s="190" t="str">
        <f>IF(PORTEFEUILLE_ERIC[[#This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SUM(PORTEFEUILLE_ERIC[[#This Row],[PCR COMPTABLE €]:[MONTANT
RESPONSABLE RELATION CLIENT €]])-PORTEFEUILLE_ERIC[[#This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9" s="188" t="str">
        <f>IF(PORTEFEUILLE_ERIC[[#This Row],[BONI AAC]]&lt;&gt;0,1,"")</f>
        <v/>
      </c>
      <c r="AU39" s="188" t="str">
        <f>IF(PORTEFEUILLE_ERIC[[#This Row],[MALI AAC]]&lt;&gt;0,1,"")</f>
        <v/>
      </c>
      <c r="AV39" s="225">
        <f>IF(AP39&lt;&gt;"",IF((AP39*Paramètres!$H$4)-PORTEFEUILLE_ERIC[[#This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€]]-(DELPHINE!AP30*Paramètres!$H$4),0),0)</f>
        <v>0</v>
      </c>
      <c r="AW39" s="225">
        <f>IF(AP39&lt;&gt;"",IF(((AP39*Paramètres!$H$4)-PORTEFEUILLE_ERIC[[#This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9" s="190" t="str">
        <f>IF(PORTEFEUILLE_ERIC[[#This Row],[BONI COMPTABLE]]&lt;&gt;0,1,"")</f>
        <v/>
      </c>
      <c r="AY39" s="190" t="str">
        <f>IF(PORTEFEUILLE_ERIC[[#This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SUM(PORTEFEUILLE_ERIC[[#This Row],[PCR COMPTABLE €]:[MONTANT
RESPONSABLE RELATION CLIENT €]])-PORTEFEUILLE_ERIC[[#This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0" s="188" t="str">
        <f>IF(PORTEFEUILLE_ERIC[[#This Row],[BONI AAC]]&lt;&gt;0,1,"")</f>
        <v/>
      </c>
      <c r="AU40" s="188" t="str">
        <f>IF(PORTEFEUILLE_ERIC[[#This Row],[MALI AAC]]&lt;&gt;0,1,"")</f>
        <v/>
      </c>
      <c r="AV40" s="225">
        <f>IF(AP40&lt;&gt;"",IF((AP40*Paramètres!$H$4)-PORTEFEUILLE_ERIC[[#This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€]]-(DELPHINE!AP31*Paramètres!$H$4),0),0)</f>
        <v>0</v>
      </c>
      <c r="AW40" s="225">
        <f>IF(AP40&lt;&gt;"",IF(((AP40*Paramètres!$H$4)-PORTEFEUILLE_ERIC[[#This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0" s="190" t="str">
        <f>IF(PORTEFEUILLE_ERIC[[#This Row],[BONI COMPTABLE]]&lt;&gt;0,1,"")</f>
        <v/>
      </c>
      <c r="AY40" s="190" t="str">
        <f>IF(PORTEFEUILLE_ERIC[[#This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SUM(PORTEFEUILLE_ERIC[[#This Row],[PCR COMPTABLE €]:[MONTANT
RESPONSABLE RELATION CLIENT €]])-PORTEFEUILLE_ERIC[[#This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1" s="188" t="str">
        <f>IF(PORTEFEUILLE_ERIC[[#This Row],[BONI AAC]]&lt;&gt;0,1,"")</f>
        <v/>
      </c>
      <c r="AU41" s="188" t="str">
        <f>IF(PORTEFEUILLE_ERIC[[#This Row],[MALI AAC]]&lt;&gt;0,1,"")</f>
        <v/>
      </c>
      <c r="AV41" s="225">
        <f>IF(AP41&lt;&gt;"",IF((AP41*Paramètres!$H$4)-PORTEFEUILLE_ERIC[[#This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€]]-(DELPHINE!AP32*Paramètres!$H$4),0),0)</f>
        <v>0</v>
      </c>
      <c r="AW41" s="225">
        <f>IF(AP41&lt;&gt;"",IF(((AP41*Paramètres!$H$4)-PORTEFEUILLE_ERIC[[#This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1" s="190" t="str">
        <f>IF(PORTEFEUILLE_ERIC[[#This Row],[BONI COMPTABLE]]&lt;&gt;0,1,"")</f>
        <v/>
      </c>
      <c r="AY41" s="190" t="str">
        <f>IF(PORTEFEUILLE_ERIC[[#This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SUM(PORTEFEUILLE_ERIC[[#This Row],[PCR COMPTABLE €]:[MONTANT
RESPONSABLE RELATION CLIENT €]])-PORTEFEUILLE_ERIC[[#This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2" s="188" t="str">
        <f>IF(PORTEFEUILLE_ERIC[[#This Row],[BONI AAC]]&lt;&gt;0,1,"")</f>
        <v/>
      </c>
      <c r="AU42" s="188" t="str">
        <f>IF(PORTEFEUILLE_ERIC[[#This Row],[MALI AAC]]&lt;&gt;0,1,"")</f>
        <v/>
      </c>
      <c r="AV42" s="225">
        <f>IF(AP42&lt;&gt;"",IF((AP42*Paramètres!$H$4)-PORTEFEUILLE_ERIC[[#This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€]]-(DELPHINE!AP33*Paramètres!$H$4),0),0)</f>
        <v>0</v>
      </c>
      <c r="AW42" s="225">
        <f>IF(AP42&lt;&gt;"",IF(((AP42*Paramètres!$H$4)-PORTEFEUILLE_ERIC[[#This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2" s="190" t="str">
        <f>IF(PORTEFEUILLE_ERIC[[#This Row],[BONI COMPTABLE]]&lt;&gt;0,1,"")</f>
        <v/>
      </c>
      <c r="AY42" s="190" t="str">
        <f>IF(PORTEFEUILLE_ERIC[[#This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SUM(PORTEFEUILLE_ERIC[[#This Row],[PCR COMPTABLE €]:[MONTANT
RESPONSABLE RELATION CLIENT €]])-PORTEFEUILLE_ERIC[[#This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3" s="188" t="str">
        <f>IF(PORTEFEUILLE_ERIC[[#This Row],[BONI AAC]]&lt;&gt;0,1,"")</f>
        <v/>
      </c>
      <c r="AU43" s="188" t="str">
        <f>IF(PORTEFEUILLE_ERIC[[#This Row],[MALI AAC]]&lt;&gt;0,1,"")</f>
        <v/>
      </c>
      <c r="AV43" s="225">
        <f>IF(AP43&lt;&gt;"",IF((AP43*Paramètres!$H$4)-PORTEFEUILLE_ERIC[[#This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€]]-(DELPHINE!AP34*Paramètres!$H$4),0),0)</f>
        <v>0</v>
      </c>
      <c r="AW43" s="225">
        <f>IF(AP43&lt;&gt;"",IF(((AP43*Paramètres!$H$4)-PORTEFEUILLE_ERIC[[#This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3" s="190" t="str">
        <f>IF(PORTEFEUILLE_ERIC[[#This Row],[BONI COMPTABLE]]&lt;&gt;0,1,"")</f>
        <v/>
      </c>
      <c r="AY43" s="190" t="str">
        <f>IF(PORTEFEUILLE_ERIC[[#This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SUM(PORTEFEUILLE_ERIC[[#This Row],[PCR COMPTABLE €]:[MONTANT
RESPONSABLE RELATION CLIENT €]])-PORTEFEUILLE_ERIC[[#This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4" s="188" t="str">
        <f>IF(PORTEFEUILLE_ERIC[[#This Row],[BONI AAC]]&lt;&gt;0,1,"")</f>
        <v/>
      </c>
      <c r="AU44" s="188" t="str">
        <f>IF(PORTEFEUILLE_ERIC[[#This Row],[MALI AAC]]&lt;&gt;0,1,"")</f>
        <v/>
      </c>
      <c r="AV44" s="225">
        <f>IF(AP44&lt;&gt;"",IF((AP44*Paramètres!$H$4)-PORTEFEUILLE_ERIC[[#This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€]]-(DELPHINE!AP35*Paramètres!$H$4),0),0)</f>
        <v>0</v>
      </c>
      <c r="AW44" s="225">
        <f>IF(AP44&lt;&gt;"",IF(((AP44*Paramètres!$H$4)-PORTEFEUILLE_ERIC[[#This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4" s="190" t="str">
        <f>IF(PORTEFEUILLE_ERIC[[#This Row],[BONI COMPTABLE]]&lt;&gt;0,1,"")</f>
        <v/>
      </c>
      <c r="AY44" s="190" t="str">
        <f>IF(PORTEFEUILLE_ERIC[[#This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SUM(PORTEFEUILLE_ERIC[[#This Row],[PCR COMPTABLE €]:[MONTANT
RESPONSABLE RELATION CLIENT €]])-PORTEFEUILLE_ERIC[[#This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5" s="188" t="str">
        <f>IF(PORTEFEUILLE_ERIC[[#This Row],[BONI AAC]]&lt;&gt;0,1,"")</f>
        <v/>
      </c>
      <c r="AU45" s="188" t="str">
        <f>IF(PORTEFEUILLE_ERIC[[#This Row],[MALI AAC]]&lt;&gt;0,1,"")</f>
        <v/>
      </c>
      <c r="AV45" s="225">
        <f>IF(AP45&lt;&gt;"",IF((AP45*Paramètres!$H$4)-PORTEFEUILLE_ERIC[[#This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€]]-(DELPHINE!AP36*Paramètres!$H$4),0),0)</f>
        <v>0</v>
      </c>
      <c r="AW45" s="225">
        <f>IF(AP45&lt;&gt;"",IF(((AP45*Paramètres!$H$4)-PORTEFEUILLE_ERIC[[#This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5" s="190" t="str">
        <f>IF(PORTEFEUILLE_ERIC[[#This Row],[BONI COMPTABLE]]&lt;&gt;0,1,"")</f>
        <v/>
      </c>
      <c r="AY45" s="190" t="str">
        <f>IF(PORTEFEUILLE_ERIC[[#This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SUM(PORTEFEUILLE_ERIC[[#This Row],[PCR COMPTABLE €]:[MONTANT
RESPONSABLE RELATION CLIENT €]])-PORTEFEUILLE_ERIC[[#This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6" s="188" t="str">
        <f>IF(PORTEFEUILLE_ERIC[[#This Row],[BONI AAC]]&lt;&gt;0,1,"")</f>
        <v/>
      </c>
      <c r="AU46" s="188" t="str">
        <f>IF(PORTEFEUILLE_ERIC[[#This Row],[MALI AAC]]&lt;&gt;0,1,"")</f>
        <v/>
      </c>
      <c r="AV46" s="225">
        <f>IF(AP46&lt;&gt;"",IF((AP46*Paramètres!$H$4)-PORTEFEUILLE_ERIC[[#This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€]]-(DELPHINE!AP37*Paramètres!$H$4),0),0)</f>
        <v>0</v>
      </c>
      <c r="AW46" s="225">
        <f>IF(AP46&lt;&gt;"",IF(((AP46*Paramètres!$H$4)-PORTEFEUILLE_ERIC[[#This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6" s="190" t="str">
        <f>IF(PORTEFEUILLE_ERIC[[#This Row],[BONI COMPTABLE]]&lt;&gt;0,1,"")</f>
        <v/>
      </c>
      <c r="AY46" s="190" t="str">
        <f>IF(PORTEFEUILLE_ERIC[[#This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SUM(PORTEFEUILLE_ERIC[[#This Row],[PCR COMPTABLE €]:[MONTANT
RESPONSABLE RELATION CLIENT €]])-PORTEFEUILLE_ERIC[[#This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7" s="188" t="str">
        <f>IF(PORTEFEUILLE_ERIC[[#This Row],[BONI AAC]]&lt;&gt;0,1,"")</f>
        <v/>
      </c>
      <c r="AU47" s="188" t="str">
        <f>IF(PORTEFEUILLE_ERIC[[#This Row],[MALI AAC]]&lt;&gt;0,1,"")</f>
        <v/>
      </c>
      <c r="AV47" s="225">
        <f>IF(AP47&lt;&gt;"",IF((AP47*Paramètres!$H$4)-PORTEFEUILLE_ERIC[[#This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€]]-(DELPHINE!AP38*Paramètres!$H$4),0),0)</f>
        <v>0</v>
      </c>
      <c r="AW47" s="225">
        <f>IF(AP47&lt;&gt;"",IF(((AP47*Paramètres!$H$4)-PORTEFEUILLE_ERIC[[#This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7" s="190" t="str">
        <f>IF(PORTEFEUILLE_ERIC[[#This Row],[BONI COMPTABLE]]&lt;&gt;0,1,"")</f>
        <v/>
      </c>
      <c r="AY47" s="190" t="str">
        <f>IF(PORTEFEUILLE_ERIC[[#This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SUM(PORTEFEUILLE_ERIC[[#This Row],[PCR COMPTABLE €]:[MONTANT
RESPONSABLE RELATION CLIENT €]])-PORTEFEUILLE_ERIC[[#This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8" s="188" t="str">
        <f>IF(PORTEFEUILLE_ERIC[[#This Row],[BONI AAC]]&lt;&gt;0,1,"")</f>
        <v/>
      </c>
      <c r="AU48" s="188" t="str">
        <f>IF(PORTEFEUILLE_ERIC[[#This Row],[MALI AAC]]&lt;&gt;0,1,"")</f>
        <v/>
      </c>
      <c r="AV48" s="225">
        <f>IF(AP48&lt;&gt;"",IF((AP48*Paramètres!$H$4)-PORTEFEUILLE_ERIC[[#This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€]]-(DELPHINE!AP39*Paramètres!$H$4),0),0)</f>
        <v>0</v>
      </c>
      <c r="AW48" s="225">
        <f>IF(AP48&lt;&gt;"",IF(((AP48*Paramètres!$H$4)-PORTEFEUILLE_ERIC[[#This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8" s="190" t="str">
        <f>IF(PORTEFEUILLE_ERIC[[#This Row],[BONI COMPTABLE]]&lt;&gt;0,1,"")</f>
        <v/>
      </c>
      <c r="AY48" s="190" t="str">
        <f>IF(PORTEFEUILLE_ERIC[[#This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SUM(PORTEFEUILLE_ERIC[[#This Row],[PCR COMPTABLE €]:[MONTANT
RESPONSABLE RELATION CLIENT €]])-PORTEFEUILLE_ERIC[[#This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9" s="188" t="str">
        <f>IF(PORTEFEUILLE_ERIC[[#This Row],[BONI AAC]]&lt;&gt;0,1,"")</f>
        <v/>
      </c>
      <c r="AU49" s="188" t="str">
        <f>IF(PORTEFEUILLE_ERIC[[#This Row],[MALI AAC]]&lt;&gt;0,1,"")</f>
        <v/>
      </c>
      <c r="AV49" s="225">
        <f>IF(AP49&lt;&gt;"",IF((AP49*Paramètres!$H$4)-PORTEFEUILLE_ERIC[[#This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€]]-(DELPHINE!AP40*Paramètres!$H$4),0),0)</f>
        <v>0</v>
      </c>
      <c r="AW49" s="225">
        <f>IF(AP49&lt;&gt;"",IF(((AP49*Paramètres!$H$4)-PORTEFEUILLE_ERIC[[#This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9" s="190" t="str">
        <f>IF(PORTEFEUILLE_ERIC[[#This Row],[BONI COMPTABLE]]&lt;&gt;0,1,"")</f>
        <v/>
      </c>
      <c r="AY49" s="190" t="str">
        <f>IF(PORTEFEUILLE_ERIC[[#This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SUM(PORTEFEUILLE_ERIC[[#This Row],[PCR COMPTABLE €]:[MONTANT
RESPONSABLE RELATION CLIENT €]])-PORTEFEUILLE_ERIC[[#This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0" s="188" t="str">
        <f>IF(PORTEFEUILLE_ERIC[[#This Row],[BONI AAC]]&lt;&gt;0,1,"")</f>
        <v/>
      </c>
      <c r="AU50" s="188" t="str">
        <f>IF(PORTEFEUILLE_ERIC[[#This Row],[MALI AAC]]&lt;&gt;0,1,"")</f>
        <v/>
      </c>
      <c r="AV50" s="225">
        <f>IF(AP50&lt;&gt;"",IF((AP50*Paramètres!$H$4)-PORTEFEUILLE_ERIC[[#This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€]]-(DELPHINE!AP41*Paramètres!$H$4),0),0)</f>
        <v>0</v>
      </c>
      <c r="AW50" s="225">
        <f>IF(AP50&lt;&gt;"",IF(((AP50*Paramètres!$H$4)-PORTEFEUILLE_ERIC[[#This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0" s="190" t="str">
        <f>IF(PORTEFEUILLE_ERIC[[#This Row],[BONI COMPTABLE]]&lt;&gt;0,1,"")</f>
        <v/>
      </c>
      <c r="AY50" s="190" t="str">
        <f>IF(PORTEFEUILLE_ERIC[[#This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SUM(PORTEFEUILLE_ERIC[[#This Row],[PCR COMPTABLE €]:[MONTANT
RESPONSABLE RELATION CLIENT €]])-PORTEFEUILLE_ERIC[[#This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1" s="188" t="str">
        <f>IF(PORTEFEUILLE_ERIC[[#This Row],[BONI AAC]]&lt;&gt;0,1,"")</f>
        <v/>
      </c>
      <c r="AU51" s="188" t="str">
        <f>IF(PORTEFEUILLE_ERIC[[#This Row],[MALI AAC]]&lt;&gt;0,1,"")</f>
        <v/>
      </c>
      <c r="AV51" s="225">
        <f>IF(AP51&lt;&gt;"",IF((AP51*Paramètres!$H$4)-PORTEFEUILLE_ERIC[[#This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€]]-(DELPHINE!AP42*Paramètres!$H$4),0),0)</f>
        <v>0</v>
      </c>
      <c r="AW51" s="225">
        <f>IF(AP51&lt;&gt;"",IF(((AP51*Paramètres!$H$4)-PORTEFEUILLE_ERIC[[#This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1" s="190" t="str">
        <f>IF(PORTEFEUILLE_ERIC[[#This Row],[BONI COMPTABLE]]&lt;&gt;0,1,"")</f>
        <v/>
      </c>
      <c r="AY51" s="190" t="str">
        <f>IF(PORTEFEUILLE_ERIC[[#This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SUM(PORTEFEUILLE_ERIC[[#This Row],[PCR COMPTABLE €]:[MONTANT
RESPONSABLE RELATION CLIENT €]])-PORTEFEUILLE_ERIC[[#This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2" s="188" t="str">
        <f>IF(PORTEFEUILLE_ERIC[[#This Row],[BONI AAC]]&lt;&gt;0,1,"")</f>
        <v/>
      </c>
      <c r="AU52" s="188" t="str">
        <f>IF(PORTEFEUILLE_ERIC[[#This Row],[MALI AAC]]&lt;&gt;0,1,"")</f>
        <v/>
      </c>
      <c r="AV52" s="225">
        <f>IF(AP52&lt;&gt;"",IF((AP52*Paramètres!$H$4)-PORTEFEUILLE_ERIC[[#This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€]]-(DELPHINE!AP43*Paramètres!$H$4),0),0)</f>
        <v>0</v>
      </c>
      <c r="AW52" s="225">
        <f>IF(AP52&lt;&gt;"",IF(((AP52*Paramètres!$H$4)-PORTEFEUILLE_ERIC[[#This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2" s="190" t="str">
        <f>IF(PORTEFEUILLE_ERIC[[#This Row],[BONI COMPTABLE]]&lt;&gt;0,1,"")</f>
        <v/>
      </c>
      <c r="AY52" s="190" t="str">
        <f>IF(PORTEFEUILLE_ERIC[[#This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SUM(PORTEFEUILLE_ERIC[[#This Row],[PCR COMPTABLE €]:[MONTANT
RESPONSABLE RELATION CLIENT €]])-PORTEFEUILLE_ERIC[[#This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3" s="188" t="str">
        <f>IF(PORTEFEUILLE_ERIC[[#This Row],[BONI AAC]]&lt;&gt;0,1,"")</f>
        <v/>
      </c>
      <c r="AU53" s="188" t="str">
        <f>IF(PORTEFEUILLE_ERIC[[#This Row],[MALI AAC]]&lt;&gt;0,1,"")</f>
        <v/>
      </c>
      <c r="AV53" s="225">
        <f>IF(AP53&lt;&gt;"",IF((AP53*Paramètres!$H$4)-PORTEFEUILLE_ERIC[[#This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€]]-(DELPHINE!AP44*Paramètres!$H$4),0),0)</f>
        <v>0</v>
      </c>
      <c r="AW53" s="225">
        <f>IF(AP53&lt;&gt;"",IF(((AP53*Paramètres!$H$4)-PORTEFEUILLE_ERIC[[#This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3" s="190" t="str">
        <f>IF(PORTEFEUILLE_ERIC[[#This Row],[BONI COMPTABLE]]&lt;&gt;0,1,"")</f>
        <v/>
      </c>
      <c r="AY53" s="190" t="str">
        <f>IF(PORTEFEUILLE_ERIC[[#This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SUM(PORTEFEUILLE_ERIC[[#This Row],[PCR COMPTABLE €]:[MONTANT
RESPONSABLE RELATION CLIENT €]])-PORTEFEUILLE_ERIC[[#This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4" s="188" t="str">
        <f>IF(PORTEFEUILLE_ERIC[[#This Row],[BONI AAC]]&lt;&gt;0,1,"")</f>
        <v/>
      </c>
      <c r="AU54" s="188" t="str">
        <f>IF(PORTEFEUILLE_ERIC[[#This Row],[MALI AAC]]&lt;&gt;0,1,"")</f>
        <v/>
      </c>
      <c r="AV54" s="225">
        <f>IF(AP54&lt;&gt;"",IF((AP54*Paramètres!$H$4)-PORTEFEUILLE_ERIC[[#This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€]]-(DELPHINE!AP45*Paramètres!$H$4),0),0)</f>
        <v>0</v>
      </c>
      <c r="AW54" s="225">
        <f>IF(AP54&lt;&gt;"",IF(((AP54*Paramètres!$H$4)-PORTEFEUILLE_ERIC[[#This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4" s="190" t="str">
        <f>IF(PORTEFEUILLE_ERIC[[#This Row],[BONI COMPTABLE]]&lt;&gt;0,1,"")</f>
        <v/>
      </c>
      <c r="AY54" s="190" t="str">
        <f>IF(PORTEFEUILLE_ERIC[[#This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SUM(PORTEFEUILLE_ERIC[[#This Row],[PCR COMPTABLE €]:[MONTANT
RESPONSABLE RELATION CLIENT €]])-PORTEFEUILLE_ERIC[[#This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5" s="188" t="str">
        <f>IF(PORTEFEUILLE_ERIC[[#This Row],[BONI AAC]]&lt;&gt;0,1,"")</f>
        <v/>
      </c>
      <c r="AU55" s="188" t="str">
        <f>IF(PORTEFEUILLE_ERIC[[#This Row],[MALI AAC]]&lt;&gt;0,1,"")</f>
        <v/>
      </c>
      <c r="AV55" s="225">
        <f>IF(AP55&lt;&gt;"",IF((AP55*Paramètres!$H$4)-PORTEFEUILLE_ERIC[[#This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€]]-(DELPHINE!AP46*Paramètres!$H$4),0),0)</f>
        <v>0</v>
      </c>
      <c r="AW55" s="225">
        <f>IF(AP55&lt;&gt;"",IF(((AP55*Paramètres!$H$4)-PORTEFEUILLE_ERIC[[#This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5" s="190" t="str">
        <f>IF(PORTEFEUILLE_ERIC[[#This Row],[BONI COMPTABLE]]&lt;&gt;0,1,"")</f>
        <v/>
      </c>
      <c r="AY55" s="190" t="str">
        <f>IF(PORTEFEUILLE_ERIC[[#This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SUM(PORTEFEUILLE_ERIC[[#This Row],[PCR COMPTABLE €]:[MONTANT
RESPONSABLE RELATION CLIENT €]])-PORTEFEUILLE_ERIC[[#This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6" s="188" t="str">
        <f>IF(PORTEFEUILLE_ERIC[[#This Row],[BONI AAC]]&lt;&gt;0,1,"")</f>
        <v/>
      </c>
      <c r="AU56" s="188" t="str">
        <f>IF(PORTEFEUILLE_ERIC[[#This Row],[MALI AAC]]&lt;&gt;0,1,"")</f>
        <v/>
      </c>
      <c r="AV56" s="225">
        <f>IF(AP56&lt;&gt;"",IF((AP56*Paramètres!$H$4)-PORTEFEUILLE_ERIC[[#This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€]]-(DELPHINE!AP47*Paramètres!$H$4),0),0)</f>
        <v>0</v>
      </c>
      <c r="AW56" s="225">
        <f>IF(AP56&lt;&gt;"",IF(((AP56*Paramètres!$H$4)-PORTEFEUILLE_ERIC[[#This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6" s="190" t="str">
        <f>IF(PORTEFEUILLE_ERIC[[#This Row],[BONI COMPTABLE]]&lt;&gt;0,1,"")</f>
        <v/>
      </c>
      <c r="AY56" s="190" t="str">
        <f>IF(PORTEFEUILLE_ERIC[[#This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SUM(PORTEFEUILLE_ERIC[[#This Row],[PCR COMPTABLE €]:[MONTANT
RESPONSABLE RELATION CLIENT €]])-PORTEFEUILLE_ERIC[[#This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7" s="188" t="str">
        <f>IF(PORTEFEUILLE_ERIC[[#This Row],[BONI AAC]]&lt;&gt;0,1,"")</f>
        <v/>
      </c>
      <c r="AU57" s="188" t="str">
        <f>IF(PORTEFEUILLE_ERIC[[#This Row],[MALI AAC]]&lt;&gt;0,1,"")</f>
        <v/>
      </c>
      <c r="AV57" s="225">
        <f>IF(AP57&lt;&gt;"",IF((AP57*Paramètres!$H$4)-PORTEFEUILLE_ERIC[[#This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€]]-(DELPHINE!AP48*Paramètres!$H$4),0),0)</f>
        <v>0</v>
      </c>
      <c r="AW57" s="225">
        <f>IF(AP57&lt;&gt;"",IF(((AP57*Paramètres!$H$4)-PORTEFEUILLE_ERIC[[#This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7" s="190" t="str">
        <f>IF(PORTEFEUILLE_ERIC[[#This Row],[BONI COMPTABLE]]&lt;&gt;0,1,"")</f>
        <v/>
      </c>
      <c r="AY57" s="190" t="str">
        <f>IF(PORTEFEUILLE_ERIC[[#This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SUM(PORTEFEUILLE_ERIC[[#This Row],[PCR COMPTABLE €]:[MONTANT
RESPONSABLE RELATION CLIENT €]])-PORTEFEUILLE_ERIC[[#This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8" s="188" t="str">
        <f>IF(PORTEFEUILLE_ERIC[[#This Row],[BONI AAC]]&lt;&gt;0,1,"")</f>
        <v/>
      </c>
      <c r="AU58" s="188" t="str">
        <f>IF(PORTEFEUILLE_ERIC[[#This Row],[MALI AAC]]&lt;&gt;0,1,"")</f>
        <v/>
      </c>
      <c r="AV58" s="225">
        <f>IF(AP58&lt;&gt;"",IF((AP58*Paramètres!$H$4)-PORTEFEUILLE_ERIC[[#This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€]]-(DELPHINE!AP49*Paramètres!$H$4),0),0)</f>
        <v>0</v>
      </c>
      <c r="AW58" s="225">
        <f>IF(AP58&lt;&gt;"",IF(((AP58*Paramètres!$H$4)-PORTEFEUILLE_ERIC[[#This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8" s="190" t="str">
        <f>IF(PORTEFEUILLE_ERIC[[#This Row],[BONI COMPTABLE]]&lt;&gt;0,1,"")</f>
        <v/>
      </c>
      <c r="AY58" s="190" t="str">
        <f>IF(PORTEFEUILLE_ERIC[[#This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SUM(PORTEFEUILLE_ERIC[[#This Row],[PCR COMPTABLE €]:[MONTANT
RESPONSABLE RELATION CLIENT €]])-PORTEFEUILLE_ERIC[[#This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9" s="188" t="str">
        <f>IF(PORTEFEUILLE_ERIC[[#This Row],[BONI AAC]]&lt;&gt;0,1,"")</f>
        <v/>
      </c>
      <c r="AU59" s="188" t="str">
        <f>IF(PORTEFEUILLE_ERIC[[#This Row],[MALI AAC]]&lt;&gt;0,1,"")</f>
        <v/>
      </c>
      <c r="AV59" s="225">
        <f>IF(AP59&lt;&gt;"",IF((AP59*Paramètres!$H$4)-PORTEFEUILLE_ERIC[[#This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€]]-(DELPHINE!AP50*Paramètres!$H$4),0),0)</f>
        <v>0</v>
      </c>
      <c r="AW59" s="225">
        <f>IF(AP59&lt;&gt;"",IF(((AP59*Paramètres!$H$4)-PORTEFEUILLE_ERIC[[#This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9" s="190" t="str">
        <f>IF(PORTEFEUILLE_ERIC[[#This Row],[BONI COMPTABLE]]&lt;&gt;0,1,"")</f>
        <v/>
      </c>
      <c r="AY59" s="190" t="str">
        <f>IF(PORTEFEUILLE_ERIC[[#This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SUM(PORTEFEUILLE_ERIC[[#This Row],[PCR COMPTABLE €]:[MONTANT
RESPONSABLE RELATION CLIENT €]])-PORTEFEUILLE_ERIC[[#This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0" s="188" t="str">
        <f>IF(PORTEFEUILLE_ERIC[[#This Row],[BONI AAC]]&lt;&gt;0,1,"")</f>
        <v/>
      </c>
      <c r="AU60" s="188" t="str">
        <f>IF(PORTEFEUILLE_ERIC[[#This Row],[MALI AAC]]&lt;&gt;0,1,"")</f>
        <v/>
      </c>
      <c r="AV60" s="225">
        <f>IF(AP60&lt;&gt;"",IF((AP60*Paramètres!$H$4)-PORTEFEUILLE_ERIC[[#This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€]]-(DELPHINE!AP51*Paramètres!$H$4),0),0)</f>
        <v>0</v>
      </c>
      <c r="AW60" s="225">
        <f>IF(AP60&lt;&gt;"",IF(((AP60*Paramètres!$H$4)-PORTEFEUILLE_ERIC[[#This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0" s="190" t="str">
        <f>IF(PORTEFEUILLE_ERIC[[#This Row],[BONI COMPTABLE]]&lt;&gt;0,1,"")</f>
        <v/>
      </c>
      <c r="AY60" s="190" t="str">
        <f>IF(PORTEFEUILLE_ERIC[[#This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37" priority="6">
      <formula>AND(P3&lt;&gt;"",P3&lt;&gt;"OUI")</formula>
    </cfRule>
  </conditionalFormatting>
  <conditionalFormatting sqref="AN3:AO60 S3:AH60">
    <cfRule type="expression" dxfId="36" priority="5" stopIfTrue="1">
      <formula>$AH3&lt;&gt;0</formula>
    </cfRule>
  </conditionalFormatting>
  <conditionalFormatting sqref="A6:E60 C3:E5 A3:A5">
    <cfRule type="expression" dxfId="35" priority="7" stopIfTrue="1">
      <formula>AND($I3&lt;&gt;"",AND($J3="",AND($BA3="",$BB3="")))</formula>
    </cfRule>
    <cfRule type="expression" dxfId="34" priority="8" stopIfTrue="1">
      <formula>AND($J3&lt;&gt;"",AND($BA3="",$BB3=""))</formula>
    </cfRule>
    <cfRule type="expression" dxfId="33" priority="9" stopIfTrue="1">
      <formula>AND($BA3&lt;&gt;"",$BB3="")</formula>
    </cfRule>
    <cfRule type="expression" dxfId="32" priority="10" stopIfTrue="1">
      <formula>$BB3="X"</formula>
    </cfRule>
  </conditionalFormatting>
  <conditionalFormatting sqref="B3:B5">
    <cfRule type="expression" dxfId="31" priority="1" stopIfTrue="1">
      <formula>AND($I3&lt;&gt;"",AND($J3="",AND($BA3="",$BB3="")))</formula>
    </cfRule>
    <cfRule type="expression" dxfId="30" priority="2" stopIfTrue="1">
      <formula>AND($J3&lt;&gt;"",AND($BA3="",$BB3=""))</formula>
    </cfRule>
    <cfRule type="expression" dxfId="29" priority="3" stopIfTrue="1">
      <formula>AND($BA3&lt;&gt;"",$BB3="")</formula>
    </cfRule>
    <cfRule type="expression" dxfId="2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N183"/>
  <sheetViews>
    <sheetView zoomScale="85" zoomScaleNormal="85" workbookViewId="0">
      <pane xSplit="5" ySplit="2" topLeftCell="AH35" activePane="bottomRight" state="frozen"/>
      <selection pane="topRight" activeCell="F1" sqref="F1"/>
      <selection pane="bottomLeft" activeCell="A3" sqref="A3"/>
      <selection pane="bottomRight" activeCell="AN49" sqref="AN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226</v>
      </c>
      <c r="B3" s="170">
        <v>860078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SUM(PORTEFEUILLE_MARIE_PIERRE[[#This Row],[PCR COMPTABLE €]:[MONTANT
RESPONSABLE RELATION CLIENT €]])-PORTEFEUILLE_MARIE_PIERRE[[#This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400</v>
      </c>
      <c r="AT3" s="188" t="str">
        <f>IF(PORTEFEUILLE_MARIE_PIERRE[[#This Row],[BONI AAC]]&lt;&gt;0,1,"")</f>
        <v/>
      </c>
      <c r="AU3" s="188">
        <f>IF(PORTEFEUILLE_MARIE_PIERRE[[#This Row],[MALI AAC]]&lt;&gt;0,1,"")</f>
        <v>1</v>
      </c>
      <c r="AV3" s="225">
        <f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3" s="225">
        <f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" s="190" t="str">
        <f>IF(PORTEFEUILLE_MARIE_PIERRE[[#This Row],[BONI COMPTABLE]]&lt;&gt;0,1,"")</f>
        <v/>
      </c>
      <c r="AY3" s="190" t="str">
        <f>IF(PORTEFEUILLE_MARIE_PIERRE[[#This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226</v>
      </c>
      <c r="B4" s="170">
        <v>860079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SUM(PORTEFEUILLE_MARIE_PIERRE[[#This Row],[PCR COMPTABLE €]:[MONTANT
RESPONSABLE RELATION CLIENT €]])-PORTEFEUILLE_MARIE_PIERRE[[#This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1000</v>
      </c>
      <c r="AT4" s="188" t="str">
        <f>IF(PORTEFEUILLE_MARIE_PIERRE[[#This Row],[BONI AAC]]&lt;&gt;0,1,"")</f>
        <v/>
      </c>
      <c r="AU4" s="188">
        <f>IF(PORTEFEUILLE_MARIE_PIERRE[[#This Row],[MALI AAC]]&lt;&gt;0,1,"")</f>
        <v>1</v>
      </c>
      <c r="AV4" s="225">
        <f>IF(AP4&lt;&gt;"",IF((AP4*Paramètres!$H$4)-PORTEFEUILLE_MARIE_PIERRE[[#This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4" s="225">
        <f>IF(AP4&lt;&gt;"",IF(((AP4*Paramètres!$H$4)-PORTEFEUILLE_MARIE_PIERRE[[#This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3000</v>
      </c>
      <c r="AX4" s="190" t="str">
        <f>IF(PORTEFEUILLE_MARIE_PIERRE[[#This Row],[BONI COMPTABLE]]&lt;&gt;0,1,"")</f>
        <v/>
      </c>
      <c r="AY4" s="190">
        <f>IF(PORTEFEUILLE_MARIE_PIERRE[[#This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226</v>
      </c>
      <c r="B5" s="170">
        <v>860080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SUM(PORTEFEUILLE_MARIE_PIERRE[[#This Row],[PCR COMPTABLE €]:[MONTANT
RESPONSABLE RELATION CLIENT €]])-PORTEFEUILLE_MARIE_PIERRE[[#This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2200</v>
      </c>
      <c r="AT5" s="188" t="str">
        <f>IF(PORTEFEUILLE_MARIE_PIERRE[[#This Row],[BONI AAC]]&lt;&gt;0,1,"")</f>
        <v/>
      </c>
      <c r="AU5" s="188">
        <f>IF(PORTEFEUILLE_MARIE_PIERRE[[#This Row],[MALI AAC]]&lt;&gt;0,1,"")</f>
        <v>1</v>
      </c>
      <c r="AV5" s="225">
        <f>IF(AP5&lt;&gt;"",IF((AP5*Paramètres!$H$4)-PORTEFEUILLE_MARIE_PIERRE[[#This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5" s="225">
        <f>IF(AP5&lt;&gt;"",IF(((AP5*Paramètres!$H$4)-PORTEFEUILLE_MARIE_PIERRE[[#This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4150</v>
      </c>
      <c r="AX5" s="190" t="str">
        <f>IF(PORTEFEUILLE_MARIE_PIERRE[[#This Row],[BONI COMPTABLE]]&lt;&gt;0,1,"")</f>
        <v/>
      </c>
      <c r="AY5" s="190">
        <f>IF(PORTEFEUILLE_MARIE_PIERRE[[#This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SUM(PORTEFEUILLE_MARIE_PIERRE[[#This Row],[PCR COMPTABLE €]:[MONTANT
RESPONSABLE RELATION CLIENT €]])-PORTEFEUILLE_MARIE_PIERRE[[#This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" s="188" t="str">
        <f>IF(PORTEFEUILLE_MARIE_PIERRE[[#This Row],[BONI AAC]]&lt;&gt;0,1,"")</f>
        <v/>
      </c>
      <c r="AU6" s="188" t="str">
        <f>IF(PORTEFEUILLE_MARIE_PIERRE[[#This Row],[MALI AAC]]&lt;&gt;0,1,"")</f>
        <v/>
      </c>
      <c r="AV6" s="225">
        <f>IF(AP6&lt;&gt;"",IF((AP6*Paramètres!$H$4)-PORTEFEUILLE_MARIE_PIERRE[[#This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6" s="225">
        <f>IF(AP6&lt;&gt;"",IF(((AP6*Paramètres!$H$4)-PORTEFEUILLE_MARIE_PIERRE[[#This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" s="190" t="str">
        <f>IF(PORTEFEUILLE_MARIE_PIERRE[[#This Row],[BONI COMPTABLE]]&lt;&gt;0,1,"")</f>
        <v/>
      </c>
      <c r="AY6" s="190" t="str">
        <f>IF(PORTEFEUILLE_MARIE_PIERRE[[#This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SUM(PORTEFEUILLE_MARIE_PIERRE[[#This Row],[PCR COMPTABLE €]:[MONTANT
RESPONSABLE RELATION CLIENT €]])-PORTEFEUILLE_MARIE_PIERRE[[#This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7" s="188" t="str">
        <f>IF(PORTEFEUILLE_MARIE_PIERRE[[#This Row],[BONI AAC]]&lt;&gt;0,1,"")</f>
        <v/>
      </c>
      <c r="AU7" s="188" t="str">
        <f>IF(PORTEFEUILLE_MARIE_PIERRE[[#This Row],[MALI AAC]]&lt;&gt;0,1,"")</f>
        <v/>
      </c>
      <c r="AV7" s="225">
        <f>IF(AP7&lt;&gt;"",IF((AP7*Paramètres!$H$4)-PORTEFEUILLE_MARIE_PIERRE[[#This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7" s="225">
        <f>IF(AP7&lt;&gt;"",IF(((AP7*Paramètres!$H$4)-PORTEFEUILLE_MARIE_PIERRE[[#This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7" s="190" t="str">
        <f>IF(PORTEFEUILLE_MARIE_PIERRE[[#This Row],[BONI COMPTABLE]]&lt;&gt;0,1,"")</f>
        <v/>
      </c>
      <c r="AY7" s="190" t="str">
        <f>IF(PORTEFEUILLE_MARIE_PIERRE[[#This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SUM(PORTEFEUILLE_MARIE_PIERRE[[#This Row],[PCR COMPTABLE €]:[MONTANT
RESPONSABLE RELATION CLIENT €]])-PORTEFEUILLE_MARIE_PIERRE[[#This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8" s="188" t="str">
        <f>IF(PORTEFEUILLE_MARIE_PIERRE[[#This Row],[BONI AAC]]&lt;&gt;0,1,"")</f>
        <v/>
      </c>
      <c r="AU8" s="188" t="str">
        <f>IF(PORTEFEUILLE_MARIE_PIERRE[[#This Row],[MALI AAC]]&lt;&gt;0,1,"")</f>
        <v/>
      </c>
      <c r="AV8" s="225">
        <f>IF(AP8&lt;&gt;"",IF((AP8*Paramètres!$H$4)-PORTEFEUILLE_MARIE_PIERRE[[#This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8" s="225">
        <f>IF(AP8&lt;&gt;"",IF(((AP8*Paramètres!$H$4)-PORTEFEUILLE_MARIE_PIERRE[[#This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8" s="190" t="str">
        <f>IF(PORTEFEUILLE_MARIE_PIERRE[[#This Row],[BONI COMPTABLE]]&lt;&gt;0,1,"")</f>
        <v/>
      </c>
      <c r="AY8" s="190" t="str">
        <f>IF(PORTEFEUILLE_MARIE_PIERRE[[#This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SUM(PORTEFEUILLE_MARIE_PIERRE[[#This Row],[PCR COMPTABLE €]:[MONTANT
RESPONSABLE RELATION CLIENT €]])-PORTEFEUILLE_MARIE_PIERRE[[#This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9" s="188" t="str">
        <f>IF(PORTEFEUILLE_MARIE_PIERRE[[#This Row],[BONI AAC]]&lt;&gt;0,1,"")</f>
        <v/>
      </c>
      <c r="AU9" s="188" t="str">
        <f>IF(PORTEFEUILLE_MARIE_PIERRE[[#This Row],[MALI AAC]]&lt;&gt;0,1,"")</f>
        <v/>
      </c>
      <c r="AV9" s="225">
        <f>IF(AP9&lt;&gt;"",IF((AP9*Paramètres!$H$4)-PORTEFEUILLE_MARIE_PIERRE[[#This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f>
        <v>0</v>
      </c>
      <c r="AW9" s="225">
        <f>IF(AP9&lt;&gt;"",IF(((AP9*Paramètres!$H$4)-PORTEFEUILLE_MARIE_PIERRE[[#This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9" s="190" t="str">
        <f>IF(PORTEFEUILLE_MARIE_PIERRE[[#This Row],[BONI COMPTABLE]]&lt;&gt;0,1,"")</f>
        <v/>
      </c>
      <c r="AY9" s="190" t="str">
        <f>IF(PORTEFEUILLE_MARIE_PIERRE[[#This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SUM(PORTEFEUILLE_MARIE_PIERRE[[#This Row],[PCR COMPTABLE €]:[MONTANT
RESPONSABLE RELATION CLIENT €]])-PORTEFEUILLE_MARIE_PIERRE[[#This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0" s="188" t="str">
        <f>IF(PORTEFEUILLE_MARIE_PIERRE[[#This Row],[BONI AAC]]&lt;&gt;0,1,"")</f>
        <v/>
      </c>
      <c r="AU10" s="188" t="str">
        <f>IF(PORTEFEUILLE_MARIE_PIERRE[[#This Row],[MALI AAC]]&lt;&gt;0,1,"")</f>
        <v/>
      </c>
      <c r="AV10" s="225">
        <f>IF(AP10&lt;&gt;"",IF((AP10*Paramètres!$H$4)-PORTEFEUILLE_MARIE_PIERRE[[#This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10" s="225">
        <f>IF(AP10&lt;&gt;"",IF(((AP10*Paramètres!$H$4)-PORTEFEUILLE_MARIE_PIERRE[[#This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0" s="190" t="str">
        <f>IF(PORTEFEUILLE_MARIE_PIERRE[[#This Row],[BONI COMPTABLE]]&lt;&gt;0,1,"")</f>
        <v/>
      </c>
      <c r="AY10" s="190" t="str">
        <f>IF(PORTEFEUILLE_MARIE_PIERRE[[#This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SUM(PORTEFEUILLE_MARIE_PIERRE[[#This Row],[PCR COMPTABLE €]:[MONTANT
RESPONSABLE RELATION CLIENT €]])-PORTEFEUILLE_MARIE_PIERRE[[#This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1" s="188" t="str">
        <f>IF(PORTEFEUILLE_MARIE_PIERRE[[#This Row],[BONI AAC]]&lt;&gt;0,1,"")</f>
        <v/>
      </c>
      <c r="AU11" s="188" t="str">
        <f>IF(PORTEFEUILLE_MARIE_PIERRE[[#This Row],[MALI AAC]]&lt;&gt;0,1,"")</f>
        <v/>
      </c>
      <c r="AV11" s="225">
        <f>IF(AP11&lt;&gt;"",IF((AP11*Paramètres!$H$4)-PORTEFEUILLE_MARIE_PIERRE[[#This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€]]-(DELPHINE!AP4*Paramètres!$H$4),0),0)</f>
        <v>0</v>
      </c>
      <c r="AW11" s="225">
        <f>IF(AP11&lt;&gt;"",IF(((AP11*Paramètres!$H$4)-PORTEFEUILLE_MARIE_PIERRE[[#This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1" s="190" t="str">
        <f>IF(PORTEFEUILLE_MARIE_PIERRE[[#This Row],[BONI COMPTABLE]]&lt;&gt;0,1,"")</f>
        <v/>
      </c>
      <c r="AY11" s="190" t="str">
        <f>IF(PORTEFEUILLE_MARIE_PIERRE[[#This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SUM(PORTEFEUILLE_MARIE_PIERRE[[#This Row],[PCR COMPTABLE €]:[MONTANT
RESPONSABLE RELATION CLIENT €]])-PORTEFEUILLE_MARIE_PIERRE[[#This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2" s="188" t="str">
        <f>IF(PORTEFEUILLE_MARIE_PIERRE[[#This Row],[BONI AAC]]&lt;&gt;0,1,"")</f>
        <v/>
      </c>
      <c r="AU12" s="188" t="str">
        <f>IF(PORTEFEUILLE_MARIE_PIERRE[[#This Row],[MALI AAC]]&lt;&gt;0,1,"")</f>
        <v/>
      </c>
      <c r="AV12" s="225">
        <f>IF(AP12&lt;&gt;"",IF((AP12*Paramètres!$H$4)-PORTEFEUILLE_MARIE_PIERRE[[#This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€]]-(DELPHINE!AP5*Paramètres!$H$4),0),0)</f>
        <v>0</v>
      </c>
      <c r="AW12" s="225">
        <f>IF(AP12&lt;&gt;"",IF(((AP12*Paramètres!$H$4)-PORTEFEUILLE_MARIE_PIERRE[[#This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2" s="190" t="str">
        <f>IF(PORTEFEUILLE_MARIE_PIERRE[[#This Row],[BONI COMPTABLE]]&lt;&gt;0,1,"")</f>
        <v/>
      </c>
      <c r="AY12" s="190" t="str">
        <f>IF(PORTEFEUILLE_MARIE_PIERRE[[#This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SUM(PORTEFEUILLE_MARIE_PIERRE[[#This Row],[PCR COMPTABLE €]:[MONTANT
RESPONSABLE RELATION CLIENT €]])-PORTEFEUILLE_MARIE_PIERRE[[#This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3" s="188" t="str">
        <f>IF(PORTEFEUILLE_MARIE_PIERRE[[#This Row],[BONI AAC]]&lt;&gt;0,1,"")</f>
        <v/>
      </c>
      <c r="AU13" s="188" t="str">
        <f>IF(PORTEFEUILLE_MARIE_PIERRE[[#This Row],[MALI AAC]]&lt;&gt;0,1,"")</f>
        <v/>
      </c>
      <c r="AV13" s="225">
        <f>IF(AP13&lt;&gt;"",IF((AP13*Paramètres!$H$4)-PORTEFEUILLE_MARIE_PIERRE[[#This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€]]-(DELPHINE!AP6*Paramètres!$H$4),0),0)</f>
        <v>0</v>
      </c>
      <c r="AW13" s="225">
        <f>IF(AP13&lt;&gt;"",IF(((AP13*Paramètres!$H$4)-PORTEFEUILLE_MARIE_PIERRE[[#This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3" s="190" t="str">
        <f>IF(PORTEFEUILLE_MARIE_PIERRE[[#This Row],[BONI COMPTABLE]]&lt;&gt;0,1,"")</f>
        <v/>
      </c>
      <c r="AY13" s="190" t="str">
        <f>IF(PORTEFEUILLE_MARIE_PIERRE[[#This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SUM(PORTEFEUILLE_MARIE_PIERRE[[#This Row],[PCR COMPTABLE €]:[MONTANT
RESPONSABLE RELATION CLIENT €]])-PORTEFEUILLE_MARIE_PIERRE[[#This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4" s="188" t="str">
        <f>IF(PORTEFEUILLE_MARIE_PIERRE[[#This Row],[BONI AAC]]&lt;&gt;0,1,"")</f>
        <v/>
      </c>
      <c r="AU14" s="188" t="str">
        <f>IF(PORTEFEUILLE_MARIE_PIERRE[[#This Row],[MALI AAC]]&lt;&gt;0,1,"")</f>
        <v/>
      </c>
      <c r="AV14" s="225">
        <f>IF(AP14&lt;&gt;"",IF((AP14*Paramètres!$H$4)-PORTEFEUILLE_MARIE_PIERRE[[#This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14" s="225">
        <f>IF(AP14&lt;&gt;"",IF(((AP14*Paramètres!$H$4)-PORTEFEUILLE_MARIE_PIERRE[[#This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4" s="190" t="str">
        <f>IF(PORTEFEUILLE_MARIE_PIERRE[[#This Row],[BONI COMPTABLE]]&lt;&gt;0,1,"")</f>
        <v/>
      </c>
      <c r="AY14" s="190" t="str">
        <f>IF(PORTEFEUILLE_MARIE_PIERRE[[#This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SUM(PORTEFEUILLE_MARIE_PIERRE[[#This Row],[PCR COMPTABLE €]:[MONTANT
RESPONSABLE RELATION CLIENT €]])-PORTEFEUILLE_MARIE_PIERRE[[#This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5" s="188" t="str">
        <f>IF(PORTEFEUILLE_MARIE_PIERRE[[#This Row],[BONI AAC]]&lt;&gt;0,1,"")</f>
        <v/>
      </c>
      <c r="AU15" s="188" t="str">
        <f>IF(PORTEFEUILLE_MARIE_PIERRE[[#This Row],[MALI AAC]]&lt;&gt;0,1,"")</f>
        <v/>
      </c>
      <c r="AV15" s="225">
        <f>IF(AP15&lt;&gt;"",IF((AP15*Paramètres!$H$4)-PORTEFEUILLE_MARIE_PIERRE[[#This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€]]-(DELPHINE!#REF!*Paramètres!$H$4),0),0)</f>
        <v>0</v>
      </c>
      <c r="AW15" s="225">
        <f>IF(AP15&lt;&gt;"",IF(((AP15*Paramètres!$H$4)-PORTEFEUILLE_MARIE_PIERRE[[#This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5" s="190" t="str">
        <f>IF(PORTEFEUILLE_MARIE_PIERRE[[#This Row],[BONI COMPTABLE]]&lt;&gt;0,1,"")</f>
        <v/>
      </c>
      <c r="AY15" s="190" t="str">
        <f>IF(PORTEFEUILLE_MARIE_PIERRE[[#This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SUM(PORTEFEUILLE_MARIE_PIERRE[[#This Row],[PCR COMPTABLE €]:[MONTANT
RESPONSABLE RELATION CLIENT €]])-PORTEFEUILLE_MARIE_PIERRE[[#This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6" s="188" t="str">
        <f>IF(PORTEFEUILLE_MARIE_PIERRE[[#This Row],[BONI AAC]]&lt;&gt;0,1,"")</f>
        <v/>
      </c>
      <c r="AU16" s="188" t="str">
        <f>IF(PORTEFEUILLE_MARIE_PIERRE[[#This Row],[MALI AAC]]&lt;&gt;0,1,"")</f>
        <v/>
      </c>
      <c r="AV16" s="225">
        <f>IF(AP16&lt;&gt;"",IF((AP16*Paramètres!$H$4)-PORTEFEUILLE_MARIE_PIERRE[[#This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€]]-(DELPHINE!AP7*Paramètres!$H$4),0),0)</f>
        <v>0</v>
      </c>
      <c r="AW16" s="225">
        <f>IF(AP16&lt;&gt;"",IF(((AP16*Paramètres!$H$4)-PORTEFEUILLE_MARIE_PIERRE[[#This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6" s="190" t="str">
        <f>IF(PORTEFEUILLE_MARIE_PIERRE[[#This Row],[BONI COMPTABLE]]&lt;&gt;0,1,"")</f>
        <v/>
      </c>
      <c r="AY16" s="190" t="str">
        <f>IF(PORTEFEUILLE_MARIE_PIERRE[[#This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SUM(PORTEFEUILLE_MARIE_PIERRE[[#This Row],[PCR COMPTABLE €]:[MONTANT
RESPONSABLE RELATION CLIENT €]])-PORTEFEUILLE_MARIE_PIERRE[[#This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7" s="188" t="str">
        <f>IF(PORTEFEUILLE_MARIE_PIERRE[[#This Row],[BONI AAC]]&lt;&gt;0,1,"")</f>
        <v/>
      </c>
      <c r="AU17" s="188" t="str">
        <f>IF(PORTEFEUILLE_MARIE_PIERRE[[#This Row],[MALI AAC]]&lt;&gt;0,1,"")</f>
        <v/>
      </c>
      <c r="AV17" s="225">
        <f>IF(AP17&lt;&gt;"",IF((AP17*Paramètres!$H$4)-PORTEFEUILLE_MARIE_PIERRE[[#This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€]]-(DELPHINE!AP8*Paramètres!$H$4),0),0)</f>
        <v>0</v>
      </c>
      <c r="AW17" s="225">
        <f>IF(AP17&lt;&gt;"",IF(((AP17*Paramètres!$H$4)-PORTEFEUILLE_MARIE_PIERRE[[#This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7" s="190" t="str">
        <f>IF(PORTEFEUILLE_MARIE_PIERRE[[#This Row],[BONI COMPTABLE]]&lt;&gt;0,1,"")</f>
        <v/>
      </c>
      <c r="AY17" s="190" t="str">
        <f>IF(PORTEFEUILLE_MARIE_PIERRE[[#This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SUM(PORTEFEUILLE_MARIE_PIERRE[[#This Row],[PCR COMPTABLE €]:[MONTANT
RESPONSABLE RELATION CLIENT €]])-PORTEFEUILLE_MARIE_PIERRE[[#This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8" s="188" t="str">
        <f>IF(PORTEFEUILLE_MARIE_PIERRE[[#This Row],[BONI AAC]]&lt;&gt;0,1,"")</f>
        <v/>
      </c>
      <c r="AU18" s="188" t="str">
        <f>IF(PORTEFEUILLE_MARIE_PIERRE[[#This Row],[MALI AAC]]&lt;&gt;0,1,"")</f>
        <v/>
      </c>
      <c r="AV18" s="225">
        <f>IF(AP18&lt;&gt;"",IF((AP18*Paramètres!$H$4)-PORTEFEUILLE_MARIE_PIERRE[[#This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€]]-(DELPHINE!AP9*Paramètres!$H$4),0),0)</f>
        <v>0</v>
      </c>
      <c r="AW18" s="225">
        <f>IF(AP18&lt;&gt;"",IF(((AP18*Paramètres!$H$4)-PORTEFEUILLE_MARIE_PIERRE[[#This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8" s="190" t="str">
        <f>IF(PORTEFEUILLE_MARIE_PIERRE[[#This Row],[BONI COMPTABLE]]&lt;&gt;0,1,"")</f>
        <v/>
      </c>
      <c r="AY18" s="190" t="str">
        <f>IF(PORTEFEUILLE_MARIE_PIERRE[[#This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SUM(PORTEFEUILLE_MARIE_PIERRE[[#This Row],[PCR COMPTABLE €]:[MONTANT
RESPONSABLE RELATION CLIENT €]])-PORTEFEUILLE_MARIE_PIERRE[[#This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9" s="188" t="str">
        <f>IF(PORTEFEUILLE_MARIE_PIERRE[[#This Row],[BONI AAC]]&lt;&gt;0,1,"")</f>
        <v/>
      </c>
      <c r="AU19" s="188" t="str">
        <f>IF(PORTEFEUILLE_MARIE_PIERRE[[#This Row],[MALI AAC]]&lt;&gt;0,1,"")</f>
        <v/>
      </c>
      <c r="AV19" s="225">
        <f>IF(AP19&lt;&gt;"",IF((AP19*Paramètres!$H$4)-PORTEFEUILLE_MARIE_PIERRE[[#This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€]]-(DELPHINE!AP10*Paramètres!$H$4),0),0)</f>
        <v>0</v>
      </c>
      <c r="AW19" s="225">
        <f>IF(AP19&lt;&gt;"",IF(((AP19*Paramètres!$H$4)-PORTEFEUILLE_MARIE_PIERRE[[#This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9" s="190" t="str">
        <f>IF(PORTEFEUILLE_MARIE_PIERRE[[#This Row],[BONI COMPTABLE]]&lt;&gt;0,1,"")</f>
        <v/>
      </c>
      <c r="AY19" s="190" t="str">
        <f>IF(PORTEFEUILLE_MARIE_PIERRE[[#This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SUM(PORTEFEUILLE_MARIE_PIERRE[[#This Row],[PCR COMPTABLE €]:[MONTANT
RESPONSABLE RELATION CLIENT €]])-PORTEFEUILLE_MARIE_PIERRE[[#This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0" s="188" t="str">
        <f>IF(PORTEFEUILLE_MARIE_PIERRE[[#This Row],[BONI AAC]]&lt;&gt;0,1,"")</f>
        <v/>
      </c>
      <c r="AU20" s="188" t="str">
        <f>IF(PORTEFEUILLE_MARIE_PIERRE[[#This Row],[MALI AAC]]&lt;&gt;0,1,"")</f>
        <v/>
      </c>
      <c r="AV20" s="225">
        <f>IF(AP20&lt;&gt;"",IF((AP20*Paramètres!$H$4)-PORTEFEUILLE_MARIE_PIERRE[[#This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€]]-(DELPHINE!AP11*Paramètres!$H$4),0),0)</f>
        <v>0</v>
      </c>
      <c r="AW20" s="225">
        <f>IF(AP20&lt;&gt;"",IF(((AP20*Paramètres!$H$4)-PORTEFEUILLE_MARIE_PIERRE[[#This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0" s="190" t="str">
        <f>IF(PORTEFEUILLE_MARIE_PIERRE[[#This Row],[BONI COMPTABLE]]&lt;&gt;0,1,"")</f>
        <v/>
      </c>
      <c r="AY20" s="190" t="str">
        <f>IF(PORTEFEUILLE_MARIE_PIERRE[[#This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SUM(PORTEFEUILLE_MARIE_PIERRE[[#This Row],[PCR COMPTABLE €]:[MONTANT
RESPONSABLE RELATION CLIENT €]])-PORTEFEUILLE_MARIE_PIERRE[[#This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1" s="188" t="str">
        <f>IF(PORTEFEUILLE_MARIE_PIERRE[[#This Row],[BONI AAC]]&lt;&gt;0,1,"")</f>
        <v/>
      </c>
      <c r="AU21" s="188" t="str">
        <f>IF(PORTEFEUILLE_MARIE_PIERRE[[#This Row],[MALI AAC]]&lt;&gt;0,1,"")</f>
        <v/>
      </c>
      <c r="AV21" s="225">
        <f>IF(AP21&lt;&gt;"",IF((AP21*Paramètres!$H$4)-PORTEFEUILLE_MARIE_PIERRE[[#This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€]]-(DELPHINE!AP12*Paramètres!$H$4),0),0)</f>
        <v>0</v>
      </c>
      <c r="AW21" s="225">
        <f>IF(AP21&lt;&gt;"",IF(((AP21*Paramètres!$H$4)-PORTEFEUILLE_MARIE_PIERRE[[#This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1" s="190" t="str">
        <f>IF(PORTEFEUILLE_MARIE_PIERRE[[#This Row],[BONI COMPTABLE]]&lt;&gt;0,1,"")</f>
        <v/>
      </c>
      <c r="AY21" s="190" t="str">
        <f>IF(PORTEFEUILLE_MARIE_PIERRE[[#This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SUM(PORTEFEUILLE_MARIE_PIERRE[[#This Row],[PCR COMPTABLE €]:[MONTANT
RESPONSABLE RELATION CLIENT €]])-PORTEFEUILLE_MARIE_PIERRE[[#This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2" s="188" t="str">
        <f>IF(PORTEFEUILLE_MARIE_PIERRE[[#This Row],[BONI AAC]]&lt;&gt;0,1,"")</f>
        <v/>
      </c>
      <c r="AU22" s="188" t="str">
        <f>IF(PORTEFEUILLE_MARIE_PIERRE[[#This Row],[MALI AAC]]&lt;&gt;0,1,"")</f>
        <v/>
      </c>
      <c r="AV22" s="225">
        <f>IF(AP22&lt;&gt;"",IF((AP22*Paramètres!$H$4)-PORTEFEUILLE_MARIE_PIERRE[[#This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€]]-(DELPHINE!AP13*Paramètres!$H$4),0),0)</f>
        <v>0</v>
      </c>
      <c r="AW22" s="225">
        <f>IF(AP22&lt;&gt;"",IF(((AP22*Paramètres!$H$4)-PORTEFEUILLE_MARIE_PIERRE[[#This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2" s="190" t="str">
        <f>IF(PORTEFEUILLE_MARIE_PIERRE[[#This Row],[BONI COMPTABLE]]&lt;&gt;0,1,"")</f>
        <v/>
      </c>
      <c r="AY22" s="190" t="str">
        <f>IF(PORTEFEUILLE_MARIE_PIERRE[[#This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SUM(PORTEFEUILLE_MARIE_PIERRE[[#This Row],[PCR COMPTABLE €]:[MONTANT
RESPONSABLE RELATION CLIENT €]])-PORTEFEUILLE_MARIE_PIERRE[[#This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3" s="188" t="str">
        <f>IF(PORTEFEUILLE_MARIE_PIERRE[[#This Row],[BONI AAC]]&lt;&gt;0,1,"")</f>
        <v/>
      </c>
      <c r="AU23" s="188" t="str">
        <f>IF(PORTEFEUILLE_MARIE_PIERRE[[#This Row],[MALI AAC]]&lt;&gt;0,1,"")</f>
        <v/>
      </c>
      <c r="AV23" s="225">
        <f>IF(AP23&lt;&gt;"",IF((AP23*Paramètres!$H$4)-PORTEFEUILLE_MARIE_PIERRE[[#This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€]]-(DELPHINE!AP14*Paramètres!$H$4),0),0)</f>
        <v>0</v>
      </c>
      <c r="AW23" s="225">
        <f>IF(AP23&lt;&gt;"",IF(((AP23*Paramètres!$H$4)-PORTEFEUILLE_MARIE_PIERRE[[#This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3" s="190" t="str">
        <f>IF(PORTEFEUILLE_MARIE_PIERRE[[#This Row],[BONI COMPTABLE]]&lt;&gt;0,1,"")</f>
        <v/>
      </c>
      <c r="AY23" s="190" t="str">
        <f>IF(PORTEFEUILLE_MARIE_PIERRE[[#This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SUM(PORTEFEUILLE_MARIE_PIERRE[[#This Row],[PCR COMPTABLE €]:[MONTANT
RESPONSABLE RELATION CLIENT €]])-PORTEFEUILLE_MARIE_PIERRE[[#This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4" s="188" t="str">
        <f>IF(PORTEFEUILLE_MARIE_PIERRE[[#This Row],[BONI AAC]]&lt;&gt;0,1,"")</f>
        <v/>
      </c>
      <c r="AU24" s="188" t="str">
        <f>IF(PORTEFEUILLE_MARIE_PIERRE[[#This Row],[MALI AAC]]&lt;&gt;0,1,"")</f>
        <v/>
      </c>
      <c r="AV24" s="225">
        <f>IF(AP24&lt;&gt;"",IF((AP24*Paramètres!$H$4)-PORTEFEUILLE_MARIE_PIERRE[[#This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€]]-(DELPHINE!AP15*Paramètres!$H$4),0),0)</f>
        <v>0</v>
      </c>
      <c r="AW24" s="225">
        <f>IF(AP24&lt;&gt;"",IF(((AP24*Paramètres!$H$4)-PORTEFEUILLE_MARIE_PIERRE[[#This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4" s="190" t="str">
        <f>IF(PORTEFEUILLE_MARIE_PIERRE[[#This Row],[BONI COMPTABLE]]&lt;&gt;0,1,"")</f>
        <v/>
      </c>
      <c r="AY24" s="190" t="str">
        <f>IF(PORTEFEUILLE_MARIE_PIERRE[[#This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SUM(PORTEFEUILLE_MARIE_PIERRE[[#This Row],[PCR COMPTABLE €]:[MONTANT
RESPONSABLE RELATION CLIENT €]])-PORTEFEUILLE_MARIE_PIERRE[[#This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5" s="188" t="str">
        <f>IF(PORTEFEUILLE_MARIE_PIERRE[[#This Row],[BONI AAC]]&lt;&gt;0,1,"")</f>
        <v/>
      </c>
      <c r="AU25" s="188" t="str">
        <f>IF(PORTEFEUILLE_MARIE_PIERRE[[#This Row],[MALI AAC]]&lt;&gt;0,1,"")</f>
        <v/>
      </c>
      <c r="AV25" s="225">
        <f>IF(AP25&lt;&gt;"",IF((AP25*Paramètres!$H$4)-PORTEFEUILLE_MARIE_PIERRE[[#This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€]]-(DELPHINE!AP16*Paramètres!$H$4),0),0)</f>
        <v>0</v>
      </c>
      <c r="AW25" s="225">
        <f>IF(AP25&lt;&gt;"",IF(((AP25*Paramètres!$H$4)-PORTEFEUILLE_MARIE_PIERRE[[#This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5" s="190" t="str">
        <f>IF(PORTEFEUILLE_MARIE_PIERRE[[#This Row],[BONI COMPTABLE]]&lt;&gt;0,1,"")</f>
        <v/>
      </c>
      <c r="AY25" s="190" t="str">
        <f>IF(PORTEFEUILLE_MARIE_PIERRE[[#This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SUM(PORTEFEUILLE_MARIE_PIERRE[[#This Row],[PCR COMPTABLE €]:[MONTANT
RESPONSABLE RELATION CLIENT €]])-PORTEFEUILLE_MARIE_PIERRE[[#This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6" s="188" t="str">
        <f>IF(PORTEFEUILLE_MARIE_PIERRE[[#This Row],[BONI AAC]]&lt;&gt;0,1,"")</f>
        <v/>
      </c>
      <c r="AU26" s="188" t="str">
        <f>IF(PORTEFEUILLE_MARIE_PIERRE[[#This Row],[MALI AAC]]&lt;&gt;0,1,"")</f>
        <v/>
      </c>
      <c r="AV26" s="225">
        <f>IF(AP26&lt;&gt;"",IF((AP26*Paramètres!$H$4)-PORTEFEUILLE_MARIE_PIERRE[[#This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€]]-(DELPHINE!AP17*Paramètres!$H$4),0),0)</f>
        <v>0</v>
      </c>
      <c r="AW26" s="225">
        <f>IF(AP26&lt;&gt;"",IF(((AP26*Paramètres!$H$4)-PORTEFEUILLE_MARIE_PIERRE[[#This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6" s="190" t="str">
        <f>IF(PORTEFEUILLE_MARIE_PIERRE[[#This Row],[BONI COMPTABLE]]&lt;&gt;0,1,"")</f>
        <v/>
      </c>
      <c r="AY26" s="190" t="str">
        <f>IF(PORTEFEUILLE_MARIE_PIERRE[[#This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SUM(PORTEFEUILLE_MARIE_PIERRE[[#This Row],[PCR COMPTABLE €]:[MONTANT
RESPONSABLE RELATION CLIENT €]])-PORTEFEUILLE_MARIE_PIERRE[[#This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7" s="188" t="str">
        <f>IF(PORTEFEUILLE_MARIE_PIERRE[[#This Row],[BONI AAC]]&lt;&gt;0,1,"")</f>
        <v/>
      </c>
      <c r="AU27" s="188" t="str">
        <f>IF(PORTEFEUILLE_MARIE_PIERRE[[#This Row],[MALI AAC]]&lt;&gt;0,1,"")</f>
        <v/>
      </c>
      <c r="AV27" s="225">
        <f>IF(AP27&lt;&gt;"",IF((AP27*Paramètres!$H$4)-PORTEFEUILLE_MARIE_PIERRE[[#This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€]]-(DELPHINE!AP18*Paramètres!$H$4),0),0)</f>
        <v>0</v>
      </c>
      <c r="AW27" s="225">
        <f>IF(AP27&lt;&gt;"",IF(((AP27*Paramètres!$H$4)-PORTEFEUILLE_MARIE_PIERRE[[#This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7" s="190" t="str">
        <f>IF(PORTEFEUILLE_MARIE_PIERRE[[#This Row],[BONI COMPTABLE]]&lt;&gt;0,1,"")</f>
        <v/>
      </c>
      <c r="AY27" s="190" t="str">
        <f>IF(PORTEFEUILLE_MARIE_PIERRE[[#This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SUM(PORTEFEUILLE_MARIE_PIERRE[[#This Row],[PCR COMPTABLE €]:[MONTANT
RESPONSABLE RELATION CLIENT €]])-PORTEFEUILLE_MARIE_PIERRE[[#This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8" s="188" t="str">
        <f>IF(PORTEFEUILLE_MARIE_PIERRE[[#This Row],[BONI AAC]]&lt;&gt;0,1,"")</f>
        <v/>
      </c>
      <c r="AU28" s="188" t="str">
        <f>IF(PORTEFEUILLE_MARIE_PIERRE[[#This Row],[MALI AAC]]&lt;&gt;0,1,"")</f>
        <v/>
      </c>
      <c r="AV28" s="225">
        <f>IF(AP28&lt;&gt;"",IF((AP28*Paramètres!$H$4)-PORTEFEUILLE_MARIE_PIERRE[[#This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€]]-(DELPHINE!AP19*Paramètres!$H$4),0),0)</f>
        <v>0</v>
      </c>
      <c r="AW28" s="225">
        <f>IF(AP28&lt;&gt;"",IF(((AP28*Paramètres!$H$4)-PORTEFEUILLE_MARIE_PIERRE[[#This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8" s="190" t="str">
        <f>IF(PORTEFEUILLE_MARIE_PIERRE[[#This Row],[BONI COMPTABLE]]&lt;&gt;0,1,"")</f>
        <v/>
      </c>
      <c r="AY28" s="190" t="str">
        <f>IF(PORTEFEUILLE_MARIE_PIERRE[[#This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SUM(PORTEFEUILLE_MARIE_PIERRE[[#This Row],[PCR COMPTABLE €]:[MONTANT
RESPONSABLE RELATION CLIENT €]])-PORTEFEUILLE_MARIE_PIERRE[[#This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9" s="188" t="str">
        <f>IF(PORTEFEUILLE_MARIE_PIERRE[[#This Row],[BONI AAC]]&lt;&gt;0,1,"")</f>
        <v/>
      </c>
      <c r="AU29" s="188" t="str">
        <f>IF(PORTEFEUILLE_MARIE_PIERRE[[#This Row],[MALI AAC]]&lt;&gt;0,1,"")</f>
        <v/>
      </c>
      <c r="AV29" s="225">
        <f>IF(AP29&lt;&gt;"",IF((AP29*Paramètres!$H$4)-PORTEFEUILLE_MARIE_PIERRE[[#This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€]]-(DELPHINE!AP20*Paramètres!$H$4),0),0)</f>
        <v>0</v>
      </c>
      <c r="AW29" s="225">
        <f>IF(AP29&lt;&gt;"",IF(((AP29*Paramètres!$H$4)-PORTEFEUILLE_MARIE_PIERRE[[#This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9" s="190" t="str">
        <f>IF(PORTEFEUILLE_MARIE_PIERRE[[#This Row],[BONI COMPTABLE]]&lt;&gt;0,1,"")</f>
        <v/>
      </c>
      <c r="AY29" s="190" t="str">
        <f>IF(PORTEFEUILLE_MARIE_PIERRE[[#This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SUM(PORTEFEUILLE_MARIE_PIERRE[[#This Row],[PCR COMPTABLE €]:[MONTANT
RESPONSABLE RELATION CLIENT €]])-PORTEFEUILLE_MARIE_PIERRE[[#This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0" s="188" t="str">
        <f>IF(PORTEFEUILLE_MARIE_PIERRE[[#This Row],[BONI AAC]]&lt;&gt;0,1,"")</f>
        <v/>
      </c>
      <c r="AU30" s="188" t="str">
        <f>IF(PORTEFEUILLE_MARIE_PIERRE[[#This Row],[MALI AAC]]&lt;&gt;0,1,"")</f>
        <v/>
      </c>
      <c r="AV30" s="225">
        <f>IF(AP30&lt;&gt;"",IF((AP30*Paramètres!$H$4)-PORTEFEUILLE_MARIE_PIERRE[[#This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€]]-(DELPHINE!AP21*Paramètres!$H$4),0),0)</f>
        <v>0</v>
      </c>
      <c r="AW30" s="225">
        <f>IF(AP30&lt;&gt;"",IF(((AP30*Paramètres!$H$4)-PORTEFEUILLE_MARIE_PIERRE[[#This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0" s="190" t="str">
        <f>IF(PORTEFEUILLE_MARIE_PIERRE[[#This Row],[BONI COMPTABLE]]&lt;&gt;0,1,"")</f>
        <v/>
      </c>
      <c r="AY30" s="190" t="str">
        <f>IF(PORTEFEUILLE_MARIE_PIERRE[[#This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SUM(PORTEFEUILLE_MARIE_PIERRE[[#This Row],[PCR COMPTABLE €]:[MONTANT
RESPONSABLE RELATION CLIENT €]])-PORTEFEUILLE_MARIE_PIERRE[[#This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1" s="188" t="str">
        <f>IF(PORTEFEUILLE_MARIE_PIERRE[[#This Row],[BONI AAC]]&lt;&gt;0,1,"")</f>
        <v/>
      </c>
      <c r="AU31" s="188" t="str">
        <f>IF(PORTEFEUILLE_MARIE_PIERRE[[#This Row],[MALI AAC]]&lt;&gt;0,1,"")</f>
        <v/>
      </c>
      <c r="AV31" s="225">
        <f>IF(AP31&lt;&gt;"",IF((AP31*Paramètres!$H$4)-PORTEFEUILLE_MARIE_PIERRE[[#This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€]]-(DELPHINE!AP22*Paramètres!$H$4),0),0)</f>
        <v>0</v>
      </c>
      <c r="AW31" s="225">
        <f>IF(AP31&lt;&gt;"",IF(((AP31*Paramètres!$H$4)-PORTEFEUILLE_MARIE_PIERRE[[#This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1" s="190" t="str">
        <f>IF(PORTEFEUILLE_MARIE_PIERRE[[#This Row],[BONI COMPTABLE]]&lt;&gt;0,1,"")</f>
        <v/>
      </c>
      <c r="AY31" s="190" t="str">
        <f>IF(PORTEFEUILLE_MARIE_PIERRE[[#This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SUM(PORTEFEUILLE_MARIE_PIERRE[[#This Row],[PCR COMPTABLE €]:[MONTANT
RESPONSABLE RELATION CLIENT €]])-PORTEFEUILLE_MARIE_PIERRE[[#This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2" s="188" t="str">
        <f>IF(PORTEFEUILLE_MARIE_PIERRE[[#This Row],[BONI AAC]]&lt;&gt;0,1,"")</f>
        <v/>
      </c>
      <c r="AU32" s="188" t="str">
        <f>IF(PORTEFEUILLE_MARIE_PIERRE[[#This Row],[MALI AAC]]&lt;&gt;0,1,"")</f>
        <v/>
      </c>
      <c r="AV32" s="225">
        <f>IF(AP32&lt;&gt;"",IF((AP32*Paramètres!$H$4)-PORTEFEUILLE_MARIE_PIERRE[[#This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€]]-(DELPHINE!AP23*Paramètres!$H$4),0),0)</f>
        <v>0</v>
      </c>
      <c r="AW32" s="225">
        <f>IF(AP32&lt;&gt;"",IF(((AP32*Paramètres!$H$4)-PORTEFEUILLE_MARIE_PIERRE[[#This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2" s="190" t="str">
        <f>IF(PORTEFEUILLE_MARIE_PIERRE[[#This Row],[BONI COMPTABLE]]&lt;&gt;0,1,"")</f>
        <v/>
      </c>
      <c r="AY32" s="190" t="str">
        <f>IF(PORTEFEUILLE_MARIE_PIERRE[[#This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SUM(PORTEFEUILLE_MARIE_PIERRE[[#This Row],[PCR COMPTABLE €]:[MONTANT
RESPONSABLE RELATION CLIENT €]])-PORTEFEUILLE_MARIE_PIERRE[[#This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3" s="188" t="str">
        <f>IF(PORTEFEUILLE_MARIE_PIERRE[[#This Row],[BONI AAC]]&lt;&gt;0,1,"")</f>
        <v/>
      </c>
      <c r="AU33" s="188" t="str">
        <f>IF(PORTEFEUILLE_MARIE_PIERRE[[#This Row],[MALI AAC]]&lt;&gt;0,1,"")</f>
        <v/>
      </c>
      <c r="AV33" s="225">
        <f>IF(AP33&lt;&gt;"",IF((AP33*Paramètres!$H$4)-PORTEFEUILLE_MARIE_PIERRE[[#This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€]]-(DELPHINE!AP24*Paramètres!$H$4),0),0)</f>
        <v>0</v>
      </c>
      <c r="AW33" s="225">
        <f>IF(AP33&lt;&gt;"",IF(((AP33*Paramètres!$H$4)-PORTEFEUILLE_MARIE_PIERRE[[#This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3" s="190" t="str">
        <f>IF(PORTEFEUILLE_MARIE_PIERRE[[#This Row],[BONI COMPTABLE]]&lt;&gt;0,1,"")</f>
        <v/>
      </c>
      <c r="AY33" s="190" t="str">
        <f>IF(PORTEFEUILLE_MARIE_PIERRE[[#This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SUM(PORTEFEUILLE_MARIE_PIERRE[[#This Row],[PCR COMPTABLE €]:[MONTANT
RESPONSABLE RELATION CLIENT €]])-PORTEFEUILLE_MARIE_PIERRE[[#This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4" s="188" t="str">
        <f>IF(PORTEFEUILLE_MARIE_PIERRE[[#This Row],[BONI AAC]]&lt;&gt;0,1,"")</f>
        <v/>
      </c>
      <c r="AU34" s="188" t="str">
        <f>IF(PORTEFEUILLE_MARIE_PIERRE[[#This Row],[MALI AAC]]&lt;&gt;0,1,"")</f>
        <v/>
      </c>
      <c r="AV34" s="225">
        <f>IF(AP34&lt;&gt;"",IF((AP34*Paramètres!$H$4)-PORTEFEUILLE_MARIE_PIERRE[[#This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€]]-(DELPHINE!AP25*Paramètres!$H$4),0),0)</f>
        <v>0</v>
      </c>
      <c r="AW34" s="225">
        <f>IF(AP34&lt;&gt;"",IF(((AP34*Paramètres!$H$4)-PORTEFEUILLE_MARIE_PIERRE[[#This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4" s="190" t="str">
        <f>IF(PORTEFEUILLE_MARIE_PIERRE[[#This Row],[BONI COMPTABLE]]&lt;&gt;0,1,"")</f>
        <v/>
      </c>
      <c r="AY34" s="190" t="str">
        <f>IF(PORTEFEUILLE_MARIE_PIERRE[[#This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SUM(PORTEFEUILLE_MARIE_PIERRE[[#This Row],[PCR COMPTABLE €]:[MONTANT
RESPONSABLE RELATION CLIENT €]])-PORTEFEUILLE_MARIE_PIERRE[[#This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5" s="188" t="str">
        <f>IF(PORTEFEUILLE_MARIE_PIERRE[[#This Row],[BONI AAC]]&lt;&gt;0,1,"")</f>
        <v/>
      </c>
      <c r="AU35" s="188" t="str">
        <f>IF(PORTEFEUILLE_MARIE_PIERRE[[#This Row],[MALI AAC]]&lt;&gt;0,1,"")</f>
        <v/>
      </c>
      <c r="AV35" s="225">
        <f>IF(AP35&lt;&gt;"",IF((AP35*Paramètres!$H$4)-PORTEFEUILLE_MARIE_PIERRE[[#This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€]]-(DELPHINE!AP26*Paramètres!$H$4),0),0)</f>
        <v>0</v>
      </c>
      <c r="AW35" s="225">
        <f>IF(AP35&lt;&gt;"",IF(((AP35*Paramètres!$H$4)-PORTEFEUILLE_MARIE_PIERRE[[#This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5" s="190" t="str">
        <f>IF(PORTEFEUILLE_MARIE_PIERRE[[#This Row],[BONI COMPTABLE]]&lt;&gt;0,1,"")</f>
        <v/>
      </c>
      <c r="AY35" s="190" t="str">
        <f>IF(PORTEFEUILLE_MARIE_PIERRE[[#This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SUM(PORTEFEUILLE_MARIE_PIERRE[[#This Row],[PCR COMPTABLE €]:[MONTANT
RESPONSABLE RELATION CLIENT €]])-PORTEFEUILLE_MARIE_PIERRE[[#This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6" s="188" t="str">
        <f>IF(PORTEFEUILLE_MARIE_PIERRE[[#This Row],[BONI AAC]]&lt;&gt;0,1,"")</f>
        <v/>
      </c>
      <c r="AU36" s="188" t="str">
        <f>IF(PORTEFEUILLE_MARIE_PIERRE[[#This Row],[MALI AAC]]&lt;&gt;0,1,"")</f>
        <v/>
      </c>
      <c r="AV36" s="225">
        <f>IF(AP36&lt;&gt;"",IF((AP36*Paramètres!$H$4)-PORTEFEUILLE_MARIE_PIERRE[[#This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€]]-(DELPHINE!AP27*Paramètres!$H$4),0),0)</f>
        <v>0</v>
      </c>
      <c r="AW36" s="225">
        <f>IF(AP36&lt;&gt;"",IF(((AP36*Paramètres!$H$4)-PORTEFEUILLE_MARIE_PIERRE[[#This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6" s="190" t="str">
        <f>IF(PORTEFEUILLE_MARIE_PIERRE[[#This Row],[BONI COMPTABLE]]&lt;&gt;0,1,"")</f>
        <v/>
      </c>
      <c r="AY36" s="190" t="str">
        <f>IF(PORTEFEUILLE_MARIE_PIERRE[[#This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SUM(PORTEFEUILLE_MARIE_PIERRE[[#This Row],[PCR COMPTABLE €]:[MONTANT
RESPONSABLE RELATION CLIENT €]])-PORTEFEUILLE_MARIE_PIERRE[[#This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7" s="188" t="str">
        <f>IF(PORTEFEUILLE_MARIE_PIERRE[[#This Row],[BONI AAC]]&lt;&gt;0,1,"")</f>
        <v/>
      </c>
      <c r="AU37" s="188" t="str">
        <f>IF(PORTEFEUILLE_MARIE_PIERRE[[#This Row],[MALI AAC]]&lt;&gt;0,1,"")</f>
        <v/>
      </c>
      <c r="AV37" s="225">
        <f>IF(AP37&lt;&gt;"",IF((AP37*Paramètres!$H$4)-PORTEFEUILLE_MARIE_PIERRE[[#This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€]]-(DELPHINE!AP28*Paramètres!$H$4),0),0)</f>
        <v>0</v>
      </c>
      <c r="AW37" s="225">
        <f>IF(AP37&lt;&gt;"",IF(((AP37*Paramètres!$H$4)-PORTEFEUILLE_MARIE_PIERRE[[#This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7" s="190" t="str">
        <f>IF(PORTEFEUILLE_MARIE_PIERRE[[#This Row],[BONI COMPTABLE]]&lt;&gt;0,1,"")</f>
        <v/>
      </c>
      <c r="AY37" s="190" t="str">
        <f>IF(PORTEFEUILLE_MARIE_PIERRE[[#This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SUM(PORTEFEUILLE_MARIE_PIERRE[[#This Row],[PCR COMPTABLE €]:[MONTANT
RESPONSABLE RELATION CLIENT €]])-PORTEFEUILLE_MARIE_PIERRE[[#This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8" s="188" t="str">
        <f>IF(PORTEFEUILLE_MARIE_PIERRE[[#This Row],[BONI AAC]]&lt;&gt;0,1,"")</f>
        <v/>
      </c>
      <c r="AU38" s="188" t="str">
        <f>IF(PORTEFEUILLE_MARIE_PIERRE[[#This Row],[MALI AAC]]&lt;&gt;0,1,"")</f>
        <v/>
      </c>
      <c r="AV38" s="225">
        <f>IF(AP38&lt;&gt;"",IF((AP38*Paramètres!$H$4)-PORTEFEUILLE_MARIE_PIERRE[[#This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€]]-(DELPHINE!AP29*Paramètres!$H$4),0),0)</f>
        <v>0</v>
      </c>
      <c r="AW38" s="225">
        <f>IF(AP38&lt;&gt;"",IF(((AP38*Paramètres!$H$4)-PORTEFEUILLE_MARIE_PIERRE[[#This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8" s="190" t="str">
        <f>IF(PORTEFEUILLE_MARIE_PIERRE[[#This Row],[BONI COMPTABLE]]&lt;&gt;0,1,"")</f>
        <v/>
      </c>
      <c r="AY38" s="190" t="str">
        <f>IF(PORTEFEUILLE_MARIE_PIERRE[[#This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SUM(PORTEFEUILLE_MARIE_PIERRE[[#This Row],[PCR COMPTABLE €]:[MONTANT
RESPONSABLE RELATION CLIENT €]])-PORTEFEUILLE_MARIE_PIERRE[[#This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9" s="188" t="str">
        <f>IF(PORTEFEUILLE_MARIE_PIERRE[[#This Row],[BONI AAC]]&lt;&gt;0,1,"")</f>
        <v/>
      </c>
      <c r="AU39" s="188" t="str">
        <f>IF(PORTEFEUILLE_MARIE_PIERRE[[#This Row],[MALI AAC]]&lt;&gt;0,1,"")</f>
        <v/>
      </c>
      <c r="AV39" s="225">
        <f>IF(AP39&lt;&gt;"",IF((AP39*Paramètres!$H$4)-PORTEFEUILLE_MARIE_PIERRE[[#This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€]]-(DELPHINE!AP30*Paramètres!$H$4),0),0)</f>
        <v>0</v>
      </c>
      <c r="AW39" s="225">
        <f>IF(AP39&lt;&gt;"",IF(((AP39*Paramètres!$H$4)-PORTEFEUILLE_MARIE_PIERRE[[#This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9" s="190" t="str">
        <f>IF(PORTEFEUILLE_MARIE_PIERRE[[#This Row],[BONI COMPTABLE]]&lt;&gt;0,1,"")</f>
        <v/>
      </c>
      <c r="AY39" s="190" t="str">
        <f>IF(PORTEFEUILLE_MARIE_PIERRE[[#This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SUM(PORTEFEUILLE_MARIE_PIERRE[[#This Row],[PCR COMPTABLE €]:[MONTANT
RESPONSABLE RELATION CLIENT €]])-PORTEFEUILLE_MARIE_PIERRE[[#This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0" s="188" t="str">
        <f>IF(PORTEFEUILLE_MARIE_PIERRE[[#This Row],[BONI AAC]]&lt;&gt;0,1,"")</f>
        <v/>
      </c>
      <c r="AU40" s="188" t="str">
        <f>IF(PORTEFEUILLE_MARIE_PIERRE[[#This Row],[MALI AAC]]&lt;&gt;0,1,"")</f>
        <v/>
      </c>
      <c r="AV40" s="225">
        <f>IF(AP40&lt;&gt;"",IF((AP40*Paramètres!$H$4)-PORTEFEUILLE_MARIE_PIERRE[[#This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€]]-(DELPHINE!AP31*Paramètres!$H$4),0),0)</f>
        <v>0</v>
      </c>
      <c r="AW40" s="225">
        <f>IF(AP40&lt;&gt;"",IF(((AP40*Paramètres!$H$4)-PORTEFEUILLE_MARIE_PIERRE[[#This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0" s="190" t="str">
        <f>IF(PORTEFEUILLE_MARIE_PIERRE[[#This Row],[BONI COMPTABLE]]&lt;&gt;0,1,"")</f>
        <v/>
      </c>
      <c r="AY40" s="190" t="str">
        <f>IF(PORTEFEUILLE_MARIE_PIERRE[[#This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SUM(PORTEFEUILLE_MARIE_PIERRE[[#This Row],[PCR COMPTABLE €]:[MONTANT
RESPONSABLE RELATION CLIENT €]])-PORTEFEUILLE_MARIE_PIERRE[[#This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1" s="188" t="str">
        <f>IF(PORTEFEUILLE_MARIE_PIERRE[[#This Row],[BONI AAC]]&lt;&gt;0,1,"")</f>
        <v/>
      </c>
      <c r="AU41" s="188" t="str">
        <f>IF(PORTEFEUILLE_MARIE_PIERRE[[#This Row],[MALI AAC]]&lt;&gt;0,1,"")</f>
        <v/>
      </c>
      <c r="AV41" s="225">
        <f>IF(AP41&lt;&gt;"",IF((AP41*Paramètres!$H$4)-PORTEFEUILLE_MARIE_PIERRE[[#This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€]]-(DELPHINE!AP32*Paramètres!$H$4),0),0)</f>
        <v>0</v>
      </c>
      <c r="AW41" s="225">
        <f>IF(AP41&lt;&gt;"",IF(((AP41*Paramètres!$H$4)-PORTEFEUILLE_MARIE_PIERRE[[#This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1" s="190" t="str">
        <f>IF(PORTEFEUILLE_MARIE_PIERRE[[#This Row],[BONI COMPTABLE]]&lt;&gt;0,1,"")</f>
        <v/>
      </c>
      <c r="AY41" s="190" t="str">
        <f>IF(PORTEFEUILLE_MARIE_PIERRE[[#This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SUM(PORTEFEUILLE_MARIE_PIERRE[[#This Row],[PCR COMPTABLE €]:[MONTANT
RESPONSABLE RELATION CLIENT €]])-PORTEFEUILLE_MARIE_PIERRE[[#This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2" s="188" t="str">
        <f>IF(PORTEFEUILLE_MARIE_PIERRE[[#This Row],[BONI AAC]]&lt;&gt;0,1,"")</f>
        <v/>
      </c>
      <c r="AU42" s="188" t="str">
        <f>IF(PORTEFEUILLE_MARIE_PIERRE[[#This Row],[MALI AAC]]&lt;&gt;0,1,"")</f>
        <v/>
      </c>
      <c r="AV42" s="225">
        <f>IF(AP42&lt;&gt;"",IF((AP42*Paramètres!$H$4)-PORTEFEUILLE_MARIE_PIERRE[[#This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€]]-(DELPHINE!AP33*Paramètres!$H$4),0),0)</f>
        <v>0</v>
      </c>
      <c r="AW42" s="225">
        <f>IF(AP42&lt;&gt;"",IF(((AP42*Paramètres!$H$4)-PORTEFEUILLE_MARIE_PIERRE[[#This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2" s="190" t="str">
        <f>IF(PORTEFEUILLE_MARIE_PIERRE[[#This Row],[BONI COMPTABLE]]&lt;&gt;0,1,"")</f>
        <v/>
      </c>
      <c r="AY42" s="190" t="str">
        <f>IF(PORTEFEUILLE_MARIE_PIERRE[[#This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SUM(PORTEFEUILLE_MARIE_PIERRE[[#This Row],[PCR COMPTABLE €]:[MONTANT
RESPONSABLE RELATION CLIENT €]])-PORTEFEUILLE_MARIE_PIERRE[[#This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3" s="188" t="str">
        <f>IF(PORTEFEUILLE_MARIE_PIERRE[[#This Row],[BONI AAC]]&lt;&gt;0,1,"")</f>
        <v/>
      </c>
      <c r="AU43" s="188" t="str">
        <f>IF(PORTEFEUILLE_MARIE_PIERRE[[#This Row],[MALI AAC]]&lt;&gt;0,1,"")</f>
        <v/>
      </c>
      <c r="AV43" s="225">
        <f>IF(AP43&lt;&gt;"",IF((AP43*Paramètres!$H$4)-PORTEFEUILLE_MARIE_PIERRE[[#This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€]]-(DELPHINE!AP34*Paramètres!$H$4),0),0)</f>
        <v>0</v>
      </c>
      <c r="AW43" s="225">
        <f>IF(AP43&lt;&gt;"",IF(((AP43*Paramètres!$H$4)-PORTEFEUILLE_MARIE_PIERRE[[#This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3" s="190" t="str">
        <f>IF(PORTEFEUILLE_MARIE_PIERRE[[#This Row],[BONI COMPTABLE]]&lt;&gt;0,1,"")</f>
        <v/>
      </c>
      <c r="AY43" s="190" t="str">
        <f>IF(PORTEFEUILLE_MARIE_PIERRE[[#This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SUM(PORTEFEUILLE_MARIE_PIERRE[[#This Row],[PCR COMPTABLE €]:[MONTANT
RESPONSABLE RELATION CLIENT €]])-PORTEFEUILLE_MARIE_PIERRE[[#This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4" s="188" t="str">
        <f>IF(PORTEFEUILLE_MARIE_PIERRE[[#This Row],[BONI AAC]]&lt;&gt;0,1,"")</f>
        <v/>
      </c>
      <c r="AU44" s="188" t="str">
        <f>IF(PORTEFEUILLE_MARIE_PIERRE[[#This Row],[MALI AAC]]&lt;&gt;0,1,"")</f>
        <v/>
      </c>
      <c r="AV44" s="225">
        <f>IF(AP44&lt;&gt;"",IF((AP44*Paramètres!$H$4)-PORTEFEUILLE_MARIE_PIERRE[[#This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€]]-(DELPHINE!AP35*Paramètres!$H$4),0),0)</f>
        <v>0</v>
      </c>
      <c r="AW44" s="225">
        <f>IF(AP44&lt;&gt;"",IF(((AP44*Paramètres!$H$4)-PORTEFEUILLE_MARIE_PIERRE[[#This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4" s="190" t="str">
        <f>IF(PORTEFEUILLE_MARIE_PIERRE[[#This Row],[BONI COMPTABLE]]&lt;&gt;0,1,"")</f>
        <v/>
      </c>
      <c r="AY44" s="190" t="str">
        <f>IF(PORTEFEUILLE_MARIE_PIERRE[[#This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SUM(PORTEFEUILLE_MARIE_PIERRE[[#This Row],[PCR COMPTABLE €]:[MONTANT
RESPONSABLE RELATION CLIENT €]])-PORTEFEUILLE_MARIE_PIERRE[[#This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5" s="188" t="str">
        <f>IF(PORTEFEUILLE_MARIE_PIERRE[[#This Row],[BONI AAC]]&lt;&gt;0,1,"")</f>
        <v/>
      </c>
      <c r="AU45" s="188" t="str">
        <f>IF(PORTEFEUILLE_MARIE_PIERRE[[#This Row],[MALI AAC]]&lt;&gt;0,1,"")</f>
        <v/>
      </c>
      <c r="AV45" s="225">
        <f>IF(AP45&lt;&gt;"",IF((AP45*Paramètres!$H$4)-PORTEFEUILLE_MARIE_PIERRE[[#This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€]]-(DELPHINE!AP36*Paramètres!$H$4),0),0)</f>
        <v>0</v>
      </c>
      <c r="AW45" s="225">
        <f>IF(AP45&lt;&gt;"",IF(((AP45*Paramètres!$H$4)-PORTEFEUILLE_MARIE_PIERRE[[#This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5" s="190" t="str">
        <f>IF(PORTEFEUILLE_MARIE_PIERRE[[#This Row],[BONI COMPTABLE]]&lt;&gt;0,1,"")</f>
        <v/>
      </c>
      <c r="AY45" s="190" t="str">
        <f>IF(PORTEFEUILLE_MARIE_PIERRE[[#This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SUM(PORTEFEUILLE_MARIE_PIERRE[[#This Row],[PCR COMPTABLE €]:[MONTANT
RESPONSABLE RELATION CLIENT €]])-PORTEFEUILLE_MARIE_PIERRE[[#This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6" s="188" t="str">
        <f>IF(PORTEFEUILLE_MARIE_PIERRE[[#This Row],[BONI AAC]]&lt;&gt;0,1,"")</f>
        <v/>
      </c>
      <c r="AU46" s="188" t="str">
        <f>IF(PORTEFEUILLE_MARIE_PIERRE[[#This Row],[MALI AAC]]&lt;&gt;0,1,"")</f>
        <v/>
      </c>
      <c r="AV46" s="225">
        <f>IF(AP46&lt;&gt;"",IF((AP46*Paramètres!$H$4)-PORTEFEUILLE_MARIE_PIERRE[[#This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€]]-(DELPHINE!AP37*Paramètres!$H$4),0),0)</f>
        <v>0</v>
      </c>
      <c r="AW46" s="225">
        <f>IF(AP46&lt;&gt;"",IF(((AP46*Paramètres!$H$4)-PORTEFEUILLE_MARIE_PIERRE[[#This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6" s="190" t="str">
        <f>IF(PORTEFEUILLE_MARIE_PIERRE[[#This Row],[BONI COMPTABLE]]&lt;&gt;0,1,"")</f>
        <v/>
      </c>
      <c r="AY46" s="190" t="str">
        <f>IF(PORTEFEUILLE_MARIE_PIERRE[[#This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SUM(PORTEFEUILLE_MARIE_PIERRE[[#This Row],[PCR COMPTABLE €]:[MONTANT
RESPONSABLE RELATION CLIENT €]])-PORTEFEUILLE_MARIE_PIERRE[[#This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7" s="188" t="str">
        <f>IF(PORTEFEUILLE_MARIE_PIERRE[[#This Row],[BONI AAC]]&lt;&gt;0,1,"")</f>
        <v/>
      </c>
      <c r="AU47" s="188" t="str">
        <f>IF(PORTEFEUILLE_MARIE_PIERRE[[#This Row],[MALI AAC]]&lt;&gt;0,1,"")</f>
        <v/>
      </c>
      <c r="AV47" s="225">
        <f>IF(AP47&lt;&gt;"",IF((AP47*Paramètres!$H$4)-PORTEFEUILLE_MARIE_PIERRE[[#This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€]]-(DELPHINE!AP38*Paramètres!$H$4),0),0)</f>
        <v>0</v>
      </c>
      <c r="AW47" s="225">
        <f>IF(AP47&lt;&gt;"",IF(((AP47*Paramètres!$H$4)-PORTEFEUILLE_MARIE_PIERRE[[#This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7" s="190" t="str">
        <f>IF(PORTEFEUILLE_MARIE_PIERRE[[#This Row],[BONI COMPTABLE]]&lt;&gt;0,1,"")</f>
        <v/>
      </c>
      <c r="AY47" s="190" t="str">
        <f>IF(PORTEFEUILLE_MARIE_PIERRE[[#This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SUM(PORTEFEUILLE_MARIE_PIERRE[[#This Row],[PCR COMPTABLE €]:[MONTANT
RESPONSABLE RELATION CLIENT €]])-PORTEFEUILLE_MARIE_PIERRE[[#This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8" s="188" t="str">
        <f>IF(PORTEFEUILLE_MARIE_PIERRE[[#This Row],[BONI AAC]]&lt;&gt;0,1,"")</f>
        <v/>
      </c>
      <c r="AU48" s="188" t="str">
        <f>IF(PORTEFEUILLE_MARIE_PIERRE[[#This Row],[MALI AAC]]&lt;&gt;0,1,"")</f>
        <v/>
      </c>
      <c r="AV48" s="225">
        <f>IF(AP48&lt;&gt;"",IF((AP48*Paramètres!$H$4)-PORTEFEUILLE_MARIE_PIERRE[[#This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€]]-(DELPHINE!AP39*Paramètres!$H$4),0),0)</f>
        <v>0</v>
      </c>
      <c r="AW48" s="225">
        <f>IF(AP48&lt;&gt;"",IF(((AP48*Paramètres!$H$4)-PORTEFEUILLE_MARIE_PIERRE[[#This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8" s="190" t="str">
        <f>IF(PORTEFEUILLE_MARIE_PIERRE[[#This Row],[BONI COMPTABLE]]&lt;&gt;0,1,"")</f>
        <v/>
      </c>
      <c r="AY48" s="190" t="str">
        <f>IF(PORTEFEUILLE_MARIE_PIERRE[[#This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SUM(PORTEFEUILLE_MARIE_PIERRE[[#This Row],[PCR COMPTABLE €]:[MONTANT
RESPONSABLE RELATION CLIENT €]])-PORTEFEUILLE_MARIE_PIERRE[[#This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9" s="188" t="str">
        <f>IF(PORTEFEUILLE_MARIE_PIERRE[[#This Row],[BONI AAC]]&lt;&gt;0,1,"")</f>
        <v/>
      </c>
      <c r="AU49" s="188" t="str">
        <f>IF(PORTEFEUILLE_MARIE_PIERRE[[#This Row],[MALI AAC]]&lt;&gt;0,1,"")</f>
        <v/>
      </c>
      <c r="AV49" s="225">
        <f>IF(AP49&lt;&gt;"",IF((AP49*Paramètres!$H$4)-PORTEFEUILLE_MARIE_PIERRE[[#This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€]]-(DELPHINE!AP40*Paramètres!$H$4),0),0)</f>
        <v>0</v>
      </c>
      <c r="AW49" s="225">
        <f>IF(AP49&lt;&gt;"",IF(((AP49*Paramètres!$H$4)-PORTEFEUILLE_MARIE_PIERRE[[#This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9" s="190" t="str">
        <f>IF(PORTEFEUILLE_MARIE_PIERRE[[#This Row],[BONI COMPTABLE]]&lt;&gt;0,1,"")</f>
        <v/>
      </c>
      <c r="AY49" s="190" t="str">
        <f>IF(PORTEFEUILLE_MARIE_PIERRE[[#This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SUM(PORTEFEUILLE_MARIE_PIERRE[[#This Row],[PCR COMPTABLE €]:[MONTANT
RESPONSABLE RELATION CLIENT €]])-PORTEFEUILLE_MARIE_PIERRE[[#This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0" s="188" t="str">
        <f>IF(PORTEFEUILLE_MARIE_PIERRE[[#This Row],[BONI AAC]]&lt;&gt;0,1,"")</f>
        <v/>
      </c>
      <c r="AU50" s="188" t="str">
        <f>IF(PORTEFEUILLE_MARIE_PIERRE[[#This Row],[MALI AAC]]&lt;&gt;0,1,"")</f>
        <v/>
      </c>
      <c r="AV50" s="225">
        <f>IF(AP50&lt;&gt;"",IF((AP50*Paramètres!$H$4)-PORTEFEUILLE_MARIE_PIERRE[[#This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€]]-(DELPHINE!AP41*Paramètres!$H$4),0),0)</f>
        <v>0</v>
      </c>
      <c r="AW50" s="225">
        <f>IF(AP50&lt;&gt;"",IF(((AP50*Paramètres!$H$4)-PORTEFEUILLE_MARIE_PIERRE[[#This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0" s="190" t="str">
        <f>IF(PORTEFEUILLE_MARIE_PIERRE[[#This Row],[BONI COMPTABLE]]&lt;&gt;0,1,"")</f>
        <v/>
      </c>
      <c r="AY50" s="190" t="str">
        <f>IF(PORTEFEUILLE_MARIE_PIERRE[[#This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SUM(PORTEFEUILLE_MARIE_PIERRE[[#This Row],[PCR COMPTABLE €]:[MONTANT
RESPONSABLE RELATION CLIENT €]])-PORTEFEUILLE_MARIE_PIERRE[[#This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1" s="188" t="str">
        <f>IF(PORTEFEUILLE_MARIE_PIERRE[[#This Row],[BONI AAC]]&lt;&gt;0,1,"")</f>
        <v/>
      </c>
      <c r="AU51" s="188" t="str">
        <f>IF(PORTEFEUILLE_MARIE_PIERRE[[#This Row],[MALI AAC]]&lt;&gt;0,1,"")</f>
        <v/>
      </c>
      <c r="AV51" s="225">
        <f>IF(AP51&lt;&gt;"",IF((AP51*Paramètres!$H$4)-PORTEFEUILLE_MARIE_PIERRE[[#This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€]]-(DELPHINE!AP42*Paramètres!$H$4),0),0)</f>
        <v>0</v>
      </c>
      <c r="AW51" s="225">
        <f>IF(AP51&lt;&gt;"",IF(((AP51*Paramètres!$H$4)-PORTEFEUILLE_MARIE_PIERRE[[#This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1" s="190" t="str">
        <f>IF(PORTEFEUILLE_MARIE_PIERRE[[#This Row],[BONI COMPTABLE]]&lt;&gt;0,1,"")</f>
        <v/>
      </c>
      <c r="AY51" s="190" t="str">
        <f>IF(PORTEFEUILLE_MARIE_PIERRE[[#This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SUM(PORTEFEUILLE_MARIE_PIERRE[[#This Row],[PCR COMPTABLE €]:[MONTANT
RESPONSABLE RELATION CLIENT €]])-PORTEFEUILLE_MARIE_PIERRE[[#This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2" s="188" t="str">
        <f>IF(PORTEFEUILLE_MARIE_PIERRE[[#This Row],[BONI AAC]]&lt;&gt;0,1,"")</f>
        <v/>
      </c>
      <c r="AU52" s="188" t="str">
        <f>IF(PORTEFEUILLE_MARIE_PIERRE[[#This Row],[MALI AAC]]&lt;&gt;0,1,"")</f>
        <v/>
      </c>
      <c r="AV52" s="225">
        <f>IF(AP52&lt;&gt;"",IF((AP52*Paramètres!$H$4)-PORTEFEUILLE_MARIE_PIERRE[[#This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€]]-(DELPHINE!AP43*Paramètres!$H$4),0),0)</f>
        <v>0</v>
      </c>
      <c r="AW52" s="225">
        <f>IF(AP52&lt;&gt;"",IF(((AP52*Paramètres!$H$4)-PORTEFEUILLE_MARIE_PIERRE[[#This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2" s="190" t="str">
        <f>IF(PORTEFEUILLE_MARIE_PIERRE[[#This Row],[BONI COMPTABLE]]&lt;&gt;0,1,"")</f>
        <v/>
      </c>
      <c r="AY52" s="190" t="str">
        <f>IF(PORTEFEUILLE_MARIE_PIERRE[[#This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SUM(PORTEFEUILLE_MARIE_PIERRE[[#This Row],[PCR COMPTABLE €]:[MONTANT
RESPONSABLE RELATION CLIENT €]])-PORTEFEUILLE_MARIE_PIERRE[[#This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3" s="188" t="str">
        <f>IF(PORTEFEUILLE_MARIE_PIERRE[[#This Row],[BONI AAC]]&lt;&gt;0,1,"")</f>
        <v/>
      </c>
      <c r="AU53" s="188" t="str">
        <f>IF(PORTEFEUILLE_MARIE_PIERRE[[#This Row],[MALI AAC]]&lt;&gt;0,1,"")</f>
        <v/>
      </c>
      <c r="AV53" s="225">
        <f>IF(AP53&lt;&gt;"",IF((AP53*Paramètres!$H$4)-PORTEFEUILLE_MARIE_PIERRE[[#This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€]]-(DELPHINE!AP44*Paramètres!$H$4),0),0)</f>
        <v>0</v>
      </c>
      <c r="AW53" s="225">
        <f>IF(AP53&lt;&gt;"",IF(((AP53*Paramètres!$H$4)-PORTEFEUILLE_MARIE_PIERRE[[#This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3" s="190" t="str">
        <f>IF(PORTEFEUILLE_MARIE_PIERRE[[#This Row],[BONI COMPTABLE]]&lt;&gt;0,1,"")</f>
        <v/>
      </c>
      <c r="AY53" s="190" t="str">
        <f>IF(PORTEFEUILLE_MARIE_PIERRE[[#This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SUM(PORTEFEUILLE_MARIE_PIERRE[[#This Row],[PCR COMPTABLE €]:[MONTANT
RESPONSABLE RELATION CLIENT €]])-PORTEFEUILLE_MARIE_PIERRE[[#This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4" s="188" t="str">
        <f>IF(PORTEFEUILLE_MARIE_PIERRE[[#This Row],[BONI AAC]]&lt;&gt;0,1,"")</f>
        <v/>
      </c>
      <c r="AU54" s="188" t="str">
        <f>IF(PORTEFEUILLE_MARIE_PIERRE[[#This Row],[MALI AAC]]&lt;&gt;0,1,"")</f>
        <v/>
      </c>
      <c r="AV54" s="225">
        <f>IF(AP54&lt;&gt;"",IF((AP54*Paramètres!$H$4)-PORTEFEUILLE_MARIE_PIERRE[[#This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€]]-(DELPHINE!AP45*Paramètres!$H$4),0),0)</f>
        <v>0</v>
      </c>
      <c r="AW54" s="225">
        <f>IF(AP54&lt;&gt;"",IF(((AP54*Paramètres!$H$4)-PORTEFEUILLE_MARIE_PIERRE[[#This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4" s="190" t="str">
        <f>IF(PORTEFEUILLE_MARIE_PIERRE[[#This Row],[BONI COMPTABLE]]&lt;&gt;0,1,"")</f>
        <v/>
      </c>
      <c r="AY54" s="190" t="str">
        <f>IF(PORTEFEUILLE_MARIE_PIERRE[[#This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SUM(PORTEFEUILLE_MARIE_PIERRE[[#This Row],[PCR COMPTABLE €]:[MONTANT
RESPONSABLE RELATION CLIENT €]])-PORTEFEUILLE_MARIE_PIERRE[[#This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5" s="188" t="str">
        <f>IF(PORTEFEUILLE_MARIE_PIERRE[[#This Row],[BONI AAC]]&lt;&gt;0,1,"")</f>
        <v/>
      </c>
      <c r="AU55" s="188" t="str">
        <f>IF(PORTEFEUILLE_MARIE_PIERRE[[#This Row],[MALI AAC]]&lt;&gt;0,1,"")</f>
        <v/>
      </c>
      <c r="AV55" s="225">
        <f>IF(AP55&lt;&gt;"",IF((AP55*Paramètres!$H$4)-PORTEFEUILLE_MARIE_PIERRE[[#This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€]]-(DELPHINE!AP46*Paramètres!$H$4),0),0)</f>
        <v>0</v>
      </c>
      <c r="AW55" s="225">
        <f>IF(AP55&lt;&gt;"",IF(((AP55*Paramètres!$H$4)-PORTEFEUILLE_MARIE_PIERRE[[#This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5" s="190" t="str">
        <f>IF(PORTEFEUILLE_MARIE_PIERRE[[#This Row],[BONI COMPTABLE]]&lt;&gt;0,1,"")</f>
        <v/>
      </c>
      <c r="AY55" s="190" t="str">
        <f>IF(PORTEFEUILLE_MARIE_PIERRE[[#This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SUM(PORTEFEUILLE_MARIE_PIERRE[[#This Row],[PCR COMPTABLE €]:[MONTANT
RESPONSABLE RELATION CLIENT €]])-PORTEFEUILLE_MARIE_PIERRE[[#This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6" s="188" t="str">
        <f>IF(PORTEFEUILLE_MARIE_PIERRE[[#This Row],[BONI AAC]]&lt;&gt;0,1,"")</f>
        <v/>
      </c>
      <c r="AU56" s="188" t="str">
        <f>IF(PORTEFEUILLE_MARIE_PIERRE[[#This Row],[MALI AAC]]&lt;&gt;0,1,"")</f>
        <v/>
      </c>
      <c r="AV56" s="225">
        <f>IF(AP56&lt;&gt;"",IF((AP56*Paramètres!$H$4)-PORTEFEUILLE_MARIE_PIERRE[[#This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€]]-(DELPHINE!AP47*Paramètres!$H$4),0),0)</f>
        <v>0</v>
      </c>
      <c r="AW56" s="225">
        <f>IF(AP56&lt;&gt;"",IF(((AP56*Paramètres!$H$4)-PORTEFEUILLE_MARIE_PIERRE[[#This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6" s="190" t="str">
        <f>IF(PORTEFEUILLE_MARIE_PIERRE[[#This Row],[BONI COMPTABLE]]&lt;&gt;0,1,"")</f>
        <v/>
      </c>
      <c r="AY56" s="190" t="str">
        <f>IF(PORTEFEUILLE_MARIE_PIERRE[[#This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SUM(PORTEFEUILLE_MARIE_PIERRE[[#This Row],[PCR COMPTABLE €]:[MONTANT
RESPONSABLE RELATION CLIENT €]])-PORTEFEUILLE_MARIE_PIERRE[[#This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7" s="188" t="str">
        <f>IF(PORTEFEUILLE_MARIE_PIERRE[[#This Row],[BONI AAC]]&lt;&gt;0,1,"")</f>
        <v/>
      </c>
      <c r="AU57" s="188" t="str">
        <f>IF(PORTEFEUILLE_MARIE_PIERRE[[#This Row],[MALI AAC]]&lt;&gt;0,1,"")</f>
        <v/>
      </c>
      <c r="AV57" s="225">
        <f>IF(AP57&lt;&gt;"",IF((AP57*Paramètres!$H$4)-PORTEFEUILLE_MARIE_PIERRE[[#This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€]]-(DELPHINE!AP48*Paramètres!$H$4),0),0)</f>
        <v>0</v>
      </c>
      <c r="AW57" s="225">
        <f>IF(AP57&lt;&gt;"",IF(((AP57*Paramètres!$H$4)-PORTEFEUILLE_MARIE_PIERRE[[#This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7" s="190" t="str">
        <f>IF(PORTEFEUILLE_MARIE_PIERRE[[#This Row],[BONI COMPTABLE]]&lt;&gt;0,1,"")</f>
        <v/>
      </c>
      <c r="AY57" s="190" t="str">
        <f>IF(PORTEFEUILLE_MARIE_PIERRE[[#This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SUM(PORTEFEUILLE_MARIE_PIERRE[[#This Row],[PCR COMPTABLE €]:[MONTANT
RESPONSABLE RELATION CLIENT €]])-PORTEFEUILLE_MARIE_PIERRE[[#This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8" s="188" t="str">
        <f>IF(PORTEFEUILLE_MARIE_PIERRE[[#This Row],[BONI AAC]]&lt;&gt;0,1,"")</f>
        <v/>
      </c>
      <c r="AU58" s="188" t="str">
        <f>IF(PORTEFEUILLE_MARIE_PIERRE[[#This Row],[MALI AAC]]&lt;&gt;0,1,"")</f>
        <v/>
      </c>
      <c r="AV58" s="225">
        <f>IF(AP58&lt;&gt;"",IF((AP58*Paramètres!$H$4)-PORTEFEUILLE_MARIE_PIERRE[[#This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€]]-(DELPHINE!AP49*Paramètres!$H$4),0),0)</f>
        <v>0</v>
      </c>
      <c r="AW58" s="225">
        <f>IF(AP58&lt;&gt;"",IF(((AP58*Paramètres!$H$4)-PORTEFEUILLE_MARIE_PIERRE[[#This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8" s="190" t="str">
        <f>IF(PORTEFEUILLE_MARIE_PIERRE[[#This Row],[BONI COMPTABLE]]&lt;&gt;0,1,"")</f>
        <v/>
      </c>
      <c r="AY58" s="190" t="str">
        <f>IF(PORTEFEUILLE_MARIE_PIERRE[[#This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SUM(PORTEFEUILLE_MARIE_PIERRE[[#This Row],[PCR COMPTABLE €]:[MONTANT
RESPONSABLE RELATION CLIENT €]])-PORTEFEUILLE_MARIE_PIERRE[[#This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9" s="188" t="str">
        <f>IF(PORTEFEUILLE_MARIE_PIERRE[[#This Row],[BONI AAC]]&lt;&gt;0,1,"")</f>
        <v/>
      </c>
      <c r="AU59" s="188" t="str">
        <f>IF(PORTEFEUILLE_MARIE_PIERRE[[#This Row],[MALI AAC]]&lt;&gt;0,1,"")</f>
        <v/>
      </c>
      <c r="AV59" s="225">
        <f>IF(AP59&lt;&gt;"",IF((AP59*Paramètres!$H$4)-PORTEFEUILLE_MARIE_PIERRE[[#This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€]]-(DELPHINE!AP50*Paramètres!$H$4),0),0)</f>
        <v>0</v>
      </c>
      <c r="AW59" s="225">
        <f>IF(AP59&lt;&gt;"",IF(((AP59*Paramètres!$H$4)-PORTEFEUILLE_MARIE_PIERRE[[#This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9" s="190" t="str">
        <f>IF(PORTEFEUILLE_MARIE_PIERRE[[#This Row],[BONI COMPTABLE]]&lt;&gt;0,1,"")</f>
        <v/>
      </c>
      <c r="AY59" s="190" t="str">
        <f>IF(PORTEFEUILLE_MARIE_PIERRE[[#This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SUM(PORTEFEUILLE_MARIE_PIERRE[[#This Row],[PCR COMPTABLE €]:[MONTANT
RESPONSABLE RELATION CLIENT €]])-PORTEFEUILLE_MARIE_PIERRE[[#This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0" s="188" t="str">
        <f>IF(PORTEFEUILLE_MARIE_PIERRE[[#This Row],[BONI AAC]]&lt;&gt;0,1,"")</f>
        <v/>
      </c>
      <c r="AU60" s="188" t="str">
        <f>IF(PORTEFEUILLE_MARIE_PIERRE[[#This Row],[MALI AAC]]&lt;&gt;0,1,"")</f>
        <v/>
      </c>
      <c r="AV60" s="225">
        <f>IF(AP60&lt;&gt;"",IF((AP60*Paramètres!$H$4)-PORTEFEUILLE_MARIE_PIERRE[[#This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€]]-(DELPHINE!AP51*Paramètres!$H$4),0),0)</f>
        <v>0</v>
      </c>
      <c r="AW60" s="225">
        <f>IF(AP60&lt;&gt;"",IF(((AP60*Paramètres!$H$4)-PORTEFEUILLE_MARIE_PIERRE[[#This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0" s="190" t="str">
        <f>IF(PORTEFEUILLE_MARIE_PIERRE[[#This Row],[BONI COMPTABLE]]&lt;&gt;0,1,"")</f>
        <v/>
      </c>
      <c r="AY60" s="190" t="str">
        <f>IF(PORTEFEUILLE_MARIE_PIERRE[[#This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27" priority="6">
      <formula>AND(P3&lt;&gt;"",P3&lt;&gt;"OUI")</formula>
    </cfRule>
  </conditionalFormatting>
  <conditionalFormatting sqref="AN3:AO60 S3:AH60">
    <cfRule type="expression" dxfId="26" priority="5" stopIfTrue="1">
      <formula>$AH3&lt;&gt;0</formula>
    </cfRule>
  </conditionalFormatting>
  <conditionalFormatting sqref="A6:E60 C3:E5 A3:A5">
    <cfRule type="expression" dxfId="25" priority="7" stopIfTrue="1">
      <formula>AND($I3&lt;&gt;"",AND($J3="",AND($BA3="",$BB3="")))</formula>
    </cfRule>
    <cfRule type="expression" dxfId="24" priority="8" stopIfTrue="1">
      <formula>AND($J3&lt;&gt;"",AND($BA3="",$BB3=""))</formula>
    </cfRule>
    <cfRule type="expression" dxfId="23" priority="9" stopIfTrue="1">
      <formula>AND($BA3&lt;&gt;"",$BB3="")</formula>
    </cfRule>
    <cfRule type="expression" dxfId="22" priority="10" stopIfTrue="1">
      <formula>$BB3="X"</formula>
    </cfRule>
  </conditionalFormatting>
  <conditionalFormatting sqref="B3:B5">
    <cfRule type="expression" dxfId="21" priority="1" stopIfTrue="1">
      <formula>AND($I3&lt;&gt;"",AND($J3="",AND($BA3="",$BB3="")))</formula>
    </cfRule>
    <cfRule type="expression" dxfId="20" priority="2" stopIfTrue="1">
      <formula>AND($J3&lt;&gt;"",AND($BA3="",$BB3=""))</formula>
    </cfRule>
    <cfRule type="expression" dxfId="19" priority="3" stopIfTrue="1">
      <formula>AND($BA3&lt;&gt;"",$BB3="")</formula>
    </cfRule>
    <cfRule type="expression" dxfId="18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L18" sqref="AL18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142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SUM(PORTEFEUILLE_GUILLAUME[[#This Row],[PCR COMPTABLE €]:[MONTANT
RESPONSABLE RELATION CLIENT €]])-PORTEFEUILLE_GUILLAUME[[#This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400</v>
      </c>
      <c r="AT3" s="188" t="str">
        <f>IF(PORTEFEUILLE_GUILLAUME[[#This Row],[BONI AAC]]&lt;&gt;0,1,"")</f>
        <v/>
      </c>
      <c r="AU3" s="188">
        <f>IF(PORTEFEUILLE_GUILLAUME[[#This Row],[MALI AAC]]&lt;&gt;0,1,"")</f>
        <v>1</v>
      </c>
      <c r="AV3" s="225">
        <f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3" s="225">
        <f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" s="190" t="str">
        <f>IF(PORTEFEUILLE_GUILLAUME[[#This Row],[BONI COMPTABLE]]&lt;&gt;0,1,"")</f>
        <v/>
      </c>
      <c r="AY3" s="190" t="str">
        <f>IF(PORTEFEUILLE_GUILLAUME[[#This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142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SUM(PORTEFEUILLE_GUILLAUME[[#This Row],[PCR COMPTABLE €]:[MONTANT
RESPONSABLE RELATION CLIENT €]])-PORTEFEUILLE_GUILLAUME[[#This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1000</v>
      </c>
      <c r="AT4" s="188" t="str">
        <f>IF(PORTEFEUILLE_GUILLAUME[[#This Row],[BONI AAC]]&lt;&gt;0,1,"")</f>
        <v/>
      </c>
      <c r="AU4" s="188">
        <f>IF(PORTEFEUILLE_GUILLAUME[[#This Row],[MALI AAC]]&lt;&gt;0,1,"")</f>
        <v>1</v>
      </c>
      <c r="AV4" s="225">
        <f>IF(AP4&lt;&gt;"",IF((AP4*Paramètres!$H$4)-PORTEFEUILLE_GUILLAUME[[#This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4" s="225">
        <f>IF(AP4&lt;&gt;"",IF(((AP4*Paramètres!$H$4)-PORTEFEUILLE_GUILLAUME[[#This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3000</v>
      </c>
      <c r="AX4" s="190" t="str">
        <f>IF(PORTEFEUILLE_GUILLAUME[[#This Row],[BONI COMPTABLE]]&lt;&gt;0,1,"")</f>
        <v/>
      </c>
      <c r="AY4" s="190">
        <f>IF(PORTEFEUILLE_GUILLAUME[[#This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142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SUM(PORTEFEUILLE_GUILLAUME[[#This Row],[PCR COMPTABLE €]:[MONTANT
RESPONSABLE RELATION CLIENT €]])-PORTEFEUILLE_GUILLAUME[[#This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2200</v>
      </c>
      <c r="AT5" s="188" t="str">
        <f>IF(PORTEFEUILLE_GUILLAUME[[#This Row],[BONI AAC]]&lt;&gt;0,1,"")</f>
        <v/>
      </c>
      <c r="AU5" s="188">
        <f>IF(PORTEFEUILLE_GUILLAUME[[#This Row],[MALI AAC]]&lt;&gt;0,1,"")</f>
        <v>1</v>
      </c>
      <c r="AV5" s="225">
        <f>IF(AP5&lt;&gt;"",IF((AP5*Paramètres!$H$4)-PORTEFEUILLE_GUILLAUME[[#This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5" s="225">
        <f>IF(AP5&lt;&gt;"",IF(((AP5*Paramètres!$H$4)-PORTEFEUILLE_GUILLAUME[[#This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4150</v>
      </c>
      <c r="AX5" s="190" t="str">
        <f>IF(PORTEFEUILLE_GUILLAUME[[#This Row],[BONI COMPTABLE]]&lt;&gt;0,1,"")</f>
        <v/>
      </c>
      <c r="AY5" s="190">
        <f>IF(PORTEFEUILLE_GUILLAUME[[#This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SUM(PORTEFEUILLE_GUILLAUME[[#This Row],[PCR COMPTABLE €]:[MONTANT
RESPONSABLE RELATION CLIENT €]])-PORTEFEUILLE_GUILLAUME[[#This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" s="188" t="str">
        <f>IF(PORTEFEUILLE_GUILLAUME[[#This Row],[BONI AAC]]&lt;&gt;0,1,"")</f>
        <v/>
      </c>
      <c r="AU6" s="188" t="str">
        <f>IF(PORTEFEUILLE_GUILLAUME[[#This Row],[MALI AAC]]&lt;&gt;0,1,"")</f>
        <v/>
      </c>
      <c r="AV6" s="225">
        <f>IF(AP6&lt;&gt;"",IF((AP6*Paramètres!$H$4)-PORTEFEUILLE_GUILLAUME[[#This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6" s="225">
        <f>IF(AP6&lt;&gt;"",IF(((AP6*Paramètres!$H$4)-PORTEFEUILLE_GUILLAUME[[#This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" s="190" t="str">
        <f>IF(PORTEFEUILLE_GUILLAUME[[#This Row],[BONI COMPTABLE]]&lt;&gt;0,1,"")</f>
        <v/>
      </c>
      <c r="AY6" s="190" t="str">
        <f>IF(PORTEFEUILLE_GUILLAUME[[#This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SUM(PORTEFEUILLE_GUILLAUME[[#This Row],[PCR COMPTABLE €]:[MONTANT
RESPONSABLE RELATION CLIENT €]])-PORTEFEUILLE_GUILLAUME[[#This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7" s="188" t="str">
        <f>IF(PORTEFEUILLE_GUILLAUME[[#This Row],[BONI AAC]]&lt;&gt;0,1,"")</f>
        <v/>
      </c>
      <c r="AU7" s="188" t="str">
        <f>IF(PORTEFEUILLE_GUILLAUME[[#This Row],[MALI AAC]]&lt;&gt;0,1,"")</f>
        <v/>
      </c>
      <c r="AV7" s="225">
        <f>IF(AP7&lt;&gt;"",IF((AP7*Paramètres!$H$4)-PORTEFEUILLE_GUILLAUME[[#This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7" s="225">
        <f>IF(AP7&lt;&gt;"",IF(((AP7*Paramètres!$H$4)-PORTEFEUILLE_GUILLAUME[[#This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7" s="190" t="str">
        <f>IF(PORTEFEUILLE_GUILLAUME[[#This Row],[BONI COMPTABLE]]&lt;&gt;0,1,"")</f>
        <v/>
      </c>
      <c r="AY7" s="190" t="str">
        <f>IF(PORTEFEUILLE_GUILLAUME[[#This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SUM(PORTEFEUILLE_GUILLAUME[[#This Row],[PCR COMPTABLE €]:[MONTANT
RESPONSABLE RELATION CLIENT €]])-PORTEFEUILLE_GUILLAUME[[#This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8" s="188" t="str">
        <f>IF(PORTEFEUILLE_GUILLAUME[[#This Row],[BONI AAC]]&lt;&gt;0,1,"")</f>
        <v/>
      </c>
      <c r="AU8" s="188" t="str">
        <f>IF(PORTEFEUILLE_GUILLAUME[[#This Row],[MALI AAC]]&lt;&gt;0,1,"")</f>
        <v/>
      </c>
      <c r="AV8" s="225">
        <f>IF(AP8&lt;&gt;"",IF((AP8*Paramètres!$H$4)-PORTEFEUILLE_GUILLAUME[[#This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8" s="225">
        <f>IF(AP8&lt;&gt;"",IF(((AP8*Paramètres!$H$4)-PORTEFEUILLE_GUILLAUME[[#This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8" s="190" t="str">
        <f>IF(PORTEFEUILLE_GUILLAUME[[#This Row],[BONI COMPTABLE]]&lt;&gt;0,1,"")</f>
        <v/>
      </c>
      <c r="AY8" s="190" t="str">
        <f>IF(PORTEFEUILLE_GUILLAUME[[#This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SUM(PORTEFEUILLE_GUILLAUME[[#This Row],[PCR COMPTABLE €]:[MONTANT
RESPONSABLE RELATION CLIENT €]])-PORTEFEUILLE_GUILLAUME[[#This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9" s="188" t="str">
        <f>IF(PORTEFEUILLE_GUILLAUME[[#This Row],[BONI AAC]]&lt;&gt;0,1,"")</f>
        <v/>
      </c>
      <c r="AU9" s="188" t="str">
        <f>IF(PORTEFEUILLE_GUILLAUME[[#This Row],[MALI AAC]]&lt;&gt;0,1,"")</f>
        <v/>
      </c>
      <c r="AV9" s="225">
        <f>IF(AP9&lt;&gt;"",IF((AP9*Paramètres!$H$4)-PORTEFEUILLE_GUILLAUME[[#This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f>
        <v>0</v>
      </c>
      <c r="AW9" s="225">
        <f>IF(AP9&lt;&gt;"",IF(((AP9*Paramètres!$H$4)-PORTEFEUILLE_GUILLAUME[[#This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9" s="190" t="str">
        <f>IF(PORTEFEUILLE_GUILLAUME[[#This Row],[BONI COMPTABLE]]&lt;&gt;0,1,"")</f>
        <v/>
      </c>
      <c r="AY9" s="190" t="str">
        <f>IF(PORTEFEUILLE_GUILLAUME[[#This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SUM(PORTEFEUILLE_GUILLAUME[[#This Row],[PCR COMPTABLE €]:[MONTANT
RESPONSABLE RELATION CLIENT €]])-PORTEFEUILLE_GUILLAUME[[#This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0" s="188" t="str">
        <f>IF(PORTEFEUILLE_GUILLAUME[[#This Row],[BONI AAC]]&lt;&gt;0,1,"")</f>
        <v/>
      </c>
      <c r="AU10" s="188" t="str">
        <f>IF(PORTEFEUILLE_GUILLAUME[[#This Row],[MALI AAC]]&lt;&gt;0,1,"")</f>
        <v/>
      </c>
      <c r="AV10" s="225">
        <f>IF(AP10&lt;&gt;"",IF((AP10*Paramètres!$H$4)-PORTEFEUILLE_GUILLAUME[[#This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10" s="225">
        <f>IF(AP10&lt;&gt;"",IF(((AP10*Paramètres!$H$4)-PORTEFEUILLE_GUILLAUME[[#This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0" s="190" t="str">
        <f>IF(PORTEFEUILLE_GUILLAUME[[#This Row],[BONI COMPTABLE]]&lt;&gt;0,1,"")</f>
        <v/>
      </c>
      <c r="AY10" s="190" t="str">
        <f>IF(PORTEFEUILLE_GUILLAUME[[#This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SUM(PORTEFEUILLE_GUILLAUME[[#This Row],[PCR COMPTABLE €]:[MONTANT
RESPONSABLE RELATION CLIENT €]])-PORTEFEUILLE_GUILLAUME[[#This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1" s="188" t="str">
        <f>IF(PORTEFEUILLE_GUILLAUME[[#This Row],[BONI AAC]]&lt;&gt;0,1,"")</f>
        <v/>
      </c>
      <c r="AU11" s="188" t="str">
        <f>IF(PORTEFEUILLE_GUILLAUME[[#This Row],[MALI AAC]]&lt;&gt;0,1,"")</f>
        <v/>
      </c>
      <c r="AV11" s="225">
        <f>IF(AP11&lt;&gt;"",IF((AP11*Paramètres!$H$4)-PORTEFEUILLE_GUILLAUME[[#This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€]]-(DELPHINE!AP4*Paramètres!$H$4),0),0)</f>
        <v>0</v>
      </c>
      <c r="AW11" s="225">
        <f>IF(AP11&lt;&gt;"",IF(((AP11*Paramètres!$H$4)-PORTEFEUILLE_GUILLAUME[[#This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1" s="190" t="str">
        <f>IF(PORTEFEUILLE_GUILLAUME[[#This Row],[BONI COMPTABLE]]&lt;&gt;0,1,"")</f>
        <v/>
      </c>
      <c r="AY11" s="190" t="str">
        <f>IF(PORTEFEUILLE_GUILLAUME[[#This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SUM(PORTEFEUILLE_GUILLAUME[[#This Row],[PCR COMPTABLE €]:[MONTANT
RESPONSABLE RELATION CLIENT €]])-PORTEFEUILLE_GUILLAUME[[#This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2" s="188" t="str">
        <f>IF(PORTEFEUILLE_GUILLAUME[[#This Row],[BONI AAC]]&lt;&gt;0,1,"")</f>
        <v/>
      </c>
      <c r="AU12" s="188" t="str">
        <f>IF(PORTEFEUILLE_GUILLAUME[[#This Row],[MALI AAC]]&lt;&gt;0,1,"")</f>
        <v/>
      </c>
      <c r="AV12" s="225">
        <f>IF(AP12&lt;&gt;"",IF((AP12*Paramètres!$H$4)-PORTEFEUILLE_GUILLAUME[[#This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€]]-(DELPHINE!AP5*Paramètres!$H$4),0),0)</f>
        <v>0</v>
      </c>
      <c r="AW12" s="225">
        <f>IF(AP12&lt;&gt;"",IF(((AP12*Paramètres!$H$4)-PORTEFEUILLE_GUILLAUME[[#This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2" s="190" t="str">
        <f>IF(PORTEFEUILLE_GUILLAUME[[#This Row],[BONI COMPTABLE]]&lt;&gt;0,1,"")</f>
        <v/>
      </c>
      <c r="AY12" s="190" t="str">
        <f>IF(PORTEFEUILLE_GUILLAUME[[#This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SUM(PORTEFEUILLE_GUILLAUME[[#This Row],[PCR COMPTABLE €]:[MONTANT
RESPONSABLE RELATION CLIENT €]])-PORTEFEUILLE_GUILLAUME[[#This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3" s="188" t="str">
        <f>IF(PORTEFEUILLE_GUILLAUME[[#This Row],[BONI AAC]]&lt;&gt;0,1,"")</f>
        <v/>
      </c>
      <c r="AU13" s="188" t="str">
        <f>IF(PORTEFEUILLE_GUILLAUME[[#This Row],[MALI AAC]]&lt;&gt;0,1,"")</f>
        <v/>
      </c>
      <c r="AV13" s="225">
        <f>IF(AP13&lt;&gt;"",IF((AP13*Paramètres!$H$4)-PORTEFEUILLE_GUILLAUME[[#This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€]]-(DELPHINE!AP6*Paramètres!$H$4),0),0)</f>
        <v>0</v>
      </c>
      <c r="AW13" s="225">
        <f>IF(AP13&lt;&gt;"",IF(((AP13*Paramètres!$H$4)-PORTEFEUILLE_GUILLAUME[[#This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3" s="190" t="str">
        <f>IF(PORTEFEUILLE_GUILLAUME[[#This Row],[BONI COMPTABLE]]&lt;&gt;0,1,"")</f>
        <v/>
      </c>
      <c r="AY13" s="190" t="str">
        <f>IF(PORTEFEUILLE_GUILLAUME[[#This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SUM(PORTEFEUILLE_GUILLAUME[[#This Row],[PCR COMPTABLE €]:[MONTANT
RESPONSABLE RELATION CLIENT €]])-PORTEFEUILLE_GUILLAUME[[#This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4" s="188" t="str">
        <f>IF(PORTEFEUILLE_GUILLAUME[[#This Row],[BONI AAC]]&lt;&gt;0,1,"")</f>
        <v/>
      </c>
      <c r="AU14" s="188" t="str">
        <f>IF(PORTEFEUILLE_GUILLAUME[[#This Row],[MALI AAC]]&lt;&gt;0,1,"")</f>
        <v/>
      </c>
      <c r="AV14" s="225">
        <f>IF(AP14&lt;&gt;"",IF((AP14*Paramètres!$H$4)-PORTEFEUILLE_GUILLAUME[[#This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14" s="225">
        <f>IF(AP14&lt;&gt;"",IF(((AP14*Paramètres!$H$4)-PORTEFEUILLE_GUILLAUME[[#This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4" s="190" t="str">
        <f>IF(PORTEFEUILLE_GUILLAUME[[#This Row],[BONI COMPTABLE]]&lt;&gt;0,1,"")</f>
        <v/>
      </c>
      <c r="AY14" s="190" t="str">
        <f>IF(PORTEFEUILLE_GUILLAUME[[#This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SUM(PORTEFEUILLE_GUILLAUME[[#This Row],[PCR COMPTABLE €]:[MONTANT
RESPONSABLE RELATION CLIENT €]])-PORTEFEUILLE_GUILLAUME[[#This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5" s="188" t="str">
        <f>IF(PORTEFEUILLE_GUILLAUME[[#This Row],[BONI AAC]]&lt;&gt;0,1,"")</f>
        <v/>
      </c>
      <c r="AU15" s="188" t="str">
        <f>IF(PORTEFEUILLE_GUILLAUME[[#This Row],[MALI AAC]]&lt;&gt;0,1,"")</f>
        <v/>
      </c>
      <c r="AV15" s="225">
        <f>IF(AP15&lt;&gt;"",IF((AP15*Paramètres!$H$4)-PORTEFEUILLE_GUILLAUME[[#This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€]]-(DELPHINE!#REF!*Paramètres!$H$4),0),0)</f>
        <v>0</v>
      </c>
      <c r="AW15" s="225">
        <f>IF(AP15&lt;&gt;"",IF(((AP15*Paramètres!$H$4)-PORTEFEUILLE_GUILLAUME[[#This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5" s="190" t="str">
        <f>IF(PORTEFEUILLE_GUILLAUME[[#This Row],[BONI COMPTABLE]]&lt;&gt;0,1,"")</f>
        <v/>
      </c>
      <c r="AY15" s="190" t="str">
        <f>IF(PORTEFEUILLE_GUILLAUME[[#This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SUM(PORTEFEUILLE_GUILLAUME[[#This Row],[PCR COMPTABLE €]:[MONTANT
RESPONSABLE RELATION CLIENT €]])-PORTEFEUILLE_GUILLAUME[[#This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6" s="188" t="str">
        <f>IF(PORTEFEUILLE_GUILLAUME[[#This Row],[BONI AAC]]&lt;&gt;0,1,"")</f>
        <v/>
      </c>
      <c r="AU16" s="188" t="str">
        <f>IF(PORTEFEUILLE_GUILLAUME[[#This Row],[MALI AAC]]&lt;&gt;0,1,"")</f>
        <v/>
      </c>
      <c r="AV16" s="225">
        <f>IF(AP16&lt;&gt;"",IF((AP16*Paramètres!$H$4)-PORTEFEUILLE_GUILLAUME[[#This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€]]-(DELPHINE!AP7*Paramètres!$H$4),0),0)</f>
        <v>0</v>
      </c>
      <c r="AW16" s="225">
        <f>IF(AP16&lt;&gt;"",IF(((AP16*Paramètres!$H$4)-PORTEFEUILLE_GUILLAUME[[#This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6" s="190" t="str">
        <f>IF(PORTEFEUILLE_GUILLAUME[[#This Row],[BONI COMPTABLE]]&lt;&gt;0,1,"")</f>
        <v/>
      </c>
      <c r="AY16" s="190" t="str">
        <f>IF(PORTEFEUILLE_GUILLAUME[[#This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SUM(PORTEFEUILLE_GUILLAUME[[#This Row],[PCR COMPTABLE €]:[MONTANT
RESPONSABLE RELATION CLIENT €]])-PORTEFEUILLE_GUILLAUME[[#This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7" s="188" t="str">
        <f>IF(PORTEFEUILLE_GUILLAUME[[#This Row],[BONI AAC]]&lt;&gt;0,1,"")</f>
        <v/>
      </c>
      <c r="AU17" s="188" t="str">
        <f>IF(PORTEFEUILLE_GUILLAUME[[#This Row],[MALI AAC]]&lt;&gt;0,1,"")</f>
        <v/>
      </c>
      <c r="AV17" s="225">
        <f>IF(AP17&lt;&gt;"",IF((AP17*Paramètres!$H$4)-PORTEFEUILLE_GUILLAUME[[#This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€]]-(DELPHINE!AP8*Paramètres!$H$4),0),0)</f>
        <v>0</v>
      </c>
      <c r="AW17" s="225">
        <f>IF(AP17&lt;&gt;"",IF(((AP17*Paramètres!$H$4)-PORTEFEUILLE_GUILLAUME[[#This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7" s="190" t="str">
        <f>IF(PORTEFEUILLE_GUILLAUME[[#This Row],[BONI COMPTABLE]]&lt;&gt;0,1,"")</f>
        <v/>
      </c>
      <c r="AY17" s="190" t="str">
        <f>IF(PORTEFEUILLE_GUILLAUME[[#This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SUM(PORTEFEUILLE_GUILLAUME[[#This Row],[PCR COMPTABLE €]:[MONTANT
RESPONSABLE RELATION CLIENT €]])-PORTEFEUILLE_GUILLAUME[[#This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8" s="188" t="str">
        <f>IF(PORTEFEUILLE_GUILLAUME[[#This Row],[BONI AAC]]&lt;&gt;0,1,"")</f>
        <v/>
      </c>
      <c r="AU18" s="188" t="str">
        <f>IF(PORTEFEUILLE_GUILLAUME[[#This Row],[MALI AAC]]&lt;&gt;0,1,"")</f>
        <v/>
      </c>
      <c r="AV18" s="225">
        <f>IF(AP18&lt;&gt;"",IF((AP18*Paramètres!$H$4)-PORTEFEUILLE_GUILLAUME[[#This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€]]-(DELPHINE!AP9*Paramètres!$H$4),0),0)</f>
        <v>0</v>
      </c>
      <c r="AW18" s="225">
        <f>IF(AP18&lt;&gt;"",IF(((AP18*Paramètres!$H$4)-PORTEFEUILLE_GUILLAUME[[#This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8" s="190" t="str">
        <f>IF(PORTEFEUILLE_GUILLAUME[[#This Row],[BONI COMPTABLE]]&lt;&gt;0,1,"")</f>
        <v/>
      </c>
      <c r="AY18" s="190" t="str">
        <f>IF(PORTEFEUILLE_GUILLAUME[[#This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SUM(PORTEFEUILLE_GUILLAUME[[#This Row],[PCR COMPTABLE €]:[MONTANT
RESPONSABLE RELATION CLIENT €]])-PORTEFEUILLE_GUILLAUME[[#This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9" s="188" t="str">
        <f>IF(PORTEFEUILLE_GUILLAUME[[#This Row],[BONI AAC]]&lt;&gt;0,1,"")</f>
        <v/>
      </c>
      <c r="AU19" s="188" t="str">
        <f>IF(PORTEFEUILLE_GUILLAUME[[#This Row],[MALI AAC]]&lt;&gt;0,1,"")</f>
        <v/>
      </c>
      <c r="AV19" s="225">
        <f>IF(AP19&lt;&gt;"",IF((AP19*Paramètres!$H$4)-PORTEFEUILLE_GUILLAUME[[#This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€]]-(DELPHINE!AP10*Paramètres!$H$4),0),0)</f>
        <v>0</v>
      </c>
      <c r="AW19" s="225">
        <f>IF(AP19&lt;&gt;"",IF(((AP19*Paramètres!$H$4)-PORTEFEUILLE_GUILLAUME[[#This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9" s="190" t="str">
        <f>IF(PORTEFEUILLE_GUILLAUME[[#This Row],[BONI COMPTABLE]]&lt;&gt;0,1,"")</f>
        <v/>
      </c>
      <c r="AY19" s="190" t="str">
        <f>IF(PORTEFEUILLE_GUILLAUME[[#This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SUM(PORTEFEUILLE_GUILLAUME[[#This Row],[PCR COMPTABLE €]:[MONTANT
RESPONSABLE RELATION CLIENT €]])-PORTEFEUILLE_GUILLAUME[[#This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0" s="188" t="str">
        <f>IF(PORTEFEUILLE_GUILLAUME[[#This Row],[BONI AAC]]&lt;&gt;0,1,"")</f>
        <v/>
      </c>
      <c r="AU20" s="188" t="str">
        <f>IF(PORTEFEUILLE_GUILLAUME[[#This Row],[MALI AAC]]&lt;&gt;0,1,"")</f>
        <v/>
      </c>
      <c r="AV20" s="225">
        <f>IF(AP20&lt;&gt;"",IF((AP20*Paramètres!$H$4)-PORTEFEUILLE_GUILLAUME[[#This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€]]-(DELPHINE!AP11*Paramètres!$H$4),0),0)</f>
        <v>0</v>
      </c>
      <c r="AW20" s="225">
        <f>IF(AP20&lt;&gt;"",IF(((AP20*Paramètres!$H$4)-PORTEFEUILLE_GUILLAUME[[#This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0" s="190" t="str">
        <f>IF(PORTEFEUILLE_GUILLAUME[[#This Row],[BONI COMPTABLE]]&lt;&gt;0,1,"")</f>
        <v/>
      </c>
      <c r="AY20" s="190" t="str">
        <f>IF(PORTEFEUILLE_GUILLAUME[[#This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SUM(PORTEFEUILLE_GUILLAUME[[#This Row],[PCR COMPTABLE €]:[MONTANT
RESPONSABLE RELATION CLIENT €]])-PORTEFEUILLE_GUILLAUME[[#This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1" s="188" t="str">
        <f>IF(PORTEFEUILLE_GUILLAUME[[#This Row],[BONI AAC]]&lt;&gt;0,1,"")</f>
        <v/>
      </c>
      <c r="AU21" s="188" t="str">
        <f>IF(PORTEFEUILLE_GUILLAUME[[#This Row],[MALI AAC]]&lt;&gt;0,1,"")</f>
        <v/>
      </c>
      <c r="AV21" s="225">
        <f>IF(AP21&lt;&gt;"",IF((AP21*Paramètres!$H$4)-PORTEFEUILLE_GUILLAUME[[#This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€]]-(DELPHINE!AP12*Paramètres!$H$4),0),0)</f>
        <v>0</v>
      </c>
      <c r="AW21" s="225">
        <f>IF(AP21&lt;&gt;"",IF(((AP21*Paramètres!$H$4)-PORTEFEUILLE_GUILLAUME[[#This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1" s="190" t="str">
        <f>IF(PORTEFEUILLE_GUILLAUME[[#This Row],[BONI COMPTABLE]]&lt;&gt;0,1,"")</f>
        <v/>
      </c>
      <c r="AY21" s="190" t="str">
        <f>IF(PORTEFEUILLE_GUILLAUME[[#This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SUM(PORTEFEUILLE_GUILLAUME[[#This Row],[PCR COMPTABLE €]:[MONTANT
RESPONSABLE RELATION CLIENT €]])-PORTEFEUILLE_GUILLAUME[[#This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2" s="188" t="str">
        <f>IF(PORTEFEUILLE_GUILLAUME[[#This Row],[BONI AAC]]&lt;&gt;0,1,"")</f>
        <v/>
      </c>
      <c r="AU22" s="188" t="str">
        <f>IF(PORTEFEUILLE_GUILLAUME[[#This Row],[MALI AAC]]&lt;&gt;0,1,"")</f>
        <v/>
      </c>
      <c r="AV22" s="225">
        <f>IF(AP22&lt;&gt;"",IF((AP22*Paramètres!$H$4)-PORTEFEUILLE_GUILLAUME[[#This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€]]-(DELPHINE!AP13*Paramètres!$H$4),0),0)</f>
        <v>0</v>
      </c>
      <c r="AW22" s="225">
        <f>IF(AP22&lt;&gt;"",IF(((AP22*Paramètres!$H$4)-PORTEFEUILLE_GUILLAUME[[#This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2" s="190" t="str">
        <f>IF(PORTEFEUILLE_GUILLAUME[[#This Row],[BONI COMPTABLE]]&lt;&gt;0,1,"")</f>
        <v/>
      </c>
      <c r="AY22" s="190" t="str">
        <f>IF(PORTEFEUILLE_GUILLAUME[[#This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SUM(PORTEFEUILLE_GUILLAUME[[#This Row],[PCR COMPTABLE €]:[MONTANT
RESPONSABLE RELATION CLIENT €]])-PORTEFEUILLE_GUILLAUME[[#This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3" s="188" t="str">
        <f>IF(PORTEFEUILLE_GUILLAUME[[#This Row],[BONI AAC]]&lt;&gt;0,1,"")</f>
        <v/>
      </c>
      <c r="AU23" s="188" t="str">
        <f>IF(PORTEFEUILLE_GUILLAUME[[#This Row],[MALI AAC]]&lt;&gt;0,1,"")</f>
        <v/>
      </c>
      <c r="AV23" s="225">
        <f>IF(AP23&lt;&gt;"",IF((AP23*Paramètres!$H$4)-PORTEFEUILLE_GUILLAUME[[#This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€]]-(DELPHINE!AP14*Paramètres!$H$4),0),0)</f>
        <v>0</v>
      </c>
      <c r="AW23" s="225">
        <f>IF(AP23&lt;&gt;"",IF(((AP23*Paramètres!$H$4)-PORTEFEUILLE_GUILLAUME[[#This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3" s="190" t="str">
        <f>IF(PORTEFEUILLE_GUILLAUME[[#This Row],[BONI COMPTABLE]]&lt;&gt;0,1,"")</f>
        <v/>
      </c>
      <c r="AY23" s="190" t="str">
        <f>IF(PORTEFEUILLE_GUILLAUME[[#This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SUM(PORTEFEUILLE_GUILLAUME[[#This Row],[PCR COMPTABLE €]:[MONTANT
RESPONSABLE RELATION CLIENT €]])-PORTEFEUILLE_GUILLAUME[[#This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4" s="188" t="str">
        <f>IF(PORTEFEUILLE_GUILLAUME[[#This Row],[BONI AAC]]&lt;&gt;0,1,"")</f>
        <v/>
      </c>
      <c r="AU24" s="188" t="str">
        <f>IF(PORTEFEUILLE_GUILLAUME[[#This Row],[MALI AAC]]&lt;&gt;0,1,"")</f>
        <v/>
      </c>
      <c r="AV24" s="225">
        <f>IF(AP24&lt;&gt;"",IF((AP24*Paramètres!$H$4)-PORTEFEUILLE_GUILLAUME[[#This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€]]-(DELPHINE!AP15*Paramètres!$H$4),0),0)</f>
        <v>0</v>
      </c>
      <c r="AW24" s="225">
        <f>IF(AP24&lt;&gt;"",IF(((AP24*Paramètres!$H$4)-PORTEFEUILLE_GUILLAUME[[#This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4" s="190" t="str">
        <f>IF(PORTEFEUILLE_GUILLAUME[[#This Row],[BONI COMPTABLE]]&lt;&gt;0,1,"")</f>
        <v/>
      </c>
      <c r="AY24" s="190" t="str">
        <f>IF(PORTEFEUILLE_GUILLAUME[[#This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SUM(PORTEFEUILLE_GUILLAUME[[#This Row],[PCR COMPTABLE €]:[MONTANT
RESPONSABLE RELATION CLIENT €]])-PORTEFEUILLE_GUILLAUME[[#This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5" s="188" t="str">
        <f>IF(PORTEFEUILLE_GUILLAUME[[#This Row],[BONI AAC]]&lt;&gt;0,1,"")</f>
        <v/>
      </c>
      <c r="AU25" s="188" t="str">
        <f>IF(PORTEFEUILLE_GUILLAUME[[#This Row],[MALI AAC]]&lt;&gt;0,1,"")</f>
        <v/>
      </c>
      <c r="AV25" s="225">
        <f>IF(AP25&lt;&gt;"",IF((AP25*Paramètres!$H$4)-PORTEFEUILLE_GUILLAUME[[#This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€]]-(DELPHINE!AP16*Paramètres!$H$4),0),0)</f>
        <v>0</v>
      </c>
      <c r="AW25" s="225">
        <f>IF(AP25&lt;&gt;"",IF(((AP25*Paramètres!$H$4)-PORTEFEUILLE_GUILLAUME[[#This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5" s="190" t="str">
        <f>IF(PORTEFEUILLE_GUILLAUME[[#This Row],[BONI COMPTABLE]]&lt;&gt;0,1,"")</f>
        <v/>
      </c>
      <c r="AY25" s="190" t="str">
        <f>IF(PORTEFEUILLE_GUILLAUME[[#This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SUM(PORTEFEUILLE_GUILLAUME[[#This Row],[PCR COMPTABLE €]:[MONTANT
RESPONSABLE RELATION CLIENT €]])-PORTEFEUILLE_GUILLAUME[[#This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6" s="188" t="str">
        <f>IF(PORTEFEUILLE_GUILLAUME[[#This Row],[BONI AAC]]&lt;&gt;0,1,"")</f>
        <v/>
      </c>
      <c r="AU26" s="188" t="str">
        <f>IF(PORTEFEUILLE_GUILLAUME[[#This Row],[MALI AAC]]&lt;&gt;0,1,"")</f>
        <v/>
      </c>
      <c r="AV26" s="225">
        <f>IF(AP26&lt;&gt;"",IF((AP26*Paramètres!$H$4)-PORTEFEUILLE_GUILLAUME[[#This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€]]-(DELPHINE!AP17*Paramètres!$H$4),0),0)</f>
        <v>0</v>
      </c>
      <c r="AW26" s="225">
        <f>IF(AP26&lt;&gt;"",IF(((AP26*Paramètres!$H$4)-PORTEFEUILLE_GUILLAUME[[#This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6" s="190" t="str">
        <f>IF(PORTEFEUILLE_GUILLAUME[[#This Row],[BONI COMPTABLE]]&lt;&gt;0,1,"")</f>
        <v/>
      </c>
      <c r="AY26" s="190" t="str">
        <f>IF(PORTEFEUILLE_GUILLAUME[[#This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SUM(PORTEFEUILLE_GUILLAUME[[#This Row],[PCR COMPTABLE €]:[MONTANT
RESPONSABLE RELATION CLIENT €]])-PORTEFEUILLE_GUILLAUME[[#This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7" s="188" t="str">
        <f>IF(PORTEFEUILLE_GUILLAUME[[#This Row],[BONI AAC]]&lt;&gt;0,1,"")</f>
        <v/>
      </c>
      <c r="AU27" s="188" t="str">
        <f>IF(PORTEFEUILLE_GUILLAUME[[#This Row],[MALI AAC]]&lt;&gt;0,1,"")</f>
        <v/>
      </c>
      <c r="AV27" s="225">
        <f>IF(AP27&lt;&gt;"",IF((AP27*Paramètres!$H$4)-PORTEFEUILLE_GUILLAUME[[#This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€]]-(DELPHINE!AP18*Paramètres!$H$4),0),0)</f>
        <v>0</v>
      </c>
      <c r="AW27" s="225">
        <f>IF(AP27&lt;&gt;"",IF(((AP27*Paramètres!$H$4)-PORTEFEUILLE_GUILLAUME[[#This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7" s="190" t="str">
        <f>IF(PORTEFEUILLE_GUILLAUME[[#This Row],[BONI COMPTABLE]]&lt;&gt;0,1,"")</f>
        <v/>
      </c>
      <c r="AY27" s="190" t="str">
        <f>IF(PORTEFEUILLE_GUILLAUME[[#This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SUM(PORTEFEUILLE_GUILLAUME[[#This Row],[PCR COMPTABLE €]:[MONTANT
RESPONSABLE RELATION CLIENT €]])-PORTEFEUILLE_GUILLAUME[[#This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8" s="188" t="str">
        <f>IF(PORTEFEUILLE_GUILLAUME[[#This Row],[BONI AAC]]&lt;&gt;0,1,"")</f>
        <v/>
      </c>
      <c r="AU28" s="188" t="str">
        <f>IF(PORTEFEUILLE_GUILLAUME[[#This Row],[MALI AAC]]&lt;&gt;0,1,"")</f>
        <v/>
      </c>
      <c r="AV28" s="225">
        <f>IF(AP28&lt;&gt;"",IF((AP28*Paramètres!$H$4)-PORTEFEUILLE_GUILLAUME[[#This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€]]-(DELPHINE!AP19*Paramètres!$H$4),0),0)</f>
        <v>0</v>
      </c>
      <c r="AW28" s="225">
        <f>IF(AP28&lt;&gt;"",IF(((AP28*Paramètres!$H$4)-PORTEFEUILLE_GUILLAUME[[#This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8" s="190" t="str">
        <f>IF(PORTEFEUILLE_GUILLAUME[[#This Row],[BONI COMPTABLE]]&lt;&gt;0,1,"")</f>
        <v/>
      </c>
      <c r="AY28" s="190" t="str">
        <f>IF(PORTEFEUILLE_GUILLAUME[[#This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SUM(PORTEFEUILLE_GUILLAUME[[#This Row],[PCR COMPTABLE €]:[MONTANT
RESPONSABLE RELATION CLIENT €]])-PORTEFEUILLE_GUILLAUME[[#This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9" s="188" t="str">
        <f>IF(PORTEFEUILLE_GUILLAUME[[#This Row],[BONI AAC]]&lt;&gt;0,1,"")</f>
        <v/>
      </c>
      <c r="AU29" s="188" t="str">
        <f>IF(PORTEFEUILLE_GUILLAUME[[#This Row],[MALI AAC]]&lt;&gt;0,1,"")</f>
        <v/>
      </c>
      <c r="AV29" s="225">
        <f>IF(AP29&lt;&gt;"",IF((AP29*Paramètres!$H$4)-PORTEFEUILLE_GUILLAUME[[#This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€]]-(DELPHINE!AP20*Paramètres!$H$4),0),0)</f>
        <v>0</v>
      </c>
      <c r="AW29" s="225">
        <f>IF(AP29&lt;&gt;"",IF(((AP29*Paramètres!$H$4)-PORTEFEUILLE_GUILLAUME[[#This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9" s="190" t="str">
        <f>IF(PORTEFEUILLE_GUILLAUME[[#This Row],[BONI COMPTABLE]]&lt;&gt;0,1,"")</f>
        <v/>
      </c>
      <c r="AY29" s="190" t="str">
        <f>IF(PORTEFEUILLE_GUILLAUME[[#This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SUM(PORTEFEUILLE_GUILLAUME[[#This Row],[PCR COMPTABLE €]:[MONTANT
RESPONSABLE RELATION CLIENT €]])-PORTEFEUILLE_GUILLAUME[[#This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0" s="188" t="str">
        <f>IF(PORTEFEUILLE_GUILLAUME[[#This Row],[BONI AAC]]&lt;&gt;0,1,"")</f>
        <v/>
      </c>
      <c r="AU30" s="188" t="str">
        <f>IF(PORTEFEUILLE_GUILLAUME[[#This Row],[MALI AAC]]&lt;&gt;0,1,"")</f>
        <v/>
      </c>
      <c r="AV30" s="225">
        <f>IF(AP30&lt;&gt;"",IF((AP30*Paramètres!$H$4)-PORTEFEUILLE_GUILLAUME[[#This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€]]-(DELPHINE!AP21*Paramètres!$H$4),0),0)</f>
        <v>0</v>
      </c>
      <c r="AW30" s="225">
        <f>IF(AP30&lt;&gt;"",IF(((AP30*Paramètres!$H$4)-PORTEFEUILLE_GUILLAUME[[#This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0" s="190" t="str">
        <f>IF(PORTEFEUILLE_GUILLAUME[[#This Row],[BONI COMPTABLE]]&lt;&gt;0,1,"")</f>
        <v/>
      </c>
      <c r="AY30" s="190" t="str">
        <f>IF(PORTEFEUILLE_GUILLAUME[[#This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SUM(PORTEFEUILLE_GUILLAUME[[#This Row],[PCR COMPTABLE €]:[MONTANT
RESPONSABLE RELATION CLIENT €]])-PORTEFEUILLE_GUILLAUME[[#This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1" s="188" t="str">
        <f>IF(PORTEFEUILLE_GUILLAUME[[#This Row],[BONI AAC]]&lt;&gt;0,1,"")</f>
        <v/>
      </c>
      <c r="AU31" s="188" t="str">
        <f>IF(PORTEFEUILLE_GUILLAUME[[#This Row],[MALI AAC]]&lt;&gt;0,1,"")</f>
        <v/>
      </c>
      <c r="AV31" s="225">
        <f>IF(AP31&lt;&gt;"",IF((AP31*Paramètres!$H$4)-PORTEFEUILLE_GUILLAUME[[#This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€]]-(DELPHINE!AP22*Paramètres!$H$4),0),0)</f>
        <v>0</v>
      </c>
      <c r="AW31" s="225">
        <f>IF(AP31&lt;&gt;"",IF(((AP31*Paramètres!$H$4)-PORTEFEUILLE_GUILLAUME[[#This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1" s="190" t="str">
        <f>IF(PORTEFEUILLE_GUILLAUME[[#This Row],[BONI COMPTABLE]]&lt;&gt;0,1,"")</f>
        <v/>
      </c>
      <c r="AY31" s="190" t="str">
        <f>IF(PORTEFEUILLE_GUILLAUME[[#This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SUM(PORTEFEUILLE_GUILLAUME[[#This Row],[PCR COMPTABLE €]:[MONTANT
RESPONSABLE RELATION CLIENT €]])-PORTEFEUILLE_GUILLAUME[[#This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2" s="188" t="str">
        <f>IF(PORTEFEUILLE_GUILLAUME[[#This Row],[BONI AAC]]&lt;&gt;0,1,"")</f>
        <v/>
      </c>
      <c r="AU32" s="188" t="str">
        <f>IF(PORTEFEUILLE_GUILLAUME[[#This Row],[MALI AAC]]&lt;&gt;0,1,"")</f>
        <v/>
      </c>
      <c r="AV32" s="225">
        <f>IF(AP32&lt;&gt;"",IF((AP32*Paramètres!$H$4)-PORTEFEUILLE_GUILLAUME[[#This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€]]-(DELPHINE!AP23*Paramètres!$H$4),0),0)</f>
        <v>0</v>
      </c>
      <c r="AW32" s="225">
        <f>IF(AP32&lt;&gt;"",IF(((AP32*Paramètres!$H$4)-PORTEFEUILLE_GUILLAUME[[#This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2" s="190" t="str">
        <f>IF(PORTEFEUILLE_GUILLAUME[[#This Row],[BONI COMPTABLE]]&lt;&gt;0,1,"")</f>
        <v/>
      </c>
      <c r="AY32" s="190" t="str">
        <f>IF(PORTEFEUILLE_GUILLAUME[[#This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SUM(PORTEFEUILLE_GUILLAUME[[#This Row],[PCR COMPTABLE €]:[MONTANT
RESPONSABLE RELATION CLIENT €]])-PORTEFEUILLE_GUILLAUME[[#This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3" s="188" t="str">
        <f>IF(PORTEFEUILLE_GUILLAUME[[#This Row],[BONI AAC]]&lt;&gt;0,1,"")</f>
        <v/>
      </c>
      <c r="AU33" s="188" t="str">
        <f>IF(PORTEFEUILLE_GUILLAUME[[#This Row],[MALI AAC]]&lt;&gt;0,1,"")</f>
        <v/>
      </c>
      <c r="AV33" s="225">
        <f>IF(AP33&lt;&gt;"",IF((AP33*Paramètres!$H$4)-PORTEFEUILLE_GUILLAUME[[#This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€]]-(DELPHINE!AP24*Paramètres!$H$4),0),0)</f>
        <v>0</v>
      </c>
      <c r="AW33" s="225">
        <f>IF(AP33&lt;&gt;"",IF(((AP33*Paramètres!$H$4)-PORTEFEUILLE_GUILLAUME[[#This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3" s="190" t="str">
        <f>IF(PORTEFEUILLE_GUILLAUME[[#This Row],[BONI COMPTABLE]]&lt;&gt;0,1,"")</f>
        <v/>
      </c>
      <c r="AY33" s="190" t="str">
        <f>IF(PORTEFEUILLE_GUILLAUME[[#This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SUM(PORTEFEUILLE_GUILLAUME[[#This Row],[PCR COMPTABLE €]:[MONTANT
RESPONSABLE RELATION CLIENT €]])-PORTEFEUILLE_GUILLAUME[[#This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4" s="188" t="str">
        <f>IF(PORTEFEUILLE_GUILLAUME[[#This Row],[BONI AAC]]&lt;&gt;0,1,"")</f>
        <v/>
      </c>
      <c r="AU34" s="188" t="str">
        <f>IF(PORTEFEUILLE_GUILLAUME[[#This Row],[MALI AAC]]&lt;&gt;0,1,"")</f>
        <v/>
      </c>
      <c r="AV34" s="225">
        <f>IF(AP34&lt;&gt;"",IF((AP34*Paramètres!$H$4)-PORTEFEUILLE_GUILLAUME[[#This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€]]-(DELPHINE!AP25*Paramètres!$H$4),0),0)</f>
        <v>0</v>
      </c>
      <c r="AW34" s="225">
        <f>IF(AP34&lt;&gt;"",IF(((AP34*Paramètres!$H$4)-PORTEFEUILLE_GUILLAUME[[#This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4" s="190" t="str">
        <f>IF(PORTEFEUILLE_GUILLAUME[[#This Row],[BONI COMPTABLE]]&lt;&gt;0,1,"")</f>
        <v/>
      </c>
      <c r="AY34" s="190" t="str">
        <f>IF(PORTEFEUILLE_GUILLAUME[[#This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SUM(PORTEFEUILLE_GUILLAUME[[#This Row],[PCR COMPTABLE €]:[MONTANT
RESPONSABLE RELATION CLIENT €]])-PORTEFEUILLE_GUILLAUME[[#This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5" s="188" t="str">
        <f>IF(PORTEFEUILLE_GUILLAUME[[#This Row],[BONI AAC]]&lt;&gt;0,1,"")</f>
        <v/>
      </c>
      <c r="AU35" s="188" t="str">
        <f>IF(PORTEFEUILLE_GUILLAUME[[#This Row],[MALI AAC]]&lt;&gt;0,1,"")</f>
        <v/>
      </c>
      <c r="AV35" s="225">
        <f>IF(AP35&lt;&gt;"",IF((AP35*Paramètres!$H$4)-PORTEFEUILLE_GUILLAUME[[#This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€]]-(DELPHINE!AP26*Paramètres!$H$4),0),0)</f>
        <v>0</v>
      </c>
      <c r="AW35" s="225">
        <f>IF(AP35&lt;&gt;"",IF(((AP35*Paramètres!$H$4)-PORTEFEUILLE_GUILLAUME[[#This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5" s="190" t="str">
        <f>IF(PORTEFEUILLE_GUILLAUME[[#This Row],[BONI COMPTABLE]]&lt;&gt;0,1,"")</f>
        <v/>
      </c>
      <c r="AY35" s="190" t="str">
        <f>IF(PORTEFEUILLE_GUILLAUME[[#This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SUM(PORTEFEUILLE_GUILLAUME[[#This Row],[PCR COMPTABLE €]:[MONTANT
RESPONSABLE RELATION CLIENT €]])-PORTEFEUILLE_GUILLAUME[[#This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6" s="188" t="str">
        <f>IF(PORTEFEUILLE_GUILLAUME[[#This Row],[BONI AAC]]&lt;&gt;0,1,"")</f>
        <v/>
      </c>
      <c r="AU36" s="188" t="str">
        <f>IF(PORTEFEUILLE_GUILLAUME[[#This Row],[MALI AAC]]&lt;&gt;0,1,"")</f>
        <v/>
      </c>
      <c r="AV36" s="225">
        <f>IF(AP36&lt;&gt;"",IF((AP36*Paramètres!$H$4)-PORTEFEUILLE_GUILLAUME[[#This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€]]-(DELPHINE!AP27*Paramètres!$H$4),0),0)</f>
        <v>0</v>
      </c>
      <c r="AW36" s="225">
        <f>IF(AP36&lt;&gt;"",IF(((AP36*Paramètres!$H$4)-PORTEFEUILLE_GUILLAUME[[#This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6" s="190" t="str">
        <f>IF(PORTEFEUILLE_GUILLAUME[[#This Row],[BONI COMPTABLE]]&lt;&gt;0,1,"")</f>
        <v/>
      </c>
      <c r="AY36" s="190" t="str">
        <f>IF(PORTEFEUILLE_GUILLAUME[[#This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SUM(PORTEFEUILLE_GUILLAUME[[#This Row],[PCR COMPTABLE €]:[MONTANT
RESPONSABLE RELATION CLIENT €]])-PORTEFEUILLE_GUILLAUME[[#This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7" s="188" t="str">
        <f>IF(PORTEFEUILLE_GUILLAUME[[#This Row],[BONI AAC]]&lt;&gt;0,1,"")</f>
        <v/>
      </c>
      <c r="AU37" s="188" t="str">
        <f>IF(PORTEFEUILLE_GUILLAUME[[#This Row],[MALI AAC]]&lt;&gt;0,1,"")</f>
        <v/>
      </c>
      <c r="AV37" s="225">
        <f>IF(AP37&lt;&gt;"",IF((AP37*Paramètres!$H$4)-PORTEFEUILLE_GUILLAUME[[#This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€]]-(DELPHINE!AP28*Paramètres!$H$4),0),0)</f>
        <v>0</v>
      </c>
      <c r="AW37" s="225">
        <f>IF(AP37&lt;&gt;"",IF(((AP37*Paramètres!$H$4)-PORTEFEUILLE_GUILLAUME[[#This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7" s="190" t="str">
        <f>IF(PORTEFEUILLE_GUILLAUME[[#This Row],[BONI COMPTABLE]]&lt;&gt;0,1,"")</f>
        <v/>
      </c>
      <c r="AY37" s="190" t="str">
        <f>IF(PORTEFEUILLE_GUILLAUME[[#This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SUM(PORTEFEUILLE_GUILLAUME[[#This Row],[PCR COMPTABLE €]:[MONTANT
RESPONSABLE RELATION CLIENT €]])-PORTEFEUILLE_GUILLAUME[[#This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8" s="188" t="str">
        <f>IF(PORTEFEUILLE_GUILLAUME[[#This Row],[BONI AAC]]&lt;&gt;0,1,"")</f>
        <v/>
      </c>
      <c r="AU38" s="188" t="str">
        <f>IF(PORTEFEUILLE_GUILLAUME[[#This Row],[MALI AAC]]&lt;&gt;0,1,"")</f>
        <v/>
      </c>
      <c r="AV38" s="225">
        <f>IF(AP38&lt;&gt;"",IF((AP38*Paramètres!$H$4)-PORTEFEUILLE_GUILLAUME[[#This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€]]-(DELPHINE!AP29*Paramètres!$H$4),0),0)</f>
        <v>0</v>
      </c>
      <c r="AW38" s="225">
        <f>IF(AP38&lt;&gt;"",IF(((AP38*Paramètres!$H$4)-PORTEFEUILLE_GUILLAUME[[#This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8" s="190" t="str">
        <f>IF(PORTEFEUILLE_GUILLAUME[[#This Row],[BONI COMPTABLE]]&lt;&gt;0,1,"")</f>
        <v/>
      </c>
      <c r="AY38" s="190" t="str">
        <f>IF(PORTEFEUILLE_GUILLAUME[[#This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SUM(PORTEFEUILLE_GUILLAUME[[#This Row],[PCR COMPTABLE €]:[MONTANT
RESPONSABLE RELATION CLIENT €]])-PORTEFEUILLE_GUILLAUME[[#This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9" s="188" t="str">
        <f>IF(PORTEFEUILLE_GUILLAUME[[#This Row],[BONI AAC]]&lt;&gt;0,1,"")</f>
        <v/>
      </c>
      <c r="AU39" s="188" t="str">
        <f>IF(PORTEFEUILLE_GUILLAUME[[#This Row],[MALI AAC]]&lt;&gt;0,1,"")</f>
        <v/>
      </c>
      <c r="AV39" s="225">
        <f>IF(AP39&lt;&gt;"",IF((AP39*Paramètres!$H$4)-PORTEFEUILLE_GUILLAUME[[#This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€]]-(DELPHINE!AP30*Paramètres!$H$4),0),0)</f>
        <v>0</v>
      </c>
      <c r="AW39" s="225">
        <f>IF(AP39&lt;&gt;"",IF(((AP39*Paramètres!$H$4)-PORTEFEUILLE_GUILLAUME[[#This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9" s="190" t="str">
        <f>IF(PORTEFEUILLE_GUILLAUME[[#This Row],[BONI COMPTABLE]]&lt;&gt;0,1,"")</f>
        <v/>
      </c>
      <c r="AY39" s="190" t="str">
        <f>IF(PORTEFEUILLE_GUILLAUME[[#This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SUM(PORTEFEUILLE_GUILLAUME[[#This Row],[PCR COMPTABLE €]:[MONTANT
RESPONSABLE RELATION CLIENT €]])-PORTEFEUILLE_GUILLAUME[[#This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0" s="188" t="str">
        <f>IF(PORTEFEUILLE_GUILLAUME[[#This Row],[BONI AAC]]&lt;&gt;0,1,"")</f>
        <v/>
      </c>
      <c r="AU40" s="188" t="str">
        <f>IF(PORTEFEUILLE_GUILLAUME[[#This Row],[MALI AAC]]&lt;&gt;0,1,"")</f>
        <v/>
      </c>
      <c r="AV40" s="225">
        <f>IF(AP40&lt;&gt;"",IF((AP40*Paramètres!$H$4)-PORTEFEUILLE_GUILLAUME[[#This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€]]-(DELPHINE!AP31*Paramètres!$H$4),0),0)</f>
        <v>0</v>
      </c>
      <c r="AW40" s="225">
        <f>IF(AP40&lt;&gt;"",IF(((AP40*Paramètres!$H$4)-PORTEFEUILLE_GUILLAUME[[#This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0" s="190" t="str">
        <f>IF(PORTEFEUILLE_GUILLAUME[[#This Row],[BONI COMPTABLE]]&lt;&gt;0,1,"")</f>
        <v/>
      </c>
      <c r="AY40" s="190" t="str">
        <f>IF(PORTEFEUILLE_GUILLAUME[[#This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SUM(PORTEFEUILLE_GUILLAUME[[#This Row],[PCR COMPTABLE €]:[MONTANT
RESPONSABLE RELATION CLIENT €]])-PORTEFEUILLE_GUILLAUME[[#This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1" s="188" t="str">
        <f>IF(PORTEFEUILLE_GUILLAUME[[#This Row],[BONI AAC]]&lt;&gt;0,1,"")</f>
        <v/>
      </c>
      <c r="AU41" s="188" t="str">
        <f>IF(PORTEFEUILLE_GUILLAUME[[#This Row],[MALI AAC]]&lt;&gt;0,1,"")</f>
        <v/>
      </c>
      <c r="AV41" s="225">
        <f>IF(AP41&lt;&gt;"",IF((AP41*Paramètres!$H$4)-PORTEFEUILLE_GUILLAUME[[#This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€]]-(DELPHINE!AP32*Paramètres!$H$4),0),0)</f>
        <v>0</v>
      </c>
      <c r="AW41" s="225">
        <f>IF(AP41&lt;&gt;"",IF(((AP41*Paramètres!$H$4)-PORTEFEUILLE_GUILLAUME[[#This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1" s="190" t="str">
        <f>IF(PORTEFEUILLE_GUILLAUME[[#This Row],[BONI COMPTABLE]]&lt;&gt;0,1,"")</f>
        <v/>
      </c>
      <c r="AY41" s="190" t="str">
        <f>IF(PORTEFEUILLE_GUILLAUME[[#This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SUM(PORTEFEUILLE_GUILLAUME[[#This Row],[PCR COMPTABLE €]:[MONTANT
RESPONSABLE RELATION CLIENT €]])-PORTEFEUILLE_GUILLAUME[[#This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2" s="188" t="str">
        <f>IF(PORTEFEUILLE_GUILLAUME[[#This Row],[BONI AAC]]&lt;&gt;0,1,"")</f>
        <v/>
      </c>
      <c r="AU42" s="188" t="str">
        <f>IF(PORTEFEUILLE_GUILLAUME[[#This Row],[MALI AAC]]&lt;&gt;0,1,"")</f>
        <v/>
      </c>
      <c r="AV42" s="225">
        <f>IF(AP42&lt;&gt;"",IF((AP42*Paramètres!$H$4)-PORTEFEUILLE_GUILLAUME[[#This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€]]-(DELPHINE!AP33*Paramètres!$H$4),0),0)</f>
        <v>0</v>
      </c>
      <c r="AW42" s="225">
        <f>IF(AP42&lt;&gt;"",IF(((AP42*Paramètres!$H$4)-PORTEFEUILLE_GUILLAUME[[#This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2" s="190" t="str">
        <f>IF(PORTEFEUILLE_GUILLAUME[[#This Row],[BONI COMPTABLE]]&lt;&gt;0,1,"")</f>
        <v/>
      </c>
      <c r="AY42" s="190" t="str">
        <f>IF(PORTEFEUILLE_GUILLAUME[[#This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SUM(PORTEFEUILLE_GUILLAUME[[#This Row],[PCR COMPTABLE €]:[MONTANT
RESPONSABLE RELATION CLIENT €]])-PORTEFEUILLE_GUILLAUME[[#This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3" s="188" t="str">
        <f>IF(PORTEFEUILLE_GUILLAUME[[#This Row],[BONI AAC]]&lt;&gt;0,1,"")</f>
        <v/>
      </c>
      <c r="AU43" s="188" t="str">
        <f>IF(PORTEFEUILLE_GUILLAUME[[#This Row],[MALI AAC]]&lt;&gt;0,1,"")</f>
        <v/>
      </c>
      <c r="AV43" s="225">
        <f>IF(AP43&lt;&gt;"",IF((AP43*Paramètres!$H$4)-PORTEFEUILLE_GUILLAUME[[#This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€]]-(DELPHINE!AP34*Paramètres!$H$4),0),0)</f>
        <v>0</v>
      </c>
      <c r="AW43" s="225">
        <f>IF(AP43&lt;&gt;"",IF(((AP43*Paramètres!$H$4)-PORTEFEUILLE_GUILLAUME[[#This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3" s="190" t="str">
        <f>IF(PORTEFEUILLE_GUILLAUME[[#This Row],[BONI COMPTABLE]]&lt;&gt;0,1,"")</f>
        <v/>
      </c>
      <c r="AY43" s="190" t="str">
        <f>IF(PORTEFEUILLE_GUILLAUME[[#This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SUM(PORTEFEUILLE_GUILLAUME[[#This Row],[PCR COMPTABLE €]:[MONTANT
RESPONSABLE RELATION CLIENT €]])-PORTEFEUILLE_GUILLAUME[[#This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4" s="188" t="str">
        <f>IF(PORTEFEUILLE_GUILLAUME[[#This Row],[BONI AAC]]&lt;&gt;0,1,"")</f>
        <v/>
      </c>
      <c r="AU44" s="188" t="str">
        <f>IF(PORTEFEUILLE_GUILLAUME[[#This Row],[MALI AAC]]&lt;&gt;0,1,"")</f>
        <v/>
      </c>
      <c r="AV44" s="225">
        <f>IF(AP44&lt;&gt;"",IF((AP44*Paramètres!$H$4)-PORTEFEUILLE_GUILLAUME[[#This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€]]-(DELPHINE!AP35*Paramètres!$H$4),0),0)</f>
        <v>0</v>
      </c>
      <c r="AW44" s="225">
        <f>IF(AP44&lt;&gt;"",IF(((AP44*Paramètres!$H$4)-PORTEFEUILLE_GUILLAUME[[#This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4" s="190" t="str">
        <f>IF(PORTEFEUILLE_GUILLAUME[[#This Row],[BONI COMPTABLE]]&lt;&gt;0,1,"")</f>
        <v/>
      </c>
      <c r="AY44" s="190" t="str">
        <f>IF(PORTEFEUILLE_GUILLAUME[[#This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SUM(PORTEFEUILLE_GUILLAUME[[#This Row],[PCR COMPTABLE €]:[MONTANT
RESPONSABLE RELATION CLIENT €]])-PORTEFEUILLE_GUILLAUME[[#This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5" s="188" t="str">
        <f>IF(PORTEFEUILLE_GUILLAUME[[#This Row],[BONI AAC]]&lt;&gt;0,1,"")</f>
        <v/>
      </c>
      <c r="AU45" s="188" t="str">
        <f>IF(PORTEFEUILLE_GUILLAUME[[#This Row],[MALI AAC]]&lt;&gt;0,1,"")</f>
        <v/>
      </c>
      <c r="AV45" s="225">
        <f>IF(AP45&lt;&gt;"",IF((AP45*Paramètres!$H$4)-PORTEFEUILLE_GUILLAUME[[#This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€]]-(DELPHINE!AP36*Paramètres!$H$4),0),0)</f>
        <v>0</v>
      </c>
      <c r="AW45" s="225">
        <f>IF(AP45&lt;&gt;"",IF(((AP45*Paramètres!$H$4)-PORTEFEUILLE_GUILLAUME[[#This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5" s="190" t="str">
        <f>IF(PORTEFEUILLE_GUILLAUME[[#This Row],[BONI COMPTABLE]]&lt;&gt;0,1,"")</f>
        <v/>
      </c>
      <c r="AY45" s="190" t="str">
        <f>IF(PORTEFEUILLE_GUILLAUME[[#This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SUM(PORTEFEUILLE_GUILLAUME[[#This Row],[PCR COMPTABLE €]:[MONTANT
RESPONSABLE RELATION CLIENT €]])-PORTEFEUILLE_GUILLAUME[[#This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6" s="188" t="str">
        <f>IF(PORTEFEUILLE_GUILLAUME[[#This Row],[BONI AAC]]&lt;&gt;0,1,"")</f>
        <v/>
      </c>
      <c r="AU46" s="188" t="str">
        <f>IF(PORTEFEUILLE_GUILLAUME[[#This Row],[MALI AAC]]&lt;&gt;0,1,"")</f>
        <v/>
      </c>
      <c r="AV46" s="225">
        <f>IF(AP46&lt;&gt;"",IF((AP46*Paramètres!$H$4)-PORTEFEUILLE_GUILLAUME[[#This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€]]-(DELPHINE!AP37*Paramètres!$H$4),0),0)</f>
        <v>0</v>
      </c>
      <c r="AW46" s="225">
        <f>IF(AP46&lt;&gt;"",IF(((AP46*Paramètres!$H$4)-PORTEFEUILLE_GUILLAUME[[#This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6" s="190" t="str">
        <f>IF(PORTEFEUILLE_GUILLAUME[[#This Row],[BONI COMPTABLE]]&lt;&gt;0,1,"")</f>
        <v/>
      </c>
      <c r="AY46" s="190" t="str">
        <f>IF(PORTEFEUILLE_GUILLAUME[[#This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SUM(PORTEFEUILLE_GUILLAUME[[#This Row],[PCR COMPTABLE €]:[MONTANT
RESPONSABLE RELATION CLIENT €]])-PORTEFEUILLE_GUILLAUME[[#This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7" s="188" t="str">
        <f>IF(PORTEFEUILLE_GUILLAUME[[#This Row],[BONI AAC]]&lt;&gt;0,1,"")</f>
        <v/>
      </c>
      <c r="AU47" s="188" t="str">
        <f>IF(PORTEFEUILLE_GUILLAUME[[#This Row],[MALI AAC]]&lt;&gt;0,1,"")</f>
        <v/>
      </c>
      <c r="AV47" s="225">
        <f>IF(AP47&lt;&gt;"",IF((AP47*Paramètres!$H$4)-PORTEFEUILLE_GUILLAUME[[#This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€]]-(DELPHINE!AP38*Paramètres!$H$4),0),0)</f>
        <v>0</v>
      </c>
      <c r="AW47" s="225">
        <f>IF(AP47&lt;&gt;"",IF(((AP47*Paramètres!$H$4)-PORTEFEUILLE_GUILLAUME[[#This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7" s="190" t="str">
        <f>IF(PORTEFEUILLE_GUILLAUME[[#This Row],[BONI COMPTABLE]]&lt;&gt;0,1,"")</f>
        <v/>
      </c>
      <c r="AY47" s="190" t="str">
        <f>IF(PORTEFEUILLE_GUILLAUME[[#This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SUM(PORTEFEUILLE_GUILLAUME[[#This Row],[PCR COMPTABLE €]:[MONTANT
RESPONSABLE RELATION CLIENT €]])-PORTEFEUILLE_GUILLAUME[[#This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8" s="188" t="str">
        <f>IF(PORTEFEUILLE_GUILLAUME[[#This Row],[BONI AAC]]&lt;&gt;0,1,"")</f>
        <v/>
      </c>
      <c r="AU48" s="188" t="str">
        <f>IF(PORTEFEUILLE_GUILLAUME[[#This Row],[MALI AAC]]&lt;&gt;0,1,"")</f>
        <v/>
      </c>
      <c r="AV48" s="225">
        <f>IF(AP48&lt;&gt;"",IF((AP48*Paramètres!$H$4)-PORTEFEUILLE_GUILLAUME[[#This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€]]-(DELPHINE!AP39*Paramètres!$H$4),0),0)</f>
        <v>0</v>
      </c>
      <c r="AW48" s="225">
        <f>IF(AP48&lt;&gt;"",IF(((AP48*Paramètres!$H$4)-PORTEFEUILLE_GUILLAUME[[#This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8" s="190" t="str">
        <f>IF(PORTEFEUILLE_GUILLAUME[[#This Row],[BONI COMPTABLE]]&lt;&gt;0,1,"")</f>
        <v/>
      </c>
      <c r="AY48" s="190" t="str">
        <f>IF(PORTEFEUILLE_GUILLAUME[[#This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SUM(PORTEFEUILLE_GUILLAUME[[#This Row],[PCR COMPTABLE €]:[MONTANT
RESPONSABLE RELATION CLIENT €]])-PORTEFEUILLE_GUILLAUME[[#This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9" s="188" t="str">
        <f>IF(PORTEFEUILLE_GUILLAUME[[#This Row],[BONI AAC]]&lt;&gt;0,1,"")</f>
        <v/>
      </c>
      <c r="AU49" s="188" t="str">
        <f>IF(PORTEFEUILLE_GUILLAUME[[#This Row],[MALI AAC]]&lt;&gt;0,1,"")</f>
        <v/>
      </c>
      <c r="AV49" s="225">
        <f>IF(AP49&lt;&gt;"",IF((AP49*Paramètres!$H$4)-PORTEFEUILLE_GUILLAUME[[#This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€]]-(DELPHINE!AP40*Paramètres!$H$4),0),0)</f>
        <v>0</v>
      </c>
      <c r="AW49" s="225">
        <f>IF(AP49&lt;&gt;"",IF(((AP49*Paramètres!$H$4)-PORTEFEUILLE_GUILLAUME[[#This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9" s="190" t="str">
        <f>IF(PORTEFEUILLE_GUILLAUME[[#This Row],[BONI COMPTABLE]]&lt;&gt;0,1,"")</f>
        <v/>
      </c>
      <c r="AY49" s="190" t="str">
        <f>IF(PORTEFEUILLE_GUILLAUME[[#This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SUM(PORTEFEUILLE_GUILLAUME[[#This Row],[PCR COMPTABLE €]:[MONTANT
RESPONSABLE RELATION CLIENT €]])-PORTEFEUILLE_GUILLAUME[[#This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0" s="188" t="str">
        <f>IF(PORTEFEUILLE_GUILLAUME[[#This Row],[BONI AAC]]&lt;&gt;0,1,"")</f>
        <v/>
      </c>
      <c r="AU50" s="188" t="str">
        <f>IF(PORTEFEUILLE_GUILLAUME[[#This Row],[MALI AAC]]&lt;&gt;0,1,"")</f>
        <v/>
      </c>
      <c r="AV50" s="225">
        <f>IF(AP50&lt;&gt;"",IF((AP50*Paramètres!$H$4)-PORTEFEUILLE_GUILLAUME[[#This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€]]-(DELPHINE!AP41*Paramètres!$H$4),0),0)</f>
        <v>0</v>
      </c>
      <c r="AW50" s="225">
        <f>IF(AP50&lt;&gt;"",IF(((AP50*Paramètres!$H$4)-PORTEFEUILLE_GUILLAUME[[#This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0" s="190" t="str">
        <f>IF(PORTEFEUILLE_GUILLAUME[[#This Row],[BONI COMPTABLE]]&lt;&gt;0,1,"")</f>
        <v/>
      </c>
      <c r="AY50" s="190" t="str">
        <f>IF(PORTEFEUILLE_GUILLAUME[[#This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SUM(PORTEFEUILLE_GUILLAUME[[#This Row],[PCR COMPTABLE €]:[MONTANT
RESPONSABLE RELATION CLIENT €]])-PORTEFEUILLE_GUILLAUME[[#This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1" s="188" t="str">
        <f>IF(PORTEFEUILLE_GUILLAUME[[#This Row],[BONI AAC]]&lt;&gt;0,1,"")</f>
        <v/>
      </c>
      <c r="AU51" s="188" t="str">
        <f>IF(PORTEFEUILLE_GUILLAUME[[#This Row],[MALI AAC]]&lt;&gt;0,1,"")</f>
        <v/>
      </c>
      <c r="AV51" s="225">
        <f>IF(AP51&lt;&gt;"",IF((AP51*Paramètres!$H$4)-PORTEFEUILLE_GUILLAUME[[#This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€]]-(DELPHINE!AP42*Paramètres!$H$4),0),0)</f>
        <v>0</v>
      </c>
      <c r="AW51" s="225">
        <f>IF(AP51&lt;&gt;"",IF(((AP51*Paramètres!$H$4)-PORTEFEUILLE_GUILLAUME[[#This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1" s="190" t="str">
        <f>IF(PORTEFEUILLE_GUILLAUME[[#This Row],[BONI COMPTABLE]]&lt;&gt;0,1,"")</f>
        <v/>
      </c>
      <c r="AY51" s="190" t="str">
        <f>IF(PORTEFEUILLE_GUILLAUME[[#This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SUM(PORTEFEUILLE_GUILLAUME[[#This Row],[PCR COMPTABLE €]:[MONTANT
RESPONSABLE RELATION CLIENT €]])-PORTEFEUILLE_GUILLAUME[[#This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2" s="188" t="str">
        <f>IF(PORTEFEUILLE_GUILLAUME[[#This Row],[BONI AAC]]&lt;&gt;0,1,"")</f>
        <v/>
      </c>
      <c r="AU52" s="188" t="str">
        <f>IF(PORTEFEUILLE_GUILLAUME[[#This Row],[MALI AAC]]&lt;&gt;0,1,"")</f>
        <v/>
      </c>
      <c r="AV52" s="225">
        <f>IF(AP52&lt;&gt;"",IF((AP52*Paramètres!$H$4)-PORTEFEUILLE_GUILLAUME[[#This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€]]-(DELPHINE!AP43*Paramètres!$H$4),0),0)</f>
        <v>0</v>
      </c>
      <c r="AW52" s="225">
        <f>IF(AP52&lt;&gt;"",IF(((AP52*Paramètres!$H$4)-PORTEFEUILLE_GUILLAUME[[#This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2" s="190" t="str">
        <f>IF(PORTEFEUILLE_GUILLAUME[[#This Row],[BONI COMPTABLE]]&lt;&gt;0,1,"")</f>
        <v/>
      </c>
      <c r="AY52" s="190" t="str">
        <f>IF(PORTEFEUILLE_GUILLAUME[[#This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SUM(PORTEFEUILLE_GUILLAUME[[#This Row],[PCR COMPTABLE €]:[MONTANT
RESPONSABLE RELATION CLIENT €]])-PORTEFEUILLE_GUILLAUME[[#This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3" s="188" t="str">
        <f>IF(PORTEFEUILLE_GUILLAUME[[#This Row],[BONI AAC]]&lt;&gt;0,1,"")</f>
        <v/>
      </c>
      <c r="AU53" s="188" t="str">
        <f>IF(PORTEFEUILLE_GUILLAUME[[#This Row],[MALI AAC]]&lt;&gt;0,1,"")</f>
        <v/>
      </c>
      <c r="AV53" s="225">
        <f>IF(AP53&lt;&gt;"",IF((AP53*Paramètres!$H$4)-PORTEFEUILLE_GUILLAUME[[#This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€]]-(DELPHINE!AP44*Paramètres!$H$4),0),0)</f>
        <v>0</v>
      </c>
      <c r="AW53" s="225">
        <f>IF(AP53&lt;&gt;"",IF(((AP53*Paramètres!$H$4)-PORTEFEUILLE_GUILLAUME[[#This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3" s="190" t="str">
        <f>IF(PORTEFEUILLE_GUILLAUME[[#This Row],[BONI COMPTABLE]]&lt;&gt;0,1,"")</f>
        <v/>
      </c>
      <c r="AY53" s="190" t="str">
        <f>IF(PORTEFEUILLE_GUILLAUME[[#This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SUM(PORTEFEUILLE_GUILLAUME[[#This Row],[PCR COMPTABLE €]:[MONTANT
RESPONSABLE RELATION CLIENT €]])-PORTEFEUILLE_GUILLAUME[[#This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4" s="188" t="str">
        <f>IF(PORTEFEUILLE_GUILLAUME[[#This Row],[BONI AAC]]&lt;&gt;0,1,"")</f>
        <v/>
      </c>
      <c r="AU54" s="188" t="str">
        <f>IF(PORTEFEUILLE_GUILLAUME[[#This Row],[MALI AAC]]&lt;&gt;0,1,"")</f>
        <v/>
      </c>
      <c r="AV54" s="225">
        <f>IF(AP54&lt;&gt;"",IF((AP54*Paramètres!$H$4)-PORTEFEUILLE_GUILLAUME[[#This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€]]-(DELPHINE!AP45*Paramètres!$H$4),0),0)</f>
        <v>0</v>
      </c>
      <c r="AW54" s="225">
        <f>IF(AP54&lt;&gt;"",IF(((AP54*Paramètres!$H$4)-PORTEFEUILLE_GUILLAUME[[#This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4" s="190" t="str">
        <f>IF(PORTEFEUILLE_GUILLAUME[[#This Row],[BONI COMPTABLE]]&lt;&gt;0,1,"")</f>
        <v/>
      </c>
      <c r="AY54" s="190" t="str">
        <f>IF(PORTEFEUILLE_GUILLAUME[[#This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SUM(PORTEFEUILLE_GUILLAUME[[#This Row],[PCR COMPTABLE €]:[MONTANT
RESPONSABLE RELATION CLIENT €]])-PORTEFEUILLE_GUILLAUME[[#This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5" s="188" t="str">
        <f>IF(PORTEFEUILLE_GUILLAUME[[#This Row],[BONI AAC]]&lt;&gt;0,1,"")</f>
        <v/>
      </c>
      <c r="AU55" s="188" t="str">
        <f>IF(PORTEFEUILLE_GUILLAUME[[#This Row],[MALI AAC]]&lt;&gt;0,1,"")</f>
        <v/>
      </c>
      <c r="AV55" s="225">
        <f>IF(AP55&lt;&gt;"",IF((AP55*Paramètres!$H$4)-PORTEFEUILLE_GUILLAUME[[#This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€]]-(DELPHINE!AP46*Paramètres!$H$4),0),0)</f>
        <v>0</v>
      </c>
      <c r="AW55" s="225">
        <f>IF(AP55&lt;&gt;"",IF(((AP55*Paramètres!$H$4)-PORTEFEUILLE_GUILLAUME[[#This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5" s="190" t="str">
        <f>IF(PORTEFEUILLE_GUILLAUME[[#This Row],[BONI COMPTABLE]]&lt;&gt;0,1,"")</f>
        <v/>
      </c>
      <c r="AY55" s="190" t="str">
        <f>IF(PORTEFEUILLE_GUILLAUME[[#This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SUM(PORTEFEUILLE_GUILLAUME[[#This Row],[PCR COMPTABLE €]:[MONTANT
RESPONSABLE RELATION CLIENT €]])-PORTEFEUILLE_GUILLAUME[[#This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6" s="188" t="str">
        <f>IF(PORTEFEUILLE_GUILLAUME[[#This Row],[BONI AAC]]&lt;&gt;0,1,"")</f>
        <v/>
      </c>
      <c r="AU56" s="188" t="str">
        <f>IF(PORTEFEUILLE_GUILLAUME[[#This Row],[MALI AAC]]&lt;&gt;0,1,"")</f>
        <v/>
      </c>
      <c r="AV56" s="225">
        <f>IF(AP56&lt;&gt;"",IF((AP56*Paramètres!$H$4)-PORTEFEUILLE_GUILLAUME[[#This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€]]-(DELPHINE!AP47*Paramètres!$H$4),0),0)</f>
        <v>0</v>
      </c>
      <c r="AW56" s="225">
        <f>IF(AP56&lt;&gt;"",IF(((AP56*Paramètres!$H$4)-PORTEFEUILLE_GUILLAUME[[#This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6" s="190" t="str">
        <f>IF(PORTEFEUILLE_GUILLAUME[[#This Row],[BONI COMPTABLE]]&lt;&gt;0,1,"")</f>
        <v/>
      </c>
      <c r="AY56" s="190" t="str">
        <f>IF(PORTEFEUILLE_GUILLAUME[[#This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SUM(PORTEFEUILLE_GUILLAUME[[#This Row],[PCR COMPTABLE €]:[MONTANT
RESPONSABLE RELATION CLIENT €]])-PORTEFEUILLE_GUILLAUME[[#This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7" s="188" t="str">
        <f>IF(PORTEFEUILLE_GUILLAUME[[#This Row],[BONI AAC]]&lt;&gt;0,1,"")</f>
        <v/>
      </c>
      <c r="AU57" s="188" t="str">
        <f>IF(PORTEFEUILLE_GUILLAUME[[#This Row],[MALI AAC]]&lt;&gt;0,1,"")</f>
        <v/>
      </c>
      <c r="AV57" s="225">
        <f>IF(AP57&lt;&gt;"",IF((AP57*Paramètres!$H$4)-PORTEFEUILLE_GUILLAUME[[#This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€]]-(DELPHINE!AP48*Paramètres!$H$4),0),0)</f>
        <v>0</v>
      </c>
      <c r="AW57" s="225">
        <f>IF(AP57&lt;&gt;"",IF(((AP57*Paramètres!$H$4)-PORTEFEUILLE_GUILLAUME[[#This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7" s="190" t="str">
        <f>IF(PORTEFEUILLE_GUILLAUME[[#This Row],[BONI COMPTABLE]]&lt;&gt;0,1,"")</f>
        <v/>
      </c>
      <c r="AY57" s="190" t="str">
        <f>IF(PORTEFEUILLE_GUILLAUME[[#This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SUM(PORTEFEUILLE_GUILLAUME[[#This Row],[PCR COMPTABLE €]:[MONTANT
RESPONSABLE RELATION CLIENT €]])-PORTEFEUILLE_GUILLAUME[[#This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8" s="188" t="str">
        <f>IF(PORTEFEUILLE_GUILLAUME[[#This Row],[BONI AAC]]&lt;&gt;0,1,"")</f>
        <v/>
      </c>
      <c r="AU58" s="188" t="str">
        <f>IF(PORTEFEUILLE_GUILLAUME[[#This Row],[MALI AAC]]&lt;&gt;0,1,"")</f>
        <v/>
      </c>
      <c r="AV58" s="225">
        <f>IF(AP58&lt;&gt;"",IF((AP58*Paramètres!$H$4)-PORTEFEUILLE_GUILLAUME[[#This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€]]-(DELPHINE!AP49*Paramètres!$H$4),0),0)</f>
        <v>0</v>
      </c>
      <c r="AW58" s="225">
        <f>IF(AP58&lt;&gt;"",IF(((AP58*Paramètres!$H$4)-PORTEFEUILLE_GUILLAUME[[#This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8" s="190" t="str">
        <f>IF(PORTEFEUILLE_GUILLAUME[[#This Row],[BONI COMPTABLE]]&lt;&gt;0,1,"")</f>
        <v/>
      </c>
      <c r="AY58" s="190" t="str">
        <f>IF(PORTEFEUILLE_GUILLAUME[[#This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SUM(PORTEFEUILLE_GUILLAUME[[#This Row],[PCR COMPTABLE €]:[MONTANT
RESPONSABLE RELATION CLIENT €]])-PORTEFEUILLE_GUILLAUME[[#This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9" s="188" t="str">
        <f>IF(PORTEFEUILLE_GUILLAUME[[#This Row],[BONI AAC]]&lt;&gt;0,1,"")</f>
        <v/>
      </c>
      <c r="AU59" s="188" t="str">
        <f>IF(PORTEFEUILLE_GUILLAUME[[#This Row],[MALI AAC]]&lt;&gt;0,1,"")</f>
        <v/>
      </c>
      <c r="AV59" s="225">
        <f>IF(AP59&lt;&gt;"",IF((AP59*Paramètres!$H$4)-PORTEFEUILLE_GUILLAUME[[#This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€]]-(DELPHINE!AP50*Paramètres!$H$4),0),0)</f>
        <v>0</v>
      </c>
      <c r="AW59" s="225">
        <f>IF(AP59&lt;&gt;"",IF(((AP59*Paramètres!$H$4)-PORTEFEUILLE_GUILLAUME[[#This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9" s="190" t="str">
        <f>IF(PORTEFEUILLE_GUILLAUME[[#This Row],[BONI COMPTABLE]]&lt;&gt;0,1,"")</f>
        <v/>
      </c>
      <c r="AY59" s="190" t="str">
        <f>IF(PORTEFEUILLE_GUILLAUME[[#This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SUM(PORTEFEUILLE_GUILLAUME[[#This Row],[PCR COMPTABLE €]:[MONTANT
RESPONSABLE RELATION CLIENT €]])-PORTEFEUILLE_GUILLAUME[[#This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0" s="188" t="str">
        <f>IF(PORTEFEUILLE_GUILLAUME[[#This Row],[BONI AAC]]&lt;&gt;0,1,"")</f>
        <v/>
      </c>
      <c r="AU60" s="188" t="str">
        <f>IF(PORTEFEUILLE_GUILLAUME[[#This Row],[MALI AAC]]&lt;&gt;0,1,"")</f>
        <v/>
      </c>
      <c r="AV60" s="225">
        <f>IF(AP60&lt;&gt;"",IF((AP60*Paramètres!$H$4)-PORTEFEUILLE_GUILLAUME[[#This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€]]-(DELPHINE!AP51*Paramètres!$H$4),0),0)</f>
        <v>0</v>
      </c>
      <c r="AW60" s="225">
        <f>IF(AP60&lt;&gt;"",IF(((AP60*Paramètres!$H$4)-PORTEFEUILLE_GUILLAUME[[#This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0" s="190" t="str">
        <f>IF(PORTEFEUILLE_GUILLAUME[[#This Row],[BONI COMPTABLE]]&lt;&gt;0,1,"")</f>
        <v/>
      </c>
      <c r="AY60" s="190" t="str">
        <f>IF(PORTEFEUILLE_GUILLAUME[[#This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17" priority="2">
      <formula>AND(P3&lt;&gt;"",P3&lt;&gt;"OUI")</formula>
    </cfRule>
  </conditionalFormatting>
  <conditionalFormatting sqref="AN3:AO60 S3:AH60">
    <cfRule type="expression" dxfId="16" priority="1" stopIfTrue="1">
      <formula>$AH3&lt;&gt;0</formula>
    </cfRule>
  </conditionalFormatting>
  <conditionalFormatting sqref="A3:E60">
    <cfRule type="expression" dxfId="15" priority="3" stopIfTrue="1">
      <formula>AND($I3&lt;&gt;"",AND($J3="",AND($BA3="",$BB3="")))</formula>
    </cfRule>
    <cfRule type="expression" dxfId="14" priority="4" stopIfTrue="1">
      <formula>AND($J3&lt;&gt;"",AND($BA3="",$BB3=""))</formula>
    </cfRule>
    <cfRule type="expression" dxfId="13" priority="5" stopIfTrue="1">
      <formula>AND($BA3&lt;&gt;"",$BB3="")</formula>
    </cfRule>
    <cfRule type="expression" dxfId="12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11" sqref="AM11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140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SUM(PORTEFEUILLE_SEBASTIEN[[#This Row],[PCR COMPTABLE €]:[MONTANT
RESPONSABLE RELATION CLIENT €]])-PORTEFEUILLE_SEBASTIEN[[#This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400</v>
      </c>
      <c r="AT3" s="188" t="str">
        <f>IF(PORTEFEUILLE_SEBASTIEN[[#This Row],[BONI AAC]]&lt;&gt;0,1,"")</f>
        <v/>
      </c>
      <c r="AU3" s="188">
        <f>IF(PORTEFEUILLE_SEBASTIEN[[#This Row],[MALI AAC]]&lt;&gt;0,1,"")</f>
        <v>1</v>
      </c>
      <c r="AV3" s="225">
        <f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3" s="225">
        <f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" s="190" t="str">
        <f>IF(PORTEFEUILLE_SEBASTIEN[[#This Row],[BONI COMPTABLE]]&lt;&gt;0,1,"")</f>
        <v/>
      </c>
      <c r="AY3" s="190" t="str">
        <f>IF(PORTEFEUILLE_SEBASTIEN[[#This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140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SUM(PORTEFEUILLE_SEBASTIEN[[#This Row],[PCR COMPTABLE €]:[MONTANT
RESPONSABLE RELATION CLIENT €]])-PORTEFEUILLE_SEBASTIEN[[#This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1000</v>
      </c>
      <c r="AT4" s="188" t="str">
        <f>IF(PORTEFEUILLE_SEBASTIEN[[#This Row],[BONI AAC]]&lt;&gt;0,1,"")</f>
        <v/>
      </c>
      <c r="AU4" s="188">
        <f>IF(PORTEFEUILLE_SEBASTIEN[[#This Row],[MALI AAC]]&lt;&gt;0,1,"")</f>
        <v>1</v>
      </c>
      <c r="AV4" s="225">
        <f>IF(AP4&lt;&gt;"",IF((AP4*Paramètres!$H$4)-PORTEFEUILLE_SEBASTIEN[[#This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4" s="225">
        <f>IF(AP4&lt;&gt;"",IF(((AP4*Paramètres!$H$4)-PORTEFEUILLE_SEBASTIEN[[#This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3000</v>
      </c>
      <c r="AX4" s="190" t="str">
        <f>IF(PORTEFEUILLE_SEBASTIEN[[#This Row],[BONI COMPTABLE]]&lt;&gt;0,1,"")</f>
        <v/>
      </c>
      <c r="AY4" s="190">
        <f>IF(PORTEFEUILLE_SEBASTIEN[[#This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140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SUM(PORTEFEUILLE_SEBASTIEN[[#This Row],[PCR COMPTABLE €]:[MONTANT
RESPONSABLE RELATION CLIENT €]])-PORTEFEUILLE_SEBASTIEN[[#This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2200</v>
      </c>
      <c r="AT5" s="188" t="str">
        <f>IF(PORTEFEUILLE_SEBASTIEN[[#This Row],[BONI AAC]]&lt;&gt;0,1,"")</f>
        <v/>
      </c>
      <c r="AU5" s="188">
        <f>IF(PORTEFEUILLE_SEBASTIEN[[#This Row],[MALI AAC]]&lt;&gt;0,1,"")</f>
        <v>1</v>
      </c>
      <c r="AV5" s="225">
        <f>IF(AP5&lt;&gt;"",IF((AP5*Paramètres!$H$4)-PORTEFEUILLE_SEBASTIEN[[#This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5" s="225">
        <f>IF(AP5&lt;&gt;"",IF(((AP5*Paramètres!$H$4)-PORTEFEUILLE_SEBASTIEN[[#This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4150</v>
      </c>
      <c r="AX5" s="190" t="str">
        <f>IF(PORTEFEUILLE_SEBASTIEN[[#This Row],[BONI COMPTABLE]]&lt;&gt;0,1,"")</f>
        <v/>
      </c>
      <c r="AY5" s="190">
        <f>IF(PORTEFEUILLE_SEBASTIEN[[#This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SUM(PORTEFEUILLE_SEBASTIEN[[#This Row],[PCR COMPTABLE €]:[MONTANT
RESPONSABLE RELATION CLIENT €]])-PORTEFEUILLE_SEBASTIEN[[#This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" s="188" t="str">
        <f>IF(PORTEFEUILLE_SEBASTIEN[[#This Row],[BONI AAC]]&lt;&gt;0,1,"")</f>
        <v/>
      </c>
      <c r="AU6" s="188" t="str">
        <f>IF(PORTEFEUILLE_SEBASTIEN[[#This Row],[MALI AAC]]&lt;&gt;0,1,"")</f>
        <v/>
      </c>
      <c r="AV6" s="225">
        <f>IF(AP6&lt;&gt;"",IF((AP6*Paramètres!$H$4)-PORTEFEUILLE_SEBASTIEN[[#This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6" s="225">
        <f>IF(AP6&lt;&gt;"",IF(((AP6*Paramètres!$H$4)-PORTEFEUILLE_SEBASTIEN[[#This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" s="190" t="str">
        <f>IF(PORTEFEUILLE_SEBASTIEN[[#This Row],[BONI COMPTABLE]]&lt;&gt;0,1,"")</f>
        <v/>
      </c>
      <c r="AY6" s="190" t="str">
        <f>IF(PORTEFEUILLE_SEBASTIEN[[#This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SUM(PORTEFEUILLE_SEBASTIEN[[#This Row],[PCR COMPTABLE €]:[MONTANT
RESPONSABLE RELATION CLIENT €]])-PORTEFEUILLE_SEBASTIEN[[#This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7" s="188" t="str">
        <f>IF(PORTEFEUILLE_SEBASTIEN[[#This Row],[BONI AAC]]&lt;&gt;0,1,"")</f>
        <v/>
      </c>
      <c r="AU7" s="188" t="str">
        <f>IF(PORTEFEUILLE_SEBASTIEN[[#This Row],[MALI AAC]]&lt;&gt;0,1,"")</f>
        <v/>
      </c>
      <c r="AV7" s="225">
        <f>IF(AP7&lt;&gt;"",IF((AP7*Paramètres!$H$4)-PORTEFEUILLE_SEBASTIEN[[#This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7" s="225">
        <f>IF(AP7&lt;&gt;"",IF(((AP7*Paramètres!$H$4)-PORTEFEUILLE_SEBASTIEN[[#This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7" s="190" t="str">
        <f>IF(PORTEFEUILLE_SEBASTIEN[[#This Row],[BONI COMPTABLE]]&lt;&gt;0,1,"")</f>
        <v/>
      </c>
      <c r="AY7" s="190" t="str">
        <f>IF(PORTEFEUILLE_SEBASTIEN[[#This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SUM(PORTEFEUILLE_SEBASTIEN[[#This Row],[PCR COMPTABLE €]:[MONTANT
RESPONSABLE RELATION CLIENT €]])-PORTEFEUILLE_SEBASTIEN[[#This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8" s="188" t="str">
        <f>IF(PORTEFEUILLE_SEBASTIEN[[#This Row],[BONI AAC]]&lt;&gt;0,1,"")</f>
        <v/>
      </c>
      <c r="AU8" s="188" t="str">
        <f>IF(PORTEFEUILLE_SEBASTIEN[[#This Row],[MALI AAC]]&lt;&gt;0,1,"")</f>
        <v/>
      </c>
      <c r="AV8" s="225">
        <f>IF(AP8&lt;&gt;"",IF((AP8*Paramètres!$H$4)-PORTEFEUILLE_SEBASTIEN[[#This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8" s="225">
        <f>IF(AP8&lt;&gt;"",IF(((AP8*Paramètres!$H$4)-PORTEFEUILLE_SEBASTIEN[[#This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8" s="190" t="str">
        <f>IF(PORTEFEUILLE_SEBASTIEN[[#This Row],[BONI COMPTABLE]]&lt;&gt;0,1,"")</f>
        <v/>
      </c>
      <c r="AY8" s="190" t="str">
        <f>IF(PORTEFEUILLE_SEBASTIEN[[#This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SUM(PORTEFEUILLE_SEBASTIEN[[#This Row],[PCR COMPTABLE €]:[MONTANT
RESPONSABLE RELATION CLIENT €]])-PORTEFEUILLE_SEBASTIEN[[#This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9" s="188" t="str">
        <f>IF(PORTEFEUILLE_SEBASTIEN[[#This Row],[BONI AAC]]&lt;&gt;0,1,"")</f>
        <v/>
      </c>
      <c r="AU9" s="188" t="str">
        <f>IF(PORTEFEUILLE_SEBASTIEN[[#This Row],[MALI AAC]]&lt;&gt;0,1,"")</f>
        <v/>
      </c>
      <c r="AV9" s="225">
        <f>IF(AP9&lt;&gt;"",IF((AP9*Paramètres!$H$4)-PORTEFEUILLE_SEBASTIEN[[#This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f>
        <v>0</v>
      </c>
      <c r="AW9" s="225">
        <f>IF(AP9&lt;&gt;"",IF(((AP9*Paramètres!$H$4)-PORTEFEUILLE_SEBASTIEN[[#This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9" s="190" t="str">
        <f>IF(PORTEFEUILLE_SEBASTIEN[[#This Row],[BONI COMPTABLE]]&lt;&gt;0,1,"")</f>
        <v/>
      </c>
      <c r="AY9" s="190" t="str">
        <f>IF(PORTEFEUILLE_SEBASTIEN[[#This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SUM(PORTEFEUILLE_SEBASTIEN[[#This Row],[PCR COMPTABLE €]:[MONTANT
RESPONSABLE RELATION CLIENT €]])-PORTEFEUILLE_SEBASTIEN[[#This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0" s="188" t="str">
        <f>IF(PORTEFEUILLE_SEBASTIEN[[#This Row],[BONI AAC]]&lt;&gt;0,1,"")</f>
        <v/>
      </c>
      <c r="AU10" s="188" t="str">
        <f>IF(PORTEFEUILLE_SEBASTIEN[[#This Row],[MALI AAC]]&lt;&gt;0,1,"")</f>
        <v/>
      </c>
      <c r="AV10" s="225">
        <f>IF(AP10&lt;&gt;"",IF((AP10*Paramètres!$H$4)-PORTEFEUILLE_SEBASTIEN[[#This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10" s="225">
        <f>IF(AP10&lt;&gt;"",IF(((AP10*Paramètres!$H$4)-PORTEFEUILLE_SEBASTIEN[[#This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0" s="190" t="str">
        <f>IF(PORTEFEUILLE_SEBASTIEN[[#This Row],[BONI COMPTABLE]]&lt;&gt;0,1,"")</f>
        <v/>
      </c>
      <c r="AY10" s="190" t="str">
        <f>IF(PORTEFEUILLE_SEBASTIEN[[#This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SUM(PORTEFEUILLE_SEBASTIEN[[#This Row],[PCR COMPTABLE €]:[MONTANT
RESPONSABLE RELATION CLIENT €]])-PORTEFEUILLE_SEBASTIEN[[#This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1" s="188" t="str">
        <f>IF(PORTEFEUILLE_SEBASTIEN[[#This Row],[BONI AAC]]&lt;&gt;0,1,"")</f>
        <v/>
      </c>
      <c r="AU11" s="188" t="str">
        <f>IF(PORTEFEUILLE_SEBASTIEN[[#This Row],[MALI AAC]]&lt;&gt;0,1,"")</f>
        <v/>
      </c>
      <c r="AV11" s="225">
        <f>IF(AP11&lt;&gt;"",IF((AP11*Paramètres!$H$4)-PORTEFEUILLE_SEBASTIEN[[#This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€]]-(DELPHINE!AP4*Paramètres!$H$4),0),0)</f>
        <v>0</v>
      </c>
      <c r="AW11" s="225">
        <f>IF(AP11&lt;&gt;"",IF(((AP11*Paramètres!$H$4)-PORTEFEUILLE_SEBASTIEN[[#This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1" s="190" t="str">
        <f>IF(PORTEFEUILLE_SEBASTIEN[[#This Row],[BONI COMPTABLE]]&lt;&gt;0,1,"")</f>
        <v/>
      </c>
      <c r="AY11" s="190" t="str">
        <f>IF(PORTEFEUILLE_SEBASTIEN[[#This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SUM(PORTEFEUILLE_SEBASTIEN[[#This Row],[PCR COMPTABLE €]:[MONTANT
RESPONSABLE RELATION CLIENT €]])-PORTEFEUILLE_SEBASTIEN[[#This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2" s="188" t="str">
        <f>IF(PORTEFEUILLE_SEBASTIEN[[#This Row],[BONI AAC]]&lt;&gt;0,1,"")</f>
        <v/>
      </c>
      <c r="AU12" s="188" t="str">
        <f>IF(PORTEFEUILLE_SEBASTIEN[[#This Row],[MALI AAC]]&lt;&gt;0,1,"")</f>
        <v/>
      </c>
      <c r="AV12" s="225">
        <f>IF(AP12&lt;&gt;"",IF((AP12*Paramètres!$H$4)-PORTEFEUILLE_SEBASTIEN[[#This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€]]-(DELPHINE!AP5*Paramètres!$H$4),0),0)</f>
        <v>0</v>
      </c>
      <c r="AW12" s="225">
        <f>IF(AP12&lt;&gt;"",IF(((AP12*Paramètres!$H$4)-PORTEFEUILLE_SEBASTIEN[[#This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2" s="190" t="str">
        <f>IF(PORTEFEUILLE_SEBASTIEN[[#This Row],[BONI COMPTABLE]]&lt;&gt;0,1,"")</f>
        <v/>
      </c>
      <c r="AY12" s="190" t="str">
        <f>IF(PORTEFEUILLE_SEBASTIEN[[#This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SUM(PORTEFEUILLE_SEBASTIEN[[#This Row],[PCR COMPTABLE €]:[MONTANT
RESPONSABLE RELATION CLIENT €]])-PORTEFEUILLE_SEBASTIEN[[#This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3" s="188" t="str">
        <f>IF(PORTEFEUILLE_SEBASTIEN[[#This Row],[BONI AAC]]&lt;&gt;0,1,"")</f>
        <v/>
      </c>
      <c r="AU13" s="188" t="str">
        <f>IF(PORTEFEUILLE_SEBASTIEN[[#This Row],[MALI AAC]]&lt;&gt;0,1,"")</f>
        <v/>
      </c>
      <c r="AV13" s="225">
        <f>IF(AP13&lt;&gt;"",IF((AP13*Paramètres!$H$4)-PORTEFEUILLE_SEBASTIEN[[#This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€]]-(DELPHINE!AP6*Paramètres!$H$4),0),0)</f>
        <v>0</v>
      </c>
      <c r="AW13" s="225">
        <f>IF(AP13&lt;&gt;"",IF(((AP13*Paramètres!$H$4)-PORTEFEUILLE_SEBASTIEN[[#This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3" s="190" t="str">
        <f>IF(PORTEFEUILLE_SEBASTIEN[[#This Row],[BONI COMPTABLE]]&lt;&gt;0,1,"")</f>
        <v/>
      </c>
      <c r="AY13" s="190" t="str">
        <f>IF(PORTEFEUILLE_SEBASTIEN[[#This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SUM(PORTEFEUILLE_SEBASTIEN[[#This Row],[PCR COMPTABLE €]:[MONTANT
RESPONSABLE RELATION CLIENT €]])-PORTEFEUILLE_SEBASTIEN[[#This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4" s="188" t="str">
        <f>IF(PORTEFEUILLE_SEBASTIEN[[#This Row],[BONI AAC]]&lt;&gt;0,1,"")</f>
        <v/>
      </c>
      <c r="AU14" s="188" t="str">
        <f>IF(PORTEFEUILLE_SEBASTIEN[[#This Row],[MALI AAC]]&lt;&gt;0,1,"")</f>
        <v/>
      </c>
      <c r="AV14" s="225">
        <f>IF(AP14&lt;&gt;"",IF((AP14*Paramètres!$H$4)-PORTEFEUILLE_SEBASTIEN[[#This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14" s="225">
        <f>IF(AP14&lt;&gt;"",IF(((AP14*Paramètres!$H$4)-PORTEFEUILLE_SEBASTIEN[[#This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4" s="190" t="str">
        <f>IF(PORTEFEUILLE_SEBASTIEN[[#This Row],[BONI COMPTABLE]]&lt;&gt;0,1,"")</f>
        <v/>
      </c>
      <c r="AY14" s="190" t="str">
        <f>IF(PORTEFEUILLE_SEBASTIEN[[#This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SUM(PORTEFEUILLE_SEBASTIEN[[#This Row],[PCR COMPTABLE €]:[MONTANT
RESPONSABLE RELATION CLIENT €]])-PORTEFEUILLE_SEBASTIEN[[#This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5" s="188" t="str">
        <f>IF(PORTEFEUILLE_SEBASTIEN[[#This Row],[BONI AAC]]&lt;&gt;0,1,"")</f>
        <v/>
      </c>
      <c r="AU15" s="188" t="str">
        <f>IF(PORTEFEUILLE_SEBASTIEN[[#This Row],[MALI AAC]]&lt;&gt;0,1,"")</f>
        <v/>
      </c>
      <c r="AV15" s="225">
        <f>IF(AP15&lt;&gt;"",IF((AP15*Paramètres!$H$4)-PORTEFEUILLE_SEBASTIEN[[#This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€]]-(DELPHINE!#REF!*Paramètres!$H$4),0),0)</f>
        <v>0</v>
      </c>
      <c r="AW15" s="225">
        <f>IF(AP15&lt;&gt;"",IF(((AP15*Paramètres!$H$4)-PORTEFEUILLE_SEBASTIEN[[#This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5" s="190" t="str">
        <f>IF(PORTEFEUILLE_SEBASTIEN[[#This Row],[BONI COMPTABLE]]&lt;&gt;0,1,"")</f>
        <v/>
      </c>
      <c r="AY15" s="190" t="str">
        <f>IF(PORTEFEUILLE_SEBASTIEN[[#This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SUM(PORTEFEUILLE_SEBASTIEN[[#This Row],[PCR COMPTABLE €]:[MONTANT
RESPONSABLE RELATION CLIENT €]])-PORTEFEUILLE_SEBASTIEN[[#This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6" s="188" t="str">
        <f>IF(PORTEFEUILLE_SEBASTIEN[[#This Row],[BONI AAC]]&lt;&gt;0,1,"")</f>
        <v/>
      </c>
      <c r="AU16" s="188" t="str">
        <f>IF(PORTEFEUILLE_SEBASTIEN[[#This Row],[MALI AAC]]&lt;&gt;0,1,"")</f>
        <v/>
      </c>
      <c r="AV16" s="225">
        <f>IF(AP16&lt;&gt;"",IF((AP16*Paramètres!$H$4)-PORTEFEUILLE_SEBASTIEN[[#This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€]]-(DELPHINE!AP7*Paramètres!$H$4),0),0)</f>
        <v>0</v>
      </c>
      <c r="AW16" s="225">
        <f>IF(AP16&lt;&gt;"",IF(((AP16*Paramètres!$H$4)-PORTEFEUILLE_SEBASTIEN[[#This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6" s="190" t="str">
        <f>IF(PORTEFEUILLE_SEBASTIEN[[#This Row],[BONI COMPTABLE]]&lt;&gt;0,1,"")</f>
        <v/>
      </c>
      <c r="AY16" s="190" t="str">
        <f>IF(PORTEFEUILLE_SEBASTIEN[[#This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SUM(PORTEFEUILLE_SEBASTIEN[[#This Row],[PCR COMPTABLE €]:[MONTANT
RESPONSABLE RELATION CLIENT €]])-PORTEFEUILLE_SEBASTIEN[[#This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7" s="188" t="str">
        <f>IF(PORTEFEUILLE_SEBASTIEN[[#This Row],[BONI AAC]]&lt;&gt;0,1,"")</f>
        <v/>
      </c>
      <c r="AU17" s="188" t="str">
        <f>IF(PORTEFEUILLE_SEBASTIEN[[#This Row],[MALI AAC]]&lt;&gt;0,1,"")</f>
        <v/>
      </c>
      <c r="AV17" s="225">
        <f>IF(AP17&lt;&gt;"",IF((AP17*Paramètres!$H$4)-PORTEFEUILLE_SEBASTIEN[[#This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€]]-(DELPHINE!AP8*Paramètres!$H$4),0),0)</f>
        <v>0</v>
      </c>
      <c r="AW17" s="225">
        <f>IF(AP17&lt;&gt;"",IF(((AP17*Paramètres!$H$4)-PORTEFEUILLE_SEBASTIEN[[#This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7" s="190" t="str">
        <f>IF(PORTEFEUILLE_SEBASTIEN[[#This Row],[BONI COMPTABLE]]&lt;&gt;0,1,"")</f>
        <v/>
      </c>
      <c r="AY17" s="190" t="str">
        <f>IF(PORTEFEUILLE_SEBASTIEN[[#This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SUM(PORTEFEUILLE_SEBASTIEN[[#This Row],[PCR COMPTABLE €]:[MONTANT
RESPONSABLE RELATION CLIENT €]])-PORTEFEUILLE_SEBASTIEN[[#This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8" s="188" t="str">
        <f>IF(PORTEFEUILLE_SEBASTIEN[[#This Row],[BONI AAC]]&lt;&gt;0,1,"")</f>
        <v/>
      </c>
      <c r="AU18" s="188" t="str">
        <f>IF(PORTEFEUILLE_SEBASTIEN[[#This Row],[MALI AAC]]&lt;&gt;0,1,"")</f>
        <v/>
      </c>
      <c r="AV18" s="225">
        <f>IF(AP18&lt;&gt;"",IF((AP18*Paramètres!$H$4)-PORTEFEUILLE_SEBASTIEN[[#This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€]]-(DELPHINE!AP9*Paramètres!$H$4),0),0)</f>
        <v>0</v>
      </c>
      <c r="AW18" s="225">
        <f>IF(AP18&lt;&gt;"",IF(((AP18*Paramètres!$H$4)-PORTEFEUILLE_SEBASTIEN[[#This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8" s="190" t="str">
        <f>IF(PORTEFEUILLE_SEBASTIEN[[#This Row],[BONI COMPTABLE]]&lt;&gt;0,1,"")</f>
        <v/>
      </c>
      <c r="AY18" s="190" t="str">
        <f>IF(PORTEFEUILLE_SEBASTIEN[[#This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SUM(PORTEFEUILLE_SEBASTIEN[[#This Row],[PCR COMPTABLE €]:[MONTANT
RESPONSABLE RELATION CLIENT €]])-PORTEFEUILLE_SEBASTIEN[[#This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9" s="188" t="str">
        <f>IF(PORTEFEUILLE_SEBASTIEN[[#This Row],[BONI AAC]]&lt;&gt;0,1,"")</f>
        <v/>
      </c>
      <c r="AU19" s="188" t="str">
        <f>IF(PORTEFEUILLE_SEBASTIEN[[#This Row],[MALI AAC]]&lt;&gt;0,1,"")</f>
        <v/>
      </c>
      <c r="AV19" s="225">
        <f>IF(AP19&lt;&gt;"",IF((AP19*Paramètres!$H$4)-PORTEFEUILLE_SEBASTIEN[[#This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€]]-(DELPHINE!AP10*Paramètres!$H$4),0),0)</f>
        <v>0</v>
      </c>
      <c r="AW19" s="225">
        <f>IF(AP19&lt;&gt;"",IF(((AP19*Paramètres!$H$4)-PORTEFEUILLE_SEBASTIEN[[#This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9" s="190" t="str">
        <f>IF(PORTEFEUILLE_SEBASTIEN[[#This Row],[BONI COMPTABLE]]&lt;&gt;0,1,"")</f>
        <v/>
      </c>
      <c r="AY19" s="190" t="str">
        <f>IF(PORTEFEUILLE_SEBASTIEN[[#This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SUM(PORTEFEUILLE_SEBASTIEN[[#This Row],[PCR COMPTABLE €]:[MONTANT
RESPONSABLE RELATION CLIENT €]])-PORTEFEUILLE_SEBASTIEN[[#This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0" s="188" t="str">
        <f>IF(PORTEFEUILLE_SEBASTIEN[[#This Row],[BONI AAC]]&lt;&gt;0,1,"")</f>
        <v/>
      </c>
      <c r="AU20" s="188" t="str">
        <f>IF(PORTEFEUILLE_SEBASTIEN[[#This Row],[MALI AAC]]&lt;&gt;0,1,"")</f>
        <v/>
      </c>
      <c r="AV20" s="225">
        <f>IF(AP20&lt;&gt;"",IF((AP20*Paramètres!$H$4)-PORTEFEUILLE_SEBASTIEN[[#This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€]]-(DELPHINE!AP11*Paramètres!$H$4),0),0)</f>
        <v>0</v>
      </c>
      <c r="AW20" s="225">
        <f>IF(AP20&lt;&gt;"",IF(((AP20*Paramètres!$H$4)-PORTEFEUILLE_SEBASTIEN[[#This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0" s="190" t="str">
        <f>IF(PORTEFEUILLE_SEBASTIEN[[#This Row],[BONI COMPTABLE]]&lt;&gt;0,1,"")</f>
        <v/>
      </c>
      <c r="AY20" s="190" t="str">
        <f>IF(PORTEFEUILLE_SEBASTIEN[[#This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SUM(PORTEFEUILLE_SEBASTIEN[[#This Row],[PCR COMPTABLE €]:[MONTANT
RESPONSABLE RELATION CLIENT €]])-PORTEFEUILLE_SEBASTIEN[[#This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1" s="188" t="str">
        <f>IF(PORTEFEUILLE_SEBASTIEN[[#This Row],[BONI AAC]]&lt;&gt;0,1,"")</f>
        <v/>
      </c>
      <c r="AU21" s="188" t="str">
        <f>IF(PORTEFEUILLE_SEBASTIEN[[#This Row],[MALI AAC]]&lt;&gt;0,1,"")</f>
        <v/>
      </c>
      <c r="AV21" s="225">
        <f>IF(AP21&lt;&gt;"",IF((AP21*Paramètres!$H$4)-PORTEFEUILLE_SEBASTIEN[[#This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€]]-(DELPHINE!AP12*Paramètres!$H$4),0),0)</f>
        <v>0</v>
      </c>
      <c r="AW21" s="225">
        <f>IF(AP21&lt;&gt;"",IF(((AP21*Paramètres!$H$4)-PORTEFEUILLE_SEBASTIEN[[#This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1" s="190" t="str">
        <f>IF(PORTEFEUILLE_SEBASTIEN[[#This Row],[BONI COMPTABLE]]&lt;&gt;0,1,"")</f>
        <v/>
      </c>
      <c r="AY21" s="190" t="str">
        <f>IF(PORTEFEUILLE_SEBASTIEN[[#This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SUM(PORTEFEUILLE_SEBASTIEN[[#This Row],[PCR COMPTABLE €]:[MONTANT
RESPONSABLE RELATION CLIENT €]])-PORTEFEUILLE_SEBASTIEN[[#This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2" s="188" t="str">
        <f>IF(PORTEFEUILLE_SEBASTIEN[[#This Row],[BONI AAC]]&lt;&gt;0,1,"")</f>
        <v/>
      </c>
      <c r="AU22" s="188" t="str">
        <f>IF(PORTEFEUILLE_SEBASTIEN[[#This Row],[MALI AAC]]&lt;&gt;0,1,"")</f>
        <v/>
      </c>
      <c r="AV22" s="225">
        <f>IF(AP22&lt;&gt;"",IF((AP22*Paramètres!$H$4)-PORTEFEUILLE_SEBASTIEN[[#This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€]]-(DELPHINE!AP13*Paramètres!$H$4),0),0)</f>
        <v>0</v>
      </c>
      <c r="AW22" s="225">
        <f>IF(AP22&lt;&gt;"",IF(((AP22*Paramètres!$H$4)-PORTEFEUILLE_SEBASTIEN[[#This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2" s="190" t="str">
        <f>IF(PORTEFEUILLE_SEBASTIEN[[#This Row],[BONI COMPTABLE]]&lt;&gt;0,1,"")</f>
        <v/>
      </c>
      <c r="AY22" s="190" t="str">
        <f>IF(PORTEFEUILLE_SEBASTIEN[[#This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SUM(PORTEFEUILLE_SEBASTIEN[[#This Row],[PCR COMPTABLE €]:[MONTANT
RESPONSABLE RELATION CLIENT €]])-PORTEFEUILLE_SEBASTIEN[[#This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3" s="188" t="str">
        <f>IF(PORTEFEUILLE_SEBASTIEN[[#This Row],[BONI AAC]]&lt;&gt;0,1,"")</f>
        <v/>
      </c>
      <c r="AU23" s="188" t="str">
        <f>IF(PORTEFEUILLE_SEBASTIEN[[#This Row],[MALI AAC]]&lt;&gt;0,1,"")</f>
        <v/>
      </c>
      <c r="AV23" s="225">
        <f>IF(AP23&lt;&gt;"",IF((AP23*Paramètres!$H$4)-PORTEFEUILLE_SEBASTIEN[[#This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€]]-(DELPHINE!AP14*Paramètres!$H$4),0),0)</f>
        <v>0</v>
      </c>
      <c r="AW23" s="225">
        <f>IF(AP23&lt;&gt;"",IF(((AP23*Paramètres!$H$4)-PORTEFEUILLE_SEBASTIEN[[#This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3" s="190" t="str">
        <f>IF(PORTEFEUILLE_SEBASTIEN[[#This Row],[BONI COMPTABLE]]&lt;&gt;0,1,"")</f>
        <v/>
      </c>
      <c r="AY23" s="190" t="str">
        <f>IF(PORTEFEUILLE_SEBASTIEN[[#This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SUM(PORTEFEUILLE_SEBASTIEN[[#This Row],[PCR COMPTABLE €]:[MONTANT
RESPONSABLE RELATION CLIENT €]])-PORTEFEUILLE_SEBASTIEN[[#This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4" s="188" t="str">
        <f>IF(PORTEFEUILLE_SEBASTIEN[[#This Row],[BONI AAC]]&lt;&gt;0,1,"")</f>
        <v/>
      </c>
      <c r="AU24" s="188" t="str">
        <f>IF(PORTEFEUILLE_SEBASTIEN[[#This Row],[MALI AAC]]&lt;&gt;0,1,"")</f>
        <v/>
      </c>
      <c r="AV24" s="225">
        <f>IF(AP24&lt;&gt;"",IF((AP24*Paramètres!$H$4)-PORTEFEUILLE_SEBASTIEN[[#This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€]]-(DELPHINE!AP15*Paramètres!$H$4),0),0)</f>
        <v>0</v>
      </c>
      <c r="AW24" s="225">
        <f>IF(AP24&lt;&gt;"",IF(((AP24*Paramètres!$H$4)-PORTEFEUILLE_SEBASTIEN[[#This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4" s="190" t="str">
        <f>IF(PORTEFEUILLE_SEBASTIEN[[#This Row],[BONI COMPTABLE]]&lt;&gt;0,1,"")</f>
        <v/>
      </c>
      <c r="AY24" s="190" t="str">
        <f>IF(PORTEFEUILLE_SEBASTIEN[[#This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SUM(PORTEFEUILLE_SEBASTIEN[[#This Row],[PCR COMPTABLE €]:[MONTANT
RESPONSABLE RELATION CLIENT €]])-PORTEFEUILLE_SEBASTIEN[[#This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5" s="188" t="str">
        <f>IF(PORTEFEUILLE_SEBASTIEN[[#This Row],[BONI AAC]]&lt;&gt;0,1,"")</f>
        <v/>
      </c>
      <c r="AU25" s="188" t="str">
        <f>IF(PORTEFEUILLE_SEBASTIEN[[#This Row],[MALI AAC]]&lt;&gt;0,1,"")</f>
        <v/>
      </c>
      <c r="AV25" s="225">
        <f>IF(AP25&lt;&gt;"",IF((AP25*Paramètres!$H$4)-PORTEFEUILLE_SEBASTIEN[[#This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€]]-(DELPHINE!AP16*Paramètres!$H$4),0),0)</f>
        <v>0</v>
      </c>
      <c r="AW25" s="225">
        <f>IF(AP25&lt;&gt;"",IF(((AP25*Paramètres!$H$4)-PORTEFEUILLE_SEBASTIEN[[#This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5" s="190" t="str">
        <f>IF(PORTEFEUILLE_SEBASTIEN[[#This Row],[BONI COMPTABLE]]&lt;&gt;0,1,"")</f>
        <v/>
      </c>
      <c r="AY25" s="190" t="str">
        <f>IF(PORTEFEUILLE_SEBASTIEN[[#This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SUM(PORTEFEUILLE_SEBASTIEN[[#This Row],[PCR COMPTABLE €]:[MONTANT
RESPONSABLE RELATION CLIENT €]])-PORTEFEUILLE_SEBASTIEN[[#This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6" s="188" t="str">
        <f>IF(PORTEFEUILLE_SEBASTIEN[[#This Row],[BONI AAC]]&lt;&gt;0,1,"")</f>
        <v/>
      </c>
      <c r="AU26" s="188" t="str">
        <f>IF(PORTEFEUILLE_SEBASTIEN[[#This Row],[MALI AAC]]&lt;&gt;0,1,"")</f>
        <v/>
      </c>
      <c r="AV26" s="225">
        <f>IF(AP26&lt;&gt;"",IF((AP26*Paramètres!$H$4)-PORTEFEUILLE_SEBASTIEN[[#This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€]]-(DELPHINE!AP17*Paramètres!$H$4),0),0)</f>
        <v>0</v>
      </c>
      <c r="AW26" s="225">
        <f>IF(AP26&lt;&gt;"",IF(((AP26*Paramètres!$H$4)-PORTEFEUILLE_SEBASTIEN[[#This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6" s="190" t="str">
        <f>IF(PORTEFEUILLE_SEBASTIEN[[#This Row],[BONI COMPTABLE]]&lt;&gt;0,1,"")</f>
        <v/>
      </c>
      <c r="AY26" s="190" t="str">
        <f>IF(PORTEFEUILLE_SEBASTIEN[[#This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SUM(PORTEFEUILLE_SEBASTIEN[[#This Row],[PCR COMPTABLE €]:[MONTANT
RESPONSABLE RELATION CLIENT €]])-PORTEFEUILLE_SEBASTIEN[[#This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7" s="188" t="str">
        <f>IF(PORTEFEUILLE_SEBASTIEN[[#This Row],[BONI AAC]]&lt;&gt;0,1,"")</f>
        <v/>
      </c>
      <c r="AU27" s="188" t="str">
        <f>IF(PORTEFEUILLE_SEBASTIEN[[#This Row],[MALI AAC]]&lt;&gt;0,1,"")</f>
        <v/>
      </c>
      <c r="AV27" s="225">
        <f>IF(AP27&lt;&gt;"",IF((AP27*Paramètres!$H$4)-PORTEFEUILLE_SEBASTIEN[[#This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€]]-(DELPHINE!AP18*Paramètres!$H$4),0),0)</f>
        <v>0</v>
      </c>
      <c r="AW27" s="225">
        <f>IF(AP27&lt;&gt;"",IF(((AP27*Paramètres!$H$4)-PORTEFEUILLE_SEBASTIEN[[#This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7" s="190" t="str">
        <f>IF(PORTEFEUILLE_SEBASTIEN[[#This Row],[BONI COMPTABLE]]&lt;&gt;0,1,"")</f>
        <v/>
      </c>
      <c r="AY27" s="190" t="str">
        <f>IF(PORTEFEUILLE_SEBASTIEN[[#This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SUM(PORTEFEUILLE_SEBASTIEN[[#This Row],[PCR COMPTABLE €]:[MONTANT
RESPONSABLE RELATION CLIENT €]])-PORTEFEUILLE_SEBASTIEN[[#This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8" s="188" t="str">
        <f>IF(PORTEFEUILLE_SEBASTIEN[[#This Row],[BONI AAC]]&lt;&gt;0,1,"")</f>
        <v/>
      </c>
      <c r="AU28" s="188" t="str">
        <f>IF(PORTEFEUILLE_SEBASTIEN[[#This Row],[MALI AAC]]&lt;&gt;0,1,"")</f>
        <v/>
      </c>
      <c r="AV28" s="225">
        <f>IF(AP28&lt;&gt;"",IF((AP28*Paramètres!$H$4)-PORTEFEUILLE_SEBASTIEN[[#This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€]]-(DELPHINE!AP19*Paramètres!$H$4),0),0)</f>
        <v>0</v>
      </c>
      <c r="AW28" s="225">
        <f>IF(AP28&lt;&gt;"",IF(((AP28*Paramètres!$H$4)-PORTEFEUILLE_SEBASTIEN[[#This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8" s="190" t="str">
        <f>IF(PORTEFEUILLE_SEBASTIEN[[#This Row],[BONI COMPTABLE]]&lt;&gt;0,1,"")</f>
        <v/>
      </c>
      <c r="AY28" s="190" t="str">
        <f>IF(PORTEFEUILLE_SEBASTIEN[[#This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SUM(PORTEFEUILLE_SEBASTIEN[[#This Row],[PCR COMPTABLE €]:[MONTANT
RESPONSABLE RELATION CLIENT €]])-PORTEFEUILLE_SEBASTIEN[[#This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9" s="188" t="str">
        <f>IF(PORTEFEUILLE_SEBASTIEN[[#This Row],[BONI AAC]]&lt;&gt;0,1,"")</f>
        <v/>
      </c>
      <c r="AU29" s="188" t="str">
        <f>IF(PORTEFEUILLE_SEBASTIEN[[#This Row],[MALI AAC]]&lt;&gt;0,1,"")</f>
        <v/>
      </c>
      <c r="AV29" s="225">
        <f>IF(AP29&lt;&gt;"",IF((AP29*Paramètres!$H$4)-PORTEFEUILLE_SEBASTIEN[[#This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€]]-(DELPHINE!AP20*Paramètres!$H$4),0),0)</f>
        <v>0</v>
      </c>
      <c r="AW29" s="225">
        <f>IF(AP29&lt;&gt;"",IF(((AP29*Paramètres!$H$4)-PORTEFEUILLE_SEBASTIEN[[#This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9" s="190" t="str">
        <f>IF(PORTEFEUILLE_SEBASTIEN[[#This Row],[BONI COMPTABLE]]&lt;&gt;0,1,"")</f>
        <v/>
      </c>
      <c r="AY29" s="190" t="str">
        <f>IF(PORTEFEUILLE_SEBASTIEN[[#This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SUM(PORTEFEUILLE_SEBASTIEN[[#This Row],[PCR COMPTABLE €]:[MONTANT
RESPONSABLE RELATION CLIENT €]])-PORTEFEUILLE_SEBASTIEN[[#This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0" s="188" t="str">
        <f>IF(PORTEFEUILLE_SEBASTIEN[[#This Row],[BONI AAC]]&lt;&gt;0,1,"")</f>
        <v/>
      </c>
      <c r="AU30" s="188" t="str">
        <f>IF(PORTEFEUILLE_SEBASTIEN[[#This Row],[MALI AAC]]&lt;&gt;0,1,"")</f>
        <v/>
      </c>
      <c r="AV30" s="225">
        <f>IF(AP30&lt;&gt;"",IF((AP30*Paramètres!$H$4)-PORTEFEUILLE_SEBASTIEN[[#This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€]]-(DELPHINE!AP21*Paramètres!$H$4),0),0)</f>
        <v>0</v>
      </c>
      <c r="AW30" s="225">
        <f>IF(AP30&lt;&gt;"",IF(((AP30*Paramètres!$H$4)-PORTEFEUILLE_SEBASTIEN[[#This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0" s="190" t="str">
        <f>IF(PORTEFEUILLE_SEBASTIEN[[#This Row],[BONI COMPTABLE]]&lt;&gt;0,1,"")</f>
        <v/>
      </c>
      <c r="AY30" s="190" t="str">
        <f>IF(PORTEFEUILLE_SEBASTIEN[[#This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SUM(PORTEFEUILLE_SEBASTIEN[[#This Row],[PCR COMPTABLE €]:[MONTANT
RESPONSABLE RELATION CLIENT €]])-PORTEFEUILLE_SEBASTIEN[[#This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1" s="188" t="str">
        <f>IF(PORTEFEUILLE_SEBASTIEN[[#This Row],[BONI AAC]]&lt;&gt;0,1,"")</f>
        <v/>
      </c>
      <c r="AU31" s="188" t="str">
        <f>IF(PORTEFEUILLE_SEBASTIEN[[#This Row],[MALI AAC]]&lt;&gt;0,1,"")</f>
        <v/>
      </c>
      <c r="AV31" s="225">
        <f>IF(AP31&lt;&gt;"",IF((AP31*Paramètres!$H$4)-PORTEFEUILLE_SEBASTIEN[[#This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€]]-(DELPHINE!AP22*Paramètres!$H$4),0),0)</f>
        <v>0</v>
      </c>
      <c r="AW31" s="225">
        <f>IF(AP31&lt;&gt;"",IF(((AP31*Paramètres!$H$4)-PORTEFEUILLE_SEBASTIEN[[#This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1" s="190" t="str">
        <f>IF(PORTEFEUILLE_SEBASTIEN[[#This Row],[BONI COMPTABLE]]&lt;&gt;0,1,"")</f>
        <v/>
      </c>
      <c r="AY31" s="190" t="str">
        <f>IF(PORTEFEUILLE_SEBASTIEN[[#This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SUM(PORTEFEUILLE_SEBASTIEN[[#This Row],[PCR COMPTABLE €]:[MONTANT
RESPONSABLE RELATION CLIENT €]])-PORTEFEUILLE_SEBASTIEN[[#This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2" s="188" t="str">
        <f>IF(PORTEFEUILLE_SEBASTIEN[[#This Row],[BONI AAC]]&lt;&gt;0,1,"")</f>
        <v/>
      </c>
      <c r="AU32" s="188" t="str">
        <f>IF(PORTEFEUILLE_SEBASTIEN[[#This Row],[MALI AAC]]&lt;&gt;0,1,"")</f>
        <v/>
      </c>
      <c r="AV32" s="225">
        <f>IF(AP32&lt;&gt;"",IF((AP32*Paramètres!$H$4)-PORTEFEUILLE_SEBASTIEN[[#This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€]]-(DELPHINE!AP23*Paramètres!$H$4),0),0)</f>
        <v>0</v>
      </c>
      <c r="AW32" s="225">
        <f>IF(AP32&lt;&gt;"",IF(((AP32*Paramètres!$H$4)-PORTEFEUILLE_SEBASTIEN[[#This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2" s="190" t="str">
        <f>IF(PORTEFEUILLE_SEBASTIEN[[#This Row],[BONI COMPTABLE]]&lt;&gt;0,1,"")</f>
        <v/>
      </c>
      <c r="AY32" s="190" t="str">
        <f>IF(PORTEFEUILLE_SEBASTIEN[[#This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SUM(PORTEFEUILLE_SEBASTIEN[[#This Row],[PCR COMPTABLE €]:[MONTANT
RESPONSABLE RELATION CLIENT €]])-PORTEFEUILLE_SEBASTIEN[[#This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3" s="188" t="str">
        <f>IF(PORTEFEUILLE_SEBASTIEN[[#This Row],[BONI AAC]]&lt;&gt;0,1,"")</f>
        <v/>
      </c>
      <c r="AU33" s="188" t="str">
        <f>IF(PORTEFEUILLE_SEBASTIEN[[#This Row],[MALI AAC]]&lt;&gt;0,1,"")</f>
        <v/>
      </c>
      <c r="AV33" s="225">
        <f>IF(AP33&lt;&gt;"",IF((AP33*Paramètres!$H$4)-PORTEFEUILLE_SEBASTIEN[[#This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€]]-(DELPHINE!AP24*Paramètres!$H$4),0),0)</f>
        <v>0</v>
      </c>
      <c r="AW33" s="225">
        <f>IF(AP33&lt;&gt;"",IF(((AP33*Paramètres!$H$4)-PORTEFEUILLE_SEBASTIEN[[#This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3" s="190" t="str">
        <f>IF(PORTEFEUILLE_SEBASTIEN[[#This Row],[BONI COMPTABLE]]&lt;&gt;0,1,"")</f>
        <v/>
      </c>
      <c r="AY33" s="190" t="str">
        <f>IF(PORTEFEUILLE_SEBASTIEN[[#This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SUM(PORTEFEUILLE_SEBASTIEN[[#This Row],[PCR COMPTABLE €]:[MONTANT
RESPONSABLE RELATION CLIENT €]])-PORTEFEUILLE_SEBASTIEN[[#This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4" s="188" t="str">
        <f>IF(PORTEFEUILLE_SEBASTIEN[[#This Row],[BONI AAC]]&lt;&gt;0,1,"")</f>
        <v/>
      </c>
      <c r="AU34" s="188" t="str">
        <f>IF(PORTEFEUILLE_SEBASTIEN[[#This Row],[MALI AAC]]&lt;&gt;0,1,"")</f>
        <v/>
      </c>
      <c r="AV34" s="225">
        <f>IF(AP34&lt;&gt;"",IF((AP34*Paramètres!$H$4)-PORTEFEUILLE_SEBASTIEN[[#This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€]]-(DELPHINE!AP25*Paramètres!$H$4),0),0)</f>
        <v>0</v>
      </c>
      <c r="AW34" s="225">
        <f>IF(AP34&lt;&gt;"",IF(((AP34*Paramètres!$H$4)-PORTEFEUILLE_SEBASTIEN[[#This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4" s="190" t="str">
        <f>IF(PORTEFEUILLE_SEBASTIEN[[#This Row],[BONI COMPTABLE]]&lt;&gt;0,1,"")</f>
        <v/>
      </c>
      <c r="AY34" s="190" t="str">
        <f>IF(PORTEFEUILLE_SEBASTIEN[[#This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SUM(PORTEFEUILLE_SEBASTIEN[[#This Row],[PCR COMPTABLE €]:[MONTANT
RESPONSABLE RELATION CLIENT €]])-PORTEFEUILLE_SEBASTIEN[[#This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5" s="188" t="str">
        <f>IF(PORTEFEUILLE_SEBASTIEN[[#This Row],[BONI AAC]]&lt;&gt;0,1,"")</f>
        <v/>
      </c>
      <c r="AU35" s="188" t="str">
        <f>IF(PORTEFEUILLE_SEBASTIEN[[#This Row],[MALI AAC]]&lt;&gt;0,1,"")</f>
        <v/>
      </c>
      <c r="AV35" s="225">
        <f>IF(AP35&lt;&gt;"",IF((AP35*Paramètres!$H$4)-PORTEFEUILLE_SEBASTIEN[[#This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€]]-(DELPHINE!AP26*Paramètres!$H$4),0),0)</f>
        <v>0</v>
      </c>
      <c r="AW35" s="225">
        <f>IF(AP35&lt;&gt;"",IF(((AP35*Paramètres!$H$4)-PORTEFEUILLE_SEBASTIEN[[#This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5" s="190" t="str">
        <f>IF(PORTEFEUILLE_SEBASTIEN[[#This Row],[BONI COMPTABLE]]&lt;&gt;0,1,"")</f>
        <v/>
      </c>
      <c r="AY35" s="190" t="str">
        <f>IF(PORTEFEUILLE_SEBASTIEN[[#This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SUM(PORTEFEUILLE_SEBASTIEN[[#This Row],[PCR COMPTABLE €]:[MONTANT
RESPONSABLE RELATION CLIENT €]])-PORTEFEUILLE_SEBASTIEN[[#This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6" s="188" t="str">
        <f>IF(PORTEFEUILLE_SEBASTIEN[[#This Row],[BONI AAC]]&lt;&gt;0,1,"")</f>
        <v/>
      </c>
      <c r="AU36" s="188" t="str">
        <f>IF(PORTEFEUILLE_SEBASTIEN[[#This Row],[MALI AAC]]&lt;&gt;0,1,"")</f>
        <v/>
      </c>
      <c r="AV36" s="225">
        <f>IF(AP36&lt;&gt;"",IF((AP36*Paramètres!$H$4)-PORTEFEUILLE_SEBASTIEN[[#This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€]]-(DELPHINE!AP27*Paramètres!$H$4),0),0)</f>
        <v>0</v>
      </c>
      <c r="AW36" s="225">
        <f>IF(AP36&lt;&gt;"",IF(((AP36*Paramètres!$H$4)-PORTEFEUILLE_SEBASTIEN[[#This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6" s="190" t="str">
        <f>IF(PORTEFEUILLE_SEBASTIEN[[#This Row],[BONI COMPTABLE]]&lt;&gt;0,1,"")</f>
        <v/>
      </c>
      <c r="AY36" s="190" t="str">
        <f>IF(PORTEFEUILLE_SEBASTIEN[[#This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SUM(PORTEFEUILLE_SEBASTIEN[[#This Row],[PCR COMPTABLE €]:[MONTANT
RESPONSABLE RELATION CLIENT €]])-PORTEFEUILLE_SEBASTIEN[[#This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7" s="188" t="str">
        <f>IF(PORTEFEUILLE_SEBASTIEN[[#This Row],[BONI AAC]]&lt;&gt;0,1,"")</f>
        <v/>
      </c>
      <c r="AU37" s="188" t="str">
        <f>IF(PORTEFEUILLE_SEBASTIEN[[#This Row],[MALI AAC]]&lt;&gt;0,1,"")</f>
        <v/>
      </c>
      <c r="AV37" s="225">
        <f>IF(AP37&lt;&gt;"",IF((AP37*Paramètres!$H$4)-PORTEFEUILLE_SEBASTIEN[[#This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€]]-(DELPHINE!AP28*Paramètres!$H$4),0),0)</f>
        <v>0</v>
      </c>
      <c r="AW37" s="225">
        <f>IF(AP37&lt;&gt;"",IF(((AP37*Paramètres!$H$4)-PORTEFEUILLE_SEBASTIEN[[#This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7" s="190" t="str">
        <f>IF(PORTEFEUILLE_SEBASTIEN[[#This Row],[BONI COMPTABLE]]&lt;&gt;0,1,"")</f>
        <v/>
      </c>
      <c r="AY37" s="190" t="str">
        <f>IF(PORTEFEUILLE_SEBASTIEN[[#This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SUM(PORTEFEUILLE_SEBASTIEN[[#This Row],[PCR COMPTABLE €]:[MONTANT
RESPONSABLE RELATION CLIENT €]])-PORTEFEUILLE_SEBASTIEN[[#This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8" s="188" t="str">
        <f>IF(PORTEFEUILLE_SEBASTIEN[[#This Row],[BONI AAC]]&lt;&gt;0,1,"")</f>
        <v/>
      </c>
      <c r="AU38" s="188" t="str">
        <f>IF(PORTEFEUILLE_SEBASTIEN[[#This Row],[MALI AAC]]&lt;&gt;0,1,"")</f>
        <v/>
      </c>
      <c r="AV38" s="225">
        <f>IF(AP38&lt;&gt;"",IF((AP38*Paramètres!$H$4)-PORTEFEUILLE_SEBASTIEN[[#This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€]]-(DELPHINE!AP29*Paramètres!$H$4),0),0)</f>
        <v>0</v>
      </c>
      <c r="AW38" s="225">
        <f>IF(AP38&lt;&gt;"",IF(((AP38*Paramètres!$H$4)-PORTEFEUILLE_SEBASTIEN[[#This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8" s="190" t="str">
        <f>IF(PORTEFEUILLE_SEBASTIEN[[#This Row],[BONI COMPTABLE]]&lt;&gt;0,1,"")</f>
        <v/>
      </c>
      <c r="AY38" s="190" t="str">
        <f>IF(PORTEFEUILLE_SEBASTIEN[[#This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SUM(PORTEFEUILLE_SEBASTIEN[[#This Row],[PCR COMPTABLE €]:[MONTANT
RESPONSABLE RELATION CLIENT €]])-PORTEFEUILLE_SEBASTIEN[[#This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9" s="188" t="str">
        <f>IF(PORTEFEUILLE_SEBASTIEN[[#This Row],[BONI AAC]]&lt;&gt;0,1,"")</f>
        <v/>
      </c>
      <c r="AU39" s="188" t="str">
        <f>IF(PORTEFEUILLE_SEBASTIEN[[#This Row],[MALI AAC]]&lt;&gt;0,1,"")</f>
        <v/>
      </c>
      <c r="AV39" s="225">
        <f>IF(AP39&lt;&gt;"",IF((AP39*Paramètres!$H$4)-PORTEFEUILLE_SEBASTIEN[[#This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€]]-(DELPHINE!AP30*Paramètres!$H$4),0),0)</f>
        <v>0</v>
      </c>
      <c r="AW39" s="225">
        <f>IF(AP39&lt;&gt;"",IF(((AP39*Paramètres!$H$4)-PORTEFEUILLE_SEBASTIEN[[#This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9" s="190" t="str">
        <f>IF(PORTEFEUILLE_SEBASTIEN[[#This Row],[BONI COMPTABLE]]&lt;&gt;0,1,"")</f>
        <v/>
      </c>
      <c r="AY39" s="190" t="str">
        <f>IF(PORTEFEUILLE_SEBASTIEN[[#This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SUM(PORTEFEUILLE_SEBASTIEN[[#This Row],[PCR COMPTABLE €]:[MONTANT
RESPONSABLE RELATION CLIENT €]])-PORTEFEUILLE_SEBASTIEN[[#This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0" s="188" t="str">
        <f>IF(PORTEFEUILLE_SEBASTIEN[[#This Row],[BONI AAC]]&lt;&gt;0,1,"")</f>
        <v/>
      </c>
      <c r="AU40" s="188" t="str">
        <f>IF(PORTEFEUILLE_SEBASTIEN[[#This Row],[MALI AAC]]&lt;&gt;0,1,"")</f>
        <v/>
      </c>
      <c r="AV40" s="225">
        <f>IF(AP40&lt;&gt;"",IF((AP40*Paramètres!$H$4)-PORTEFEUILLE_SEBASTIEN[[#This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€]]-(DELPHINE!AP31*Paramètres!$H$4),0),0)</f>
        <v>0</v>
      </c>
      <c r="AW40" s="225">
        <f>IF(AP40&lt;&gt;"",IF(((AP40*Paramètres!$H$4)-PORTEFEUILLE_SEBASTIEN[[#This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0" s="190" t="str">
        <f>IF(PORTEFEUILLE_SEBASTIEN[[#This Row],[BONI COMPTABLE]]&lt;&gt;0,1,"")</f>
        <v/>
      </c>
      <c r="AY40" s="190" t="str">
        <f>IF(PORTEFEUILLE_SEBASTIEN[[#This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SUM(PORTEFEUILLE_SEBASTIEN[[#This Row],[PCR COMPTABLE €]:[MONTANT
RESPONSABLE RELATION CLIENT €]])-PORTEFEUILLE_SEBASTIEN[[#This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1" s="188" t="str">
        <f>IF(PORTEFEUILLE_SEBASTIEN[[#This Row],[BONI AAC]]&lt;&gt;0,1,"")</f>
        <v/>
      </c>
      <c r="AU41" s="188" t="str">
        <f>IF(PORTEFEUILLE_SEBASTIEN[[#This Row],[MALI AAC]]&lt;&gt;0,1,"")</f>
        <v/>
      </c>
      <c r="AV41" s="225">
        <f>IF(AP41&lt;&gt;"",IF((AP41*Paramètres!$H$4)-PORTEFEUILLE_SEBASTIEN[[#This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€]]-(DELPHINE!AP32*Paramètres!$H$4),0),0)</f>
        <v>0</v>
      </c>
      <c r="AW41" s="225">
        <f>IF(AP41&lt;&gt;"",IF(((AP41*Paramètres!$H$4)-PORTEFEUILLE_SEBASTIEN[[#This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1" s="190" t="str">
        <f>IF(PORTEFEUILLE_SEBASTIEN[[#This Row],[BONI COMPTABLE]]&lt;&gt;0,1,"")</f>
        <v/>
      </c>
      <c r="AY41" s="190" t="str">
        <f>IF(PORTEFEUILLE_SEBASTIEN[[#This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SUM(PORTEFEUILLE_SEBASTIEN[[#This Row],[PCR COMPTABLE €]:[MONTANT
RESPONSABLE RELATION CLIENT €]])-PORTEFEUILLE_SEBASTIEN[[#This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2" s="188" t="str">
        <f>IF(PORTEFEUILLE_SEBASTIEN[[#This Row],[BONI AAC]]&lt;&gt;0,1,"")</f>
        <v/>
      </c>
      <c r="AU42" s="188" t="str">
        <f>IF(PORTEFEUILLE_SEBASTIEN[[#This Row],[MALI AAC]]&lt;&gt;0,1,"")</f>
        <v/>
      </c>
      <c r="AV42" s="225">
        <f>IF(AP42&lt;&gt;"",IF((AP42*Paramètres!$H$4)-PORTEFEUILLE_SEBASTIEN[[#This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€]]-(DELPHINE!AP33*Paramètres!$H$4),0),0)</f>
        <v>0</v>
      </c>
      <c r="AW42" s="225">
        <f>IF(AP42&lt;&gt;"",IF(((AP42*Paramètres!$H$4)-PORTEFEUILLE_SEBASTIEN[[#This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2" s="190" t="str">
        <f>IF(PORTEFEUILLE_SEBASTIEN[[#This Row],[BONI COMPTABLE]]&lt;&gt;0,1,"")</f>
        <v/>
      </c>
      <c r="AY42" s="190" t="str">
        <f>IF(PORTEFEUILLE_SEBASTIEN[[#This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SUM(PORTEFEUILLE_SEBASTIEN[[#This Row],[PCR COMPTABLE €]:[MONTANT
RESPONSABLE RELATION CLIENT €]])-PORTEFEUILLE_SEBASTIEN[[#This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3" s="188" t="str">
        <f>IF(PORTEFEUILLE_SEBASTIEN[[#This Row],[BONI AAC]]&lt;&gt;0,1,"")</f>
        <v/>
      </c>
      <c r="AU43" s="188" t="str">
        <f>IF(PORTEFEUILLE_SEBASTIEN[[#This Row],[MALI AAC]]&lt;&gt;0,1,"")</f>
        <v/>
      </c>
      <c r="AV43" s="225">
        <f>IF(AP43&lt;&gt;"",IF((AP43*Paramètres!$H$4)-PORTEFEUILLE_SEBASTIEN[[#This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€]]-(DELPHINE!AP34*Paramètres!$H$4),0),0)</f>
        <v>0</v>
      </c>
      <c r="AW43" s="225">
        <f>IF(AP43&lt;&gt;"",IF(((AP43*Paramètres!$H$4)-PORTEFEUILLE_SEBASTIEN[[#This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3" s="190" t="str">
        <f>IF(PORTEFEUILLE_SEBASTIEN[[#This Row],[BONI COMPTABLE]]&lt;&gt;0,1,"")</f>
        <v/>
      </c>
      <c r="AY43" s="190" t="str">
        <f>IF(PORTEFEUILLE_SEBASTIEN[[#This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SUM(PORTEFEUILLE_SEBASTIEN[[#This Row],[PCR COMPTABLE €]:[MONTANT
RESPONSABLE RELATION CLIENT €]])-PORTEFEUILLE_SEBASTIEN[[#This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4" s="188" t="str">
        <f>IF(PORTEFEUILLE_SEBASTIEN[[#This Row],[BONI AAC]]&lt;&gt;0,1,"")</f>
        <v/>
      </c>
      <c r="AU44" s="188" t="str">
        <f>IF(PORTEFEUILLE_SEBASTIEN[[#This Row],[MALI AAC]]&lt;&gt;0,1,"")</f>
        <v/>
      </c>
      <c r="AV44" s="225">
        <f>IF(AP44&lt;&gt;"",IF((AP44*Paramètres!$H$4)-PORTEFEUILLE_SEBASTIEN[[#This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€]]-(DELPHINE!AP35*Paramètres!$H$4),0),0)</f>
        <v>0</v>
      </c>
      <c r="AW44" s="225">
        <f>IF(AP44&lt;&gt;"",IF(((AP44*Paramètres!$H$4)-PORTEFEUILLE_SEBASTIEN[[#This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4" s="190" t="str">
        <f>IF(PORTEFEUILLE_SEBASTIEN[[#This Row],[BONI COMPTABLE]]&lt;&gt;0,1,"")</f>
        <v/>
      </c>
      <c r="AY44" s="190" t="str">
        <f>IF(PORTEFEUILLE_SEBASTIEN[[#This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SUM(PORTEFEUILLE_SEBASTIEN[[#This Row],[PCR COMPTABLE €]:[MONTANT
RESPONSABLE RELATION CLIENT €]])-PORTEFEUILLE_SEBASTIEN[[#This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5" s="188" t="str">
        <f>IF(PORTEFEUILLE_SEBASTIEN[[#This Row],[BONI AAC]]&lt;&gt;0,1,"")</f>
        <v/>
      </c>
      <c r="AU45" s="188" t="str">
        <f>IF(PORTEFEUILLE_SEBASTIEN[[#This Row],[MALI AAC]]&lt;&gt;0,1,"")</f>
        <v/>
      </c>
      <c r="AV45" s="225">
        <f>IF(AP45&lt;&gt;"",IF((AP45*Paramètres!$H$4)-PORTEFEUILLE_SEBASTIEN[[#This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€]]-(DELPHINE!AP36*Paramètres!$H$4),0),0)</f>
        <v>0</v>
      </c>
      <c r="AW45" s="225">
        <f>IF(AP45&lt;&gt;"",IF(((AP45*Paramètres!$H$4)-PORTEFEUILLE_SEBASTIEN[[#This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5" s="190" t="str">
        <f>IF(PORTEFEUILLE_SEBASTIEN[[#This Row],[BONI COMPTABLE]]&lt;&gt;0,1,"")</f>
        <v/>
      </c>
      <c r="AY45" s="190" t="str">
        <f>IF(PORTEFEUILLE_SEBASTIEN[[#This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SUM(PORTEFEUILLE_SEBASTIEN[[#This Row],[PCR COMPTABLE €]:[MONTANT
RESPONSABLE RELATION CLIENT €]])-PORTEFEUILLE_SEBASTIEN[[#This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6" s="188" t="str">
        <f>IF(PORTEFEUILLE_SEBASTIEN[[#This Row],[BONI AAC]]&lt;&gt;0,1,"")</f>
        <v/>
      </c>
      <c r="AU46" s="188" t="str">
        <f>IF(PORTEFEUILLE_SEBASTIEN[[#This Row],[MALI AAC]]&lt;&gt;0,1,"")</f>
        <v/>
      </c>
      <c r="AV46" s="225">
        <f>IF(AP46&lt;&gt;"",IF((AP46*Paramètres!$H$4)-PORTEFEUILLE_SEBASTIEN[[#This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€]]-(DELPHINE!AP37*Paramètres!$H$4),0),0)</f>
        <v>0</v>
      </c>
      <c r="AW46" s="225">
        <f>IF(AP46&lt;&gt;"",IF(((AP46*Paramètres!$H$4)-PORTEFEUILLE_SEBASTIEN[[#This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6" s="190" t="str">
        <f>IF(PORTEFEUILLE_SEBASTIEN[[#This Row],[BONI COMPTABLE]]&lt;&gt;0,1,"")</f>
        <v/>
      </c>
      <c r="AY46" s="190" t="str">
        <f>IF(PORTEFEUILLE_SEBASTIEN[[#This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SUM(PORTEFEUILLE_SEBASTIEN[[#This Row],[PCR COMPTABLE €]:[MONTANT
RESPONSABLE RELATION CLIENT €]])-PORTEFEUILLE_SEBASTIEN[[#This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7" s="188" t="str">
        <f>IF(PORTEFEUILLE_SEBASTIEN[[#This Row],[BONI AAC]]&lt;&gt;0,1,"")</f>
        <v/>
      </c>
      <c r="AU47" s="188" t="str">
        <f>IF(PORTEFEUILLE_SEBASTIEN[[#This Row],[MALI AAC]]&lt;&gt;0,1,"")</f>
        <v/>
      </c>
      <c r="AV47" s="225">
        <f>IF(AP47&lt;&gt;"",IF((AP47*Paramètres!$H$4)-PORTEFEUILLE_SEBASTIEN[[#This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€]]-(DELPHINE!AP38*Paramètres!$H$4),0),0)</f>
        <v>0</v>
      </c>
      <c r="AW47" s="225">
        <f>IF(AP47&lt;&gt;"",IF(((AP47*Paramètres!$H$4)-PORTEFEUILLE_SEBASTIEN[[#This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7" s="190" t="str">
        <f>IF(PORTEFEUILLE_SEBASTIEN[[#This Row],[BONI COMPTABLE]]&lt;&gt;0,1,"")</f>
        <v/>
      </c>
      <c r="AY47" s="190" t="str">
        <f>IF(PORTEFEUILLE_SEBASTIEN[[#This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SUM(PORTEFEUILLE_SEBASTIEN[[#This Row],[PCR COMPTABLE €]:[MONTANT
RESPONSABLE RELATION CLIENT €]])-PORTEFEUILLE_SEBASTIEN[[#This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8" s="188" t="str">
        <f>IF(PORTEFEUILLE_SEBASTIEN[[#This Row],[BONI AAC]]&lt;&gt;0,1,"")</f>
        <v/>
      </c>
      <c r="AU48" s="188" t="str">
        <f>IF(PORTEFEUILLE_SEBASTIEN[[#This Row],[MALI AAC]]&lt;&gt;0,1,"")</f>
        <v/>
      </c>
      <c r="AV48" s="225">
        <f>IF(AP48&lt;&gt;"",IF((AP48*Paramètres!$H$4)-PORTEFEUILLE_SEBASTIEN[[#This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€]]-(DELPHINE!AP39*Paramètres!$H$4),0),0)</f>
        <v>0</v>
      </c>
      <c r="AW48" s="225">
        <f>IF(AP48&lt;&gt;"",IF(((AP48*Paramètres!$H$4)-PORTEFEUILLE_SEBASTIEN[[#This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8" s="190" t="str">
        <f>IF(PORTEFEUILLE_SEBASTIEN[[#This Row],[BONI COMPTABLE]]&lt;&gt;0,1,"")</f>
        <v/>
      </c>
      <c r="AY48" s="190" t="str">
        <f>IF(PORTEFEUILLE_SEBASTIEN[[#This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SUM(PORTEFEUILLE_SEBASTIEN[[#This Row],[PCR COMPTABLE €]:[MONTANT
RESPONSABLE RELATION CLIENT €]])-PORTEFEUILLE_SEBASTIEN[[#This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9" s="188" t="str">
        <f>IF(PORTEFEUILLE_SEBASTIEN[[#This Row],[BONI AAC]]&lt;&gt;0,1,"")</f>
        <v/>
      </c>
      <c r="AU49" s="188" t="str">
        <f>IF(PORTEFEUILLE_SEBASTIEN[[#This Row],[MALI AAC]]&lt;&gt;0,1,"")</f>
        <v/>
      </c>
      <c r="AV49" s="225">
        <f>IF(AP49&lt;&gt;"",IF((AP49*Paramètres!$H$4)-PORTEFEUILLE_SEBASTIEN[[#This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€]]-(DELPHINE!AP40*Paramètres!$H$4),0),0)</f>
        <v>0</v>
      </c>
      <c r="AW49" s="225">
        <f>IF(AP49&lt;&gt;"",IF(((AP49*Paramètres!$H$4)-PORTEFEUILLE_SEBASTIEN[[#This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9" s="190" t="str">
        <f>IF(PORTEFEUILLE_SEBASTIEN[[#This Row],[BONI COMPTABLE]]&lt;&gt;0,1,"")</f>
        <v/>
      </c>
      <c r="AY49" s="190" t="str">
        <f>IF(PORTEFEUILLE_SEBASTIEN[[#This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SUM(PORTEFEUILLE_SEBASTIEN[[#This Row],[PCR COMPTABLE €]:[MONTANT
RESPONSABLE RELATION CLIENT €]])-PORTEFEUILLE_SEBASTIEN[[#This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0" s="188" t="str">
        <f>IF(PORTEFEUILLE_SEBASTIEN[[#This Row],[BONI AAC]]&lt;&gt;0,1,"")</f>
        <v/>
      </c>
      <c r="AU50" s="188" t="str">
        <f>IF(PORTEFEUILLE_SEBASTIEN[[#This Row],[MALI AAC]]&lt;&gt;0,1,"")</f>
        <v/>
      </c>
      <c r="AV50" s="225">
        <f>IF(AP50&lt;&gt;"",IF((AP50*Paramètres!$H$4)-PORTEFEUILLE_SEBASTIEN[[#This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€]]-(DELPHINE!AP41*Paramètres!$H$4),0),0)</f>
        <v>0</v>
      </c>
      <c r="AW50" s="225">
        <f>IF(AP50&lt;&gt;"",IF(((AP50*Paramètres!$H$4)-PORTEFEUILLE_SEBASTIEN[[#This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0" s="190" t="str">
        <f>IF(PORTEFEUILLE_SEBASTIEN[[#This Row],[BONI COMPTABLE]]&lt;&gt;0,1,"")</f>
        <v/>
      </c>
      <c r="AY50" s="190" t="str">
        <f>IF(PORTEFEUILLE_SEBASTIEN[[#This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SUM(PORTEFEUILLE_SEBASTIEN[[#This Row],[PCR COMPTABLE €]:[MONTANT
RESPONSABLE RELATION CLIENT €]])-PORTEFEUILLE_SEBASTIEN[[#This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1" s="188" t="str">
        <f>IF(PORTEFEUILLE_SEBASTIEN[[#This Row],[BONI AAC]]&lt;&gt;0,1,"")</f>
        <v/>
      </c>
      <c r="AU51" s="188" t="str">
        <f>IF(PORTEFEUILLE_SEBASTIEN[[#This Row],[MALI AAC]]&lt;&gt;0,1,"")</f>
        <v/>
      </c>
      <c r="AV51" s="225">
        <f>IF(AP51&lt;&gt;"",IF((AP51*Paramètres!$H$4)-PORTEFEUILLE_SEBASTIEN[[#This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€]]-(DELPHINE!AP42*Paramètres!$H$4),0),0)</f>
        <v>0</v>
      </c>
      <c r="AW51" s="225">
        <f>IF(AP51&lt;&gt;"",IF(((AP51*Paramètres!$H$4)-PORTEFEUILLE_SEBASTIEN[[#This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1" s="190" t="str">
        <f>IF(PORTEFEUILLE_SEBASTIEN[[#This Row],[BONI COMPTABLE]]&lt;&gt;0,1,"")</f>
        <v/>
      </c>
      <c r="AY51" s="190" t="str">
        <f>IF(PORTEFEUILLE_SEBASTIEN[[#This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SUM(PORTEFEUILLE_SEBASTIEN[[#This Row],[PCR COMPTABLE €]:[MONTANT
RESPONSABLE RELATION CLIENT €]])-PORTEFEUILLE_SEBASTIEN[[#This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2" s="188" t="str">
        <f>IF(PORTEFEUILLE_SEBASTIEN[[#This Row],[BONI AAC]]&lt;&gt;0,1,"")</f>
        <v/>
      </c>
      <c r="AU52" s="188" t="str">
        <f>IF(PORTEFEUILLE_SEBASTIEN[[#This Row],[MALI AAC]]&lt;&gt;0,1,"")</f>
        <v/>
      </c>
      <c r="AV52" s="225">
        <f>IF(AP52&lt;&gt;"",IF((AP52*Paramètres!$H$4)-PORTEFEUILLE_SEBASTIEN[[#This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€]]-(DELPHINE!AP43*Paramètres!$H$4),0),0)</f>
        <v>0</v>
      </c>
      <c r="AW52" s="225">
        <f>IF(AP52&lt;&gt;"",IF(((AP52*Paramètres!$H$4)-PORTEFEUILLE_SEBASTIEN[[#This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2" s="190" t="str">
        <f>IF(PORTEFEUILLE_SEBASTIEN[[#This Row],[BONI COMPTABLE]]&lt;&gt;0,1,"")</f>
        <v/>
      </c>
      <c r="AY52" s="190" t="str">
        <f>IF(PORTEFEUILLE_SEBASTIEN[[#This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SUM(PORTEFEUILLE_SEBASTIEN[[#This Row],[PCR COMPTABLE €]:[MONTANT
RESPONSABLE RELATION CLIENT €]])-PORTEFEUILLE_SEBASTIEN[[#This Row],[MONTANT TOTAL LETTRE DE MISION €]]</f>
        <v>0</v>
      </c>
      <c r="AI53" s="191"/>
      <c r="AJ53" s="188"/>
      <c r="AK53" s="201"/>
      <c r="AL53" s="201"/>
      <c r="AM53" s="246"/>
      <c r="AN53" s="202"/>
      <c r="AO53" s="202"/>
      <c r="AP53" s="202"/>
      <c r="AQ53" s="202"/>
      <c r="AR5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3" s="188" t="str">
        <f>IF(PORTEFEUILLE_SEBASTIEN[[#This Row],[BONI AAC]]&lt;&gt;0,1,"")</f>
        <v/>
      </c>
      <c r="AU53" s="188" t="str">
        <f>IF(PORTEFEUILLE_SEBASTIEN[[#This Row],[MALI AAC]]&lt;&gt;0,1,"")</f>
        <v/>
      </c>
      <c r="AV53" s="225">
        <f>IF(AP53&lt;&gt;"",IF((AP53*Paramètres!$H$4)-PORTEFEUILLE_SEBASTIEN[[#This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€]]-(DELPHINE!AP44*Paramètres!$H$4),0),0)</f>
        <v>0</v>
      </c>
      <c r="AW53" s="225">
        <f>IF(AP53&lt;&gt;"",IF(((AP53*Paramètres!$H$4)-PORTEFEUILLE_SEBASTIEN[[#This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3" s="190" t="str">
        <f>IF(PORTEFEUILLE_SEBASTIEN[[#This Row],[BONI COMPTABLE]]&lt;&gt;0,1,"")</f>
        <v/>
      </c>
      <c r="AY53" s="190" t="str">
        <f>IF(PORTEFEUILLE_SEBASTIEN[[#This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SUM(PORTEFEUILLE_SEBASTIEN[[#This Row],[PCR COMPTABLE €]:[MONTANT
RESPONSABLE RELATION CLIENT €]])-PORTEFEUILLE_SEBASTIEN[[#This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4" s="188" t="str">
        <f>IF(PORTEFEUILLE_SEBASTIEN[[#This Row],[BONI AAC]]&lt;&gt;0,1,"")</f>
        <v/>
      </c>
      <c r="AU54" s="188" t="str">
        <f>IF(PORTEFEUILLE_SEBASTIEN[[#This Row],[MALI AAC]]&lt;&gt;0,1,"")</f>
        <v/>
      </c>
      <c r="AV54" s="225">
        <f>IF(AP54&lt;&gt;"",IF((AP54*Paramètres!$H$4)-PORTEFEUILLE_SEBASTIEN[[#This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€]]-(DELPHINE!AP45*Paramètres!$H$4),0),0)</f>
        <v>0</v>
      </c>
      <c r="AW54" s="225">
        <f>IF(AP54&lt;&gt;"",IF(((AP54*Paramètres!$H$4)-PORTEFEUILLE_SEBASTIEN[[#This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4" s="190" t="str">
        <f>IF(PORTEFEUILLE_SEBASTIEN[[#This Row],[BONI COMPTABLE]]&lt;&gt;0,1,"")</f>
        <v/>
      </c>
      <c r="AY54" s="190" t="str">
        <f>IF(PORTEFEUILLE_SEBASTIEN[[#This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SUM(PORTEFEUILLE_SEBASTIEN[[#This Row],[PCR COMPTABLE €]:[MONTANT
RESPONSABLE RELATION CLIENT €]])-PORTEFEUILLE_SEBASTIEN[[#This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5" s="188" t="str">
        <f>IF(PORTEFEUILLE_SEBASTIEN[[#This Row],[BONI AAC]]&lt;&gt;0,1,"")</f>
        <v/>
      </c>
      <c r="AU55" s="188" t="str">
        <f>IF(PORTEFEUILLE_SEBASTIEN[[#This Row],[MALI AAC]]&lt;&gt;0,1,"")</f>
        <v/>
      </c>
      <c r="AV55" s="225">
        <f>IF(AP55&lt;&gt;"",IF((AP55*Paramètres!$H$4)-PORTEFEUILLE_SEBASTIEN[[#This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€]]-(DELPHINE!AP46*Paramètres!$H$4),0),0)</f>
        <v>0</v>
      </c>
      <c r="AW55" s="225">
        <f>IF(AP55&lt;&gt;"",IF(((AP55*Paramètres!$H$4)-PORTEFEUILLE_SEBASTIEN[[#This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5" s="190" t="str">
        <f>IF(PORTEFEUILLE_SEBASTIEN[[#This Row],[BONI COMPTABLE]]&lt;&gt;0,1,"")</f>
        <v/>
      </c>
      <c r="AY55" s="190" t="str">
        <f>IF(PORTEFEUILLE_SEBASTIEN[[#This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SUM(PORTEFEUILLE_SEBASTIEN[[#This Row],[PCR COMPTABLE €]:[MONTANT
RESPONSABLE RELATION CLIENT €]])-PORTEFEUILLE_SEBASTIEN[[#This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6" s="188" t="str">
        <f>IF(PORTEFEUILLE_SEBASTIEN[[#This Row],[BONI AAC]]&lt;&gt;0,1,"")</f>
        <v/>
      </c>
      <c r="AU56" s="188" t="str">
        <f>IF(PORTEFEUILLE_SEBASTIEN[[#This Row],[MALI AAC]]&lt;&gt;0,1,"")</f>
        <v/>
      </c>
      <c r="AV56" s="225">
        <f>IF(AP56&lt;&gt;"",IF((AP56*Paramètres!$H$4)-PORTEFEUILLE_SEBASTIEN[[#This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€]]-(DELPHINE!AP47*Paramètres!$H$4),0),0)</f>
        <v>0</v>
      </c>
      <c r="AW56" s="225">
        <f>IF(AP56&lt;&gt;"",IF(((AP56*Paramètres!$H$4)-PORTEFEUILLE_SEBASTIEN[[#This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6" s="190" t="str">
        <f>IF(PORTEFEUILLE_SEBASTIEN[[#This Row],[BONI COMPTABLE]]&lt;&gt;0,1,"")</f>
        <v/>
      </c>
      <c r="AY56" s="190" t="str">
        <f>IF(PORTEFEUILLE_SEBASTIEN[[#This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SUM(PORTEFEUILLE_SEBASTIEN[[#This Row],[PCR COMPTABLE €]:[MONTANT
RESPONSABLE RELATION CLIENT €]])-PORTEFEUILLE_SEBASTIEN[[#This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7" s="188" t="str">
        <f>IF(PORTEFEUILLE_SEBASTIEN[[#This Row],[BONI AAC]]&lt;&gt;0,1,"")</f>
        <v/>
      </c>
      <c r="AU57" s="188" t="str">
        <f>IF(PORTEFEUILLE_SEBASTIEN[[#This Row],[MALI AAC]]&lt;&gt;0,1,"")</f>
        <v/>
      </c>
      <c r="AV57" s="225">
        <f>IF(AP57&lt;&gt;"",IF((AP57*Paramètres!$H$4)-PORTEFEUILLE_SEBASTIEN[[#This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€]]-(DELPHINE!AP48*Paramètres!$H$4),0),0)</f>
        <v>0</v>
      </c>
      <c r="AW57" s="225">
        <f>IF(AP57&lt;&gt;"",IF(((AP57*Paramètres!$H$4)-PORTEFEUILLE_SEBASTIEN[[#This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7" s="190" t="str">
        <f>IF(PORTEFEUILLE_SEBASTIEN[[#This Row],[BONI COMPTABLE]]&lt;&gt;0,1,"")</f>
        <v/>
      </c>
      <c r="AY57" s="190" t="str">
        <f>IF(PORTEFEUILLE_SEBASTIEN[[#This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SUM(PORTEFEUILLE_SEBASTIEN[[#This Row],[PCR COMPTABLE €]:[MONTANT
RESPONSABLE RELATION CLIENT €]])-PORTEFEUILLE_SEBASTIEN[[#This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8" s="188" t="str">
        <f>IF(PORTEFEUILLE_SEBASTIEN[[#This Row],[BONI AAC]]&lt;&gt;0,1,"")</f>
        <v/>
      </c>
      <c r="AU58" s="188" t="str">
        <f>IF(PORTEFEUILLE_SEBASTIEN[[#This Row],[MALI AAC]]&lt;&gt;0,1,"")</f>
        <v/>
      </c>
      <c r="AV58" s="225">
        <f>IF(AP58&lt;&gt;"",IF((AP58*Paramètres!$H$4)-PORTEFEUILLE_SEBASTIEN[[#This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€]]-(DELPHINE!AP49*Paramètres!$H$4),0),0)</f>
        <v>0</v>
      </c>
      <c r="AW58" s="225">
        <f>IF(AP58&lt;&gt;"",IF(((AP58*Paramètres!$H$4)-PORTEFEUILLE_SEBASTIEN[[#This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8" s="190" t="str">
        <f>IF(PORTEFEUILLE_SEBASTIEN[[#This Row],[BONI COMPTABLE]]&lt;&gt;0,1,"")</f>
        <v/>
      </c>
      <c r="AY58" s="190" t="str">
        <f>IF(PORTEFEUILLE_SEBASTIEN[[#This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SUM(PORTEFEUILLE_SEBASTIEN[[#This Row],[PCR COMPTABLE €]:[MONTANT
RESPONSABLE RELATION CLIENT €]])-PORTEFEUILLE_SEBASTIEN[[#This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9" s="188" t="str">
        <f>IF(PORTEFEUILLE_SEBASTIEN[[#This Row],[BONI AAC]]&lt;&gt;0,1,"")</f>
        <v/>
      </c>
      <c r="AU59" s="188" t="str">
        <f>IF(PORTEFEUILLE_SEBASTIEN[[#This Row],[MALI AAC]]&lt;&gt;0,1,"")</f>
        <v/>
      </c>
      <c r="AV59" s="225">
        <f>IF(AP59&lt;&gt;"",IF((AP59*Paramètres!$H$4)-PORTEFEUILLE_SEBASTIEN[[#This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€]]-(DELPHINE!AP50*Paramètres!$H$4),0),0)</f>
        <v>0</v>
      </c>
      <c r="AW59" s="225">
        <f>IF(AP59&lt;&gt;"",IF(((AP59*Paramètres!$H$4)-PORTEFEUILLE_SEBASTIEN[[#This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9" s="190" t="str">
        <f>IF(PORTEFEUILLE_SEBASTIEN[[#This Row],[BONI COMPTABLE]]&lt;&gt;0,1,"")</f>
        <v/>
      </c>
      <c r="AY59" s="190" t="str">
        <f>IF(PORTEFEUILLE_SEBASTIEN[[#This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SUM(PORTEFEUILLE_SEBASTIEN[[#This Row],[PCR COMPTABLE €]:[MONTANT
RESPONSABLE RELATION CLIENT €]])-PORTEFEUILLE_SEBASTIEN[[#This Row],[MONTANT TOTAL LETTRE DE MISION €]]</f>
        <v>0</v>
      </c>
      <c r="AI60" s="191"/>
      <c r="AJ60" s="188"/>
      <c r="AK60" s="201"/>
      <c r="AL60" s="201"/>
      <c r="AM60" s="246"/>
      <c r="AN60" s="205"/>
      <c r="AO60" s="205"/>
      <c r="AP60" s="205"/>
      <c r="AQ60" s="205"/>
      <c r="AR6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0" s="188" t="str">
        <f>IF(PORTEFEUILLE_SEBASTIEN[[#This Row],[BONI AAC]]&lt;&gt;0,1,"")</f>
        <v/>
      </c>
      <c r="AU60" s="188" t="str">
        <f>IF(PORTEFEUILLE_SEBASTIEN[[#This Row],[MALI AAC]]&lt;&gt;0,1,"")</f>
        <v/>
      </c>
      <c r="AV60" s="225">
        <f>IF(AP60&lt;&gt;"",IF((AP60*Paramètres!$H$4)-PORTEFEUILLE_SEBASTIEN[[#This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€]]-(DELPHINE!AP51*Paramètres!$H$4),0),0)</f>
        <v>0</v>
      </c>
      <c r="AW60" s="225">
        <f>IF(AP60&lt;&gt;"",IF(((AP60*Paramètres!$H$4)-PORTEFEUILLE_SEBASTIEN[[#This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0" s="190" t="str">
        <f>IF(PORTEFEUILLE_SEBASTIEN[[#This Row],[BONI COMPTABLE]]&lt;&gt;0,1,"")</f>
        <v/>
      </c>
      <c r="AY60" s="190" t="str">
        <f>IF(PORTEFEUILLE_SEBASTIEN[[#This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11" priority="2">
      <formula>AND(P3&lt;&gt;"",P3&lt;&gt;"OUI")</formula>
    </cfRule>
  </conditionalFormatting>
  <conditionalFormatting sqref="AN3:AO60 S3:AH60">
    <cfRule type="expression" dxfId="10" priority="1" stopIfTrue="1">
      <formula>$AH3&lt;&gt;0</formula>
    </cfRule>
  </conditionalFormatting>
  <conditionalFormatting sqref="A3:E60">
    <cfRule type="expression" dxfId="9" priority="3" stopIfTrue="1">
      <formula>AND($I3&lt;&gt;"",AND($J3="",AND($BA3="",$BB3="")))</formula>
    </cfRule>
    <cfRule type="expression" dxfId="8" priority="4" stopIfTrue="1">
      <formula>AND($J3&lt;&gt;"",AND($BA3="",$BB3=""))</formula>
    </cfRule>
    <cfRule type="expression" dxfId="7" priority="5" stopIfTrue="1">
      <formula>AND($BA3&lt;&gt;"",$BB3="")</formula>
    </cfRule>
    <cfRule type="expression" dxfId="6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N183"/>
  <sheetViews>
    <sheetView zoomScale="85" zoomScaleNormal="85" workbookViewId="0">
      <pane xSplit="5" ySplit="2" topLeftCell="AG3" activePane="bottomRight" state="frozen"/>
      <selection pane="topRight" activeCell="F1" sqref="F1"/>
      <selection pane="bottomLeft" activeCell="A3" sqref="A3"/>
      <selection pane="bottomRight" activeCell="AM15" sqref="AM15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227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SUM(PORTEFEUILLE_AUTRE_COMPTABLE[[#This Row],[PCR COMPTABLE €]:[MONTANT
RESPONSABLE RELATION CLIENT €]])-PORTEFEUILLE_AUTRE_COMPTABLE[[#This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400</v>
      </c>
      <c r="AT3" s="188" t="str">
        <f>IF(PORTEFEUILLE_AUTRE_COMPTABLE[[#This Row],[BONI AAC]]&lt;&gt;0,1,"")</f>
        <v/>
      </c>
      <c r="AU3" s="188">
        <f>IF(PORTEFEUILLE_AUTRE_COMPTABLE[[#This Row],[MALI AAC]]&lt;&gt;0,1,"")</f>
        <v>1</v>
      </c>
      <c r="AV3" s="225">
        <f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3" s="225">
        <f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" s="190" t="str">
        <f>IF(PORTEFEUILLE_AUTRE_COMPTABLE[[#This Row],[BONI COMPTABLE]]&lt;&gt;0,1,"")</f>
        <v/>
      </c>
      <c r="AY3" s="190" t="str">
        <f>IF(PORTEFEUILLE_AUTRE_COMPTABLE[[#This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227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SUM(PORTEFEUILLE_AUTRE_COMPTABLE[[#This Row],[PCR COMPTABLE €]:[MONTANT
RESPONSABLE RELATION CLIENT €]])-PORTEFEUILLE_AUTRE_COMPTABLE[[#This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1000</v>
      </c>
      <c r="AT4" s="188" t="str">
        <f>IF(PORTEFEUILLE_AUTRE_COMPTABLE[[#This Row],[BONI AAC]]&lt;&gt;0,1,"")</f>
        <v/>
      </c>
      <c r="AU4" s="188">
        <f>IF(PORTEFEUILLE_AUTRE_COMPTABLE[[#This Row],[MALI AAC]]&lt;&gt;0,1,"")</f>
        <v>1</v>
      </c>
      <c r="AV4" s="225">
        <f>IF(AP4&lt;&gt;"",IF((AP4*Paramètres!$H$4)-PORTEFEUILLE_AUTRE_COMPTABLE[[#This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4" s="225">
        <f>IF(AP4&lt;&gt;"",IF(((AP4*Paramètres!$H$4)-PORTEFEUILLE_AUTRE_COMPTABLE[[#This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3000</v>
      </c>
      <c r="AX4" s="190" t="str">
        <f>IF(PORTEFEUILLE_AUTRE_COMPTABLE[[#This Row],[BONI COMPTABLE]]&lt;&gt;0,1,"")</f>
        <v/>
      </c>
      <c r="AY4" s="190">
        <f>IF(PORTEFEUILLE_AUTRE_COMPTABLE[[#This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227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SUM(PORTEFEUILLE_AUTRE_COMPTABLE[[#This Row],[PCR COMPTABLE €]:[MONTANT
RESPONSABLE RELATION CLIENT €]])-PORTEFEUILLE_AUTRE_COMPTABLE[[#This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2200</v>
      </c>
      <c r="AT5" s="188" t="str">
        <f>IF(PORTEFEUILLE_AUTRE_COMPTABLE[[#This Row],[BONI AAC]]&lt;&gt;0,1,"")</f>
        <v/>
      </c>
      <c r="AU5" s="188">
        <f>IF(PORTEFEUILLE_AUTRE_COMPTABLE[[#This Row],[MALI AAC]]&lt;&gt;0,1,"")</f>
        <v>1</v>
      </c>
      <c r="AV5" s="225">
        <f>IF(AP5&lt;&gt;"",IF((AP5*Paramètres!$H$4)-PORTEFEUILLE_AUTRE_COMPTABLE[[#This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5" s="225">
        <f>IF(AP5&lt;&gt;"",IF(((AP5*Paramètres!$H$4)-PORTEFEUILLE_AUTRE_COMPTABLE[[#This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4150</v>
      </c>
      <c r="AX5" s="190" t="str">
        <f>IF(PORTEFEUILLE_AUTRE_COMPTABLE[[#This Row],[BONI COMPTABLE]]&lt;&gt;0,1,"")</f>
        <v/>
      </c>
      <c r="AY5" s="190">
        <f>IF(PORTEFEUILLE_AUTRE_COMPTABLE[[#This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SUM(PORTEFEUILLE_AUTRE_COMPTABLE[[#This Row],[PCR COMPTABLE €]:[MONTANT
RESPONSABLE RELATION CLIENT €]])-PORTEFEUILLE_AUTRE_COMPTABLE[[#This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" s="188" t="str">
        <f>IF(PORTEFEUILLE_AUTRE_COMPTABLE[[#This Row],[BONI AAC]]&lt;&gt;0,1,"")</f>
        <v/>
      </c>
      <c r="AU6" s="188" t="str">
        <f>IF(PORTEFEUILLE_AUTRE_COMPTABLE[[#This Row],[MALI AAC]]&lt;&gt;0,1,"")</f>
        <v/>
      </c>
      <c r="AV6" s="225">
        <f>IF(AP6&lt;&gt;"",IF((AP6*Paramètres!$H$4)-PORTEFEUILLE_AUTRE_COMPTABLE[[#This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6" s="225">
        <f>IF(AP6&lt;&gt;"",IF(((AP6*Paramètres!$H$4)-PORTEFEUILLE_AUTRE_COMPTABLE[[#This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" s="190" t="str">
        <f>IF(PORTEFEUILLE_AUTRE_COMPTABLE[[#This Row],[BONI COMPTABLE]]&lt;&gt;0,1,"")</f>
        <v/>
      </c>
      <c r="AY6" s="190" t="str">
        <f>IF(PORTEFEUILLE_AUTRE_COMPTABLE[[#This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SUM(PORTEFEUILLE_AUTRE_COMPTABLE[[#This Row],[PCR COMPTABLE €]:[MONTANT
RESPONSABLE RELATION CLIENT €]])-PORTEFEUILLE_AUTRE_COMPTABLE[[#This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7" s="188" t="str">
        <f>IF(PORTEFEUILLE_AUTRE_COMPTABLE[[#This Row],[BONI AAC]]&lt;&gt;0,1,"")</f>
        <v/>
      </c>
      <c r="AU7" s="188" t="str">
        <f>IF(PORTEFEUILLE_AUTRE_COMPTABLE[[#This Row],[MALI AAC]]&lt;&gt;0,1,"")</f>
        <v/>
      </c>
      <c r="AV7" s="225">
        <f>IF(AP7&lt;&gt;"",IF((AP7*Paramètres!$H$4)-PORTEFEUILLE_AUTRE_COMPTABLE[[#This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7" s="225">
        <f>IF(AP7&lt;&gt;"",IF(((AP7*Paramètres!$H$4)-PORTEFEUILLE_AUTRE_COMPTABLE[[#This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7" s="190" t="str">
        <f>IF(PORTEFEUILLE_AUTRE_COMPTABLE[[#This Row],[BONI COMPTABLE]]&lt;&gt;0,1,"")</f>
        <v/>
      </c>
      <c r="AY7" s="190" t="str">
        <f>IF(PORTEFEUILLE_AUTRE_COMPTABLE[[#This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SUM(PORTEFEUILLE_AUTRE_COMPTABLE[[#This Row],[PCR COMPTABLE €]:[MONTANT
RESPONSABLE RELATION CLIENT €]])-PORTEFEUILLE_AUTRE_COMPTABLE[[#This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8" s="188" t="str">
        <f>IF(PORTEFEUILLE_AUTRE_COMPTABLE[[#This Row],[BONI AAC]]&lt;&gt;0,1,"")</f>
        <v/>
      </c>
      <c r="AU8" s="188" t="str">
        <f>IF(PORTEFEUILLE_AUTRE_COMPTABLE[[#This Row],[MALI AAC]]&lt;&gt;0,1,"")</f>
        <v/>
      </c>
      <c r="AV8" s="225">
        <f>IF(AP8&lt;&gt;"",IF((AP8*Paramètres!$H$4)-PORTEFEUILLE_AUTRE_COMPTABLE[[#This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8" s="225">
        <f>IF(AP8&lt;&gt;"",IF(((AP8*Paramètres!$H$4)-PORTEFEUILLE_AUTRE_COMPTABLE[[#This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8" s="190" t="str">
        <f>IF(PORTEFEUILLE_AUTRE_COMPTABLE[[#This Row],[BONI COMPTABLE]]&lt;&gt;0,1,"")</f>
        <v/>
      </c>
      <c r="AY8" s="190" t="str">
        <f>IF(PORTEFEUILLE_AUTRE_COMPTABLE[[#This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SUM(PORTEFEUILLE_AUTRE_COMPTABLE[[#This Row],[PCR COMPTABLE €]:[MONTANT
RESPONSABLE RELATION CLIENT €]])-PORTEFEUILLE_AUTRE_COMPTABLE[[#This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9" s="188" t="str">
        <f>IF(PORTEFEUILLE_AUTRE_COMPTABLE[[#This Row],[BONI AAC]]&lt;&gt;0,1,"")</f>
        <v/>
      </c>
      <c r="AU9" s="188" t="str">
        <f>IF(PORTEFEUILLE_AUTRE_COMPTABLE[[#This Row],[MALI AAC]]&lt;&gt;0,1,"")</f>
        <v/>
      </c>
      <c r="AV9" s="225">
        <f>IF(AP9&lt;&gt;"",IF((AP9*Paramètres!$H$4)-PORTEFEUILLE_AUTRE_COMPTABLE[[#This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f>
        <v>0</v>
      </c>
      <c r="AW9" s="225">
        <f>IF(AP9&lt;&gt;"",IF(((AP9*Paramètres!$H$4)-PORTEFEUILLE_AUTRE_COMPTABLE[[#This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9" s="190" t="str">
        <f>IF(PORTEFEUILLE_AUTRE_COMPTABLE[[#This Row],[BONI COMPTABLE]]&lt;&gt;0,1,"")</f>
        <v/>
      </c>
      <c r="AY9" s="190" t="str">
        <f>IF(PORTEFEUILLE_AUTRE_COMPTABLE[[#This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SUM(PORTEFEUILLE_AUTRE_COMPTABLE[[#This Row],[PCR COMPTABLE €]:[MONTANT
RESPONSABLE RELATION CLIENT €]])-PORTEFEUILLE_AUTRE_COMPTABLE[[#This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0" s="188" t="str">
        <f>IF(PORTEFEUILLE_AUTRE_COMPTABLE[[#This Row],[BONI AAC]]&lt;&gt;0,1,"")</f>
        <v/>
      </c>
      <c r="AU10" s="188" t="str">
        <f>IF(PORTEFEUILLE_AUTRE_COMPTABLE[[#This Row],[MALI AAC]]&lt;&gt;0,1,"")</f>
        <v/>
      </c>
      <c r="AV10" s="225">
        <f>IF(AP10&lt;&gt;"",IF((AP10*Paramètres!$H$4)-PORTEFEUILLE_AUTRE_COMPTABLE[[#This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10" s="225">
        <f>IF(AP10&lt;&gt;"",IF(((AP10*Paramètres!$H$4)-PORTEFEUILLE_AUTRE_COMPTABLE[[#This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0" s="190" t="str">
        <f>IF(PORTEFEUILLE_AUTRE_COMPTABLE[[#This Row],[BONI COMPTABLE]]&lt;&gt;0,1,"")</f>
        <v/>
      </c>
      <c r="AY10" s="190" t="str">
        <f>IF(PORTEFEUILLE_AUTRE_COMPTABLE[[#This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SUM(PORTEFEUILLE_AUTRE_COMPTABLE[[#This Row],[PCR COMPTABLE €]:[MONTANT
RESPONSABLE RELATION CLIENT €]])-PORTEFEUILLE_AUTRE_COMPTABLE[[#This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1" s="188" t="str">
        <f>IF(PORTEFEUILLE_AUTRE_COMPTABLE[[#This Row],[BONI AAC]]&lt;&gt;0,1,"")</f>
        <v/>
      </c>
      <c r="AU11" s="188" t="str">
        <f>IF(PORTEFEUILLE_AUTRE_COMPTABLE[[#This Row],[MALI AAC]]&lt;&gt;0,1,"")</f>
        <v/>
      </c>
      <c r="AV11" s="225">
        <f>IF(AP11&lt;&gt;"",IF((AP11*Paramètres!$H$4)-PORTEFEUILLE_AUTRE_COMPTABLE[[#This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€]]-(DELPHINE!AP4*Paramètres!$H$4),0),0)</f>
        <v>0</v>
      </c>
      <c r="AW11" s="225">
        <f>IF(AP11&lt;&gt;"",IF(((AP11*Paramètres!$H$4)-PORTEFEUILLE_AUTRE_COMPTABLE[[#This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1" s="190" t="str">
        <f>IF(PORTEFEUILLE_AUTRE_COMPTABLE[[#This Row],[BONI COMPTABLE]]&lt;&gt;0,1,"")</f>
        <v/>
      </c>
      <c r="AY11" s="190" t="str">
        <f>IF(PORTEFEUILLE_AUTRE_COMPTABLE[[#This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SUM(PORTEFEUILLE_AUTRE_COMPTABLE[[#This Row],[PCR COMPTABLE €]:[MONTANT
RESPONSABLE RELATION CLIENT €]])-PORTEFEUILLE_AUTRE_COMPTABLE[[#This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2" s="188" t="str">
        <f>IF(PORTEFEUILLE_AUTRE_COMPTABLE[[#This Row],[BONI AAC]]&lt;&gt;0,1,"")</f>
        <v/>
      </c>
      <c r="AU12" s="188" t="str">
        <f>IF(PORTEFEUILLE_AUTRE_COMPTABLE[[#This Row],[MALI AAC]]&lt;&gt;0,1,"")</f>
        <v/>
      </c>
      <c r="AV12" s="225">
        <f>IF(AP12&lt;&gt;"",IF((AP12*Paramètres!$H$4)-PORTEFEUILLE_AUTRE_COMPTABLE[[#This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€]]-(DELPHINE!AP5*Paramètres!$H$4),0),0)</f>
        <v>0</v>
      </c>
      <c r="AW12" s="225">
        <f>IF(AP12&lt;&gt;"",IF(((AP12*Paramètres!$H$4)-PORTEFEUILLE_AUTRE_COMPTABLE[[#This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2" s="190" t="str">
        <f>IF(PORTEFEUILLE_AUTRE_COMPTABLE[[#This Row],[BONI COMPTABLE]]&lt;&gt;0,1,"")</f>
        <v/>
      </c>
      <c r="AY12" s="190" t="str">
        <f>IF(PORTEFEUILLE_AUTRE_COMPTABLE[[#This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SUM(PORTEFEUILLE_AUTRE_COMPTABLE[[#This Row],[PCR COMPTABLE €]:[MONTANT
RESPONSABLE RELATION CLIENT €]])-PORTEFEUILLE_AUTRE_COMPTABLE[[#This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3" s="188" t="str">
        <f>IF(PORTEFEUILLE_AUTRE_COMPTABLE[[#This Row],[BONI AAC]]&lt;&gt;0,1,"")</f>
        <v/>
      </c>
      <c r="AU13" s="188" t="str">
        <f>IF(PORTEFEUILLE_AUTRE_COMPTABLE[[#This Row],[MALI AAC]]&lt;&gt;0,1,"")</f>
        <v/>
      </c>
      <c r="AV13" s="225">
        <f>IF(AP13&lt;&gt;"",IF((AP13*Paramètres!$H$4)-PORTEFEUILLE_AUTRE_COMPTABLE[[#This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€]]-(DELPHINE!AP6*Paramètres!$H$4),0),0)</f>
        <v>0</v>
      </c>
      <c r="AW13" s="225">
        <f>IF(AP13&lt;&gt;"",IF(((AP13*Paramètres!$H$4)-PORTEFEUILLE_AUTRE_COMPTABLE[[#This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3" s="190" t="str">
        <f>IF(PORTEFEUILLE_AUTRE_COMPTABLE[[#This Row],[BONI COMPTABLE]]&lt;&gt;0,1,"")</f>
        <v/>
      </c>
      <c r="AY13" s="190" t="str">
        <f>IF(PORTEFEUILLE_AUTRE_COMPTABLE[[#This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SUM(PORTEFEUILLE_AUTRE_COMPTABLE[[#This Row],[PCR COMPTABLE €]:[MONTANT
RESPONSABLE RELATION CLIENT €]])-PORTEFEUILLE_AUTRE_COMPTABLE[[#This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4" s="188" t="str">
        <f>IF(PORTEFEUILLE_AUTRE_COMPTABLE[[#This Row],[BONI AAC]]&lt;&gt;0,1,"")</f>
        <v/>
      </c>
      <c r="AU14" s="188" t="str">
        <f>IF(PORTEFEUILLE_AUTRE_COMPTABLE[[#This Row],[MALI AAC]]&lt;&gt;0,1,"")</f>
        <v/>
      </c>
      <c r="AV14" s="225">
        <f>IF(AP14&lt;&gt;"",IF((AP14*Paramètres!$H$4)-PORTEFEUILLE_AUTRE_COMPTABLE[[#This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14" s="225">
        <f>IF(AP14&lt;&gt;"",IF(((AP14*Paramètres!$H$4)-PORTEFEUILLE_AUTRE_COMPTABLE[[#This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4" s="190" t="str">
        <f>IF(PORTEFEUILLE_AUTRE_COMPTABLE[[#This Row],[BONI COMPTABLE]]&lt;&gt;0,1,"")</f>
        <v/>
      </c>
      <c r="AY14" s="190" t="str">
        <f>IF(PORTEFEUILLE_AUTRE_COMPTABLE[[#This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SUM(PORTEFEUILLE_AUTRE_COMPTABLE[[#This Row],[PCR COMPTABLE €]:[MONTANT
RESPONSABLE RELATION CLIENT €]])-PORTEFEUILLE_AUTRE_COMPTABLE[[#This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5" s="188" t="str">
        <f>IF(PORTEFEUILLE_AUTRE_COMPTABLE[[#This Row],[BONI AAC]]&lt;&gt;0,1,"")</f>
        <v/>
      </c>
      <c r="AU15" s="188" t="str">
        <f>IF(PORTEFEUILLE_AUTRE_COMPTABLE[[#This Row],[MALI AAC]]&lt;&gt;0,1,"")</f>
        <v/>
      </c>
      <c r="AV15" s="225">
        <f>IF(AP15&lt;&gt;"",IF((AP15*Paramètres!$H$4)-PORTEFEUILLE_AUTRE_COMPTABLE[[#This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€]]-(DELPHINE!#REF!*Paramètres!$H$4),0),0)</f>
        <v>0</v>
      </c>
      <c r="AW15" s="225">
        <f>IF(AP15&lt;&gt;"",IF(((AP15*Paramètres!$H$4)-PORTEFEUILLE_AUTRE_COMPTABLE[[#This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5" s="190" t="str">
        <f>IF(PORTEFEUILLE_AUTRE_COMPTABLE[[#This Row],[BONI COMPTABLE]]&lt;&gt;0,1,"")</f>
        <v/>
      </c>
      <c r="AY15" s="190" t="str">
        <f>IF(PORTEFEUILLE_AUTRE_COMPTABLE[[#This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SUM(PORTEFEUILLE_AUTRE_COMPTABLE[[#This Row],[PCR COMPTABLE €]:[MONTANT
RESPONSABLE RELATION CLIENT €]])-PORTEFEUILLE_AUTRE_COMPTABLE[[#This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6" s="188" t="str">
        <f>IF(PORTEFEUILLE_AUTRE_COMPTABLE[[#This Row],[BONI AAC]]&lt;&gt;0,1,"")</f>
        <v/>
      </c>
      <c r="AU16" s="188" t="str">
        <f>IF(PORTEFEUILLE_AUTRE_COMPTABLE[[#This Row],[MALI AAC]]&lt;&gt;0,1,"")</f>
        <v/>
      </c>
      <c r="AV16" s="225">
        <f>IF(AP16&lt;&gt;"",IF((AP16*Paramètres!$H$4)-PORTEFEUILLE_AUTRE_COMPTABLE[[#This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€]]-(DELPHINE!AP7*Paramètres!$H$4),0),0)</f>
        <v>0</v>
      </c>
      <c r="AW16" s="225">
        <f>IF(AP16&lt;&gt;"",IF(((AP16*Paramètres!$H$4)-PORTEFEUILLE_AUTRE_COMPTABLE[[#This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6" s="190" t="str">
        <f>IF(PORTEFEUILLE_AUTRE_COMPTABLE[[#This Row],[BONI COMPTABLE]]&lt;&gt;0,1,"")</f>
        <v/>
      </c>
      <c r="AY16" s="190" t="str">
        <f>IF(PORTEFEUILLE_AUTRE_COMPTABLE[[#This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SUM(PORTEFEUILLE_AUTRE_COMPTABLE[[#This Row],[PCR COMPTABLE €]:[MONTANT
RESPONSABLE RELATION CLIENT €]])-PORTEFEUILLE_AUTRE_COMPTABLE[[#This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7" s="188" t="str">
        <f>IF(PORTEFEUILLE_AUTRE_COMPTABLE[[#This Row],[BONI AAC]]&lt;&gt;0,1,"")</f>
        <v/>
      </c>
      <c r="AU17" s="188" t="str">
        <f>IF(PORTEFEUILLE_AUTRE_COMPTABLE[[#This Row],[MALI AAC]]&lt;&gt;0,1,"")</f>
        <v/>
      </c>
      <c r="AV17" s="225">
        <f>IF(AP17&lt;&gt;"",IF((AP17*Paramètres!$H$4)-PORTEFEUILLE_AUTRE_COMPTABLE[[#This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€]]-(DELPHINE!AP8*Paramètres!$H$4),0),0)</f>
        <v>0</v>
      </c>
      <c r="AW17" s="225">
        <f>IF(AP17&lt;&gt;"",IF(((AP17*Paramètres!$H$4)-PORTEFEUILLE_AUTRE_COMPTABLE[[#This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7" s="190" t="str">
        <f>IF(PORTEFEUILLE_AUTRE_COMPTABLE[[#This Row],[BONI COMPTABLE]]&lt;&gt;0,1,"")</f>
        <v/>
      </c>
      <c r="AY17" s="190" t="str">
        <f>IF(PORTEFEUILLE_AUTRE_COMPTABLE[[#This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SUM(PORTEFEUILLE_AUTRE_COMPTABLE[[#This Row],[PCR COMPTABLE €]:[MONTANT
RESPONSABLE RELATION CLIENT €]])-PORTEFEUILLE_AUTRE_COMPTABLE[[#This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8" s="188" t="str">
        <f>IF(PORTEFEUILLE_AUTRE_COMPTABLE[[#This Row],[BONI AAC]]&lt;&gt;0,1,"")</f>
        <v/>
      </c>
      <c r="AU18" s="188" t="str">
        <f>IF(PORTEFEUILLE_AUTRE_COMPTABLE[[#This Row],[MALI AAC]]&lt;&gt;0,1,"")</f>
        <v/>
      </c>
      <c r="AV18" s="225">
        <f>IF(AP18&lt;&gt;"",IF((AP18*Paramètres!$H$4)-PORTEFEUILLE_AUTRE_COMPTABLE[[#This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€]]-(DELPHINE!AP9*Paramètres!$H$4),0),0)</f>
        <v>0</v>
      </c>
      <c r="AW18" s="225">
        <f>IF(AP18&lt;&gt;"",IF(((AP18*Paramètres!$H$4)-PORTEFEUILLE_AUTRE_COMPTABLE[[#This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8" s="190" t="str">
        <f>IF(PORTEFEUILLE_AUTRE_COMPTABLE[[#This Row],[BONI COMPTABLE]]&lt;&gt;0,1,"")</f>
        <v/>
      </c>
      <c r="AY18" s="190" t="str">
        <f>IF(PORTEFEUILLE_AUTRE_COMPTABLE[[#This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SUM(PORTEFEUILLE_AUTRE_COMPTABLE[[#This Row],[PCR COMPTABLE €]:[MONTANT
RESPONSABLE RELATION CLIENT €]])-PORTEFEUILLE_AUTRE_COMPTABLE[[#This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9" s="188" t="str">
        <f>IF(PORTEFEUILLE_AUTRE_COMPTABLE[[#This Row],[BONI AAC]]&lt;&gt;0,1,"")</f>
        <v/>
      </c>
      <c r="AU19" s="188" t="str">
        <f>IF(PORTEFEUILLE_AUTRE_COMPTABLE[[#This Row],[MALI AAC]]&lt;&gt;0,1,"")</f>
        <v/>
      </c>
      <c r="AV19" s="225">
        <f>IF(AP19&lt;&gt;"",IF((AP19*Paramètres!$H$4)-PORTEFEUILLE_AUTRE_COMPTABLE[[#This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€]]-(DELPHINE!AP10*Paramètres!$H$4),0),0)</f>
        <v>0</v>
      </c>
      <c r="AW19" s="225">
        <f>IF(AP19&lt;&gt;"",IF(((AP19*Paramètres!$H$4)-PORTEFEUILLE_AUTRE_COMPTABLE[[#This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9" s="190" t="str">
        <f>IF(PORTEFEUILLE_AUTRE_COMPTABLE[[#This Row],[BONI COMPTABLE]]&lt;&gt;0,1,"")</f>
        <v/>
      </c>
      <c r="AY19" s="190" t="str">
        <f>IF(PORTEFEUILLE_AUTRE_COMPTABLE[[#This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SUM(PORTEFEUILLE_AUTRE_COMPTABLE[[#This Row],[PCR COMPTABLE €]:[MONTANT
RESPONSABLE RELATION CLIENT €]])-PORTEFEUILLE_AUTRE_COMPTABLE[[#This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0" s="188" t="str">
        <f>IF(PORTEFEUILLE_AUTRE_COMPTABLE[[#This Row],[BONI AAC]]&lt;&gt;0,1,"")</f>
        <v/>
      </c>
      <c r="AU20" s="188" t="str">
        <f>IF(PORTEFEUILLE_AUTRE_COMPTABLE[[#This Row],[MALI AAC]]&lt;&gt;0,1,"")</f>
        <v/>
      </c>
      <c r="AV20" s="225">
        <f>IF(AP20&lt;&gt;"",IF((AP20*Paramètres!$H$4)-PORTEFEUILLE_AUTRE_COMPTABLE[[#This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€]]-(DELPHINE!AP11*Paramètres!$H$4),0),0)</f>
        <v>0</v>
      </c>
      <c r="AW20" s="225">
        <f>IF(AP20&lt;&gt;"",IF(((AP20*Paramètres!$H$4)-PORTEFEUILLE_AUTRE_COMPTABLE[[#This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0" s="190" t="str">
        <f>IF(PORTEFEUILLE_AUTRE_COMPTABLE[[#This Row],[BONI COMPTABLE]]&lt;&gt;0,1,"")</f>
        <v/>
      </c>
      <c r="AY20" s="190" t="str">
        <f>IF(PORTEFEUILLE_AUTRE_COMPTABLE[[#This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SUM(PORTEFEUILLE_AUTRE_COMPTABLE[[#This Row],[PCR COMPTABLE €]:[MONTANT
RESPONSABLE RELATION CLIENT €]])-PORTEFEUILLE_AUTRE_COMPTABLE[[#This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1" s="188" t="str">
        <f>IF(PORTEFEUILLE_AUTRE_COMPTABLE[[#This Row],[BONI AAC]]&lt;&gt;0,1,"")</f>
        <v/>
      </c>
      <c r="AU21" s="188" t="str">
        <f>IF(PORTEFEUILLE_AUTRE_COMPTABLE[[#This Row],[MALI AAC]]&lt;&gt;0,1,"")</f>
        <v/>
      </c>
      <c r="AV21" s="225">
        <f>IF(AP21&lt;&gt;"",IF((AP21*Paramètres!$H$4)-PORTEFEUILLE_AUTRE_COMPTABLE[[#This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€]]-(DELPHINE!AP12*Paramètres!$H$4),0),0)</f>
        <v>0</v>
      </c>
      <c r="AW21" s="225">
        <f>IF(AP21&lt;&gt;"",IF(((AP21*Paramètres!$H$4)-PORTEFEUILLE_AUTRE_COMPTABLE[[#This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1" s="190" t="str">
        <f>IF(PORTEFEUILLE_AUTRE_COMPTABLE[[#This Row],[BONI COMPTABLE]]&lt;&gt;0,1,"")</f>
        <v/>
      </c>
      <c r="AY21" s="190" t="str">
        <f>IF(PORTEFEUILLE_AUTRE_COMPTABLE[[#This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SUM(PORTEFEUILLE_AUTRE_COMPTABLE[[#This Row],[PCR COMPTABLE €]:[MONTANT
RESPONSABLE RELATION CLIENT €]])-PORTEFEUILLE_AUTRE_COMPTABLE[[#This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2" s="188" t="str">
        <f>IF(PORTEFEUILLE_AUTRE_COMPTABLE[[#This Row],[BONI AAC]]&lt;&gt;0,1,"")</f>
        <v/>
      </c>
      <c r="AU22" s="188" t="str">
        <f>IF(PORTEFEUILLE_AUTRE_COMPTABLE[[#This Row],[MALI AAC]]&lt;&gt;0,1,"")</f>
        <v/>
      </c>
      <c r="AV22" s="225">
        <f>IF(AP22&lt;&gt;"",IF((AP22*Paramètres!$H$4)-PORTEFEUILLE_AUTRE_COMPTABLE[[#This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€]]-(DELPHINE!AP13*Paramètres!$H$4),0),0)</f>
        <v>0</v>
      </c>
      <c r="AW22" s="225">
        <f>IF(AP22&lt;&gt;"",IF(((AP22*Paramètres!$H$4)-PORTEFEUILLE_AUTRE_COMPTABLE[[#This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2" s="190" t="str">
        <f>IF(PORTEFEUILLE_AUTRE_COMPTABLE[[#This Row],[BONI COMPTABLE]]&lt;&gt;0,1,"")</f>
        <v/>
      </c>
      <c r="AY22" s="190" t="str">
        <f>IF(PORTEFEUILLE_AUTRE_COMPTABLE[[#This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SUM(PORTEFEUILLE_AUTRE_COMPTABLE[[#This Row],[PCR COMPTABLE €]:[MONTANT
RESPONSABLE RELATION CLIENT €]])-PORTEFEUILLE_AUTRE_COMPTABLE[[#This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3" s="188" t="str">
        <f>IF(PORTEFEUILLE_AUTRE_COMPTABLE[[#This Row],[BONI AAC]]&lt;&gt;0,1,"")</f>
        <v/>
      </c>
      <c r="AU23" s="188" t="str">
        <f>IF(PORTEFEUILLE_AUTRE_COMPTABLE[[#This Row],[MALI AAC]]&lt;&gt;0,1,"")</f>
        <v/>
      </c>
      <c r="AV23" s="225">
        <f>IF(AP23&lt;&gt;"",IF((AP23*Paramètres!$H$4)-PORTEFEUILLE_AUTRE_COMPTABLE[[#This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€]]-(DELPHINE!AP14*Paramètres!$H$4),0),0)</f>
        <v>0</v>
      </c>
      <c r="AW23" s="225">
        <f>IF(AP23&lt;&gt;"",IF(((AP23*Paramètres!$H$4)-PORTEFEUILLE_AUTRE_COMPTABLE[[#This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3" s="190" t="str">
        <f>IF(PORTEFEUILLE_AUTRE_COMPTABLE[[#This Row],[BONI COMPTABLE]]&lt;&gt;0,1,"")</f>
        <v/>
      </c>
      <c r="AY23" s="190" t="str">
        <f>IF(PORTEFEUILLE_AUTRE_COMPTABLE[[#This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SUM(PORTEFEUILLE_AUTRE_COMPTABLE[[#This Row],[PCR COMPTABLE €]:[MONTANT
RESPONSABLE RELATION CLIENT €]])-PORTEFEUILLE_AUTRE_COMPTABLE[[#This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4" s="188" t="str">
        <f>IF(PORTEFEUILLE_AUTRE_COMPTABLE[[#This Row],[BONI AAC]]&lt;&gt;0,1,"")</f>
        <v/>
      </c>
      <c r="AU24" s="188" t="str">
        <f>IF(PORTEFEUILLE_AUTRE_COMPTABLE[[#This Row],[MALI AAC]]&lt;&gt;0,1,"")</f>
        <v/>
      </c>
      <c r="AV24" s="225">
        <f>IF(AP24&lt;&gt;"",IF((AP24*Paramètres!$H$4)-PORTEFEUILLE_AUTRE_COMPTABLE[[#This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€]]-(DELPHINE!AP15*Paramètres!$H$4),0),0)</f>
        <v>0</v>
      </c>
      <c r="AW24" s="225">
        <f>IF(AP24&lt;&gt;"",IF(((AP24*Paramètres!$H$4)-PORTEFEUILLE_AUTRE_COMPTABLE[[#This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4" s="190" t="str">
        <f>IF(PORTEFEUILLE_AUTRE_COMPTABLE[[#This Row],[BONI COMPTABLE]]&lt;&gt;0,1,"")</f>
        <v/>
      </c>
      <c r="AY24" s="190" t="str">
        <f>IF(PORTEFEUILLE_AUTRE_COMPTABLE[[#This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SUM(PORTEFEUILLE_AUTRE_COMPTABLE[[#This Row],[PCR COMPTABLE €]:[MONTANT
RESPONSABLE RELATION CLIENT €]])-PORTEFEUILLE_AUTRE_COMPTABLE[[#This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5" s="188" t="str">
        <f>IF(PORTEFEUILLE_AUTRE_COMPTABLE[[#This Row],[BONI AAC]]&lt;&gt;0,1,"")</f>
        <v/>
      </c>
      <c r="AU25" s="188" t="str">
        <f>IF(PORTEFEUILLE_AUTRE_COMPTABLE[[#This Row],[MALI AAC]]&lt;&gt;0,1,"")</f>
        <v/>
      </c>
      <c r="AV25" s="225">
        <f>IF(AP25&lt;&gt;"",IF((AP25*Paramètres!$H$4)-PORTEFEUILLE_AUTRE_COMPTABLE[[#This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€]]-(DELPHINE!AP16*Paramètres!$H$4),0),0)</f>
        <v>0</v>
      </c>
      <c r="AW25" s="225">
        <f>IF(AP25&lt;&gt;"",IF(((AP25*Paramètres!$H$4)-PORTEFEUILLE_AUTRE_COMPTABLE[[#This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5" s="190" t="str">
        <f>IF(PORTEFEUILLE_AUTRE_COMPTABLE[[#This Row],[BONI COMPTABLE]]&lt;&gt;0,1,"")</f>
        <v/>
      </c>
      <c r="AY25" s="190" t="str">
        <f>IF(PORTEFEUILLE_AUTRE_COMPTABLE[[#This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SUM(PORTEFEUILLE_AUTRE_COMPTABLE[[#This Row],[PCR COMPTABLE €]:[MONTANT
RESPONSABLE RELATION CLIENT €]])-PORTEFEUILLE_AUTRE_COMPTABLE[[#This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6" s="188" t="str">
        <f>IF(PORTEFEUILLE_AUTRE_COMPTABLE[[#This Row],[BONI AAC]]&lt;&gt;0,1,"")</f>
        <v/>
      </c>
      <c r="AU26" s="188" t="str">
        <f>IF(PORTEFEUILLE_AUTRE_COMPTABLE[[#This Row],[MALI AAC]]&lt;&gt;0,1,"")</f>
        <v/>
      </c>
      <c r="AV26" s="225">
        <f>IF(AP26&lt;&gt;"",IF((AP26*Paramètres!$H$4)-PORTEFEUILLE_AUTRE_COMPTABLE[[#This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€]]-(DELPHINE!AP17*Paramètres!$H$4),0),0)</f>
        <v>0</v>
      </c>
      <c r="AW26" s="225">
        <f>IF(AP26&lt;&gt;"",IF(((AP26*Paramètres!$H$4)-PORTEFEUILLE_AUTRE_COMPTABLE[[#This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6" s="190" t="str">
        <f>IF(PORTEFEUILLE_AUTRE_COMPTABLE[[#This Row],[BONI COMPTABLE]]&lt;&gt;0,1,"")</f>
        <v/>
      </c>
      <c r="AY26" s="190" t="str">
        <f>IF(PORTEFEUILLE_AUTRE_COMPTABLE[[#This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SUM(PORTEFEUILLE_AUTRE_COMPTABLE[[#This Row],[PCR COMPTABLE €]:[MONTANT
RESPONSABLE RELATION CLIENT €]])-PORTEFEUILLE_AUTRE_COMPTABLE[[#This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7" s="188" t="str">
        <f>IF(PORTEFEUILLE_AUTRE_COMPTABLE[[#This Row],[BONI AAC]]&lt;&gt;0,1,"")</f>
        <v/>
      </c>
      <c r="AU27" s="188" t="str">
        <f>IF(PORTEFEUILLE_AUTRE_COMPTABLE[[#This Row],[MALI AAC]]&lt;&gt;0,1,"")</f>
        <v/>
      </c>
      <c r="AV27" s="225">
        <f>IF(AP27&lt;&gt;"",IF((AP27*Paramètres!$H$4)-PORTEFEUILLE_AUTRE_COMPTABLE[[#This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€]]-(DELPHINE!AP18*Paramètres!$H$4),0),0)</f>
        <v>0</v>
      </c>
      <c r="AW27" s="225">
        <f>IF(AP27&lt;&gt;"",IF(((AP27*Paramètres!$H$4)-PORTEFEUILLE_AUTRE_COMPTABLE[[#This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7" s="190" t="str">
        <f>IF(PORTEFEUILLE_AUTRE_COMPTABLE[[#This Row],[BONI COMPTABLE]]&lt;&gt;0,1,"")</f>
        <v/>
      </c>
      <c r="AY27" s="190" t="str">
        <f>IF(PORTEFEUILLE_AUTRE_COMPTABLE[[#This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SUM(PORTEFEUILLE_AUTRE_COMPTABLE[[#This Row],[PCR COMPTABLE €]:[MONTANT
RESPONSABLE RELATION CLIENT €]])-PORTEFEUILLE_AUTRE_COMPTABLE[[#This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8" s="188" t="str">
        <f>IF(PORTEFEUILLE_AUTRE_COMPTABLE[[#This Row],[BONI AAC]]&lt;&gt;0,1,"")</f>
        <v/>
      </c>
      <c r="AU28" s="188" t="str">
        <f>IF(PORTEFEUILLE_AUTRE_COMPTABLE[[#This Row],[MALI AAC]]&lt;&gt;0,1,"")</f>
        <v/>
      </c>
      <c r="AV28" s="225">
        <f>IF(AP28&lt;&gt;"",IF((AP28*Paramètres!$H$4)-PORTEFEUILLE_AUTRE_COMPTABLE[[#This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€]]-(DELPHINE!AP19*Paramètres!$H$4),0),0)</f>
        <v>0</v>
      </c>
      <c r="AW28" s="225">
        <f>IF(AP28&lt;&gt;"",IF(((AP28*Paramètres!$H$4)-PORTEFEUILLE_AUTRE_COMPTABLE[[#This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8" s="190" t="str">
        <f>IF(PORTEFEUILLE_AUTRE_COMPTABLE[[#This Row],[BONI COMPTABLE]]&lt;&gt;0,1,"")</f>
        <v/>
      </c>
      <c r="AY28" s="190" t="str">
        <f>IF(PORTEFEUILLE_AUTRE_COMPTABLE[[#This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SUM(PORTEFEUILLE_AUTRE_COMPTABLE[[#This Row],[PCR COMPTABLE €]:[MONTANT
RESPONSABLE RELATION CLIENT €]])-PORTEFEUILLE_AUTRE_COMPTABLE[[#This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9" s="188" t="str">
        <f>IF(PORTEFEUILLE_AUTRE_COMPTABLE[[#This Row],[BONI AAC]]&lt;&gt;0,1,"")</f>
        <v/>
      </c>
      <c r="AU29" s="188" t="str">
        <f>IF(PORTEFEUILLE_AUTRE_COMPTABLE[[#This Row],[MALI AAC]]&lt;&gt;0,1,"")</f>
        <v/>
      </c>
      <c r="AV29" s="225">
        <f>IF(AP29&lt;&gt;"",IF((AP29*Paramètres!$H$4)-PORTEFEUILLE_AUTRE_COMPTABLE[[#This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€]]-(DELPHINE!AP20*Paramètres!$H$4),0),0)</f>
        <v>0</v>
      </c>
      <c r="AW29" s="225">
        <f>IF(AP29&lt;&gt;"",IF(((AP29*Paramètres!$H$4)-PORTEFEUILLE_AUTRE_COMPTABLE[[#This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9" s="190" t="str">
        <f>IF(PORTEFEUILLE_AUTRE_COMPTABLE[[#This Row],[BONI COMPTABLE]]&lt;&gt;0,1,"")</f>
        <v/>
      </c>
      <c r="AY29" s="190" t="str">
        <f>IF(PORTEFEUILLE_AUTRE_COMPTABLE[[#This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SUM(PORTEFEUILLE_AUTRE_COMPTABLE[[#This Row],[PCR COMPTABLE €]:[MONTANT
RESPONSABLE RELATION CLIENT €]])-PORTEFEUILLE_AUTRE_COMPTABLE[[#This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0" s="188" t="str">
        <f>IF(PORTEFEUILLE_AUTRE_COMPTABLE[[#This Row],[BONI AAC]]&lt;&gt;0,1,"")</f>
        <v/>
      </c>
      <c r="AU30" s="188" t="str">
        <f>IF(PORTEFEUILLE_AUTRE_COMPTABLE[[#This Row],[MALI AAC]]&lt;&gt;0,1,"")</f>
        <v/>
      </c>
      <c r="AV30" s="225">
        <f>IF(AP30&lt;&gt;"",IF((AP30*Paramètres!$H$4)-PORTEFEUILLE_AUTRE_COMPTABLE[[#This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€]]-(DELPHINE!AP21*Paramètres!$H$4),0),0)</f>
        <v>0</v>
      </c>
      <c r="AW30" s="225">
        <f>IF(AP30&lt;&gt;"",IF(((AP30*Paramètres!$H$4)-PORTEFEUILLE_AUTRE_COMPTABLE[[#This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0" s="190" t="str">
        <f>IF(PORTEFEUILLE_AUTRE_COMPTABLE[[#This Row],[BONI COMPTABLE]]&lt;&gt;0,1,"")</f>
        <v/>
      </c>
      <c r="AY30" s="190" t="str">
        <f>IF(PORTEFEUILLE_AUTRE_COMPTABLE[[#This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SUM(PORTEFEUILLE_AUTRE_COMPTABLE[[#This Row],[PCR COMPTABLE €]:[MONTANT
RESPONSABLE RELATION CLIENT €]])-PORTEFEUILLE_AUTRE_COMPTABLE[[#This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1" s="188" t="str">
        <f>IF(PORTEFEUILLE_AUTRE_COMPTABLE[[#This Row],[BONI AAC]]&lt;&gt;0,1,"")</f>
        <v/>
      </c>
      <c r="AU31" s="188" t="str">
        <f>IF(PORTEFEUILLE_AUTRE_COMPTABLE[[#This Row],[MALI AAC]]&lt;&gt;0,1,"")</f>
        <v/>
      </c>
      <c r="AV31" s="225">
        <f>IF(AP31&lt;&gt;"",IF((AP31*Paramètres!$H$4)-PORTEFEUILLE_AUTRE_COMPTABLE[[#This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€]]-(DELPHINE!AP22*Paramètres!$H$4),0),0)</f>
        <v>0</v>
      </c>
      <c r="AW31" s="225">
        <f>IF(AP31&lt;&gt;"",IF(((AP31*Paramètres!$H$4)-PORTEFEUILLE_AUTRE_COMPTABLE[[#This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1" s="190" t="str">
        <f>IF(PORTEFEUILLE_AUTRE_COMPTABLE[[#This Row],[BONI COMPTABLE]]&lt;&gt;0,1,"")</f>
        <v/>
      </c>
      <c r="AY31" s="190" t="str">
        <f>IF(PORTEFEUILLE_AUTRE_COMPTABLE[[#This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SUM(PORTEFEUILLE_AUTRE_COMPTABLE[[#This Row],[PCR COMPTABLE €]:[MONTANT
RESPONSABLE RELATION CLIENT €]])-PORTEFEUILLE_AUTRE_COMPTABLE[[#This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2" s="188" t="str">
        <f>IF(PORTEFEUILLE_AUTRE_COMPTABLE[[#This Row],[BONI AAC]]&lt;&gt;0,1,"")</f>
        <v/>
      </c>
      <c r="AU32" s="188" t="str">
        <f>IF(PORTEFEUILLE_AUTRE_COMPTABLE[[#This Row],[MALI AAC]]&lt;&gt;0,1,"")</f>
        <v/>
      </c>
      <c r="AV32" s="225">
        <f>IF(AP32&lt;&gt;"",IF((AP32*Paramètres!$H$4)-PORTEFEUILLE_AUTRE_COMPTABLE[[#This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€]]-(DELPHINE!AP23*Paramètres!$H$4),0),0)</f>
        <v>0</v>
      </c>
      <c r="AW32" s="225">
        <f>IF(AP32&lt;&gt;"",IF(((AP32*Paramètres!$H$4)-PORTEFEUILLE_AUTRE_COMPTABLE[[#This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2" s="190" t="str">
        <f>IF(PORTEFEUILLE_AUTRE_COMPTABLE[[#This Row],[BONI COMPTABLE]]&lt;&gt;0,1,"")</f>
        <v/>
      </c>
      <c r="AY32" s="190" t="str">
        <f>IF(PORTEFEUILLE_AUTRE_COMPTABLE[[#This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SUM(PORTEFEUILLE_AUTRE_COMPTABLE[[#This Row],[PCR COMPTABLE €]:[MONTANT
RESPONSABLE RELATION CLIENT €]])-PORTEFEUILLE_AUTRE_COMPTABLE[[#This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3" s="188" t="str">
        <f>IF(PORTEFEUILLE_AUTRE_COMPTABLE[[#This Row],[BONI AAC]]&lt;&gt;0,1,"")</f>
        <v/>
      </c>
      <c r="AU33" s="188" t="str">
        <f>IF(PORTEFEUILLE_AUTRE_COMPTABLE[[#This Row],[MALI AAC]]&lt;&gt;0,1,"")</f>
        <v/>
      </c>
      <c r="AV33" s="225">
        <f>IF(AP33&lt;&gt;"",IF((AP33*Paramètres!$H$4)-PORTEFEUILLE_AUTRE_COMPTABLE[[#This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€]]-(DELPHINE!AP24*Paramètres!$H$4),0),0)</f>
        <v>0</v>
      </c>
      <c r="AW33" s="225">
        <f>IF(AP33&lt;&gt;"",IF(((AP33*Paramètres!$H$4)-PORTEFEUILLE_AUTRE_COMPTABLE[[#This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3" s="190" t="str">
        <f>IF(PORTEFEUILLE_AUTRE_COMPTABLE[[#This Row],[BONI COMPTABLE]]&lt;&gt;0,1,"")</f>
        <v/>
      </c>
      <c r="AY33" s="190" t="str">
        <f>IF(PORTEFEUILLE_AUTRE_COMPTABLE[[#This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SUM(PORTEFEUILLE_AUTRE_COMPTABLE[[#This Row],[PCR COMPTABLE €]:[MONTANT
RESPONSABLE RELATION CLIENT €]])-PORTEFEUILLE_AUTRE_COMPTABLE[[#This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4" s="188" t="str">
        <f>IF(PORTEFEUILLE_AUTRE_COMPTABLE[[#This Row],[BONI AAC]]&lt;&gt;0,1,"")</f>
        <v/>
      </c>
      <c r="AU34" s="188" t="str">
        <f>IF(PORTEFEUILLE_AUTRE_COMPTABLE[[#This Row],[MALI AAC]]&lt;&gt;0,1,"")</f>
        <v/>
      </c>
      <c r="AV34" s="225">
        <f>IF(AP34&lt;&gt;"",IF((AP34*Paramètres!$H$4)-PORTEFEUILLE_AUTRE_COMPTABLE[[#This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€]]-(DELPHINE!AP25*Paramètres!$H$4),0),0)</f>
        <v>0</v>
      </c>
      <c r="AW34" s="225">
        <f>IF(AP34&lt;&gt;"",IF(((AP34*Paramètres!$H$4)-PORTEFEUILLE_AUTRE_COMPTABLE[[#This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4" s="190" t="str">
        <f>IF(PORTEFEUILLE_AUTRE_COMPTABLE[[#This Row],[BONI COMPTABLE]]&lt;&gt;0,1,"")</f>
        <v/>
      </c>
      <c r="AY34" s="190" t="str">
        <f>IF(PORTEFEUILLE_AUTRE_COMPTABLE[[#This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SUM(PORTEFEUILLE_AUTRE_COMPTABLE[[#This Row],[PCR COMPTABLE €]:[MONTANT
RESPONSABLE RELATION CLIENT €]])-PORTEFEUILLE_AUTRE_COMPTABLE[[#This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5" s="188" t="str">
        <f>IF(PORTEFEUILLE_AUTRE_COMPTABLE[[#This Row],[BONI AAC]]&lt;&gt;0,1,"")</f>
        <v/>
      </c>
      <c r="AU35" s="188" t="str">
        <f>IF(PORTEFEUILLE_AUTRE_COMPTABLE[[#This Row],[MALI AAC]]&lt;&gt;0,1,"")</f>
        <v/>
      </c>
      <c r="AV35" s="225">
        <f>IF(AP35&lt;&gt;"",IF((AP35*Paramètres!$H$4)-PORTEFEUILLE_AUTRE_COMPTABLE[[#This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€]]-(DELPHINE!AP26*Paramètres!$H$4),0),0)</f>
        <v>0</v>
      </c>
      <c r="AW35" s="225">
        <f>IF(AP35&lt;&gt;"",IF(((AP35*Paramètres!$H$4)-PORTEFEUILLE_AUTRE_COMPTABLE[[#This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5" s="190" t="str">
        <f>IF(PORTEFEUILLE_AUTRE_COMPTABLE[[#This Row],[BONI COMPTABLE]]&lt;&gt;0,1,"")</f>
        <v/>
      </c>
      <c r="AY35" s="190" t="str">
        <f>IF(PORTEFEUILLE_AUTRE_COMPTABLE[[#This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SUM(PORTEFEUILLE_AUTRE_COMPTABLE[[#This Row],[PCR COMPTABLE €]:[MONTANT
RESPONSABLE RELATION CLIENT €]])-PORTEFEUILLE_AUTRE_COMPTABLE[[#This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6" s="188" t="str">
        <f>IF(PORTEFEUILLE_AUTRE_COMPTABLE[[#This Row],[BONI AAC]]&lt;&gt;0,1,"")</f>
        <v/>
      </c>
      <c r="AU36" s="188" t="str">
        <f>IF(PORTEFEUILLE_AUTRE_COMPTABLE[[#This Row],[MALI AAC]]&lt;&gt;0,1,"")</f>
        <v/>
      </c>
      <c r="AV36" s="225">
        <f>IF(AP36&lt;&gt;"",IF((AP36*Paramètres!$H$4)-PORTEFEUILLE_AUTRE_COMPTABLE[[#This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€]]-(DELPHINE!AP27*Paramètres!$H$4),0),0)</f>
        <v>0</v>
      </c>
      <c r="AW36" s="225">
        <f>IF(AP36&lt;&gt;"",IF(((AP36*Paramètres!$H$4)-PORTEFEUILLE_AUTRE_COMPTABLE[[#This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6" s="190" t="str">
        <f>IF(PORTEFEUILLE_AUTRE_COMPTABLE[[#This Row],[BONI COMPTABLE]]&lt;&gt;0,1,"")</f>
        <v/>
      </c>
      <c r="AY36" s="190" t="str">
        <f>IF(PORTEFEUILLE_AUTRE_COMPTABLE[[#This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SUM(PORTEFEUILLE_AUTRE_COMPTABLE[[#This Row],[PCR COMPTABLE €]:[MONTANT
RESPONSABLE RELATION CLIENT €]])-PORTEFEUILLE_AUTRE_COMPTABLE[[#This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7" s="188" t="str">
        <f>IF(PORTEFEUILLE_AUTRE_COMPTABLE[[#This Row],[BONI AAC]]&lt;&gt;0,1,"")</f>
        <v/>
      </c>
      <c r="AU37" s="188" t="str">
        <f>IF(PORTEFEUILLE_AUTRE_COMPTABLE[[#This Row],[MALI AAC]]&lt;&gt;0,1,"")</f>
        <v/>
      </c>
      <c r="AV37" s="225">
        <f>IF(AP37&lt;&gt;"",IF((AP37*Paramètres!$H$4)-PORTEFEUILLE_AUTRE_COMPTABLE[[#This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€]]-(DELPHINE!AP28*Paramètres!$H$4),0),0)</f>
        <v>0</v>
      </c>
      <c r="AW37" s="225">
        <f>IF(AP37&lt;&gt;"",IF(((AP37*Paramètres!$H$4)-PORTEFEUILLE_AUTRE_COMPTABLE[[#This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7" s="190" t="str">
        <f>IF(PORTEFEUILLE_AUTRE_COMPTABLE[[#This Row],[BONI COMPTABLE]]&lt;&gt;0,1,"")</f>
        <v/>
      </c>
      <c r="AY37" s="190" t="str">
        <f>IF(PORTEFEUILLE_AUTRE_COMPTABLE[[#This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SUM(PORTEFEUILLE_AUTRE_COMPTABLE[[#This Row],[PCR COMPTABLE €]:[MONTANT
RESPONSABLE RELATION CLIENT €]])-PORTEFEUILLE_AUTRE_COMPTABLE[[#This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8" s="188" t="str">
        <f>IF(PORTEFEUILLE_AUTRE_COMPTABLE[[#This Row],[BONI AAC]]&lt;&gt;0,1,"")</f>
        <v/>
      </c>
      <c r="AU38" s="188" t="str">
        <f>IF(PORTEFEUILLE_AUTRE_COMPTABLE[[#This Row],[MALI AAC]]&lt;&gt;0,1,"")</f>
        <v/>
      </c>
      <c r="AV38" s="225">
        <f>IF(AP38&lt;&gt;"",IF((AP38*Paramètres!$H$4)-PORTEFEUILLE_AUTRE_COMPTABLE[[#This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€]]-(DELPHINE!AP29*Paramètres!$H$4),0),0)</f>
        <v>0</v>
      </c>
      <c r="AW38" s="225">
        <f>IF(AP38&lt;&gt;"",IF(((AP38*Paramètres!$H$4)-PORTEFEUILLE_AUTRE_COMPTABLE[[#This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8" s="190" t="str">
        <f>IF(PORTEFEUILLE_AUTRE_COMPTABLE[[#This Row],[BONI COMPTABLE]]&lt;&gt;0,1,"")</f>
        <v/>
      </c>
      <c r="AY38" s="190" t="str">
        <f>IF(PORTEFEUILLE_AUTRE_COMPTABLE[[#This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SUM(PORTEFEUILLE_AUTRE_COMPTABLE[[#This Row],[PCR COMPTABLE €]:[MONTANT
RESPONSABLE RELATION CLIENT €]])-PORTEFEUILLE_AUTRE_COMPTABLE[[#This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9" s="188" t="str">
        <f>IF(PORTEFEUILLE_AUTRE_COMPTABLE[[#This Row],[BONI AAC]]&lt;&gt;0,1,"")</f>
        <v/>
      </c>
      <c r="AU39" s="188" t="str">
        <f>IF(PORTEFEUILLE_AUTRE_COMPTABLE[[#This Row],[MALI AAC]]&lt;&gt;0,1,"")</f>
        <v/>
      </c>
      <c r="AV39" s="225">
        <f>IF(AP39&lt;&gt;"",IF((AP39*Paramètres!$H$4)-PORTEFEUILLE_AUTRE_COMPTABLE[[#This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€]]-(DELPHINE!AP30*Paramètres!$H$4),0),0)</f>
        <v>0</v>
      </c>
      <c r="AW39" s="225">
        <f>IF(AP39&lt;&gt;"",IF(((AP39*Paramètres!$H$4)-PORTEFEUILLE_AUTRE_COMPTABLE[[#This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9" s="190" t="str">
        <f>IF(PORTEFEUILLE_AUTRE_COMPTABLE[[#This Row],[BONI COMPTABLE]]&lt;&gt;0,1,"")</f>
        <v/>
      </c>
      <c r="AY39" s="190" t="str">
        <f>IF(PORTEFEUILLE_AUTRE_COMPTABLE[[#This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SUM(PORTEFEUILLE_AUTRE_COMPTABLE[[#This Row],[PCR COMPTABLE €]:[MONTANT
RESPONSABLE RELATION CLIENT €]])-PORTEFEUILLE_AUTRE_COMPTABLE[[#This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0" s="188" t="str">
        <f>IF(PORTEFEUILLE_AUTRE_COMPTABLE[[#This Row],[BONI AAC]]&lt;&gt;0,1,"")</f>
        <v/>
      </c>
      <c r="AU40" s="188" t="str">
        <f>IF(PORTEFEUILLE_AUTRE_COMPTABLE[[#This Row],[MALI AAC]]&lt;&gt;0,1,"")</f>
        <v/>
      </c>
      <c r="AV40" s="225">
        <f>IF(AP40&lt;&gt;"",IF((AP40*Paramètres!$H$4)-PORTEFEUILLE_AUTRE_COMPTABLE[[#This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€]]-(DELPHINE!AP31*Paramètres!$H$4),0),0)</f>
        <v>0</v>
      </c>
      <c r="AW40" s="225">
        <f>IF(AP40&lt;&gt;"",IF(((AP40*Paramètres!$H$4)-PORTEFEUILLE_AUTRE_COMPTABLE[[#This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0" s="190" t="str">
        <f>IF(PORTEFEUILLE_AUTRE_COMPTABLE[[#This Row],[BONI COMPTABLE]]&lt;&gt;0,1,"")</f>
        <v/>
      </c>
      <c r="AY40" s="190" t="str">
        <f>IF(PORTEFEUILLE_AUTRE_COMPTABLE[[#This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SUM(PORTEFEUILLE_AUTRE_COMPTABLE[[#This Row],[PCR COMPTABLE €]:[MONTANT
RESPONSABLE RELATION CLIENT €]])-PORTEFEUILLE_AUTRE_COMPTABLE[[#This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1" s="188" t="str">
        <f>IF(PORTEFEUILLE_AUTRE_COMPTABLE[[#This Row],[BONI AAC]]&lt;&gt;0,1,"")</f>
        <v/>
      </c>
      <c r="AU41" s="188" t="str">
        <f>IF(PORTEFEUILLE_AUTRE_COMPTABLE[[#This Row],[MALI AAC]]&lt;&gt;0,1,"")</f>
        <v/>
      </c>
      <c r="AV41" s="225">
        <f>IF(AP41&lt;&gt;"",IF((AP41*Paramètres!$H$4)-PORTEFEUILLE_AUTRE_COMPTABLE[[#This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€]]-(DELPHINE!AP32*Paramètres!$H$4),0),0)</f>
        <v>0</v>
      </c>
      <c r="AW41" s="225">
        <f>IF(AP41&lt;&gt;"",IF(((AP41*Paramètres!$H$4)-PORTEFEUILLE_AUTRE_COMPTABLE[[#This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1" s="190" t="str">
        <f>IF(PORTEFEUILLE_AUTRE_COMPTABLE[[#This Row],[BONI COMPTABLE]]&lt;&gt;0,1,"")</f>
        <v/>
      </c>
      <c r="AY41" s="190" t="str">
        <f>IF(PORTEFEUILLE_AUTRE_COMPTABLE[[#This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SUM(PORTEFEUILLE_AUTRE_COMPTABLE[[#This Row],[PCR COMPTABLE €]:[MONTANT
RESPONSABLE RELATION CLIENT €]])-PORTEFEUILLE_AUTRE_COMPTABLE[[#This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2" s="188" t="str">
        <f>IF(PORTEFEUILLE_AUTRE_COMPTABLE[[#This Row],[BONI AAC]]&lt;&gt;0,1,"")</f>
        <v/>
      </c>
      <c r="AU42" s="188" t="str">
        <f>IF(PORTEFEUILLE_AUTRE_COMPTABLE[[#This Row],[MALI AAC]]&lt;&gt;0,1,"")</f>
        <v/>
      </c>
      <c r="AV42" s="225">
        <f>IF(AP42&lt;&gt;"",IF((AP42*Paramètres!$H$4)-PORTEFEUILLE_AUTRE_COMPTABLE[[#This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€]]-(DELPHINE!AP33*Paramètres!$H$4),0),0)</f>
        <v>0</v>
      </c>
      <c r="AW42" s="225">
        <f>IF(AP42&lt;&gt;"",IF(((AP42*Paramètres!$H$4)-PORTEFEUILLE_AUTRE_COMPTABLE[[#This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2" s="190" t="str">
        <f>IF(PORTEFEUILLE_AUTRE_COMPTABLE[[#This Row],[BONI COMPTABLE]]&lt;&gt;0,1,"")</f>
        <v/>
      </c>
      <c r="AY42" s="190" t="str">
        <f>IF(PORTEFEUILLE_AUTRE_COMPTABLE[[#This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SUM(PORTEFEUILLE_AUTRE_COMPTABLE[[#This Row],[PCR COMPTABLE €]:[MONTANT
RESPONSABLE RELATION CLIENT €]])-PORTEFEUILLE_AUTRE_COMPTABLE[[#This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3" s="188" t="str">
        <f>IF(PORTEFEUILLE_AUTRE_COMPTABLE[[#This Row],[BONI AAC]]&lt;&gt;0,1,"")</f>
        <v/>
      </c>
      <c r="AU43" s="188" t="str">
        <f>IF(PORTEFEUILLE_AUTRE_COMPTABLE[[#This Row],[MALI AAC]]&lt;&gt;0,1,"")</f>
        <v/>
      </c>
      <c r="AV43" s="225">
        <f>IF(AP43&lt;&gt;"",IF((AP43*Paramètres!$H$4)-PORTEFEUILLE_AUTRE_COMPTABLE[[#This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€]]-(DELPHINE!AP34*Paramètres!$H$4),0),0)</f>
        <v>0</v>
      </c>
      <c r="AW43" s="225">
        <f>IF(AP43&lt;&gt;"",IF(((AP43*Paramètres!$H$4)-PORTEFEUILLE_AUTRE_COMPTABLE[[#This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3" s="190" t="str">
        <f>IF(PORTEFEUILLE_AUTRE_COMPTABLE[[#This Row],[BONI COMPTABLE]]&lt;&gt;0,1,"")</f>
        <v/>
      </c>
      <c r="AY43" s="190" t="str">
        <f>IF(PORTEFEUILLE_AUTRE_COMPTABLE[[#This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SUM(PORTEFEUILLE_AUTRE_COMPTABLE[[#This Row],[PCR COMPTABLE €]:[MONTANT
RESPONSABLE RELATION CLIENT €]])-PORTEFEUILLE_AUTRE_COMPTABLE[[#This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4" s="188" t="str">
        <f>IF(PORTEFEUILLE_AUTRE_COMPTABLE[[#This Row],[BONI AAC]]&lt;&gt;0,1,"")</f>
        <v/>
      </c>
      <c r="AU44" s="188" t="str">
        <f>IF(PORTEFEUILLE_AUTRE_COMPTABLE[[#This Row],[MALI AAC]]&lt;&gt;0,1,"")</f>
        <v/>
      </c>
      <c r="AV44" s="225">
        <f>IF(AP44&lt;&gt;"",IF((AP44*Paramètres!$H$4)-PORTEFEUILLE_AUTRE_COMPTABLE[[#This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€]]-(DELPHINE!AP35*Paramètres!$H$4),0),0)</f>
        <v>0</v>
      </c>
      <c r="AW44" s="225">
        <f>IF(AP44&lt;&gt;"",IF(((AP44*Paramètres!$H$4)-PORTEFEUILLE_AUTRE_COMPTABLE[[#This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4" s="190" t="str">
        <f>IF(PORTEFEUILLE_AUTRE_COMPTABLE[[#This Row],[BONI COMPTABLE]]&lt;&gt;0,1,"")</f>
        <v/>
      </c>
      <c r="AY44" s="190" t="str">
        <f>IF(PORTEFEUILLE_AUTRE_COMPTABLE[[#This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SUM(PORTEFEUILLE_AUTRE_COMPTABLE[[#This Row],[PCR COMPTABLE €]:[MONTANT
RESPONSABLE RELATION CLIENT €]])-PORTEFEUILLE_AUTRE_COMPTABLE[[#This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5" s="188" t="str">
        <f>IF(PORTEFEUILLE_AUTRE_COMPTABLE[[#This Row],[BONI AAC]]&lt;&gt;0,1,"")</f>
        <v/>
      </c>
      <c r="AU45" s="188" t="str">
        <f>IF(PORTEFEUILLE_AUTRE_COMPTABLE[[#This Row],[MALI AAC]]&lt;&gt;0,1,"")</f>
        <v/>
      </c>
      <c r="AV45" s="225">
        <f>IF(AP45&lt;&gt;"",IF((AP45*Paramètres!$H$4)-PORTEFEUILLE_AUTRE_COMPTABLE[[#This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€]]-(DELPHINE!AP36*Paramètres!$H$4),0),0)</f>
        <v>0</v>
      </c>
      <c r="AW45" s="225">
        <f>IF(AP45&lt;&gt;"",IF(((AP45*Paramètres!$H$4)-PORTEFEUILLE_AUTRE_COMPTABLE[[#This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5" s="190" t="str">
        <f>IF(PORTEFEUILLE_AUTRE_COMPTABLE[[#This Row],[BONI COMPTABLE]]&lt;&gt;0,1,"")</f>
        <v/>
      </c>
      <c r="AY45" s="190" t="str">
        <f>IF(PORTEFEUILLE_AUTRE_COMPTABLE[[#This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SUM(PORTEFEUILLE_AUTRE_COMPTABLE[[#This Row],[PCR COMPTABLE €]:[MONTANT
RESPONSABLE RELATION CLIENT €]])-PORTEFEUILLE_AUTRE_COMPTABLE[[#This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6" s="188" t="str">
        <f>IF(PORTEFEUILLE_AUTRE_COMPTABLE[[#This Row],[BONI AAC]]&lt;&gt;0,1,"")</f>
        <v/>
      </c>
      <c r="AU46" s="188" t="str">
        <f>IF(PORTEFEUILLE_AUTRE_COMPTABLE[[#This Row],[MALI AAC]]&lt;&gt;0,1,"")</f>
        <v/>
      </c>
      <c r="AV46" s="225">
        <f>IF(AP46&lt;&gt;"",IF((AP46*Paramètres!$H$4)-PORTEFEUILLE_AUTRE_COMPTABLE[[#This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€]]-(DELPHINE!AP37*Paramètres!$H$4),0),0)</f>
        <v>0</v>
      </c>
      <c r="AW46" s="225">
        <f>IF(AP46&lt;&gt;"",IF(((AP46*Paramètres!$H$4)-PORTEFEUILLE_AUTRE_COMPTABLE[[#This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6" s="190" t="str">
        <f>IF(PORTEFEUILLE_AUTRE_COMPTABLE[[#This Row],[BONI COMPTABLE]]&lt;&gt;0,1,"")</f>
        <v/>
      </c>
      <c r="AY46" s="190" t="str">
        <f>IF(PORTEFEUILLE_AUTRE_COMPTABLE[[#This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SUM(PORTEFEUILLE_AUTRE_COMPTABLE[[#This Row],[PCR COMPTABLE €]:[MONTANT
RESPONSABLE RELATION CLIENT €]])-PORTEFEUILLE_AUTRE_COMPTABLE[[#This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7" s="188" t="str">
        <f>IF(PORTEFEUILLE_AUTRE_COMPTABLE[[#This Row],[BONI AAC]]&lt;&gt;0,1,"")</f>
        <v/>
      </c>
      <c r="AU47" s="188" t="str">
        <f>IF(PORTEFEUILLE_AUTRE_COMPTABLE[[#This Row],[MALI AAC]]&lt;&gt;0,1,"")</f>
        <v/>
      </c>
      <c r="AV47" s="225">
        <f>IF(AP47&lt;&gt;"",IF((AP47*Paramètres!$H$4)-PORTEFEUILLE_AUTRE_COMPTABLE[[#This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€]]-(DELPHINE!AP38*Paramètres!$H$4),0),0)</f>
        <v>0</v>
      </c>
      <c r="AW47" s="225">
        <f>IF(AP47&lt;&gt;"",IF(((AP47*Paramètres!$H$4)-PORTEFEUILLE_AUTRE_COMPTABLE[[#This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7" s="190" t="str">
        <f>IF(PORTEFEUILLE_AUTRE_COMPTABLE[[#This Row],[BONI COMPTABLE]]&lt;&gt;0,1,"")</f>
        <v/>
      </c>
      <c r="AY47" s="190" t="str">
        <f>IF(PORTEFEUILLE_AUTRE_COMPTABLE[[#This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SUM(PORTEFEUILLE_AUTRE_COMPTABLE[[#This Row],[PCR COMPTABLE €]:[MONTANT
RESPONSABLE RELATION CLIENT €]])-PORTEFEUILLE_AUTRE_COMPTABLE[[#This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8" s="188" t="str">
        <f>IF(PORTEFEUILLE_AUTRE_COMPTABLE[[#This Row],[BONI AAC]]&lt;&gt;0,1,"")</f>
        <v/>
      </c>
      <c r="AU48" s="188" t="str">
        <f>IF(PORTEFEUILLE_AUTRE_COMPTABLE[[#This Row],[MALI AAC]]&lt;&gt;0,1,"")</f>
        <v/>
      </c>
      <c r="AV48" s="225">
        <f>IF(AP48&lt;&gt;"",IF((AP48*Paramètres!$H$4)-PORTEFEUILLE_AUTRE_COMPTABLE[[#This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€]]-(DELPHINE!AP39*Paramètres!$H$4),0),0)</f>
        <v>0</v>
      </c>
      <c r="AW48" s="225">
        <f>IF(AP48&lt;&gt;"",IF(((AP48*Paramètres!$H$4)-PORTEFEUILLE_AUTRE_COMPTABLE[[#This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8" s="190" t="str">
        <f>IF(PORTEFEUILLE_AUTRE_COMPTABLE[[#This Row],[BONI COMPTABLE]]&lt;&gt;0,1,"")</f>
        <v/>
      </c>
      <c r="AY48" s="190" t="str">
        <f>IF(PORTEFEUILLE_AUTRE_COMPTABLE[[#This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SUM(PORTEFEUILLE_AUTRE_COMPTABLE[[#This Row],[PCR COMPTABLE €]:[MONTANT
RESPONSABLE RELATION CLIENT €]])-PORTEFEUILLE_AUTRE_COMPTABLE[[#This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9" s="188" t="str">
        <f>IF(PORTEFEUILLE_AUTRE_COMPTABLE[[#This Row],[BONI AAC]]&lt;&gt;0,1,"")</f>
        <v/>
      </c>
      <c r="AU49" s="188" t="str">
        <f>IF(PORTEFEUILLE_AUTRE_COMPTABLE[[#This Row],[MALI AAC]]&lt;&gt;0,1,"")</f>
        <v/>
      </c>
      <c r="AV49" s="225">
        <f>IF(AP49&lt;&gt;"",IF((AP49*Paramètres!$H$4)-PORTEFEUILLE_AUTRE_COMPTABLE[[#This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€]]-(DELPHINE!AP40*Paramètres!$H$4),0),0)</f>
        <v>0</v>
      </c>
      <c r="AW49" s="225">
        <f>IF(AP49&lt;&gt;"",IF(((AP49*Paramètres!$H$4)-PORTEFEUILLE_AUTRE_COMPTABLE[[#This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9" s="190" t="str">
        <f>IF(PORTEFEUILLE_AUTRE_COMPTABLE[[#This Row],[BONI COMPTABLE]]&lt;&gt;0,1,"")</f>
        <v/>
      </c>
      <c r="AY49" s="190" t="str">
        <f>IF(PORTEFEUILLE_AUTRE_COMPTABLE[[#This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SUM(PORTEFEUILLE_AUTRE_COMPTABLE[[#This Row],[PCR COMPTABLE €]:[MONTANT
RESPONSABLE RELATION CLIENT €]])-PORTEFEUILLE_AUTRE_COMPTABLE[[#This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0" s="188" t="str">
        <f>IF(PORTEFEUILLE_AUTRE_COMPTABLE[[#This Row],[BONI AAC]]&lt;&gt;0,1,"")</f>
        <v/>
      </c>
      <c r="AU50" s="188" t="str">
        <f>IF(PORTEFEUILLE_AUTRE_COMPTABLE[[#This Row],[MALI AAC]]&lt;&gt;0,1,"")</f>
        <v/>
      </c>
      <c r="AV50" s="225">
        <f>IF(AP50&lt;&gt;"",IF((AP50*Paramètres!$H$4)-PORTEFEUILLE_AUTRE_COMPTABLE[[#This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€]]-(DELPHINE!AP41*Paramètres!$H$4),0),0)</f>
        <v>0</v>
      </c>
      <c r="AW50" s="225">
        <f>IF(AP50&lt;&gt;"",IF(((AP50*Paramètres!$H$4)-PORTEFEUILLE_AUTRE_COMPTABLE[[#This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0" s="190" t="str">
        <f>IF(PORTEFEUILLE_AUTRE_COMPTABLE[[#This Row],[BONI COMPTABLE]]&lt;&gt;0,1,"")</f>
        <v/>
      </c>
      <c r="AY50" s="190" t="str">
        <f>IF(PORTEFEUILLE_AUTRE_COMPTABLE[[#This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SUM(PORTEFEUILLE_AUTRE_COMPTABLE[[#This Row],[PCR COMPTABLE €]:[MONTANT
RESPONSABLE RELATION CLIENT €]])-PORTEFEUILLE_AUTRE_COMPTABLE[[#This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1" s="188" t="str">
        <f>IF(PORTEFEUILLE_AUTRE_COMPTABLE[[#This Row],[BONI AAC]]&lt;&gt;0,1,"")</f>
        <v/>
      </c>
      <c r="AU51" s="188" t="str">
        <f>IF(PORTEFEUILLE_AUTRE_COMPTABLE[[#This Row],[MALI AAC]]&lt;&gt;0,1,"")</f>
        <v/>
      </c>
      <c r="AV51" s="225">
        <f>IF(AP51&lt;&gt;"",IF((AP51*Paramètres!$H$4)-PORTEFEUILLE_AUTRE_COMPTABLE[[#This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€]]-(DELPHINE!AP42*Paramètres!$H$4),0),0)</f>
        <v>0</v>
      </c>
      <c r="AW51" s="225">
        <f>IF(AP51&lt;&gt;"",IF(((AP51*Paramètres!$H$4)-PORTEFEUILLE_AUTRE_COMPTABLE[[#This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1" s="190" t="str">
        <f>IF(PORTEFEUILLE_AUTRE_COMPTABLE[[#This Row],[BONI COMPTABLE]]&lt;&gt;0,1,"")</f>
        <v/>
      </c>
      <c r="AY51" s="190" t="str">
        <f>IF(PORTEFEUILLE_AUTRE_COMPTABLE[[#This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SUM(PORTEFEUILLE_AUTRE_COMPTABLE[[#This Row],[PCR COMPTABLE €]:[MONTANT
RESPONSABLE RELATION CLIENT €]])-PORTEFEUILLE_AUTRE_COMPTABLE[[#This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2" s="188" t="str">
        <f>IF(PORTEFEUILLE_AUTRE_COMPTABLE[[#This Row],[BONI AAC]]&lt;&gt;0,1,"")</f>
        <v/>
      </c>
      <c r="AU52" s="188" t="str">
        <f>IF(PORTEFEUILLE_AUTRE_COMPTABLE[[#This Row],[MALI AAC]]&lt;&gt;0,1,"")</f>
        <v/>
      </c>
      <c r="AV52" s="225">
        <f>IF(AP52&lt;&gt;"",IF((AP52*Paramètres!$H$4)-PORTEFEUILLE_AUTRE_COMPTABLE[[#This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€]]-(DELPHINE!AP43*Paramètres!$H$4),0),0)</f>
        <v>0</v>
      </c>
      <c r="AW52" s="225">
        <f>IF(AP52&lt;&gt;"",IF(((AP52*Paramètres!$H$4)-PORTEFEUILLE_AUTRE_COMPTABLE[[#This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2" s="190" t="str">
        <f>IF(PORTEFEUILLE_AUTRE_COMPTABLE[[#This Row],[BONI COMPTABLE]]&lt;&gt;0,1,"")</f>
        <v/>
      </c>
      <c r="AY52" s="190" t="str">
        <f>IF(PORTEFEUILLE_AUTRE_COMPTABLE[[#This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SUM(PORTEFEUILLE_AUTRE_COMPTABLE[[#This Row],[PCR COMPTABLE €]:[MONTANT
RESPONSABLE RELATION CLIENT €]])-PORTEFEUILLE_AUTRE_COMPTABLE[[#This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3" s="188" t="str">
        <f>IF(PORTEFEUILLE_AUTRE_COMPTABLE[[#This Row],[BONI AAC]]&lt;&gt;0,1,"")</f>
        <v/>
      </c>
      <c r="AU53" s="188" t="str">
        <f>IF(PORTEFEUILLE_AUTRE_COMPTABLE[[#This Row],[MALI AAC]]&lt;&gt;0,1,"")</f>
        <v/>
      </c>
      <c r="AV53" s="225">
        <f>IF(AP53&lt;&gt;"",IF((AP53*Paramètres!$H$4)-PORTEFEUILLE_AUTRE_COMPTABLE[[#This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€]]-(DELPHINE!AP44*Paramètres!$H$4),0),0)</f>
        <v>0</v>
      </c>
      <c r="AW53" s="225">
        <f>IF(AP53&lt;&gt;"",IF(((AP53*Paramètres!$H$4)-PORTEFEUILLE_AUTRE_COMPTABLE[[#This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3" s="190" t="str">
        <f>IF(PORTEFEUILLE_AUTRE_COMPTABLE[[#This Row],[BONI COMPTABLE]]&lt;&gt;0,1,"")</f>
        <v/>
      </c>
      <c r="AY53" s="190" t="str">
        <f>IF(PORTEFEUILLE_AUTRE_COMPTABLE[[#This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SUM(PORTEFEUILLE_AUTRE_COMPTABLE[[#This Row],[PCR COMPTABLE €]:[MONTANT
RESPONSABLE RELATION CLIENT €]])-PORTEFEUILLE_AUTRE_COMPTABLE[[#This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4" s="188" t="str">
        <f>IF(PORTEFEUILLE_AUTRE_COMPTABLE[[#This Row],[BONI AAC]]&lt;&gt;0,1,"")</f>
        <v/>
      </c>
      <c r="AU54" s="188" t="str">
        <f>IF(PORTEFEUILLE_AUTRE_COMPTABLE[[#This Row],[MALI AAC]]&lt;&gt;0,1,"")</f>
        <v/>
      </c>
      <c r="AV54" s="225">
        <f>IF(AP54&lt;&gt;"",IF((AP54*Paramètres!$H$4)-PORTEFEUILLE_AUTRE_COMPTABLE[[#This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€]]-(DELPHINE!AP45*Paramètres!$H$4),0),0)</f>
        <v>0</v>
      </c>
      <c r="AW54" s="225">
        <f>IF(AP54&lt;&gt;"",IF(((AP54*Paramètres!$H$4)-PORTEFEUILLE_AUTRE_COMPTABLE[[#This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4" s="190" t="str">
        <f>IF(PORTEFEUILLE_AUTRE_COMPTABLE[[#This Row],[BONI COMPTABLE]]&lt;&gt;0,1,"")</f>
        <v/>
      </c>
      <c r="AY54" s="190" t="str">
        <f>IF(PORTEFEUILLE_AUTRE_COMPTABLE[[#This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SUM(PORTEFEUILLE_AUTRE_COMPTABLE[[#This Row],[PCR COMPTABLE €]:[MONTANT
RESPONSABLE RELATION CLIENT €]])-PORTEFEUILLE_AUTRE_COMPTABLE[[#This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5" s="188" t="str">
        <f>IF(PORTEFEUILLE_AUTRE_COMPTABLE[[#This Row],[BONI AAC]]&lt;&gt;0,1,"")</f>
        <v/>
      </c>
      <c r="AU55" s="188" t="str">
        <f>IF(PORTEFEUILLE_AUTRE_COMPTABLE[[#This Row],[MALI AAC]]&lt;&gt;0,1,"")</f>
        <v/>
      </c>
      <c r="AV55" s="225">
        <f>IF(AP55&lt;&gt;"",IF((AP55*Paramètres!$H$4)-PORTEFEUILLE_AUTRE_COMPTABLE[[#This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€]]-(DELPHINE!AP46*Paramètres!$H$4),0),0)</f>
        <v>0</v>
      </c>
      <c r="AW55" s="225">
        <f>IF(AP55&lt;&gt;"",IF(((AP55*Paramètres!$H$4)-PORTEFEUILLE_AUTRE_COMPTABLE[[#This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5" s="190" t="str">
        <f>IF(PORTEFEUILLE_AUTRE_COMPTABLE[[#This Row],[BONI COMPTABLE]]&lt;&gt;0,1,"")</f>
        <v/>
      </c>
      <c r="AY55" s="190" t="str">
        <f>IF(PORTEFEUILLE_AUTRE_COMPTABLE[[#This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SUM(PORTEFEUILLE_AUTRE_COMPTABLE[[#This Row],[PCR COMPTABLE €]:[MONTANT
RESPONSABLE RELATION CLIENT €]])-PORTEFEUILLE_AUTRE_COMPTABLE[[#This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6" s="188" t="str">
        <f>IF(PORTEFEUILLE_AUTRE_COMPTABLE[[#This Row],[BONI AAC]]&lt;&gt;0,1,"")</f>
        <v/>
      </c>
      <c r="AU56" s="188" t="str">
        <f>IF(PORTEFEUILLE_AUTRE_COMPTABLE[[#This Row],[MALI AAC]]&lt;&gt;0,1,"")</f>
        <v/>
      </c>
      <c r="AV56" s="225">
        <f>IF(AP56&lt;&gt;"",IF((AP56*Paramètres!$H$4)-PORTEFEUILLE_AUTRE_COMPTABLE[[#This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€]]-(DELPHINE!AP47*Paramètres!$H$4),0),0)</f>
        <v>0</v>
      </c>
      <c r="AW56" s="225">
        <f>IF(AP56&lt;&gt;"",IF(((AP56*Paramètres!$H$4)-PORTEFEUILLE_AUTRE_COMPTABLE[[#This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6" s="190" t="str">
        <f>IF(PORTEFEUILLE_AUTRE_COMPTABLE[[#This Row],[BONI COMPTABLE]]&lt;&gt;0,1,"")</f>
        <v/>
      </c>
      <c r="AY56" s="190" t="str">
        <f>IF(PORTEFEUILLE_AUTRE_COMPTABLE[[#This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SUM(PORTEFEUILLE_AUTRE_COMPTABLE[[#This Row],[PCR COMPTABLE €]:[MONTANT
RESPONSABLE RELATION CLIENT €]])-PORTEFEUILLE_AUTRE_COMPTABLE[[#This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7" s="188" t="str">
        <f>IF(PORTEFEUILLE_AUTRE_COMPTABLE[[#This Row],[BONI AAC]]&lt;&gt;0,1,"")</f>
        <v/>
      </c>
      <c r="AU57" s="188" t="str">
        <f>IF(PORTEFEUILLE_AUTRE_COMPTABLE[[#This Row],[MALI AAC]]&lt;&gt;0,1,"")</f>
        <v/>
      </c>
      <c r="AV57" s="225">
        <f>IF(AP57&lt;&gt;"",IF((AP57*Paramètres!$H$4)-PORTEFEUILLE_AUTRE_COMPTABLE[[#This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€]]-(DELPHINE!AP48*Paramètres!$H$4),0),0)</f>
        <v>0</v>
      </c>
      <c r="AW57" s="225">
        <f>IF(AP57&lt;&gt;"",IF(((AP57*Paramètres!$H$4)-PORTEFEUILLE_AUTRE_COMPTABLE[[#This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7" s="190" t="str">
        <f>IF(PORTEFEUILLE_AUTRE_COMPTABLE[[#This Row],[BONI COMPTABLE]]&lt;&gt;0,1,"")</f>
        <v/>
      </c>
      <c r="AY57" s="190" t="str">
        <f>IF(PORTEFEUILLE_AUTRE_COMPTABLE[[#This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SUM(PORTEFEUILLE_AUTRE_COMPTABLE[[#This Row],[PCR COMPTABLE €]:[MONTANT
RESPONSABLE RELATION CLIENT €]])-PORTEFEUILLE_AUTRE_COMPTABLE[[#This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8" s="188" t="str">
        <f>IF(PORTEFEUILLE_AUTRE_COMPTABLE[[#This Row],[BONI AAC]]&lt;&gt;0,1,"")</f>
        <v/>
      </c>
      <c r="AU58" s="188" t="str">
        <f>IF(PORTEFEUILLE_AUTRE_COMPTABLE[[#This Row],[MALI AAC]]&lt;&gt;0,1,"")</f>
        <v/>
      </c>
      <c r="AV58" s="225">
        <f>IF(AP58&lt;&gt;"",IF((AP58*Paramètres!$H$4)-PORTEFEUILLE_AUTRE_COMPTABLE[[#This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€]]-(DELPHINE!AP49*Paramètres!$H$4),0),0)</f>
        <v>0</v>
      </c>
      <c r="AW58" s="225">
        <f>IF(AP58&lt;&gt;"",IF(((AP58*Paramètres!$H$4)-PORTEFEUILLE_AUTRE_COMPTABLE[[#This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8" s="190" t="str">
        <f>IF(PORTEFEUILLE_AUTRE_COMPTABLE[[#This Row],[BONI COMPTABLE]]&lt;&gt;0,1,"")</f>
        <v/>
      </c>
      <c r="AY58" s="190" t="str">
        <f>IF(PORTEFEUILLE_AUTRE_COMPTABLE[[#This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SUM(PORTEFEUILLE_AUTRE_COMPTABLE[[#This Row],[PCR COMPTABLE €]:[MONTANT
RESPONSABLE RELATION CLIENT €]])-PORTEFEUILLE_AUTRE_COMPTABLE[[#This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9" s="188" t="str">
        <f>IF(PORTEFEUILLE_AUTRE_COMPTABLE[[#This Row],[BONI AAC]]&lt;&gt;0,1,"")</f>
        <v/>
      </c>
      <c r="AU59" s="188" t="str">
        <f>IF(PORTEFEUILLE_AUTRE_COMPTABLE[[#This Row],[MALI AAC]]&lt;&gt;0,1,"")</f>
        <v/>
      </c>
      <c r="AV59" s="225">
        <f>IF(AP59&lt;&gt;"",IF((AP59*Paramètres!$H$4)-PORTEFEUILLE_AUTRE_COMPTABLE[[#This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€]]-(DELPHINE!AP50*Paramètres!$H$4),0),0)</f>
        <v>0</v>
      </c>
      <c r="AW59" s="225">
        <f>IF(AP59&lt;&gt;"",IF(((AP59*Paramètres!$H$4)-PORTEFEUILLE_AUTRE_COMPTABLE[[#This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9" s="190" t="str">
        <f>IF(PORTEFEUILLE_AUTRE_COMPTABLE[[#This Row],[BONI COMPTABLE]]&lt;&gt;0,1,"")</f>
        <v/>
      </c>
      <c r="AY59" s="190" t="str">
        <f>IF(PORTEFEUILLE_AUTRE_COMPTABLE[[#This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SUM(PORTEFEUILLE_AUTRE_COMPTABLE[[#This Row],[PCR COMPTABLE €]:[MONTANT
RESPONSABLE RELATION CLIENT €]])-PORTEFEUILLE_AUTRE_COMPTABLE[[#This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0" s="188" t="str">
        <f>IF(PORTEFEUILLE_AUTRE_COMPTABLE[[#This Row],[BONI AAC]]&lt;&gt;0,1,"")</f>
        <v/>
      </c>
      <c r="AU60" s="188" t="str">
        <f>IF(PORTEFEUILLE_AUTRE_COMPTABLE[[#This Row],[MALI AAC]]&lt;&gt;0,1,"")</f>
        <v/>
      </c>
      <c r="AV60" s="225">
        <f>IF(AP60&lt;&gt;"",IF((AP60*Paramètres!$H$4)-PORTEFEUILLE_AUTRE_COMPTABLE[[#This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€]]-(DELPHINE!AP51*Paramètres!$H$4),0),0)</f>
        <v>0</v>
      </c>
      <c r="AW60" s="225">
        <f>IF(AP60&lt;&gt;"",IF(((AP60*Paramètres!$H$4)-PORTEFEUILLE_AUTRE_COMPTABLE[[#This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0" s="190" t="str">
        <f>IF(PORTEFEUILLE_AUTRE_COMPTABLE[[#This Row],[BONI COMPTABLE]]&lt;&gt;0,1,"")</f>
        <v/>
      </c>
      <c r="AY60" s="190" t="str">
        <f>IF(PORTEFEUILLE_AUTRE_COMPTABLE[[#This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5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6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6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77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8" t="s">
        <v>123</v>
      </c>
      <c r="C69" s="278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79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6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6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77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8" t="s">
        <v>123</v>
      </c>
      <c r="C75" s="278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79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6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6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77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8" t="s">
        <v>123</v>
      </c>
      <c r="C81" s="278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80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81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81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81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81" t="s">
        <v>123</v>
      </c>
      <c r="C88" s="281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82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81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81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81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81" t="s">
        <v>123</v>
      </c>
      <c r="C94" s="281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81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81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81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81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81" t="s">
        <v>123</v>
      </c>
      <c r="C100" s="281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5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6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6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77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8" t="s">
        <v>123</v>
      </c>
      <c r="C108" s="278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79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6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6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77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8" t="s">
        <v>123</v>
      </c>
      <c r="C114" s="278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79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6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6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77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8" t="s">
        <v>123</v>
      </c>
      <c r="C120" s="278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81:C81"/>
    <mergeCell ref="B65:B68"/>
    <mergeCell ref="B69:C69"/>
    <mergeCell ref="B71:B74"/>
    <mergeCell ref="B75:C75"/>
    <mergeCell ref="B77:B80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5" priority="2">
      <formula>AND(P3&lt;&gt;"",P3&lt;&gt;"OUI")</formula>
    </cfRule>
  </conditionalFormatting>
  <conditionalFormatting sqref="AN3:AO60 S3:AH60">
    <cfRule type="expression" dxfId="4" priority="1" stopIfTrue="1">
      <formula>$AH3&lt;&gt;0</formula>
    </cfRule>
  </conditionalFormatting>
  <conditionalFormatting sqref="A3:E60">
    <cfRule type="expression" dxfId="3" priority="3" stopIfTrue="1">
      <formula>AND($I3&lt;&gt;"",AND($J3="",AND($BA3="",$BB3="")))</formula>
    </cfRule>
    <cfRule type="expression" dxfId="2" priority="4" stopIfTrue="1">
      <formula>AND($J3&lt;&gt;"",AND($BA3="",$BB3=""))</formula>
    </cfRule>
    <cfRule type="expression" dxfId="1" priority="5" stopIfTrue="1">
      <formula>AND($BA3&lt;&gt;"",$BB3="")</formula>
    </cfRule>
    <cfRule type="expression" dxfId="0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13</vt:i4>
      </vt:variant>
    </vt:vector>
  </HeadingPairs>
  <TitlesOfParts>
    <vt:vector size="25" baseType="lpstr">
      <vt:lpstr>Agence Stats Budget</vt:lpstr>
      <vt:lpstr>Agence Stats Visas</vt:lpstr>
      <vt:lpstr>Paramètres</vt:lpstr>
      <vt:lpstr>Menu</vt:lpstr>
      <vt:lpstr>DELPHINE</vt:lpstr>
      <vt:lpstr>FREDERIQUE</vt:lpstr>
      <vt:lpstr>AURELIE_T</vt:lpstr>
      <vt:lpstr>ERIC</vt:lpstr>
      <vt:lpstr>MARIE_PIERRE</vt:lpstr>
      <vt:lpstr>GUILLAUME</vt:lpstr>
      <vt:lpstr>SEBASTIEN</vt:lpstr>
      <vt:lpstr>AUTRE COMPTABLE</vt:lpstr>
      <vt:lpstr>agoasigneeouinonafairena</vt:lpstr>
      <vt:lpstr>crfaitparlecomptableouinon</vt:lpstr>
      <vt:lpstr>crouinonaterminerafaire</vt:lpstr>
      <vt:lpstr>listedossierdelphine</vt:lpstr>
      <vt:lpstr>N°_DOSSIERDELPHINE</vt:lpstr>
      <vt:lpstr>pcrouinonafaire</vt:lpstr>
      <vt:lpstr>prénomsaac</vt:lpstr>
      <vt:lpstr>prenomscomptables</vt:lpstr>
      <vt:lpstr>prenomsconseillers</vt:lpstr>
      <vt:lpstr>quicomptableconseiller</vt:lpstr>
      <vt:lpstr>ranosouinonafaire</vt:lpstr>
      <vt:lpstr>reconductionouinon</vt:lpstr>
      <vt:lpstr>réponsesouinon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2020-04-17T20:35:32Z</cp:lastPrinted>
  <dcterms:created xsi:type="dcterms:W3CDTF">2020-04-09T11:31:02Z</dcterms:created>
  <dcterms:modified xsi:type="dcterms:W3CDTF">2020-04-25T22:07:26Z</dcterms:modified>
</cp:coreProperties>
</file>