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omments1.xml" ContentType="application/vnd.openxmlformats-officedocument.spreadsheetml.comments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2DD2D518-23B4-4C76-84C1-F2BF6AD7D025}" xr6:coauthVersionLast="45" xr6:coauthVersionMax="45" xr10:uidLastSave="{00000000-0000-0000-0000-000000000000}"/>
  <bookViews>
    <workbookView xWindow="-110" yWindow="-110" windowWidth="19420" windowHeight="10640" tabRatio="601" xr2:uid="{5F365045-E3E4-4C0E-9AF6-732DFF7BD0B6}"/>
  </bookViews>
  <sheets>
    <sheet name="Chrono" sheetId="1" r:id="rId1"/>
    <sheet name="Temps mesurés" sheetId="2" state="veryHidden" r:id="rId2"/>
  </sheets>
  <externalReferences>
    <externalReference r:id="rId3"/>
  </externalReferences>
  <definedNames>
    <definedName name="Chrono" localSheetId="1">Timer7[]</definedName>
    <definedName name="Chrono">[1]!Timer[#Data]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G20" i="1"/>
  <c r="G19" i="1"/>
  <c r="G18" i="1"/>
  <c r="G17" i="1"/>
  <c r="G21" i="1" l="1"/>
  <c r="F32" i="2" l="1"/>
  <c r="F31" i="2"/>
  <c r="F30" i="2"/>
  <c r="N10" i="2" s="1"/>
  <c r="N16" i="2"/>
  <c r="F16" i="2"/>
  <c r="N15" i="2"/>
  <c r="F15" i="2"/>
  <c r="F17" i="2" s="1"/>
  <c r="G18" i="2" s="1"/>
  <c r="N14" i="2"/>
  <c r="F14" i="2"/>
  <c r="N12" i="2"/>
  <c r="N11" i="2"/>
  <c r="N8" i="2"/>
  <c r="N7" i="2"/>
  <c r="N4" i="2"/>
  <c r="N5" i="2" l="1"/>
  <c r="N9" i="2"/>
  <c r="N13" i="2"/>
  <c r="N6" i="2"/>
  <c r="C29" i="1" l="1"/>
  <c r="K28" i="1"/>
  <c r="G29" i="1" l="1"/>
  <c r="F29" i="1"/>
  <c r="G28" i="1"/>
  <c r="G27" i="1"/>
  <c r="G26" i="1"/>
  <c r="G3" i="1"/>
  <c r="G5" i="1"/>
  <c r="G6" i="1"/>
  <c r="G7" i="1"/>
  <c r="G8" i="1"/>
  <c r="G9" i="1"/>
  <c r="G10" i="1"/>
  <c r="G11" i="1"/>
  <c r="G12" i="1"/>
  <c r="G13" i="1"/>
  <c r="G14" i="1"/>
  <c r="G15" i="1"/>
  <c r="G16" i="1"/>
  <c r="G4" i="1"/>
  <c r="G1" i="1" l="1"/>
  <c r="C28" i="1"/>
  <c r="F28" i="1" s="1"/>
  <c r="G24" i="1"/>
  <c r="K33" i="1" s="1"/>
  <c r="D26" i="1" l="1"/>
  <c r="C26" i="1" s="1"/>
  <c r="C27" i="1"/>
  <c r="F27" i="1" s="1"/>
  <c r="M34" i="1" l="1"/>
  <c r="F26" i="1"/>
  <c r="L34" i="1"/>
  <c r="L36" i="1" s="1"/>
  <c r="D24" i="1"/>
  <c r="K34" i="1" s="1"/>
  <c r="L37" i="1" l="1"/>
  <c r="L3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OrDonc</author>
    <author>tc={CDDF7422-A07A-42B2-B094-73F170766AC1}</author>
  </authors>
  <commentList>
    <comment ref="A16" authorId="0" shapeId="0" xr:uid="{F2123515-47F1-4843-A05F-10A85680CE4D}">
      <text>
        <r>
          <rPr>
            <sz val="9"/>
            <color indexed="81"/>
            <rFont val="Tahoma"/>
            <family val="2"/>
          </rPr>
          <t xml:space="preserve">lignes cachées ou pas
</t>
        </r>
      </text>
    </comment>
    <comment ref="G29" authorId="1" shapeId="0" xr:uid="{CDDF7422-A07A-42B2-B094-73F170766AC1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 seule personne pour le recomptage</t>
        </r>
      </text>
    </comment>
  </commentList>
</comments>
</file>

<file path=xl/sharedStrings.xml><?xml version="1.0" encoding="utf-8"?>
<sst xmlns="http://schemas.openxmlformats.org/spreadsheetml/2006/main" count="261" uniqueCount="112">
  <si>
    <t>Ty.</t>
  </si>
  <si>
    <t>Désignat. type de magasin</t>
  </si>
  <si>
    <t>Occupé</t>
  </si>
  <si>
    <t xml:space="preserve"> Vide</t>
  </si>
  <si>
    <t>Total</t>
  </si>
  <si>
    <t>Type inventaire</t>
  </si>
  <si>
    <t>Quand faire l'inventaire</t>
  </si>
  <si>
    <t>Niveau</t>
  </si>
  <si>
    <t>Remarques</t>
  </si>
  <si>
    <t>B01</t>
  </si>
  <si>
    <t>Stocks Clients /Cde CBL</t>
  </si>
  <si>
    <t>Terminal SAIL</t>
  </si>
  <si>
    <t>J-1</t>
  </si>
  <si>
    <t>SOL</t>
  </si>
  <si>
    <t>Ne peut être fait qu'au dernier moment</t>
  </si>
  <si>
    <t>B02</t>
  </si>
  <si>
    <t>Picking Unitaire CBL Dynamique</t>
  </si>
  <si>
    <t>Picking Unitaire CBL Palette</t>
  </si>
  <si>
    <t>B05</t>
  </si>
  <si>
    <t>Art. Publicitaires CBL</t>
  </si>
  <si>
    <t>SAP papier</t>
  </si>
  <si>
    <t>J-10</t>
  </si>
  <si>
    <t>Peut être fait 2 semaines en amont</t>
  </si>
  <si>
    <t>B06</t>
  </si>
  <si>
    <t>Réserve CBL</t>
  </si>
  <si>
    <t>HAUTEUR</t>
  </si>
  <si>
    <t>Besoin Nacelle (2 personnes)</t>
  </si>
  <si>
    <t>B07</t>
  </si>
  <si>
    <t>Bulks</t>
  </si>
  <si>
    <t>B08</t>
  </si>
  <si>
    <t>B10</t>
  </si>
  <si>
    <t>Emballages CBL</t>
  </si>
  <si>
    <t>Inventaire fait déjà toutes les semaines le mercredi</t>
  </si>
  <si>
    <t>B11</t>
  </si>
  <si>
    <t>Prison Qualité CBL</t>
  </si>
  <si>
    <t>Peut être fait 3-4 semaines en amont</t>
  </si>
  <si>
    <t>B20</t>
  </si>
  <si>
    <t>Réserve SF / CBL</t>
  </si>
  <si>
    <t>B21</t>
  </si>
  <si>
    <t>Picking haut SF / CBL</t>
  </si>
  <si>
    <t>B22</t>
  </si>
  <si>
    <t>Picking sol SF / CBL</t>
  </si>
  <si>
    <t>B23</t>
  </si>
  <si>
    <t>Réserve externe PF+SF/STE</t>
  </si>
  <si>
    <t>B32</t>
  </si>
  <si>
    <t>B36</t>
  </si>
  <si>
    <t>B38</t>
  </si>
  <si>
    <t>B40</t>
  </si>
  <si>
    <t>Echantillons</t>
  </si>
  <si>
    <t>Peu importe</t>
  </si>
  <si>
    <t>Type de Niveau</t>
  </si>
  <si>
    <t xml:space="preserve">Temps total </t>
  </si>
  <si>
    <t>Nb Binômes</t>
  </si>
  <si>
    <t>Durée de travail</t>
  </si>
  <si>
    <t xml:space="preserve">TOTAL </t>
  </si>
  <si>
    <t>TOTAL</t>
  </si>
  <si>
    <t>Effectif</t>
  </si>
  <si>
    <t>Recomptage</t>
  </si>
  <si>
    <t>Prérequis</t>
  </si>
  <si>
    <t>Hauteur Nacelle</t>
  </si>
  <si>
    <t>Vide</t>
  </si>
  <si>
    <t>Ecart</t>
  </si>
  <si>
    <t>Prix pour la location d'une nacelle: 80 euros par jour + 160 euros transport aller/retour</t>
  </si>
  <si>
    <t>Temps total</t>
  </si>
  <si>
    <t>Temps pour 1 en fct du chrono</t>
  </si>
  <si>
    <t>Chariot</t>
  </si>
  <si>
    <t>Charge de travail</t>
  </si>
  <si>
    <t>Finances</t>
  </si>
  <si>
    <t>Besoin ETP</t>
  </si>
  <si>
    <t>Picking Unitaire CBL Etagère</t>
  </si>
  <si>
    <t>Réserve CBL Zone Restreint</t>
  </si>
  <si>
    <t>Plus rien de gérer dans ce type de mag pour le moment</t>
  </si>
  <si>
    <t>Hauteur Chariot élévateur</t>
  </si>
  <si>
    <t>Inventaire régulier dans les endroits où il y a le plus d'écart: B02 &amp; B01</t>
  </si>
  <si>
    <t>Besoin matériel</t>
  </si>
  <si>
    <t>Location 2 nacelles sur 3 jours</t>
  </si>
  <si>
    <t>1 transport 160 euros + 3 jours 80 euros x 2 nacelles</t>
  </si>
  <si>
    <t>Au moins 35 heures de repos entre le samedi fin de la semaine et le lundi matin de la semaine suivante.</t>
  </si>
  <si>
    <t>Pour les heures, elles seront considérées comme des heures supplémentaires et seront payées le mois suivant.</t>
  </si>
  <si>
    <t>Heures supplémentaires = Taux horaire x 1,25</t>
  </si>
  <si>
    <t>Total jour semaine</t>
  </si>
  <si>
    <t>total jour samedi</t>
  </si>
  <si>
    <t>surcout</t>
  </si>
  <si>
    <t>trouver les volontaires !!! Si tous d'accord dans l'entrepot = 20 personnes environ</t>
  </si>
  <si>
    <r>
      <t xml:space="preserve">Prévoir location de 2 nacelles (Début d'inventaire la veille pour les hauteurs) </t>
    </r>
    <r>
      <rPr>
        <b/>
        <sz val="11"/>
        <color theme="1"/>
        <rFont val="Calibri"/>
        <family val="2"/>
        <scheme val="minor"/>
      </rPr>
      <t>et formation de Jordan avant mi-juin</t>
    </r>
  </si>
  <si>
    <t>Type</t>
  </si>
  <si>
    <t>Prix</t>
  </si>
  <si>
    <t>Picking (Stocks E) Etagère</t>
  </si>
  <si>
    <t>Picking (Stocks E) Dynamique</t>
  </si>
  <si>
    <t>Réserve (Stocks E)</t>
  </si>
  <si>
    <t>Réserve Z. Res.(Stocks E)</t>
  </si>
  <si>
    <t>Produits sans codes barres</t>
  </si>
  <si>
    <t>Ecarts</t>
  </si>
  <si>
    <t>Emplacements sans code barres</t>
  </si>
  <si>
    <t>Palettes à descendre</t>
  </si>
  <si>
    <t>Emplacements en cours de mouvements</t>
  </si>
  <si>
    <t>Impossible</t>
  </si>
  <si>
    <t>Temps pour 1</t>
  </si>
  <si>
    <t>Picking Unitaire CBL Etagere</t>
  </si>
  <si>
    <t>Picking (Stocks E) Etagere</t>
  </si>
  <si>
    <t>25</t>
  </si>
  <si>
    <t>Temps d'inventaire pour un emplacement vide</t>
  </si>
  <si>
    <t>5 emplacements inventoriés</t>
  </si>
  <si>
    <t>Temps recomptage pour un ecart</t>
  </si>
  <si>
    <t>3 articles recomptés</t>
  </si>
  <si>
    <t>Temps inventaire en hauteur avec chariot</t>
  </si>
  <si>
    <t>8 emplacements recomptés</t>
  </si>
  <si>
    <t>RECOLL</t>
  </si>
  <si>
    <t>Pas plus de 48h de travail au total sur la même semaine.</t>
  </si>
  <si>
    <t>Nécessité d’en informer le prochain CSEE.</t>
  </si>
  <si>
    <t>De manière exceptionnelle, il est possible de faire travailler 6 jours de suite à condition que les règles légales suivantes soient respectées </t>
  </si>
  <si>
    <t>Cout horaire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</si>
</sst>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_-* #,##0.00\ [$€-40C]_-;\-* #,##0.00\ [$€-40C]_-;_-* &quot;-&quot;??\ [$€-40C]_-;_-@_-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2"/>
      <name val="Calibri"/>
      <family val="2"/>
      <scheme val="minor"/>
    </font>
    <font>
      <sz val="9"/>
      <color indexed="81"/>
      <name val="Tahoma"/>
      <family val="2"/>
    </font>
    <font>
      <sz val="10"/>
      <color theme="0"/>
      <name val="Webdings"/>
      <family val="1"/>
      <charset val="2"/>
    </font>
    <font>
      <sz val="10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2" tint="-0.749992370372631"/>
        <bgColor theme="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FF0000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theme="1"/>
      </top>
      <bottom style="thin">
        <color theme="1"/>
      </bottom>
      <diagonal/>
    </border>
    <border>
      <left/>
      <right style="medium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Alignment="1">
      <alignment horizontal="center" vertical="center" wrapText="1"/>
    </xf>
    <xf numFmtId="46" fontId="0" fillId="0" borderId="0" xfId="0" applyNumberFormat="1"/>
    <xf numFmtId="164" fontId="0" fillId="0" borderId="1" xfId="0" applyNumberFormat="1" applyFill="1" applyBorder="1" applyAlignment="1">
      <alignment horizontal="right" vertical="center"/>
    </xf>
    <xf numFmtId="164" fontId="0" fillId="0" borderId="0" xfId="0" applyNumberFormat="1" applyFill="1" applyBorder="1"/>
    <xf numFmtId="164" fontId="0" fillId="0" borderId="0" xfId="0" applyNumberForma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right"/>
    </xf>
    <xf numFmtId="0" fontId="0" fillId="0" borderId="3" xfId="0" applyFill="1" applyBorder="1"/>
    <xf numFmtId="2" fontId="0" fillId="0" borderId="0" xfId="0" applyNumberFormat="1"/>
    <xf numFmtId="0" fontId="0" fillId="2" borderId="4" xfId="0" applyFont="1" applyFill="1" applyBorder="1"/>
    <xf numFmtId="0" fontId="0" fillId="0" borderId="4" xfId="0" applyFont="1" applyBorder="1"/>
    <xf numFmtId="0" fontId="0" fillId="0" borderId="5" xfId="0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0" borderId="3" xfId="0" applyBorder="1"/>
    <xf numFmtId="0" fontId="0" fillId="0" borderId="8" xfId="0" applyBorder="1"/>
    <xf numFmtId="164" fontId="0" fillId="0" borderId="8" xfId="0" applyNumberFormat="1" applyBorder="1"/>
    <xf numFmtId="164" fontId="0" fillId="0" borderId="0" xfId="0" applyNumberFormat="1"/>
    <xf numFmtId="0" fontId="0" fillId="0" borderId="7" xfId="0" applyBorder="1"/>
    <xf numFmtId="0" fontId="0" fillId="0" borderId="9" xfId="0" applyBorder="1"/>
    <xf numFmtId="10" fontId="0" fillId="0" borderId="0" xfId="0" applyNumberFormat="1"/>
    <xf numFmtId="0" fontId="0" fillId="0" borderId="10" xfId="0" applyBorder="1" applyAlignment="1">
      <alignment horizontal="center" vertical="center" wrapText="1"/>
    </xf>
    <xf numFmtId="21" fontId="0" fillId="0" borderId="11" xfId="0" applyNumberFormat="1" applyBorder="1" applyAlignment="1">
      <alignment horizontal="center" vertical="center" wrapText="1"/>
    </xf>
    <xf numFmtId="21" fontId="0" fillId="0" borderId="12" xfId="0" applyNumberFormat="1" applyBorder="1" applyAlignment="1">
      <alignment horizontal="center" vertical="center"/>
    </xf>
    <xf numFmtId="21" fontId="0" fillId="0" borderId="13" xfId="0" applyNumberFormat="1" applyBorder="1" applyAlignment="1">
      <alignment horizontal="right" vertical="center"/>
    </xf>
    <xf numFmtId="164" fontId="0" fillId="0" borderId="12" xfId="0" applyNumberFormat="1" applyBorder="1" applyAlignment="1">
      <alignment horizontal="center" vertical="center"/>
    </xf>
    <xf numFmtId="164" fontId="0" fillId="2" borderId="4" xfId="0" applyNumberFormat="1" applyFont="1" applyFill="1" applyBorder="1" applyAlignment="1">
      <alignment horizontal="right" vertical="center"/>
    </xf>
    <xf numFmtId="164" fontId="0" fillId="0" borderId="4" xfId="0" applyNumberFormat="1" applyFont="1" applyBorder="1" applyAlignment="1">
      <alignment horizontal="right" vertical="center"/>
    </xf>
    <xf numFmtId="0" fontId="0" fillId="0" borderId="15" xfId="0" applyFont="1" applyBorder="1"/>
    <xf numFmtId="164" fontId="0" fillId="0" borderId="15" xfId="0" applyNumberFormat="1" applyFont="1" applyBorder="1" applyAlignment="1">
      <alignment horizontal="right" vertical="center"/>
    </xf>
    <xf numFmtId="0" fontId="4" fillId="4" borderId="14" xfId="0" applyFont="1" applyFill="1" applyBorder="1" applyAlignment="1">
      <alignment horizontal="center"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46" fontId="0" fillId="0" borderId="0" xfId="0" applyNumberFormat="1" applyBorder="1" applyAlignment="1">
      <alignment vertical="center" wrapText="1"/>
    </xf>
    <xf numFmtId="9" fontId="0" fillId="0" borderId="0" xfId="0" applyNumberForma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164" fontId="0" fillId="0" borderId="0" xfId="0" applyNumberFormat="1" applyBorder="1" applyAlignment="1">
      <alignment vertical="center" wrapText="1"/>
    </xf>
    <xf numFmtId="0" fontId="0" fillId="0" borderId="22" xfId="0" applyBorder="1" applyAlignment="1">
      <alignment wrapText="1"/>
    </xf>
    <xf numFmtId="0" fontId="0" fillId="0" borderId="0" xfId="0" applyBorder="1"/>
    <xf numFmtId="0" fontId="0" fillId="0" borderId="4" xfId="0" applyFont="1" applyFill="1" applyBorder="1"/>
    <xf numFmtId="164" fontId="2" fillId="0" borderId="26" xfId="0" applyNumberFormat="1" applyFont="1" applyFill="1" applyBorder="1"/>
    <xf numFmtId="21" fontId="0" fillId="0" borderId="26" xfId="0" applyNumberFormat="1" applyFont="1" applyFill="1" applyBorder="1"/>
    <xf numFmtId="0" fontId="0" fillId="0" borderId="15" xfId="0" applyFont="1" applyFill="1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 wrapText="1"/>
    </xf>
    <xf numFmtId="164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left"/>
    </xf>
    <xf numFmtId="0" fontId="0" fillId="0" borderId="2" xfId="0" applyFill="1" applyBorder="1" applyAlignment="1">
      <alignment horizontal="left"/>
    </xf>
    <xf numFmtId="165" fontId="1" fillId="0" borderId="0" xfId="0" applyNumberFormat="1" applyFont="1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0" fillId="0" borderId="8" xfId="0" applyFill="1" applyBorder="1" applyAlignment="1">
      <alignment horizontal="right"/>
    </xf>
    <xf numFmtId="46" fontId="0" fillId="0" borderId="19" xfId="0" applyNumberFormat="1" applyBorder="1" applyAlignment="1">
      <alignment vertical="center" wrapText="1"/>
    </xf>
    <xf numFmtId="9" fontId="0" fillId="0" borderId="19" xfId="0" applyNumberFormat="1" applyBorder="1" applyAlignment="1">
      <alignment vertical="center" wrapText="1"/>
    </xf>
    <xf numFmtId="164" fontId="0" fillId="0" borderId="19" xfId="0" applyNumberFormat="1" applyBorder="1" applyAlignment="1">
      <alignment vertical="center" wrapText="1"/>
    </xf>
    <xf numFmtId="0" fontId="0" fillId="0" borderId="20" xfId="0" applyBorder="1" applyAlignment="1">
      <alignment wrapText="1"/>
    </xf>
    <xf numFmtId="0" fontId="0" fillId="2" borderId="27" xfId="0" applyFont="1" applyFill="1" applyBorder="1"/>
    <xf numFmtId="0" fontId="0" fillId="2" borderId="28" xfId="0" applyFont="1" applyFill="1" applyBorder="1"/>
    <xf numFmtId="0" fontId="0" fillId="0" borderId="27" xfId="0" applyFont="1" applyBorder="1"/>
    <xf numFmtId="0" fontId="0" fillId="0" borderId="28" xfId="0" applyFont="1" applyBorder="1"/>
    <xf numFmtId="0" fontId="0" fillId="0" borderId="22" xfId="0" applyBorder="1" applyAlignment="1">
      <alignment vertical="center" wrapText="1"/>
    </xf>
    <xf numFmtId="0" fontId="1" fillId="2" borderId="29" xfId="0" applyFont="1" applyFill="1" applyBorder="1" applyAlignment="1">
      <alignment vertical="center" wrapText="1"/>
    </xf>
    <xf numFmtId="46" fontId="1" fillId="2" borderId="26" xfId="0" applyNumberFormat="1" applyFont="1" applyFill="1" applyBorder="1" applyAlignment="1">
      <alignment vertical="center" wrapText="1"/>
    </xf>
    <xf numFmtId="0" fontId="1" fillId="2" borderId="26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wrapText="1"/>
    </xf>
    <xf numFmtId="0" fontId="1" fillId="5" borderId="29" xfId="0" applyFont="1" applyFill="1" applyBorder="1"/>
    <xf numFmtId="0" fontId="9" fillId="6" borderId="0" xfId="0" applyFont="1" applyFill="1"/>
    <xf numFmtId="0" fontId="10" fillId="0" borderId="0" xfId="0" applyFont="1"/>
    <xf numFmtId="46" fontId="3" fillId="5" borderId="2" xfId="0" applyNumberFormat="1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0" fillId="0" borderId="23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</cellXfs>
  <cellStyles count="1">
    <cellStyle name="Normal" xfId="0" builtinId="0"/>
  </cellStyles>
  <dxfs count="60"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2" tint="-0.749992370372631"/>
        </patternFill>
      </fill>
      <alignment horizontal="center" vertical="center" textRotation="0" wrapText="1" indent="0" justifyLastLine="0" shrinkToFit="0" readingOrder="0"/>
    </dxf>
    <dxf>
      <numFmt numFmtId="164" formatCode="[$-F400]h:mm:ss\ AM/PM"/>
    </dxf>
    <dxf>
      <numFmt numFmtId="164" formatCode="[$-F400]h:mm:ss\ AM/PM"/>
    </dxf>
    <dxf>
      <numFmt numFmtId="164" formatCode="[$-F400]h:mm:ss\ AM/PM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400]h:mm:ss\ AM/PM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[$-F400]h:mm:ss\ AM/PM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</dxf>
    <dxf>
      <alignment horizontal="general" vertical="center" textRotation="0" wrapText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vertical/>
      </border>
    </dxf>
    <dxf>
      <numFmt numFmtId="164" formatCode="[$-F400]h:mm:ss\ AM/PM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numFmt numFmtId="14" formatCode="0.00%"/>
      <alignment horizontal="general" vertical="center" textRotation="0" wrapText="1" indent="0" justifyLastLine="0" shrinkToFit="0" readingOrder="0"/>
    </dxf>
    <dxf>
      <numFmt numFmtId="31" formatCode="[h]:mm:ss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  <border diagonalUp="0" diagonalDown="0">
        <left style="medium">
          <color indexed="64"/>
        </left>
        <right/>
        <vertical/>
      </border>
    </dxf>
    <dxf>
      <alignment horizontal="general" vertical="bottom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right" vertical="center" textRotation="0" wrapText="0" indent="0" justifyLastLine="0" shrinkToFit="0" readingOrder="0"/>
    </dxf>
    <dxf>
      <numFmt numFmtId="0" formatCode="General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17/10/relationships/person" Target="persons/perso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rmorgroup-my.sharepoint.com/personal/houcem-eddine_fattah_armor-group_com/Documents/Documents/Pr&#233;paration%20inventaire%20avant%20filialisat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Chrono"/>
      <sheetName val="Préparation inventaire avant fi"/>
    </sheetNames>
    <sheetDataSet>
      <sheetData sheetId="0" refreshError="1"/>
      <sheetData sheetId="1"/>
      <sheetData sheetId="2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FATTAH Houcem-Eddine" id="{1C7F475F-E899-4EBD-8432-8A38F715D5DE}" userId="S::houcem-eddine.fattah@armor-group.com::6e329f64-b900-4255-86b8-2bfef3614717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A3C3052-B276-45C9-9658-77DE2636563C}" name="BD" displayName="BD" ref="B2:K21" totalsRowShown="0" headerRowDxfId="59" tableBorderDxfId="58">
  <autoFilter ref="B2:K21" xr:uid="{C86FDE93-9E68-4725-AD12-49E371E93C9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91FF196F-64D4-45DD-883E-63BD5A1FC8F4}" name="Ty."/>
    <tableColumn id="2" xr3:uid="{FECB7F20-7DBB-4A2F-B0D9-E067B03E21E4}" name="Désignat. type de magasin"/>
    <tableColumn id="3" xr3:uid="{21700568-44CA-45C2-B78C-7B01E6D75C5E}" name="Occupé"/>
    <tableColumn id="4" xr3:uid="{F7A3CF0D-AC16-44B0-85FF-3F004F06C003}" name=" Vide"/>
    <tableColumn id="5" xr3:uid="{6213B114-46CC-4ADF-8DD5-F7BF4F0274C2}" name="Total" dataDxfId="57">
      <calculatedColumnFormula>BD[[#This Row],[Occupé]]+BD[[#This Row],[ Vide]]</calculatedColumnFormula>
    </tableColumn>
    <tableColumn id="9" xr3:uid="{81F0CF36-985F-4881-A7A2-570A082F6C30}" name="Temps total" dataDxfId="56"/>
    <tableColumn id="10" xr3:uid="{BAC21611-8854-422C-854C-223FDD63EE55}" name="Type inventaire"/>
    <tableColumn id="11" xr3:uid="{35E1C04B-0B13-47E1-A3AC-D1D289090289}" name="Quand faire l'inventaire"/>
    <tableColumn id="12" xr3:uid="{A102DE5B-C3E0-41CC-BFE5-5099005A1186}" name="Niveau"/>
    <tableColumn id="13" xr3:uid="{E2BBD84E-1B41-4EB0-8682-D311A9FF426B}" name="Remarques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4B771A0-4EAF-468D-8D44-6660996BCDEE}" name="TN" displayName="TN" ref="B25:G29" totalsRowShown="0" headerRowDxfId="55" dataDxfId="54">
  <autoFilter ref="B25:G29" xr:uid="{CED6226C-88ED-47A8-AA6F-5A37ED69CF5D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6ECCD167-2DD4-469C-ADE8-19B6E1076AEF}" name="Type de Niveau" dataDxfId="53"/>
    <tableColumn id="2" xr3:uid="{AEDE524A-4B9F-425E-AEE0-3A71908E8650}" name="Temps total " dataDxfId="52"/>
    <tableColumn id="3" xr3:uid="{83D977DE-04BE-4027-88C7-D96335FBD631}" name="Charge de travail" dataDxfId="51"/>
    <tableColumn id="4" xr3:uid="{E6CEBA37-264F-44BB-865C-FC8B2051121C}" name="Nb Binômes" dataDxfId="50"/>
    <tableColumn id="5" xr3:uid="{0495D6D8-42B2-4790-BFB7-E768E15E7E48}" name="Durée de travail" dataDxfId="49"/>
    <tableColumn id="6" xr3:uid="{4E5C3767-B11B-422E-878E-BEBFF3878EBB}" name="Effectif" dataDxfId="48">
      <calculatedColumnFormula>TN[[#This Row],[Nb Binômes]]*2</calculatedColumnFormula>
    </tableColumn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3A11BBD-9CC2-469E-BCF2-CFD14D447CF4}" name="Tableau4" displayName="Tableau4" ref="K25:K29" totalsRowShown="0" headerRowDxfId="47" dataDxfId="46" tableBorderDxfId="45">
  <autoFilter ref="K25:K29" xr:uid="{F2113129-B011-4155-9001-916E34DD8381}">
    <filterColumn colId="0" hiddenButton="1"/>
  </autoFilter>
  <tableColumns count="1">
    <tableColumn id="1" xr3:uid="{54796DED-E3DD-4C49-9B71-4EF0A1590E4F}" name="Prérequis" dataDxfId="44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4E82763-25A6-43D2-8379-0CBD2373E75F}" name="TD" displayName="TD" ref="B33:C55" totalsRowShown="0" dataDxfId="43" tableBorderDxfId="42">
  <autoFilter ref="B33:C55" xr:uid="{C100B8DF-DA69-4919-945F-5E55B871F956}">
    <filterColumn colId="0" hiddenButton="1"/>
    <filterColumn colId="1" hiddenButton="1"/>
  </autoFilter>
  <tableColumns count="2">
    <tableColumn id="1" xr3:uid="{AD44D66A-1FA3-435F-8243-17237F156E52}" name="Ty." dataDxfId="41"/>
    <tableColumn id="2" xr3:uid="{D1468357-2B01-40E2-A738-3BDA5EB85AB4}" name="Temps pour 1 en fct du chrono" dataDxfId="40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749E6A4-E462-4A1D-8471-BA6359AA4054}" name="TT" displayName="TT" ref="J32:L38" totalsRowShown="0" headerRowDxfId="39" dataDxfId="38" tableBorderDxfId="37">
  <tableColumns count="3">
    <tableColumn id="1" xr3:uid="{FF9432E7-B1AB-48EC-9D45-131B9F45FAF8}" name="Type" dataDxfId="36"/>
    <tableColumn id="2" xr3:uid="{EE8DC244-74B2-483E-9879-FAA00F856DCE}" name="Finances" dataDxfId="35"/>
    <tableColumn id="3" xr3:uid="{7C554CC3-564E-451B-8619-8B1E4F9CD8C4}" name="Prix" dataDxfId="34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CF97522-3E94-4E15-AECB-E3992833D728}" name="Timer7" displayName="Timer7" ref="B3:N17" totalsRowCount="1" headerRowDxfId="33" headerRowBorderDxfId="32" tableBorderDxfId="31" totalsRowBorderDxfId="30">
  <autoFilter ref="B3:N16" xr:uid="{AD63961B-9F8A-4AB0-AB3A-CDD418410FD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sortState xmlns:xlrd2="http://schemas.microsoft.com/office/spreadsheetml/2017/richdata2" ref="B4:N16">
    <sortCondition ref="B3:B16"/>
  </sortState>
  <tableColumns count="13">
    <tableColumn id="1" xr3:uid="{A4CCDCD4-C58D-4679-BB09-9135CFF68495}" name="Ty." dataDxfId="29" totalsRowDxfId="28"/>
    <tableColumn id="2" xr3:uid="{3CBDF078-BCC6-456A-A9B5-5E65A418BC79}" name="Désignat. type de magasin" dataDxfId="27" totalsRowDxfId="26"/>
    <tableColumn id="3" xr3:uid="{63C5FBB3-9D8C-4489-ACD2-6E385F450CC8}" name="Occupé" dataDxfId="25" totalsRowDxfId="24"/>
    <tableColumn id="4" xr3:uid="{46FF80C5-D6C8-47BF-AECA-CBE979884214}" name=" Vide" dataDxfId="23" totalsRowDxfId="22"/>
    <tableColumn id="5" xr3:uid="{35250F75-5A8B-4126-8CCE-F74E9246949A}" name="Total" totalsRowFunction="custom" dataDxfId="21" totalsRowDxfId="20">
      <calculatedColumnFormula>D4+E4</calculatedColumnFormula>
      <totalsRowFormula>SUM(F4:F16)</totalsRowFormula>
    </tableColumn>
    <tableColumn id="6" xr3:uid="{13CFD6D6-C38D-4433-B3D5-95B6AA8B4112}" name="Produits sans codes barres" dataDxfId="19" totalsRowDxfId="18"/>
    <tableColumn id="7" xr3:uid="{DEB57BB8-4A36-471F-B8E1-B606DBC27F32}" name="Ecarts" totalsRowLabel="25" dataDxfId="17" totalsRowDxfId="16"/>
    <tableColumn id="8" xr3:uid="{D052F091-9669-4E3D-BEE2-215F5066B7BB}" name="Emplacements sans code barres" dataDxfId="15" totalsRowDxfId="14"/>
    <tableColumn id="13" xr3:uid="{80DBC990-0111-45C0-8C08-CEC65D2C08CC}" name="Palettes à descendre" dataDxfId="13" totalsRowDxfId="12"/>
    <tableColumn id="14" xr3:uid="{CAB30B04-2596-4042-91D3-E10FCF300B5F}" name="Emplacements en cours de mouvements" dataDxfId="11" totalsRowDxfId="10"/>
    <tableColumn id="15" xr3:uid="{1A2733B3-90C4-4C90-92EE-16A0F0993AD1}" name="Impossible" dataDxfId="9" totalsRowDxfId="8"/>
    <tableColumn id="9" xr3:uid="{FA506ABB-6D5A-4EB3-9B59-567AD24E6FDE}" name="Temps total" dataDxfId="7" totalsRowDxfId="6"/>
    <tableColumn id="12" xr3:uid="{4FC0E9E3-2B02-49E7-918E-F84F2CAC6C91}" name="Temps pour 1" dataDxfId="5" totalsRowDxfId="4">
      <calculatedColumnFormula>(Timer7[[#This Row],[Temps total]]-Timer7[[#This Row],[ Vide]]*$F$30)/Timer7[[#This Row],[Occupé]]</calculatedColumnFormula>
    </tableColumn>
  </tableColumns>
  <tableStyleInfo name="TableStyleMedium1" showFirstColumn="1" showLastColumn="1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E9549F3-C579-4B28-9690-1C2A7B87CC45}" name="Tableau8" displayName="Tableau8" ref="B21:K25" totalsRowShown="0" headerRowDxfId="3" headerRowBorderDxfId="2" tableBorderDxfId="1" totalsRowBorderDxfId="0">
  <autoFilter ref="B21:K25" xr:uid="{032F9864-3621-4937-8AB7-8E249D56EE6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528CBEE3-0126-4369-A835-1A92CAF6BF39}" name="Ty."/>
    <tableColumn id="2" xr3:uid="{B9B96820-DFBF-4EA4-8A1E-F6936790400E}" name="Désignat. type de magasin"/>
    <tableColumn id="3" xr3:uid="{B37077C1-19BD-409F-AFEF-E592AA616B21}" name="Occupé"/>
    <tableColumn id="4" xr3:uid="{4273600E-17E3-4FB1-B083-221C42944430}" name=" Vide"/>
    <tableColumn id="5" xr3:uid="{AD3BB210-870D-4B24-B1B8-2677316E3328}" name="Total"/>
    <tableColumn id="6" xr3:uid="{376C47F5-6C0D-452A-AD21-4FDD1E1D6663}" name="Temps total"/>
    <tableColumn id="7" xr3:uid="{2D8586BF-C179-4E7C-8332-3703EC4BF684}" name="Type inventaire"/>
    <tableColumn id="8" xr3:uid="{EDE6121F-F498-4581-9EFC-DCA548F08219}" name="Quand faire l'inventaire"/>
    <tableColumn id="9" xr3:uid="{85F44D32-1FCE-4E4E-92DF-FECCAD1BC9BB}" name="Niveau"/>
    <tableColumn id="10" xr3:uid="{A166F863-A4C2-4A52-A3D9-B7CA35D939F2}" name="Remarques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92D05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a:spPr>
      <a:bodyPr vertOverflow="clip" horzOverflow="clip" rtlCol="0" anchor="ctr"/>
      <a:lstStyle>
        <a:defPPr algn="ctr">
          <a:defRPr sz="1100" b="0">
            <a:solidFill>
              <a:sysClr val="windowText" lastClr="000000"/>
            </a:solidFill>
            <a:latin typeface="+mn-lt"/>
            <a:cs typeface="Arial" panose="020B0604020202020204" pitchFamily="34" charset="0"/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29" dT="2021-05-07T09:25:56.77" personId="{1C7F475F-E899-4EBD-8432-8A38F715D5DE}" id="{CDDF7422-A07A-42B2-B094-73F170766AC1}">
    <text>1 seule personne pour le recomptage</text>
  </threadedComment>
</ThreadedComments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10" Type="http://schemas.microsoft.com/office/2017/10/relationships/threadedComment" Target="../threadedComments/threadedComment1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92EF8-D377-4238-B062-3641635B142C}">
  <sheetPr codeName="Feuil1"/>
  <dimension ref="A1:M55"/>
  <sheetViews>
    <sheetView showGridLines="0" tabSelected="1" zoomScaleNormal="100" workbookViewId="0">
      <selection activeCell="B22" sqref="B22"/>
    </sheetView>
  </sheetViews>
  <sheetFormatPr baseColWidth="10" defaultRowHeight="14.5" x14ac:dyDescent="0.35"/>
  <cols>
    <col min="1" max="1" width="2.81640625" customWidth="1"/>
    <col min="2" max="2" width="11.81640625" customWidth="1"/>
    <col min="3" max="3" width="27.453125" customWidth="1"/>
    <col min="4" max="4" width="14" customWidth="1"/>
    <col min="5" max="5" width="13.81640625" customWidth="1"/>
    <col min="6" max="6" width="17.26953125" customWidth="1"/>
    <col min="7" max="7" width="15.1796875" customWidth="1"/>
    <col min="8" max="8" width="17.1796875" bestFit="1" customWidth="1"/>
    <col min="9" max="9" width="13.7265625" customWidth="1"/>
    <col min="10" max="10" width="15" bestFit="1" customWidth="1"/>
    <col min="11" max="11" width="63.08984375" customWidth="1"/>
    <col min="12" max="14" width="11.54296875" customWidth="1"/>
  </cols>
  <sheetData>
    <row r="1" spans="1:11" x14ac:dyDescent="0.35">
      <c r="F1" s="68" t="s">
        <v>55</v>
      </c>
      <c r="G1" s="71">
        <f>SUBTOTAL(109,BD[Temps total])</f>
        <v>2.6558038749830417</v>
      </c>
    </row>
    <row r="2" spans="1:11" s="1" customFormat="1" ht="29" x14ac:dyDescent="0.35">
      <c r="B2" s="48" t="s">
        <v>0</v>
      </c>
      <c r="C2" s="48" t="s">
        <v>1</v>
      </c>
      <c r="D2" s="48" t="s">
        <v>2</v>
      </c>
      <c r="E2" s="48" t="s">
        <v>3</v>
      </c>
      <c r="F2" s="48" t="s">
        <v>4</v>
      </c>
      <c r="G2" s="48" t="s">
        <v>63</v>
      </c>
      <c r="H2" s="48" t="s">
        <v>5</v>
      </c>
      <c r="I2" s="48" t="s">
        <v>6</v>
      </c>
      <c r="J2" s="48" t="s">
        <v>7</v>
      </c>
      <c r="K2" s="48" t="s">
        <v>8</v>
      </c>
    </row>
    <row r="3" spans="1:11" ht="15" customHeight="1" x14ac:dyDescent="0.35">
      <c r="B3" s="41" t="s">
        <v>9</v>
      </c>
      <c r="C3" s="41" t="s">
        <v>10</v>
      </c>
      <c r="D3" s="41">
        <v>121</v>
      </c>
      <c r="E3" s="41">
        <v>310</v>
      </c>
      <c r="F3" s="41">
        <f>BD[[#This Row],[Occupé]]+BD[[#This Row],[ Vide]]</f>
        <v>431</v>
      </c>
      <c r="G3" s="49">
        <f>C34*800+BD[[#This Row],[ Vide]]*$C$53</f>
        <v>0.37995701058201059</v>
      </c>
      <c r="H3" s="41" t="s">
        <v>11</v>
      </c>
      <c r="I3" s="41" t="s">
        <v>12</v>
      </c>
      <c r="J3" s="41" t="s">
        <v>13</v>
      </c>
      <c r="K3" s="41" t="s">
        <v>14</v>
      </c>
    </row>
    <row r="4" spans="1:11" ht="15" customHeight="1" x14ac:dyDescent="0.35">
      <c r="B4" s="41" t="s">
        <v>15</v>
      </c>
      <c r="C4" s="41" t="s">
        <v>16</v>
      </c>
      <c r="D4" s="41">
        <v>1047</v>
      </c>
      <c r="E4" s="41">
        <v>527</v>
      </c>
      <c r="F4" s="41">
        <f>BD[[#This Row],[Occupé]]+BD[[#This Row],[ Vide]]</f>
        <v>1574</v>
      </c>
      <c r="G4" s="49">
        <f>BD[[#This Row],[Occupé]]*C35+BD[[#This Row],[ Vide]]*$C$53</f>
        <v>0.50639616402116405</v>
      </c>
      <c r="H4" s="41" t="s">
        <v>11</v>
      </c>
      <c r="I4" s="41" t="s">
        <v>12</v>
      </c>
      <c r="J4" s="41" t="s">
        <v>13</v>
      </c>
      <c r="K4" s="41" t="s">
        <v>14</v>
      </c>
    </row>
    <row r="5" spans="1:11" ht="15" customHeight="1" x14ac:dyDescent="0.35">
      <c r="B5" s="41" t="s">
        <v>15</v>
      </c>
      <c r="C5" s="41" t="s">
        <v>69</v>
      </c>
      <c r="D5" s="41">
        <v>596</v>
      </c>
      <c r="E5" s="41">
        <v>1238</v>
      </c>
      <c r="F5" s="41">
        <f>BD[[#This Row],[Occupé]]+BD[[#This Row],[ Vide]]</f>
        <v>1834</v>
      </c>
      <c r="G5" s="49">
        <f>BD[[#This Row],[Occupé]]*C36+BD[[#This Row],[ Vide]]*$C$53</f>
        <v>0.28989814814814818</v>
      </c>
      <c r="H5" s="41" t="s">
        <v>11</v>
      </c>
      <c r="I5" s="41" t="s">
        <v>12</v>
      </c>
      <c r="J5" s="41" t="s">
        <v>13</v>
      </c>
      <c r="K5" s="41" t="s">
        <v>14</v>
      </c>
    </row>
    <row r="6" spans="1:11" ht="15" customHeight="1" x14ac:dyDescent="0.35">
      <c r="B6" s="41" t="s">
        <v>15</v>
      </c>
      <c r="C6" s="41" t="s">
        <v>17</v>
      </c>
      <c r="D6" s="41">
        <v>130</v>
      </c>
      <c r="E6" s="41">
        <v>15</v>
      </c>
      <c r="F6" s="41">
        <f>BD[[#This Row],[Occupé]]+BD[[#This Row],[ Vide]]</f>
        <v>145</v>
      </c>
      <c r="G6" s="49">
        <f>BD[[#This Row],[Occupé]]*C37+BD[[#This Row],[ Vide]]*$C$53</f>
        <v>7.8618827160493829E-2</v>
      </c>
      <c r="H6" s="41" t="s">
        <v>11</v>
      </c>
      <c r="I6" s="41" t="s">
        <v>12</v>
      </c>
      <c r="J6" s="41" t="s">
        <v>13</v>
      </c>
      <c r="K6" s="41" t="s">
        <v>14</v>
      </c>
    </row>
    <row r="7" spans="1:11" ht="15" customHeight="1" x14ac:dyDescent="0.35">
      <c r="B7" s="41" t="s">
        <v>18</v>
      </c>
      <c r="C7" s="41" t="s">
        <v>19</v>
      </c>
      <c r="D7" s="41">
        <v>6</v>
      </c>
      <c r="E7" s="41">
        <v>16</v>
      </c>
      <c r="F7" s="41">
        <f>BD[[#This Row],[Occupé]]+BD[[#This Row],[ Vide]]</f>
        <v>22</v>
      </c>
      <c r="G7" s="49">
        <f>BD[[#This Row],[Occupé]]*C38+BD[[#This Row],[ Vide]]*$C$53</f>
        <v>7.990740740740741E-3</v>
      </c>
      <c r="H7" s="41" t="s">
        <v>20</v>
      </c>
      <c r="I7" s="41" t="s">
        <v>21</v>
      </c>
      <c r="J7" s="41" t="s">
        <v>13</v>
      </c>
      <c r="K7" s="41" t="s">
        <v>22</v>
      </c>
    </row>
    <row r="8" spans="1:11" ht="15" customHeight="1" x14ac:dyDescent="0.35">
      <c r="B8" s="41" t="s">
        <v>23</v>
      </c>
      <c r="C8" s="41" t="s">
        <v>24</v>
      </c>
      <c r="D8" s="41">
        <v>1496</v>
      </c>
      <c r="E8" s="41">
        <v>226</v>
      </c>
      <c r="F8" s="41">
        <f>BD[[#This Row],[Occupé]]+BD[[#This Row],[ Vide]]</f>
        <v>1722</v>
      </c>
      <c r="G8" s="49">
        <f>BD[[#This Row],[Occupé]]*C39+BD[[#This Row],[ Vide]]*$C$53</f>
        <v>0.60982870370370368</v>
      </c>
      <c r="H8" s="41" t="s">
        <v>11</v>
      </c>
      <c r="I8" s="41" t="s">
        <v>12</v>
      </c>
      <c r="J8" s="41" t="s">
        <v>25</v>
      </c>
      <c r="K8" s="41" t="s">
        <v>26</v>
      </c>
    </row>
    <row r="9" spans="1:11" ht="15" customHeight="1" x14ac:dyDescent="0.35">
      <c r="B9" s="41" t="s">
        <v>27</v>
      </c>
      <c r="C9" s="41" t="s">
        <v>28</v>
      </c>
      <c r="D9" s="41">
        <v>1</v>
      </c>
      <c r="E9" s="41">
        <v>0</v>
      </c>
      <c r="F9" s="41">
        <f>BD[[#This Row],[Occupé]]+BD[[#This Row],[ Vide]]</f>
        <v>1</v>
      </c>
      <c r="G9" s="49">
        <f>BD[[#This Row],[Occupé]]*C40+BD[[#This Row],[ Vide]]*$C$53</f>
        <v>4.8611111111111112E-3</v>
      </c>
      <c r="H9" s="41" t="s">
        <v>20</v>
      </c>
      <c r="I9" s="41" t="s">
        <v>12</v>
      </c>
      <c r="J9" s="41" t="s">
        <v>13</v>
      </c>
      <c r="K9" s="41" t="s">
        <v>14</v>
      </c>
    </row>
    <row r="10" spans="1:11" ht="15" customHeight="1" x14ac:dyDescent="0.35">
      <c r="B10" s="41" t="s">
        <v>29</v>
      </c>
      <c r="C10" s="41" t="s">
        <v>70</v>
      </c>
      <c r="D10" s="41">
        <v>157</v>
      </c>
      <c r="E10" s="41">
        <v>571</v>
      </c>
      <c r="F10" s="41">
        <f>BD[[#This Row],[Occupé]]+BD[[#This Row],[ Vide]]</f>
        <v>728</v>
      </c>
      <c r="G10" s="49">
        <f>BD[[#This Row],[Occupé]]*C41+BD[[#This Row],[ Vide]]*$C$53</f>
        <v>0.12354166666666666</v>
      </c>
      <c r="H10" s="41" t="s">
        <v>11</v>
      </c>
      <c r="I10" s="41" t="s">
        <v>12</v>
      </c>
      <c r="J10" s="41" t="s">
        <v>25</v>
      </c>
      <c r="K10" s="41" t="s">
        <v>26</v>
      </c>
    </row>
    <row r="11" spans="1:11" ht="15" customHeight="1" x14ac:dyDescent="0.35">
      <c r="B11" s="41" t="s">
        <v>30</v>
      </c>
      <c r="C11" s="41" t="s">
        <v>31</v>
      </c>
      <c r="D11" s="41">
        <v>12</v>
      </c>
      <c r="E11" s="41">
        <v>1</v>
      </c>
      <c r="F11" s="41">
        <f>BD[[#This Row],[Occupé]]+BD[[#This Row],[ Vide]]</f>
        <v>13</v>
      </c>
      <c r="G11" s="49">
        <f>BD[[#This Row],[Occupé]]*C42+BD[[#This Row],[ Vide]]*$C$53</f>
        <v>2.094212962962963E-2</v>
      </c>
      <c r="H11" s="41" t="s">
        <v>11</v>
      </c>
      <c r="I11" s="41" t="s">
        <v>12</v>
      </c>
      <c r="J11" s="41" t="s">
        <v>13</v>
      </c>
      <c r="K11" s="41" t="s">
        <v>32</v>
      </c>
    </row>
    <row r="12" spans="1:11" ht="15" customHeight="1" x14ac:dyDescent="0.35">
      <c r="B12" s="41" t="s">
        <v>33</v>
      </c>
      <c r="C12" s="41" t="s">
        <v>34</v>
      </c>
      <c r="D12" s="41">
        <v>3</v>
      </c>
      <c r="E12" s="41">
        <v>0</v>
      </c>
      <c r="F12" s="41">
        <f>BD[[#This Row],[Occupé]]+BD[[#This Row],[ Vide]]</f>
        <v>3</v>
      </c>
      <c r="G12" s="49">
        <f>BD[[#This Row],[Occupé]]*C43+BD[[#This Row],[ Vide]]*$C$53</f>
        <v>1.0416666666666666E-2</v>
      </c>
      <c r="H12" s="41" t="s">
        <v>20</v>
      </c>
      <c r="I12" s="41" t="s">
        <v>21</v>
      </c>
      <c r="J12" s="41" t="s">
        <v>13</v>
      </c>
      <c r="K12" s="41" t="s">
        <v>35</v>
      </c>
    </row>
    <row r="13" spans="1:11" ht="15" customHeight="1" x14ac:dyDescent="0.35">
      <c r="B13" s="41" t="s">
        <v>36</v>
      </c>
      <c r="C13" s="41" t="s">
        <v>37</v>
      </c>
      <c r="D13" s="41">
        <v>544</v>
      </c>
      <c r="E13" s="41">
        <v>179</v>
      </c>
      <c r="F13" s="41">
        <f>BD[[#This Row],[Occupé]]+BD[[#This Row],[ Vide]]</f>
        <v>723</v>
      </c>
      <c r="G13" s="49">
        <f>BD[[#This Row],[Occupé]]*C44+BD[[#This Row],[ Vide]]*$C$53</f>
        <v>0.36775658831908831</v>
      </c>
      <c r="H13" s="41" t="s">
        <v>11</v>
      </c>
      <c r="I13" s="41" t="s">
        <v>12</v>
      </c>
      <c r="J13" s="41" t="s">
        <v>25</v>
      </c>
      <c r="K13" s="41" t="s">
        <v>26</v>
      </c>
    </row>
    <row r="14" spans="1:11" ht="15" customHeight="1" x14ac:dyDescent="0.35">
      <c r="B14" s="41" t="s">
        <v>38</v>
      </c>
      <c r="C14" s="41" t="s">
        <v>39</v>
      </c>
      <c r="D14" s="41">
        <v>246</v>
      </c>
      <c r="E14" s="41">
        <v>40</v>
      </c>
      <c r="F14" s="41">
        <f>BD[[#This Row],[Occupé]]+BD[[#This Row],[ Vide]]</f>
        <v>286</v>
      </c>
      <c r="G14" s="49">
        <f>BD[[#This Row],[Occupé]]*C45+BD[[#This Row],[ Vide]]*$C$53</f>
        <v>9.9790740740740749E-2</v>
      </c>
      <c r="H14" s="41" t="s">
        <v>11</v>
      </c>
      <c r="I14" s="41" t="s">
        <v>12</v>
      </c>
      <c r="J14" s="41" t="s">
        <v>13</v>
      </c>
      <c r="K14" s="41" t="s">
        <v>14</v>
      </c>
    </row>
    <row r="15" spans="1:11" ht="15" customHeight="1" x14ac:dyDescent="0.35">
      <c r="B15" s="41" t="s">
        <v>40</v>
      </c>
      <c r="C15" s="41" t="s">
        <v>41</v>
      </c>
      <c r="D15" s="41">
        <v>273</v>
      </c>
      <c r="E15" s="41">
        <v>59</v>
      </c>
      <c r="F15" s="41">
        <f>BD[[#This Row],[Occupé]]+BD[[#This Row],[ Vide]]</f>
        <v>332</v>
      </c>
      <c r="G15" s="49">
        <f>BD[[#This Row],[Occupé]]*C46+BD[[#This Row],[ Vide]]*$C$53</f>
        <v>6.5927083333333331E-2</v>
      </c>
      <c r="H15" s="41" t="s">
        <v>11</v>
      </c>
      <c r="I15" s="41" t="s">
        <v>12</v>
      </c>
      <c r="J15" s="41" t="s">
        <v>13</v>
      </c>
      <c r="K15" s="41" t="s">
        <v>14</v>
      </c>
    </row>
    <row r="16" spans="1:11" ht="15" customHeight="1" x14ac:dyDescent="0.35">
      <c r="A16" s="69">
        <v>5</v>
      </c>
      <c r="B16" s="41" t="s">
        <v>42</v>
      </c>
      <c r="C16" s="41" t="s">
        <v>43</v>
      </c>
      <c r="D16" s="41">
        <v>129</v>
      </c>
      <c r="E16" s="41">
        <v>60</v>
      </c>
      <c r="F16" s="41">
        <f>BD[[#This Row],[Occupé]]+BD[[#This Row],[ Vide]]</f>
        <v>189</v>
      </c>
      <c r="G16" s="49">
        <f>BD[[#This Row],[Occupé]]*C47+BD[[#This Row],[ Vide]]*$C$53</f>
        <v>8.9116720085470072E-2</v>
      </c>
      <c r="H16" s="41" t="s">
        <v>11</v>
      </c>
      <c r="I16" s="41" t="s">
        <v>12</v>
      </c>
      <c r="J16" s="41" t="s">
        <v>25</v>
      </c>
      <c r="K16" s="41" t="s">
        <v>26</v>
      </c>
    </row>
    <row r="17" spans="1:12" ht="15" hidden="1" customHeight="1" x14ac:dyDescent="0.35">
      <c r="A17" s="70"/>
      <c r="B17" s="59" t="s">
        <v>44</v>
      </c>
      <c r="C17" s="10" t="s">
        <v>87</v>
      </c>
      <c r="D17" s="10">
        <v>296</v>
      </c>
      <c r="E17" s="10">
        <v>462</v>
      </c>
      <c r="F17" s="10">
        <f>BD[[#This Row],[Occupé]]+BD[[#This Row],[ Vide]]</f>
        <v>758</v>
      </c>
      <c r="G17" s="28">
        <f>BD[[#This Row],[Occupé]]*C49+BD[[#This Row],[ Vide]]*$C$53</f>
        <v>0.2101404320987654</v>
      </c>
      <c r="H17" s="10" t="s">
        <v>11</v>
      </c>
      <c r="I17" s="10" t="s">
        <v>12</v>
      </c>
      <c r="J17" s="10" t="s">
        <v>13</v>
      </c>
      <c r="K17" s="60" t="s">
        <v>14</v>
      </c>
    </row>
    <row r="18" spans="1:12" ht="15" hidden="1" customHeight="1" x14ac:dyDescent="0.35">
      <c r="B18" s="61" t="s">
        <v>44</v>
      </c>
      <c r="C18" s="11" t="s">
        <v>88</v>
      </c>
      <c r="D18" s="11">
        <v>479</v>
      </c>
      <c r="E18" s="11">
        <v>321</v>
      </c>
      <c r="F18" s="11">
        <f>BD[[#This Row],[Occupé]]+BD[[#This Row],[ Vide]]</f>
        <v>800</v>
      </c>
      <c r="G18" s="29">
        <f>BD[[#This Row],[Occupé]]*C50+BD[[#This Row],[ Vide]]*$C$53</f>
        <v>0.18857109788359788</v>
      </c>
      <c r="H18" s="11" t="s">
        <v>11</v>
      </c>
      <c r="I18" s="11" t="s">
        <v>12</v>
      </c>
      <c r="J18" s="11" t="s">
        <v>13</v>
      </c>
      <c r="K18" s="62" t="s">
        <v>14</v>
      </c>
    </row>
    <row r="19" spans="1:12" ht="15" hidden="1" customHeight="1" x14ac:dyDescent="0.35">
      <c r="B19" s="59" t="s">
        <v>45</v>
      </c>
      <c r="C19" s="10" t="s">
        <v>89</v>
      </c>
      <c r="D19" s="10">
        <v>183</v>
      </c>
      <c r="E19" s="10">
        <v>9</v>
      </c>
      <c r="F19" s="10">
        <f>BD[[#This Row],[Occupé]]+BD[[#This Row],[ Vide]]</f>
        <v>192</v>
      </c>
      <c r="G19" s="28">
        <f>BD[[#This Row],[Occupé]]*C51+BD[[#This Row],[ Vide]]*$C$53</f>
        <v>7.5111111111111115E-2</v>
      </c>
      <c r="H19" s="10" t="s">
        <v>11</v>
      </c>
      <c r="I19" s="10" t="s">
        <v>12</v>
      </c>
      <c r="J19" s="10" t="s">
        <v>25</v>
      </c>
      <c r="K19" s="60" t="s">
        <v>26</v>
      </c>
    </row>
    <row r="20" spans="1:12" ht="15" hidden="1" customHeight="1" x14ac:dyDescent="0.35">
      <c r="B20" s="61" t="s">
        <v>46</v>
      </c>
      <c r="C20" s="11" t="s">
        <v>90</v>
      </c>
      <c r="D20" s="11">
        <v>19</v>
      </c>
      <c r="E20" s="11">
        <v>6</v>
      </c>
      <c r="F20" s="11">
        <f>BD[[#This Row],[Occupé]]+BD[[#This Row],[ Vide]]</f>
        <v>25</v>
      </c>
      <c r="G20" s="29">
        <f>BD[[#This Row],[Occupé]]*C52+BD[[#This Row],[ Vide]]*$C$53</f>
        <v>4.0236111111111111E-2</v>
      </c>
      <c r="H20" s="11" t="s">
        <v>11</v>
      </c>
      <c r="I20" s="11" t="s">
        <v>12</v>
      </c>
      <c r="J20" s="11" t="s">
        <v>25</v>
      </c>
      <c r="K20" s="62" t="s">
        <v>26</v>
      </c>
    </row>
    <row r="21" spans="1:12" ht="15" customHeight="1" x14ac:dyDescent="0.35">
      <c r="B21" s="41" t="s">
        <v>47</v>
      </c>
      <c r="C21" s="41" t="s">
        <v>48</v>
      </c>
      <c r="D21" s="41">
        <v>0</v>
      </c>
      <c r="E21" s="41">
        <v>7</v>
      </c>
      <c r="F21" s="41">
        <f>BD[[#This Row],[Occupé]]+BD[[#This Row],[ Vide]]</f>
        <v>7</v>
      </c>
      <c r="G21" s="49">
        <f>BD[[#This Row],[Occupé]]*C52+BD[[#This Row],[ Vide]]*$C$53</f>
        <v>7.6157407407407402E-4</v>
      </c>
      <c r="H21" s="41" t="s">
        <v>20</v>
      </c>
      <c r="I21" s="50" t="s">
        <v>49</v>
      </c>
      <c r="J21" s="41" t="s">
        <v>13</v>
      </c>
      <c r="K21" s="41" t="s">
        <v>71</v>
      </c>
    </row>
    <row r="22" spans="1:12" x14ac:dyDescent="0.35">
      <c r="J22" s="2"/>
    </row>
    <row r="23" spans="1:12" ht="10" customHeight="1" x14ac:dyDescent="0.35"/>
    <row r="24" spans="1:12" ht="14" customHeight="1" thickBot="1" x14ac:dyDescent="0.4">
      <c r="C24" s="64" t="s">
        <v>54</v>
      </c>
      <c r="D24" s="65">
        <f>SUBTOTAL(109,C26:C29)</f>
        <v>5.4464495214724522</v>
      </c>
      <c r="E24" s="66"/>
      <c r="F24" s="66"/>
      <c r="G24" s="67">
        <f>SUBTOTAL(109,G26:G29)</f>
        <v>27</v>
      </c>
    </row>
    <row r="25" spans="1:12" ht="29.5" thickBot="1" x14ac:dyDescent="0.4">
      <c r="B25" s="33" t="s">
        <v>50</v>
      </c>
      <c r="C25" s="38" t="s">
        <v>51</v>
      </c>
      <c r="D25" s="38" t="s">
        <v>66</v>
      </c>
      <c r="E25" s="38" t="s">
        <v>52</v>
      </c>
      <c r="F25" s="38" t="s">
        <v>53</v>
      </c>
      <c r="G25" s="63" t="s">
        <v>56</v>
      </c>
      <c r="K25" s="46" t="s">
        <v>58</v>
      </c>
    </row>
    <row r="26" spans="1:12" ht="29" x14ac:dyDescent="0.35">
      <c r="B26" s="33" t="s">
        <v>59</v>
      </c>
      <c r="C26" s="55">
        <f>1.1*(SUMIF(K3:K21,K10,G3:G21)*TN[[#This Row],[Charge de travail]])</f>
        <v>1.0771124933226497</v>
      </c>
      <c r="D26" s="56">
        <f>1-D27</f>
        <v>0.75</v>
      </c>
      <c r="E26" s="34">
        <v>3</v>
      </c>
      <c r="F26" s="57">
        <f>TN[[#This Row],[Temps total ]]/TN[[#This Row],[Nb Binômes]]</f>
        <v>0.35903749777421656</v>
      </c>
      <c r="G26" s="58">
        <f>TN[[#This Row],[Nb Binômes]]*2</f>
        <v>6</v>
      </c>
      <c r="K26" s="38" t="s">
        <v>84</v>
      </c>
    </row>
    <row r="27" spans="1:12" ht="43.5" x14ac:dyDescent="0.35">
      <c r="B27" s="35" t="s">
        <v>72</v>
      </c>
      <c r="C27" s="36">
        <f>SUMIF(K3:K21,K10,F3:F21)*TN[[#This Row],[Charge de travail]]*C55*1.1</f>
        <v>0.66497840711805556</v>
      </c>
      <c r="D27" s="37">
        <v>0.25</v>
      </c>
      <c r="E27" s="38">
        <v>2</v>
      </c>
      <c r="F27" s="39">
        <f>TN[[#This Row],[Temps total ]]/TN[[#This Row],[Nb Binômes]]</f>
        <v>0.33248920355902778</v>
      </c>
      <c r="G27" s="40">
        <f>TN[[#This Row],[Nb Binômes]]*2</f>
        <v>4</v>
      </c>
      <c r="K27" s="47" t="s">
        <v>62</v>
      </c>
    </row>
    <row r="28" spans="1:12" x14ac:dyDescent="0.35">
      <c r="B28" s="35" t="s">
        <v>13</v>
      </c>
      <c r="C28" s="36">
        <f>1.1*SUMIF(J3:J21,J3,G3:G21)</f>
        <v>2.0506988988095243</v>
      </c>
      <c r="D28" s="37">
        <v>1</v>
      </c>
      <c r="E28" s="38">
        <v>6</v>
      </c>
      <c r="F28" s="39">
        <f>TN[[#This Row],[Temps total ]]/TN[[#This Row],[Nb Binômes]]</f>
        <v>0.34178314980158736</v>
      </c>
      <c r="G28" s="40">
        <f>TN[[#This Row],[Nb Binômes]]*2</f>
        <v>12</v>
      </c>
      <c r="K28" s="47" t="str">
        <f>"Vérifier qu'on ait " &amp;SUM(E26:E28)&amp; " terminaux qui fonctionnent"</f>
        <v>Vérifier qu'on ait 11 terminaux qui fonctionnent</v>
      </c>
    </row>
    <row r="29" spans="1:12" x14ac:dyDescent="0.35">
      <c r="B29" s="35" t="s">
        <v>57</v>
      </c>
      <c r="C29" s="36">
        <f>0.15*SUM(D3:D20)*C54</f>
        <v>1.6536597222222222</v>
      </c>
      <c r="D29" s="37">
        <v>1</v>
      </c>
      <c r="E29" s="38">
        <v>5</v>
      </c>
      <c r="F29" s="39">
        <f>TN[[#This Row],[Temps total ]]/TN[[#This Row],[Nb Binômes]]</f>
        <v>0.33073194444444443</v>
      </c>
      <c r="G29" s="40">
        <f>TN[[#This Row],[Nb Binômes]]</f>
        <v>5</v>
      </c>
      <c r="K29" s="47" t="s">
        <v>73</v>
      </c>
    </row>
    <row r="32" spans="1:12" x14ac:dyDescent="0.35">
      <c r="J32" s="6" t="s">
        <v>85</v>
      </c>
      <c r="K32" s="6" t="s">
        <v>67</v>
      </c>
      <c r="L32" s="6" t="s">
        <v>86</v>
      </c>
    </row>
    <row r="33" spans="2:13" x14ac:dyDescent="0.35">
      <c r="B33" s="41" t="s">
        <v>0</v>
      </c>
      <c r="C33" s="41" t="s">
        <v>64</v>
      </c>
      <c r="G33" s="9"/>
      <c r="J33" s="51" t="s">
        <v>68</v>
      </c>
      <c r="K33" s="8" t="str">
        <f>G24&amp; " personnes (11 binômes pour comptage + 5 solo pour recomptage)"</f>
        <v>27 personnes (11 binômes pour comptage + 5 solo pour recomptage)</v>
      </c>
      <c r="L33" s="52"/>
    </row>
    <row r="34" spans="2:13" x14ac:dyDescent="0.35">
      <c r="B34" s="42" t="s">
        <v>9</v>
      </c>
      <c r="C34" s="4">
        <v>4.327876984126984E-4</v>
      </c>
      <c r="J34" s="51" t="s">
        <v>111</v>
      </c>
      <c r="K34" s="8" t="str">
        <f>ROUNDUP(D24*24,0)&amp; " heures de charge au global soit " &amp;ROUNDUP(((SUM(C26:C28)*2)+C29)*24,0)&amp;"  heures ETP"</f>
        <v>131 heures de charge au global soit 222  heures ETP</v>
      </c>
      <c r="L34" s="52">
        <f>ROUNDUP(((SUM(C26:C28)*2)+C29)*24,0)*23</f>
        <v>5106</v>
      </c>
      <c r="M34" t="str">
        <f>ROUNDUP(((SUM(C26:C28)*2)+C29)*24,0)&amp;" heures x 23 euros (moyenne cout / H intérimaire)"</f>
        <v>222 heures x 23 euros (moyenne cout / H intérimaire)</v>
      </c>
    </row>
    <row r="35" spans="2:13" x14ac:dyDescent="0.35">
      <c r="B35" s="42" t="s">
        <v>15</v>
      </c>
      <c r="C35" s="4">
        <v>4.289021164021164E-4</v>
      </c>
      <c r="J35" s="51" t="s">
        <v>74</v>
      </c>
      <c r="K35" s="8" t="s">
        <v>75</v>
      </c>
      <c r="L35" s="52">
        <v>800</v>
      </c>
      <c r="M35" t="s">
        <v>76</v>
      </c>
    </row>
    <row r="36" spans="2:13" x14ac:dyDescent="0.35">
      <c r="B36" s="42" t="s">
        <v>15</v>
      </c>
      <c r="C36" s="4">
        <v>2.6041666666666666E-4</v>
      </c>
      <c r="J36" s="51"/>
      <c r="K36" s="7" t="s">
        <v>80</v>
      </c>
      <c r="L36" s="52">
        <f>SUM(L33:L35)</f>
        <v>5906</v>
      </c>
    </row>
    <row r="37" spans="2:13" x14ac:dyDescent="0.35">
      <c r="B37" s="42" t="s">
        <v>15</v>
      </c>
      <c r="C37" s="4">
        <v>5.9220679012345675E-4</v>
      </c>
      <c r="J37" s="51"/>
      <c r="K37" s="7" t="s">
        <v>81</v>
      </c>
      <c r="L37" s="52">
        <f>(L34*1.25)+L35</f>
        <v>7182.5</v>
      </c>
      <c r="M37" t="s">
        <v>79</v>
      </c>
    </row>
    <row r="38" spans="2:13" x14ac:dyDescent="0.35">
      <c r="B38" s="42" t="s">
        <v>18</v>
      </c>
      <c r="C38" s="5">
        <v>1.0416666666666667E-3</v>
      </c>
      <c r="J38" s="53"/>
      <c r="K38" s="54" t="s">
        <v>82</v>
      </c>
      <c r="L38" s="52">
        <f>L37-L36</f>
        <v>1276.5</v>
      </c>
      <c r="M38" t="s">
        <v>83</v>
      </c>
    </row>
    <row r="39" spans="2:13" ht="15" thickBot="1" x14ac:dyDescent="0.4">
      <c r="B39" s="42" t="s">
        <v>23</v>
      </c>
      <c r="C39" s="4">
        <v>3.9120370370370367E-4</v>
      </c>
    </row>
    <row r="40" spans="2:13" ht="15" thickBot="1" x14ac:dyDescent="0.4">
      <c r="B40" s="42" t="s">
        <v>27</v>
      </c>
      <c r="C40" s="43">
        <v>4.8611111111111112E-3</v>
      </c>
      <c r="I40" s="72" t="s">
        <v>110</v>
      </c>
      <c r="J40" s="73"/>
      <c r="K40" s="73"/>
      <c r="L40" s="73"/>
      <c r="M40" s="74"/>
    </row>
    <row r="41" spans="2:13" x14ac:dyDescent="0.35">
      <c r="B41" s="42" t="s">
        <v>29</v>
      </c>
      <c r="C41" s="4">
        <v>3.9120370370370367E-4</v>
      </c>
      <c r="I41" s="75" t="s">
        <v>77</v>
      </c>
      <c r="J41" s="76"/>
      <c r="K41" s="76"/>
      <c r="L41" s="76"/>
      <c r="M41" s="77"/>
    </row>
    <row r="42" spans="2:13" x14ac:dyDescent="0.35">
      <c r="B42" s="42" t="s">
        <v>30</v>
      </c>
      <c r="C42" s="4">
        <v>1.736111111111111E-3</v>
      </c>
      <c r="I42" s="78" t="s">
        <v>108</v>
      </c>
      <c r="J42" s="79"/>
      <c r="K42" s="79"/>
      <c r="L42" s="79"/>
      <c r="M42" s="80"/>
    </row>
    <row r="43" spans="2:13" x14ac:dyDescent="0.35">
      <c r="B43" s="42" t="s">
        <v>33</v>
      </c>
      <c r="C43" s="4">
        <v>3.472222222222222E-3</v>
      </c>
      <c r="I43" s="81" t="s">
        <v>109</v>
      </c>
      <c r="J43" s="82"/>
      <c r="K43" s="82"/>
      <c r="L43" s="82"/>
      <c r="M43" s="83"/>
    </row>
    <row r="44" spans="2:13" ht="15" thickBot="1" x14ac:dyDescent="0.4">
      <c r="B44" s="42" t="s">
        <v>36</v>
      </c>
      <c r="C44" s="4">
        <v>6.4022435897435892E-4</v>
      </c>
      <c r="I44" s="84" t="s">
        <v>78</v>
      </c>
      <c r="J44" s="85"/>
      <c r="K44" s="85"/>
      <c r="L44" s="85"/>
      <c r="M44" s="86"/>
    </row>
    <row r="45" spans="2:13" x14ac:dyDescent="0.35">
      <c r="B45" s="42" t="s">
        <v>38</v>
      </c>
      <c r="C45" s="4">
        <v>3.87962962962963E-4</v>
      </c>
    </row>
    <row r="46" spans="2:13" x14ac:dyDescent="0.35">
      <c r="B46" s="42" t="s">
        <v>40</v>
      </c>
      <c r="C46" s="4">
        <v>2.1797839506172841E-4</v>
      </c>
    </row>
    <row r="47" spans="2:13" x14ac:dyDescent="0.35">
      <c r="B47" s="42" t="s">
        <v>42</v>
      </c>
      <c r="C47" s="4">
        <v>6.4022435897435892E-4</v>
      </c>
    </row>
    <row r="48" spans="2:13" x14ac:dyDescent="0.35">
      <c r="B48" s="42" t="s">
        <v>44</v>
      </c>
      <c r="C48" s="4">
        <v>2.6620370370370367E-4</v>
      </c>
    </row>
    <row r="49" spans="2:3" x14ac:dyDescent="0.35">
      <c r="B49" s="42" t="s">
        <v>44</v>
      </c>
      <c r="C49" s="4">
        <v>5.4012345679012341E-4</v>
      </c>
    </row>
    <row r="50" spans="2:3" x14ac:dyDescent="0.35">
      <c r="B50" s="42" t="s">
        <v>45</v>
      </c>
      <c r="C50" s="4">
        <v>3.2076719576719576E-4</v>
      </c>
    </row>
    <row r="51" spans="2:3" x14ac:dyDescent="0.35">
      <c r="B51" s="42" t="s">
        <v>46</v>
      </c>
      <c r="C51" s="44">
        <v>4.0509259259259258E-4</v>
      </c>
    </row>
    <row r="52" spans="2:3" x14ac:dyDescent="0.35">
      <c r="B52" s="42" t="s">
        <v>47</v>
      </c>
      <c r="C52" s="3">
        <v>2.0833333333333333E-3</v>
      </c>
    </row>
    <row r="53" spans="2:3" x14ac:dyDescent="0.35">
      <c r="B53" s="45" t="s">
        <v>60</v>
      </c>
      <c r="C53" s="4">
        <v>1.0879629629629629E-4</v>
      </c>
    </row>
    <row r="54" spans="2:3" x14ac:dyDescent="0.35">
      <c r="B54" s="45" t="s">
        <v>61</v>
      </c>
      <c r="C54" s="4">
        <v>1.9212962962962964E-3</v>
      </c>
    </row>
    <row r="55" spans="2:3" x14ac:dyDescent="0.35">
      <c r="B55" s="45" t="s">
        <v>65</v>
      </c>
      <c r="C55" s="4">
        <v>6.7563657407407405E-4</v>
      </c>
    </row>
  </sheetData>
  <mergeCells count="5">
    <mergeCell ref="I40:M40"/>
    <mergeCell ref="I41:M41"/>
    <mergeCell ref="I42:M42"/>
    <mergeCell ref="I43:M43"/>
    <mergeCell ref="I44:M44"/>
  </mergeCells>
  <pageMargins left="0.7" right="0.7" top="0.75" bottom="0.75" header="0.3" footer="0.3"/>
  <pageSetup paperSize="9" orientation="portrait" r:id="rId1"/>
  <legacyDrawing r:id="rId2"/>
  <tableParts count="5">
    <tablePart r:id="rId3"/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3EAA3-AAEE-44A0-8782-053AD3421876}">
  <sheetPr codeName="Feuil2"/>
  <dimension ref="B3:N32"/>
  <sheetViews>
    <sheetView showGridLines="0" topLeftCell="D10" zoomScaleNormal="100" workbookViewId="0">
      <selection activeCell="B22" sqref="B22:K25"/>
    </sheetView>
  </sheetViews>
  <sheetFormatPr baseColWidth="10" defaultRowHeight="14.5" x14ac:dyDescent="0.35"/>
  <cols>
    <col min="1" max="1" width="2.7265625" customWidth="1"/>
    <col min="3" max="3" width="29.453125" bestFit="1" customWidth="1"/>
    <col min="4" max="4" width="16.54296875" customWidth="1"/>
    <col min="7" max="7" width="29.54296875" customWidth="1"/>
    <col min="8" max="8" width="20.54296875" customWidth="1"/>
    <col min="9" max="9" width="37.7265625" customWidth="1"/>
    <col min="10" max="10" width="17" customWidth="1"/>
    <col min="11" max="11" width="36.7265625" bestFit="1" customWidth="1"/>
    <col min="12" max="12" width="17" customWidth="1"/>
    <col min="13" max="13" width="24.26953125" customWidth="1"/>
    <col min="14" max="14" width="12.7265625" bestFit="1" customWidth="1"/>
    <col min="15" max="15" width="37.26953125" bestFit="1" customWidth="1"/>
  </cols>
  <sheetData>
    <row r="3" spans="2:14" ht="29" x14ac:dyDescent="0.35">
      <c r="B3" s="12" t="s">
        <v>0</v>
      </c>
      <c r="C3" s="13" t="s">
        <v>1</v>
      </c>
      <c r="D3" s="14" t="s">
        <v>2</v>
      </c>
      <c r="E3" s="14" t="s">
        <v>3</v>
      </c>
      <c r="F3" s="14" t="s">
        <v>4</v>
      </c>
      <c r="G3" s="14" t="s">
        <v>91</v>
      </c>
      <c r="H3" s="14" t="s">
        <v>92</v>
      </c>
      <c r="I3" s="14" t="s">
        <v>93</v>
      </c>
      <c r="J3" s="14" t="s">
        <v>94</v>
      </c>
      <c r="K3" s="14" t="s">
        <v>95</v>
      </c>
      <c r="L3" s="14" t="s">
        <v>96</v>
      </c>
      <c r="M3" s="14" t="s">
        <v>63</v>
      </c>
      <c r="N3" s="14" t="s">
        <v>97</v>
      </c>
    </row>
    <row r="4" spans="2:14" x14ac:dyDescent="0.35">
      <c r="B4" s="15" t="s">
        <v>9</v>
      </c>
      <c r="C4" s="16" t="s">
        <v>10</v>
      </c>
      <c r="D4" s="17">
        <v>28</v>
      </c>
      <c r="E4" s="17">
        <v>1</v>
      </c>
      <c r="F4" s="17">
        <v>29</v>
      </c>
      <c r="G4" s="17">
        <v>0</v>
      </c>
      <c r="H4" s="17">
        <v>5</v>
      </c>
      <c r="I4" s="17">
        <v>0</v>
      </c>
      <c r="J4" s="17">
        <v>0</v>
      </c>
      <c r="K4" s="17">
        <v>7</v>
      </c>
      <c r="L4" s="17">
        <v>0</v>
      </c>
      <c r="M4" s="18">
        <v>1.2118055555555556E-2</v>
      </c>
      <c r="N4" s="19">
        <f>(Timer7[[#This Row],[Temps total]]-Timer7[[#This Row],[ Vide]]*$F$30)/Timer7[[#This Row],[Occupé]]</f>
        <v>4.289021164021164E-4</v>
      </c>
    </row>
    <row r="5" spans="2:14" x14ac:dyDescent="0.35">
      <c r="B5" s="20" t="s">
        <v>15</v>
      </c>
      <c r="C5" s="17" t="s">
        <v>16</v>
      </c>
      <c r="D5" s="17">
        <v>28</v>
      </c>
      <c r="E5" s="17">
        <v>1</v>
      </c>
      <c r="F5" s="17">
        <v>29</v>
      </c>
      <c r="G5" s="17">
        <v>0</v>
      </c>
      <c r="H5" s="17">
        <v>5</v>
      </c>
      <c r="I5" s="17">
        <v>0</v>
      </c>
      <c r="J5" s="17">
        <v>0</v>
      </c>
      <c r="K5" s="17">
        <v>7</v>
      </c>
      <c r="L5" s="17">
        <v>0</v>
      </c>
      <c r="M5" s="18">
        <v>1.2118055555555556E-2</v>
      </c>
      <c r="N5" s="19">
        <f>(Timer7[[#This Row],[Temps total]]-Timer7[[#This Row],[ Vide]]*$F$30)/Timer7[[#This Row],[Occupé]]</f>
        <v>4.289021164021164E-4</v>
      </c>
    </row>
    <row r="6" spans="2:14" x14ac:dyDescent="0.35">
      <c r="B6" s="20" t="s">
        <v>15</v>
      </c>
      <c r="C6" s="17" t="s">
        <v>98</v>
      </c>
      <c r="D6" s="17">
        <v>8</v>
      </c>
      <c r="E6" s="17">
        <v>0</v>
      </c>
      <c r="F6" s="17">
        <v>8</v>
      </c>
      <c r="G6" s="17">
        <v>0</v>
      </c>
      <c r="H6" s="17">
        <v>1</v>
      </c>
      <c r="I6" s="17">
        <v>0</v>
      </c>
      <c r="J6" s="17">
        <v>0</v>
      </c>
      <c r="K6" s="17">
        <v>1</v>
      </c>
      <c r="L6" s="17">
        <v>0</v>
      </c>
      <c r="M6" s="18">
        <v>2.0833333333333333E-3</v>
      </c>
      <c r="N6" s="19">
        <f>(Timer7[[#This Row],[Temps total]]-Timer7[[#This Row],[ Vide]]*$F$30)/Timer7[[#This Row],[Occupé]]</f>
        <v>2.6041666666666666E-4</v>
      </c>
    </row>
    <row r="7" spans="2:14" x14ac:dyDescent="0.35">
      <c r="B7" s="20" t="s">
        <v>15</v>
      </c>
      <c r="C7" s="16" t="s">
        <v>17</v>
      </c>
      <c r="D7" s="17">
        <v>12</v>
      </c>
      <c r="E7" s="17">
        <v>0</v>
      </c>
      <c r="F7" s="17">
        <v>12</v>
      </c>
      <c r="G7" s="17">
        <v>0</v>
      </c>
      <c r="H7" s="17">
        <v>6</v>
      </c>
      <c r="I7" s="17">
        <v>0</v>
      </c>
      <c r="J7" s="17">
        <v>0</v>
      </c>
      <c r="K7" s="17">
        <v>6</v>
      </c>
      <c r="L7" s="17">
        <v>2</v>
      </c>
      <c r="M7" s="18">
        <v>7.106481481481481E-3</v>
      </c>
      <c r="N7" s="19">
        <f>(Timer7[[#This Row],[Temps total]]-Timer7[[#This Row],[ Vide]]*$F$30)/Timer7[[#This Row],[Occupé]]</f>
        <v>5.9220679012345675E-4</v>
      </c>
    </row>
    <row r="8" spans="2:14" x14ac:dyDescent="0.35">
      <c r="B8" s="20" t="s">
        <v>23</v>
      </c>
      <c r="C8" s="16" t="s">
        <v>24</v>
      </c>
      <c r="D8" s="17">
        <v>25</v>
      </c>
      <c r="E8" s="17">
        <v>5</v>
      </c>
      <c r="F8" s="17">
        <v>30</v>
      </c>
      <c r="G8" s="17">
        <v>1</v>
      </c>
      <c r="H8" s="17">
        <v>4</v>
      </c>
      <c r="I8" s="17">
        <v>0</v>
      </c>
      <c r="J8" s="17">
        <v>1</v>
      </c>
      <c r="K8" s="17">
        <v>0</v>
      </c>
      <c r="L8" s="17">
        <v>0</v>
      </c>
      <c r="M8" s="18">
        <v>1.0324074074074074E-2</v>
      </c>
      <c r="N8" s="19">
        <f>(Timer7[[#This Row],[Temps total]]-Timer7[[#This Row],[ Vide]]*$F$30)/Timer7[[#This Row],[Occupé]]</f>
        <v>3.9120370370370367E-4</v>
      </c>
    </row>
    <row r="9" spans="2:14" x14ac:dyDescent="0.35">
      <c r="B9" s="20" t="s">
        <v>29</v>
      </c>
      <c r="C9" s="17"/>
      <c r="D9" s="17">
        <v>25</v>
      </c>
      <c r="E9" s="17">
        <v>5</v>
      </c>
      <c r="F9" s="17">
        <v>30</v>
      </c>
      <c r="G9" s="17">
        <v>1</v>
      </c>
      <c r="H9" s="17">
        <v>4</v>
      </c>
      <c r="I9" s="17">
        <v>0</v>
      </c>
      <c r="J9" s="17">
        <v>1</v>
      </c>
      <c r="K9" s="17">
        <v>0</v>
      </c>
      <c r="L9" s="17">
        <v>0</v>
      </c>
      <c r="M9" s="18">
        <v>1.0324074074074074E-2</v>
      </c>
      <c r="N9" s="19">
        <f>(Timer7[[#This Row],[Temps total]]-Timer7[[#This Row],[ Vide]]*$F$30)/Timer7[[#This Row],[Occupé]]</f>
        <v>3.9120370370370367E-4</v>
      </c>
    </row>
    <row r="10" spans="2:14" x14ac:dyDescent="0.35">
      <c r="B10" s="20" t="s">
        <v>36</v>
      </c>
      <c r="C10" s="17" t="s">
        <v>37</v>
      </c>
      <c r="D10" s="21">
        <v>26</v>
      </c>
      <c r="E10" s="21">
        <v>7</v>
      </c>
      <c r="F10" s="17">
        <v>33</v>
      </c>
      <c r="G10" s="17">
        <v>7</v>
      </c>
      <c r="H10" s="17">
        <v>3</v>
      </c>
      <c r="I10" s="17">
        <v>1</v>
      </c>
      <c r="J10" s="21">
        <v>0</v>
      </c>
      <c r="K10" s="21">
        <v>0</v>
      </c>
      <c r="L10" s="21">
        <v>0</v>
      </c>
      <c r="M10" s="18">
        <v>1.7407407407407406E-2</v>
      </c>
      <c r="N10" s="19">
        <f>(Timer7[[#This Row],[Temps total]]-Timer7[[#This Row],[ Vide]]*$F$30)/Timer7[[#This Row],[Occupé]]</f>
        <v>6.4022435897435892E-4</v>
      </c>
    </row>
    <row r="11" spans="2:14" x14ac:dyDescent="0.35">
      <c r="B11" s="20" t="s">
        <v>38</v>
      </c>
      <c r="C11" s="17" t="s">
        <v>39</v>
      </c>
      <c r="D11" s="17">
        <v>5</v>
      </c>
      <c r="E11" s="17">
        <v>1</v>
      </c>
      <c r="F11" s="17">
        <v>6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8">
        <v>2.0486111111111113E-3</v>
      </c>
      <c r="N11" s="19">
        <f>(Timer7[[#This Row],[Temps total]]-Timer7[[#This Row],[ Vide]]*$F$30)/Timer7[[#This Row],[Occupé]]</f>
        <v>3.87962962962963E-4</v>
      </c>
    </row>
    <row r="12" spans="2:14" x14ac:dyDescent="0.35">
      <c r="B12" s="20" t="s">
        <v>40</v>
      </c>
      <c r="C12" s="17" t="s">
        <v>41</v>
      </c>
      <c r="D12" s="17">
        <v>6</v>
      </c>
      <c r="E12" s="17">
        <v>0</v>
      </c>
      <c r="F12" s="17">
        <v>6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8">
        <v>1.3078703703703705E-3</v>
      </c>
      <c r="N12" s="19">
        <f>(Timer7[[#This Row],[Temps total]]-Timer7[[#This Row],[ Vide]]*$F$30)/Timer7[[#This Row],[Occupé]]</f>
        <v>2.1797839506172841E-4</v>
      </c>
    </row>
    <row r="13" spans="2:14" x14ac:dyDescent="0.35">
      <c r="B13" s="20" t="s">
        <v>42</v>
      </c>
      <c r="C13" s="17"/>
      <c r="D13" s="21">
        <v>26</v>
      </c>
      <c r="E13" s="21">
        <v>7</v>
      </c>
      <c r="F13" s="17">
        <v>33</v>
      </c>
      <c r="G13" s="17">
        <v>7</v>
      </c>
      <c r="H13" s="17">
        <v>3</v>
      </c>
      <c r="I13" s="17">
        <v>1</v>
      </c>
      <c r="J13" s="21">
        <v>0</v>
      </c>
      <c r="K13" s="21">
        <v>0</v>
      </c>
      <c r="L13" s="21">
        <v>0</v>
      </c>
      <c r="M13" s="18">
        <v>1.7407407407407406E-2</v>
      </c>
      <c r="N13" s="19">
        <f>(Timer7[[#This Row],[Temps total]]-Timer7[[#This Row],[ Vide]]*$F$30)/Timer7[[#This Row],[Occupé]]</f>
        <v>6.4022435897435892E-4</v>
      </c>
    </row>
    <row r="14" spans="2:14" x14ac:dyDescent="0.35">
      <c r="B14" s="20" t="s">
        <v>44</v>
      </c>
      <c r="C14" s="17" t="s">
        <v>99</v>
      </c>
      <c r="D14" s="17">
        <v>6</v>
      </c>
      <c r="E14" s="17">
        <v>0</v>
      </c>
      <c r="F14" s="17">
        <f t="shared" ref="F14:F16" si="0">D14+E14</f>
        <v>6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8">
        <v>1.5972222222222221E-3</v>
      </c>
      <c r="N14" s="19">
        <f>(Timer7[[#This Row],[Temps total]]-Timer7[[#This Row],[ Vide]]*$F$30)/Timer7[[#This Row],[Occupé]]</f>
        <v>2.6620370370370367E-4</v>
      </c>
    </row>
    <row r="15" spans="2:14" x14ac:dyDescent="0.35">
      <c r="B15" s="16" t="s">
        <v>44</v>
      </c>
      <c r="C15" s="16" t="s">
        <v>88</v>
      </c>
      <c r="D15" s="17">
        <v>6</v>
      </c>
      <c r="E15" s="17">
        <v>0</v>
      </c>
      <c r="F15" s="17">
        <f t="shared" si="0"/>
        <v>6</v>
      </c>
      <c r="G15" s="17">
        <v>0</v>
      </c>
      <c r="H15" s="17">
        <v>4</v>
      </c>
      <c r="I15" s="17">
        <v>0</v>
      </c>
      <c r="J15" s="17">
        <v>0</v>
      </c>
      <c r="K15" s="17">
        <v>1</v>
      </c>
      <c r="L15" s="17">
        <v>0</v>
      </c>
      <c r="M15" s="18">
        <v>3.2407407407407406E-3</v>
      </c>
      <c r="N15" s="19">
        <f>(Timer7[[#This Row],[Temps total]]-Timer7[[#This Row],[ Vide]]*$F$30)/Timer7[[#This Row],[Occupé]]</f>
        <v>5.4012345679012341E-4</v>
      </c>
    </row>
    <row r="16" spans="2:14" x14ac:dyDescent="0.35">
      <c r="B16" s="20" t="s">
        <v>45</v>
      </c>
      <c r="C16" s="17" t="s">
        <v>89</v>
      </c>
      <c r="D16" s="17">
        <v>28</v>
      </c>
      <c r="E16" s="17">
        <v>0</v>
      </c>
      <c r="F16" s="17">
        <f t="shared" si="0"/>
        <v>28</v>
      </c>
      <c r="G16" s="17">
        <v>0</v>
      </c>
      <c r="H16" s="17">
        <v>2</v>
      </c>
      <c r="I16" s="17">
        <v>0</v>
      </c>
      <c r="J16" s="17">
        <v>0</v>
      </c>
      <c r="K16" s="17">
        <v>0</v>
      </c>
      <c r="L16" s="17">
        <v>0</v>
      </c>
      <c r="M16" s="18">
        <v>8.9814814814814809E-3</v>
      </c>
      <c r="N16" s="19">
        <f>(Timer7[[#This Row],[Temps total]]-Timer7[[#This Row],[ Vide]]*$F$30)/Timer7[[#This Row],[Occupé]]</f>
        <v>3.2076719576719576E-4</v>
      </c>
    </row>
    <row r="17" spans="2:14" x14ac:dyDescent="0.35">
      <c r="B17" s="20"/>
      <c r="C17" s="17"/>
      <c r="D17" s="17"/>
      <c r="E17" s="17"/>
      <c r="F17" s="17">
        <f>SUM(F4:F16)</f>
        <v>256</v>
      </c>
      <c r="G17" s="17"/>
      <c r="H17" s="17" t="s">
        <v>100</v>
      </c>
      <c r="I17" s="17"/>
      <c r="J17" s="17"/>
      <c r="K17" s="17"/>
      <c r="L17" s="17"/>
      <c r="M17" s="18"/>
      <c r="N17" s="19"/>
    </row>
    <row r="18" spans="2:14" x14ac:dyDescent="0.35">
      <c r="G18" s="22">
        <f>Timer7[[#Totals],[Ecarts]]/Timer7[[#Totals],[Total]]</f>
        <v>9.765625E-2</v>
      </c>
    </row>
    <row r="20" spans="2:14" x14ac:dyDescent="0.35">
      <c r="B20" s="87" t="s">
        <v>107</v>
      </c>
      <c r="C20" s="87"/>
      <c r="D20" s="87"/>
      <c r="E20" s="87"/>
      <c r="F20" s="87"/>
      <c r="G20" s="87"/>
      <c r="H20" s="87"/>
      <c r="I20" s="87"/>
      <c r="J20" s="87"/>
      <c r="K20" s="87"/>
    </row>
    <row r="21" spans="2:14" ht="45.75" customHeight="1" x14ac:dyDescent="0.35">
      <c r="B21" s="32" t="s">
        <v>0</v>
      </c>
      <c r="C21" s="32" t="s">
        <v>1</v>
      </c>
      <c r="D21" s="32" t="s">
        <v>2</v>
      </c>
      <c r="E21" s="32" t="s">
        <v>3</v>
      </c>
      <c r="F21" s="32" t="s">
        <v>4</v>
      </c>
      <c r="G21" s="32" t="s">
        <v>63</v>
      </c>
      <c r="H21" s="32" t="s">
        <v>5</v>
      </c>
      <c r="I21" s="32" t="s">
        <v>6</v>
      </c>
      <c r="J21" s="32" t="s">
        <v>7</v>
      </c>
      <c r="K21" s="32" t="s">
        <v>8</v>
      </c>
    </row>
    <row r="22" spans="2:14" x14ac:dyDescent="0.35">
      <c r="B22" s="10" t="s">
        <v>44</v>
      </c>
      <c r="C22" s="10" t="s">
        <v>87</v>
      </c>
      <c r="D22" s="10">
        <v>296</v>
      </c>
      <c r="E22" s="10">
        <v>462</v>
      </c>
      <c r="F22" s="10">
        <v>758</v>
      </c>
      <c r="G22" s="28">
        <v>0.12906018518518517</v>
      </c>
      <c r="H22" s="10" t="s">
        <v>11</v>
      </c>
      <c r="I22" s="10" t="s">
        <v>12</v>
      </c>
      <c r="J22" s="10" t="s">
        <v>13</v>
      </c>
      <c r="K22" s="10" t="s">
        <v>14</v>
      </c>
    </row>
    <row r="23" spans="2:14" x14ac:dyDescent="0.35">
      <c r="B23" s="11" t="s">
        <v>44</v>
      </c>
      <c r="C23" s="11" t="s">
        <v>88</v>
      </c>
      <c r="D23" s="11">
        <v>479</v>
      </c>
      <c r="E23" s="11">
        <v>321</v>
      </c>
      <c r="F23" s="11">
        <v>800</v>
      </c>
      <c r="G23" s="29">
        <v>0.29364274691358022</v>
      </c>
      <c r="H23" s="11" t="s">
        <v>11</v>
      </c>
      <c r="I23" s="11" t="s">
        <v>12</v>
      </c>
      <c r="J23" s="11" t="s">
        <v>13</v>
      </c>
      <c r="K23" s="11" t="s">
        <v>14</v>
      </c>
    </row>
    <row r="24" spans="2:14" x14ac:dyDescent="0.35">
      <c r="B24" s="10" t="s">
        <v>45</v>
      </c>
      <c r="C24" s="10" t="s">
        <v>89</v>
      </c>
      <c r="D24" s="10">
        <v>183</v>
      </c>
      <c r="E24" s="10">
        <v>9</v>
      </c>
      <c r="F24" s="10">
        <v>192</v>
      </c>
      <c r="G24" s="28">
        <v>5.9679563492063492E-2</v>
      </c>
      <c r="H24" s="10" t="s">
        <v>11</v>
      </c>
      <c r="I24" s="10" t="s">
        <v>12</v>
      </c>
      <c r="J24" s="10" t="s">
        <v>25</v>
      </c>
      <c r="K24" s="10" t="s">
        <v>26</v>
      </c>
    </row>
    <row r="25" spans="2:14" x14ac:dyDescent="0.35">
      <c r="B25" s="30" t="s">
        <v>46</v>
      </c>
      <c r="C25" s="30" t="s">
        <v>90</v>
      </c>
      <c r="D25" s="30">
        <v>19</v>
      </c>
      <c r="E25" s="30">
        <v>6</v>
      </c>
      <c r="F25" s="30">
        <v>25</v>
      </c>
      <c r="G25" s="31">
        <v>8.3495370370370373E-3</v>
      </c>
      <c r="H25" s="30" t="s">
        <v>11</v>
      </c>
      <c r="I25" s="30" t="s">
        <v>12</v>
      </c>
      <c r="J25" s="30" t="s">
        <v>25</v>
      </c>
      <c r="K25" s="30" t="s">
        <v>26</v>
      </c>
    </row>
    <row r="29" spans="2:14" ht="15" thickBot="1" x14ac:dyDescent="0.4"/>
    <row r="30" spans="2:14" ht="29.5" thickBot="1" x14ac:dyDescent="0.4">
      <c r="C30" s="23" t="s">
        <v>101</v>
      </c>
      <c r="D30" s="24" t="s">
        <v>102</v>
      </c>
      <c r="E30" s="25">
        <v>5.4398148148148144E-4</v>
      </c>
      <c r="F30" s="26">
        <f>E30/5</f>
        <v>1.0879629629629629E-4</v>
      </c>
    </row>
    <row r="31" spans="2:14" ht="29.5" thickBot="1" x14ac:dyDescent="0.4">
      <c r="C31" s="23" t="s">
        <v>103</v>
      </c>
      <c r="D31" s="24" t="s">
        <v>104</v>
      </c>
      <c r="E31" s="25">
        <v>9.6064814814814815E-3</v>
      </c>
      <c r="F31" s="26">
        <f>E31/3</f>
        <v>3.2021604938271605E-3</v>
      </c>
    </row>
    <row r="32" spans="2:14" ht="29.5" thickBot="1" x14ac:dyDescent="0.4">
      <c r="C32" s="23" t="s">
        <v>105</v>
      </c>
      <c r="D32" s="24" t="s">
        <v>106</v>
      </c>
      <c r="E32" s="27">
        <v>5.4050925925925924E-3</v>
      </c>
      <c r="F32" s="26">
        <f>E32/8</f>
        <v>6.7563657407407405E-4</v>
      </c>
    </row>
  </sheetData>
  <mergeCells count="1">
    <mergeCell ref="B20:K20"/>
  </mergeCell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Chrono</vt:lpstr>
      <vt:lpstr>'Temps mesurés'!Chrono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FATTAH Houcem-Eddine</dc:creator>
  <cp:lastModifiedBy>OrDonc</cp:lastModifiedBy>
  <dcterms:created xsi:type="dcterms:W3CDTF">2021-05-05T09:20:30Z</dcterms:created>
  <dcterms:modified xsi:type="dcterms:W3CDTF">2021-05-19T15:08:13Z</dcterms:modified>
</cp:coreProperties>
</file>