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3CB0B574-F63A-4065-BAD3-D3D8B36E4969}" xr6:coauthVersionLast="45" xr6:coauthVersionMax="45" xr10:uidLastSave="{00000000-0000-0000-0000-000000000000}"/>
  <bookViews>
    <workbookView xWindow="28680" yWindow="-120" windowWidth="29040" windowHeight="16440" xr2:uid="{70689017-8D66-420A-83ED-98E7B9B400FA}"/>
  </bookViews>
  <sheets>
    <sheet name="Historic + TCD" sheetId="1" r:id="rId1"/>
  </sheets>
  <definedNames>
    <definedName name="Actions">#REF!</definedName>
    <definedName name="Actions2">#REF!</definedName>
    <definedName name="Devises">#REF!</definedName>
    <definedName name="Forex">#REF!</definedName>
    <definedName name="Historic">#REF!</definedName>
    <definedName name="Historique">#REF!</definedName>
    <definedName name="Valeurs">#REF!</definedName>
    <definedName name="Valeurs2">#REF!</definedName>
  </definedName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Q4" i="1"/>
  <c r="O4" i="1"/>
  <c r="P5" i="1"/>
  <c r="Q5" i="1"/>
  <c r="P6" i="1"/>
  <c r="Q6" i="1"/>
  <c r="P7" i="1"/>
  <c r="Q7" i="1"/>
  <c r="P8" i="1"/>
  <c r="Q8" i="1"/>
  <c r="P9" i="1"/>
  <c r="Q9" i="1"/>
  <c r="P10" i="1"/>
  <c r="Q10" i="1"/>
  <c r="P11" i="1"/>
  <c r="Q11" i="1"/>
  <c r="P12" i="1"/>
  <c r="Q12" i="1"/>
  <c r="P13" i="1"/>
  <c r="Q13" i="1"/>
  <c r="P14" i="1"/>
  <c r="Q14" i="1"/>
  <c r="P15" i="1"/>
  <c r="Q15" i="1"/>
  <c r="P16" i="1"/>
  <c r="Q16" i="1"/>
  <c r="P17" i="1"/>
  <c r="Q17" i="1"/>
  <c r="P18" i="1"/>
  <c r="Q18" i="1"/>
  <c r="P19" i="1"/>
  <c r="Q19" i="1"/>
  <c r="P20" i="1"/>
  <c r="Q20" i="1"/>
  <c r="P21" i="1"/>
  <c r="Q21" i="1"/>
  <c r="P22" i="1"/>
  <c r="Q22" i="1"/>
  <c r="P23" i="1"/>
  <c r="Q23" i="1"/>
  <c r="P24" i="1"/>
  <c r="Q24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6" i="1"/>
  <c r="O5" i="1"/>
  <c r="C52" i="1"/>
  <c r="F51" i="1"/>
  <c r="E51" i="1"/>
  <c r="D51" i="1"/>
  <c r="F50" i="1"/>
  <c r="E50" i="1"/>
  <c r="D50" i="1"/>
  <c r="F49" i="1"/>
  <c r="E49" i="1"/>
  <c r="D49" i="1"/>
  <c r="F48" i="1"/>
  <c r="E48" i="1"/>
  <c r="D48" i="1"/>
  <c r="F47" i="1"/>
  <c r="E47" i="1"/>
  <c r="D47" i="1"/>
  <c r="F46" i="1"/>
  <c r="E46" i="1"/>
  <c r="D46" i="1"/>
  <c r="F45" i="1"/>
  <c r="E45" i="1"/>
  <c r="D45" i="1"/>
  <c r="F44" i="1"/>
  <c r="E44" i="1"/>
  <c r="D44" i="1"/>
  <c r="F43" i="1"/>
  <c r="E43" i="1"/>
  <c r="D43" i="1"/>
  <c r="F42" i="1"/>
  <c r="E42" i="1"/>
  <c r="D42" i="1"/>
  <c r="F41" i="1"/>
  <c r="E41" i="1"/>
  <c r="D41" i="1"/>
  <c r="F40" i="1"/>
  <c r="E40" i="1"/>
  <c r="D40" i="1"/>
  <c r="F39" i="1"/>
  <c r="E39" i="1"/>
  <c r="D39" i="1"/>
  <c r="F38" i="1"/>
  <c r="F37" i="1"/>
  <c r="F36" i="1"/>
  <c r="F35" i="1"/>
  <c r="F34" i="1"/>
  <c r="F33" i="1"/>
  <c r="F32" i="1"/>
  <c r="F31" i="1"/>
  <c r="F30" i="1"/>
  <c r="F29" i="1"/>
  <c r="F28" i="1"/>
  <c r="E28" i="1"/>
  <c r="D28" i="1"/>
  <c r="F27" i="1"/>
  <c r="E27" i="1"/>
  <c r="D27" i="1"/>
  <c r="F26" i="1"/>
  <c r="G25" i="1"/>
  <c r="F25" i="1"/>
  <c r="C25" i="1"/>
  <c r="G24" i="1"/>
  <c r="F24" i="1"/>
  <c r="C24" i="1"/>
  <c r="G23" i="1"/>
  <c r="F23" i="1"/>
  <c r="G22" i="1"/>
  <c r="F22" i="1"/>
  <c r="G21" i="1"/>
  <c r="F21" i="1"/>
  <c r="G20" i="1"/>
  <c r="F20" i="1"/>
  <c r="F19" i="1"/>
  <c r="G18" i="1"/>
  <c r="F18" i="1"/>
  <c r="G17" i="1"/>
  <c r="F17" i="1"/>
  <c r="G16" i="1"/>
  <c r="F16" i="1"/>
  <c r="C16" i="1"/>
  <c r="F15" i="1"/>
  <c r="G14" i="1"/>
  <c r="F14" i="1"/>
  <c r="C14" i="1"/>
  <c r="G13" i="1"/>
  <c r="G52" i="1" s="1"/>
  <c r="F13" i="1"/>
  <c r="C13" i="1"/>
  <c r="F12" i="1"/>
  <c r="F11" i="1"/>
  <c r="F10" i="1"/>
  <c r="E10" i="1"/>
  <c r="D10" i="1"/>
  <c r="E11" i="1" s="1"/>
  <c r="F9" i="1"/>
  <c r="S24" i="1"/>
  <c r="S23" i="1"/>
  <c r="S22" i="1"/>
  <c r="S21" i="1"/>
  <c r="S20" i="1"/>
  <c r="S19" i="1"/>
  <c r="S18" i="1"/>
  <c r="S16" i="1"/>
  <c r="S15" i="1"/>
  <c r="S14" i="1"/>
  <c r="S13" i="1"/>
  <c r="S12" i="1"/>
  <c r="S11" i="1"/>
  <c r="S10" i="1"/>
  <c r="S9" i="1"/>
  <c r="S8" i="1"/>
  <c r="S7" i="1"/>
  <c r="S5" i="1"/>
  <c r="S4" i="1"/>
  <c r="R17" i="1"/>
  <c r="R24" i="1"/>
  <c r="R23" i="1"/>
  <c r="R22" i="1"/>
  <c r="R21" i="1"/>
  <c r="R20" i="1"/>
  <c r="R19" i="1"/>
  <c r="R18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W7" i="1" l="1"/>
  <c r="W6" i="1"/>
  <c r="U6" i="1"/>
  <c r="V7" i="1"/>
  <c r="V6" i="1"/>
  <c r="R25" i="1"/>
  <c r="U7" i="1" s="1"/>
  <c r="D52" i="1"/>
  <c r="D11" i="1"/>
  <c r="W10" i="1" l="1"/>
  <c r="W11" i="1" s="1"/>
  <c r="S6" i="1" s="1"/>
  <c r="U10" i="1"/>
  <c r="U11" i="1" s="1"/>
  <c r="S25" i="1" s="1"/>
  <c r="V10" i="1"/>
  <c r="V11" i="1" s="1"/>
  <c r="D12" i="1"/>
  <c r="E12" i="1"/>
  <c r="B54" i="1"/>
  <c r="E5" i="1" s="1"/>
  <c r="B53" i="1"/>
  <c r="E6" i="1" l="1"/>
  <c r="F6" i="1"/>
  <c r="D13" i="1"/>
  <c r="E13" i="1"/>
  <c r="E14" i="1" l="1"/>
  <c r="D14" i="1"/>
  <c r="E15" i="1" l="1"/>
  <c r="D15" i="1"/>
  <c r="E16" i="1" l="1"/>
  <c r="D16" i="1"/>
  <c r="E17" i="1" l="1"/>
  <c r="D17" i="1"/>
  <c r="E18" i="1" l="1"/>
  <c r="D18" i="1"/>
  <c r="E19" i="1" l="1"/>
  <c r="D19" i="1"/>
  <c r="D20" i="1" l="1"/>
  <c r="E20" i="1"/>
  <c r="D21" i="1" l="1"/>
  <c r="E21" i="1"/>
  <c r="D22" i="1" l="1"/>
  <c r="E22" i="1"/>
  <c r="E23" i="1" l="1"/>
  <c r="D23" i="1"/>
  <c r="E24" i="1" l="1"/>
  <c r="D24" i="1"/>
  <c r="E25" i="1" l="1"/>
  <c r="D25" i="1"/>
  <c r="E26" i="1" l="1"/>
  <c r="D26" i="1"/>
</calcChain>
</file>

<file path=xl/sharedStrings.xml><?xml version="1.0" encoding="utf-8"?>
<sst xmlns="http://schemas.openxmlformats.org/spreadsheetml/2006/main" count="48" uniqueCount="44">
  <si>
    <t>HISTORIQUE :</t>
  </si>
  <si>
    <t>Dates</t>
  </si>
  <si>
    <t>GAINS</t>
  </si>
  <si>
    <t>PERTES</t>
  </si>
  <si>
    <t>CAPITAL</t>
  </si>
  <si>
    <t>VARIATIONS</t>
  </si>
  <si>
    <t>Capital S-1</t>
  </si>
  <si>
    <t>Capital S</t>
  </si>
  <si>
    <t>févr</t>
  </si>
  <si>
    <t>28-févr</t>
  </si>
  <si>
    <t>avr</t>
  </si>
  <si>
    <t>Gagnants :</t>
  </si>
  <si>
    <t>Capital :</t>
  </si>
  <si>
    <t>Perdants :</t>
  </si>
  <si>
    <t>02-avr</t>
  </si>
  <si>
    <t>Date :</t>
  </si>
  <si>
    <t>Gain :</t>
  </si>
  <si>
    <t>Trades :</t>
  </si>
  <si>
    <t>% par Jours :</t>
  </si>
  <si>
    <t>Date :2</t>
  </si>
  <si>
    <t>Pertes :</t>
  </si>
  <si>
    <t>05-avr</t>
  </si>
  <si>
    <t>07-avr</t>
  </si>
  <si>
    <t>12-avr</t>
  </si>
  <si>
    <t>13-avr</t>
  </si>
  <si>
    <t>15-avr</t>
  </si>
  <si>
    <t>16-avr</t>
  </si>
  <si>
    <t>22-avr</t>
  </si>
  <si>
    <t>26-avr</t>
  </si>
  <si>
    <t>30-avr</t>
  </si>
  <si>
    <t>mai</t>
  </si>
  <si>
    <t>04-mai</t>
  </si>
  <si>
    <t>05-mai</t>
  </si>
  <si>
    <t>06-mai</t>
  </si>
  <si>
    <t>07-mai</t>
  </si>
  <si>
    <t>10-mai</t>
  </si>
  <si>
    <t>11-mai</t>
  </si>
  <si>
    <t>12-mai</t>
  </si>
  <si>
    <t>TOTAL :</t>
  </si>
  <si>
    <t>SOMME</t>
  </si>
  <si>
    <t>MAX</t>
  </si>
  <si>
    <t>Formule colonne :</t>
  </si>
  <si>
    <t>SOUHAITÉ :</t>
  </si>
  <si>
    <t>Dernier CAPITAL affiché + Calcul exacte pour les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</si>
</sst>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40C]d\-mmm;@"/>
    <numFmt numFmtId="165" formatCode="#,##0.00\ &quot;€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6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9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4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4"/>
      <color theme="7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</fills>
  <borders count="4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theme="0" tint="-0.14999847407452621"/>
      </top>
      <bottom style="thin">
        <color theme="0"/>
      </bottom>
      <diagonal/>
    </border>
    <border>
      <left/>
      <right style="thick">
        <color auto="1"/>
      </right>
      <top style="thin">
        <color theme="0" tint="-0.14999847407452621"/>
      </top>
      <bottom style="thin">
        <color theme="0"/>
      </bottom>
      <diagonal/>
    </border>
    <border>
      <left style="medium">
        <color auto="1"/>
      </left>
      <right style="medium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ck">
        <color auto="1"/>
      </right>
      <top style="thin">
        <color theme="0" tint="-0.14999847407452621"/>
      </top>
      <bottom style="thin">
        <color theme="0" tint="-0.14999847407452621"/>
      </bottom>
      <diagonal/>
    </border>
    <border diagonalUp="1" diagonalDown="1">
      <left style="thick">
        <color auto="1"/>
      </left>
      <right style="thin">
        <color theme="1" tint="0.499984740745262"/>
      </right>
      <top style="thick">
        <color auto="1"/>
      </top>
      <bottom style="thick">
        <color auto="1"/>
      </bottom>
      <diagonal style="thin">
        <color auto="1"/>
      </diagonal>
    </border>
    <border diagonalUp="1" diagonalDown="1"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 style="thin">
        <color auto="1"/>
      </diagonal>
    </border>
    <border diagonalUp="1" diagonalDown="1">
      <left style="thick">
        <color auto="1"/>
      </left>
      <right style="thin">
        <color theme="1" tint="0.499984740745262"/>
      </right>
      <top style="thin">
        <color theme="0" tint="-0.14999847407452621"/>
      </top>
      <bottom style="thin">
        <color theme="0"/>
      </bottom>
      <diagonal style="thin">
        <color auto="1"/>
      </diagonal>
    </border>
    <border diagonalUp="1" diagonalDown="1">
      <left style="medium">
        <color auto="1"/>
      </left>
      <right style="medium">
        <color auto="1"/>
      </right>
      <top style="thin">
        <color theme="0" tint="-0.14999847407452621"/>
      </top>
      <bottom style="thin">
        <color theme="0"/>
      </bottom>
      <diagonal style="thin">
        <color auto="1"/>
      </diagonal>
    </border>
    <border diagonalUp="1" diagonalDown="1">
      <left style="thick">
        <color auto="1"/>
      </left>
      <right style="thin">
        <color theme="1" tint="0.499984740745262"/>
      </right>
      <top style="thin">
        <color theme="0" tint="-0.14999847407452621"/>
      </top>
      <bottom style="thin">
        <color theme="0" tint="-0.14999847407452621"/>
      </bottom>
      <diagonal style="thin">
        <color auto="1"/>
      </diagonal>
    </border>
    <border diagonalUp="1" diagonalDown="1">
      <left style="medium">
        <color auto="1"/>
      </left>
      <right style="medium">
        <color auto="1"/>
      </right>
      <top style="thin">
        <color theme="0" tint="-0.14999847407452621"/>
      </top>
      <bottom style="thin">
        <color theme="0" tint="-0.14999847407452621"/>
      </bottom>
      <diagonal style="thin">
        <color auto="1"/>
      </diagonal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6" fillId="0" borderId="9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165" fontId="16" fillId="0" borderId="9" xfId="1" applyNumberFormat="1" applyFont="1" applyBorder="1" applyAlignment="1">
      <alignment horizontal="center" vertical="center"/>
    </xf>
    <xf numFmtId="10" fontId="17" fillId="0" borderId="10" xfId="2" applyNumberFormat="1" applyFont="1" applyFill="1" applyBorder="1" applyAlignment="1">
      <alignment horizontal="center" vertical="center"/>
    </xf>
    <xf numFmtId="10" fontId="17" fillId="0" borderId="11" xfId="2" applyNumberFormat="1" applyFont="1" applyFill="1" applyBorder="1" applyAlignment="1">
      <alignment horizontal="center" vertical="center"/>
    </xf>
    <xf numFmtId="0" fontId="7" fillId="10" borderId="14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7" fillId="10" borderId="15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16" fontId="7" fillId="9" borderId="17" xfId="0" applyNumberFormat="1" applyFont="1" applyFill="1" applyBorder="1" applyAlignment="1">
      <alignment horizontal="center" vertical="center"/>
    </xf>
    <xf numFmtId="44" fontId="7" fillId="9" borderId="18" xfId="1" applyFont="1" applyFill="1" applyBorder="1" applyAlignment="1">
      <alignment horizontal="center" vertical="center"/>
    </xf>
    <xf numFmtId="165" fontId="7" fillId="9" borderId="17" xfId="1" applyNumberFormat="1" applyFont="1" applyFill="1" applyBorder="1" applyAlignment="1">
      <alignment horizontal="center" vertical="center"/>
    </xf>
    <xf numFmtId="10" fontId="7" fillId="9" borderId="19" xfId="2" applyNumberFormat="1" applyFont="1" applyFill="1" applyBorder="1" applyAlignment="1">
      <alignment horizontal="center" vertical="center"/>
    </xf>
    <xf numFmtId="44" fontId="10" fillId="9" borderId="20" xfId="1" applyFont="1" applyFill="1" applyBorder="1" applyAlignment="1">
      <alignment horizontal="center" vertical="center"/>
    </xf>
    <xf numFmtId="16" fontId="7" fillId="9" borderId="21" xfId="0" applyNumberFormat="1" applyFont="1" applyFill="1" applyBorder="1" applyAlignment="1">
      <alignment horizontal="center" vertical="center"/>
    </xf>
    <xf numFmtId="44" fontId="9" fillId="9" borderId="22" xfId="1" applyFont="1" applyFill="1" applyBorder="1" applyAlignment="1">
      <alignment horizontal="center" vertical="center"/>
    </xf>
    <xf numFmtId="165" fontId="7" fillId="9" borderId="21" xfId="1" applyNumberFormat="1" applyFont="1" applyFill="1" applyBorder="1" applyAlignment="1">
      <alignment horizontal="center" vertical="center"/>
    </xf>
    <xf numFmtId="10" fontId="7" fillId="9" borderId="20" xfId="2" applyNumberFormat="1" applyFont="1" applyFill="1" applyBorder="1" applyAlignment="1">
      <alignment horizontal="center" vertical="center"/>
    </xf>
    <xf numFmtId="16" fontId="7" fillId="9" borderId="23" xfId="0" applyNumberFormat="1" applyFont="1" applyFill="1" applyBorder="1" applyAlignment="1">
      <alignment horizontal="center" vertical="center"/>
    </xf>
    <xf numFmtId="16" fontId="7" fillId="9" borderId="24" xfId="0" applyNumberFormat="1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44" fontId="8" fillId="3" borderId="3" xfId="0" applyNumberFormat="1" applyFont="1" applyFill="1" applyBorder="1" applyAlignment="1">
      <alignment horizontal="center" vertical="center"/>
    </xf>
    <xf numFmtId="10" fontId="8" fillId="3" borderId="13" xfId="0" applyNumberFormat="1" applyFont="1" applyFill="1" applyBorder="1" applyAlignment="1">
      <alignment horizontal="center" vertical="center"/>
    </xf>
    <xf numFmtId="16" fontId="7" fillId="5" borderId="23" xfId="0" applyNumberFormat="1" applyFont="1" applyFill="1" applyBorder="1" applyAlignment="1">
      <alignment horizontal="center" vertical="center"/>
    </xf>
    <xf numFmtId="44" fontId="19" fillId="5" borderId="22" xfId="1" applyFont="1" applyFill="1" applyBorder="1" applyAlignment="1">
      <alignment horizontal="center" vertical="center"/>
    </xf>
    <xf numFmtId="10" fontId="19" fillId="5" borderId="20" xfId="2" applyNumberFormat="1" applyFont="1" applyFill="1" applyBorder="1" applyAlignment="1">
      <alignment horizontal="center" vertical="center"/>
    </xf>
    <xf numFmtId="16" fontId="7" fillId="5" borderId="24" xfId="0" applyNumberFormat="1" applyFont="1" applyFill="1" applyBorder="1" applyAlignment="1">
      <alignment horizontal="center" vertical="center"/>
    </xf>
    <xf numFmtId="44" fontId="19" fillId="5" borderId="20" xfId="1" applyFont="1" applyFill="1" applyBorder="1" applyAlignment="1">
      <alignment horizontal="center" vertical="center"/>
    </xf>
    <xf numFmtId="10" fontId="7" fillId="9" borderId="25" xfId="2" applyNumberFormat="1" applyFont="1" applyFill="1" applyBorder="1" applyAlignment="1">
      <alignment horizontal="center" vertical="center"/>
    </xf>
    <xf numFmtId="165" fontId="7" fillId="9" borderId="26" xfId="0" applyNumberFormat="1" applyFont="1" applyFill="1" applyBorder="1" applyAlignment="1">
      <alignment horizontal="center" vertical="center"/>
    </xf>
    <xf numFmtId="165" fontId="9" fillId="9" borderId="27" xfId="0" applyNumberFormat="1" applyFont="1" applyFill="1" applyBorder="1" applyAlignment="1">
      <alignment horizontal="center" vertical="center"/>
    </xf>
    <xf numFmtId="165" fontId="7" fillId="9" borderId="27" xfId="0" applyNumberFormat="1" applyFont="1" applyFill="1" applyBorder="1" applyAlignment="1">
      <alignment horizontal="center" vertical="center"/>
    </xf>
    <xf numFmtId="165" fontId="10" fillId="9" borderId="30" xfId="0" applyNumberFormat="1" applyFont="1" applyFill="1" applyBorder="1" applyAlignment="1">
      <alignment horizontal="center" vertical="center"/>
    </xf>
    <xf numFmtId="44" fontId="13" fillId="0" borderId="6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10" fontId="12" fillId="0" borderId="7" xfId="0" applyNumberFormat="1" applyFont="1" applyFill="1" applyBorder="1" applyAlignment="1">
      <alignment horizontal="center" vertical="center"/>
    </xf>
    <xf numFmtId="44" fontId="14" fillId="0" borderId="6" xfId="0" applyNumberFormat="1" applyFont="1" applyFill="1" applyBorder="1" applyAlignment="1">
      <alignment horizontal="center" vertical="center"/>
    </xf>
    <xf numFmtId="44" fontId="15" fillId="0" borderId="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0" fontId="8" fillId="0" borderId="7" xfId="0" applyNumberFormat="1" applyFont="1" applyFill="1" applyBorder="1" applyAlignment="1">
      <alignment horizontal="center" vertical="center"/>
    </xf>
    <xf numFmtId="10" fontId="7" fillId="0" borderId="7" xfId="0" applyNumberFormat="1" applyFont="1" applyFill="1" applyBorder="1" applyAlignment="1">
      <alignment horizontal="center" vertical="center"/>
    </xf>
    <xf numFmtId="44" fontId="7" fillId="0" borderId="6" xfId="0" applyNumberFormat="1" applyFont="1" applyFill="1" applyBorder="1" applyAlignment="1">
      <alignment horizontal="center" vertical="center"/>
    </xf>
    <xf numFmtId="44" fontId="7" fillId="11" borderId="34" xfId="0" applyNumberFormat="1" applyFont="1" applyFill="1" applyBorder="1" applyAlignment="1">
      <alignment horizontal="center" vertical="center"/>
    </xf>
    <xf numFmtId="10" fontId="7" fillId="11" borderId="35" xfId="0" applyNumberFormat="1" applyFont="1" applyFill="1" applyBorder="1" applyAlignment="1">
      <alignment horizontal="center" vertical="center"/>
    </xf>
    <xf numFmtId="44" fontId="15" fillId="0" borderId="36" xfId="0" applyNumberFormat="1" applyFont="1" applyBorder="1" applyAlignment="1">
      <alignment horizontal="center" vertical="center"/>
    </xf>
    <xf numFmtId="10" fontId="12" fillId="0" borderId="37" xfId="0" applyNumberFormat="1" applyFont="1" applyBorder="1" applyAlignment="1">
      <alignment horizontal="center" vertical="center"/>
    </xf>
    <xf numFmtId="10" fontId="7" fillId="3" borderId="1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44" fontId="5" fillId="0" borderId="0" xfId="0" applyNumberFormat="1" applyFont="1" applyFill="1" applyAlignment="1">
      <alignment vertical="center"/>
    </xf>
    <xf numFmtId="165" fontId="5" fillId="0" borderId="0" xfId="0" applyNumberFormat="1" applyFont="1" applyFill="1" applyAlignment="1">
      <alignment horizontal="center" vertical="center"/>
    </xf>
    <xf numFmtId="10" fontId="5" fillId="0" borderId="0" xfId="0" applyNumberFormat="1" applyFont="1" applyFill="1" applyAlignment="1">
      <alignment horizontal="center" vertical="center"/>
    </xf>
    <xf numFmtId="10" fontId="0" fillId="0" borderId="0" xfId="0" applyNumberFormat="1" applyAlignment="1">
      <alignment vertical="center"/>
    </xf>
    <xf numFmtId="10" fontId="0" fillId="0" borderId="0" xfId="2" applyNumberFormat="1" applyFont="1" applyAlignment="1">
      <alignment vertical="center"/>
    </xf>
    <xf numFmtId="44" fontId="7" fillId="9" borderId="3" xfId="0" applyNumberFormat="1" applyFont="1" applyFill="1" applyBorder="1" applyAlignment="1">
      <alignment horizontal="center" vertical="center"/>
    </xf>
    <xf numFmtId="44" fontId="8" fillId="9" borderId="3" xfId="0" applyNumberFormat="1" applyFont="1" applyFill="1" applyBorder="1" applyAlignment="1">
      <alignment horizontal="center" vertical="center"/>
    </xf>
    <xf numFmtId="44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164" fontId="18" fillId="0" borderId="0" xfId="0" applyNumberFormat="1" applyFont="1" applyFill="1" applyBorder="1" applyAlignment="1">
      <alignment horizontal="center" vertical="center"/>
    </xf>
    <xf numFmtId="44" fontId="13" fillId="0" borderId="0" xfId="0" applyNumberFormat="1" applyFont="1" applyFill="1" applyBorder="1" applyAlignment="1">
      <alignment vertical="center"/>
    </xf>
    <xf numFmtId="44" fontId="14" fillId="0" borderId="0" xfId="0" applyNumberFormat="1" applyFont="1" applyFill="1" applyBorder="1" applyAlignment="1">
      <alignment vertical="center"/>
    </xf>
    <xf numFmtId="165" fontId="18" fillId="0" borderId="0" xfId="0" applyNumberFormat="1" applyFont="1" applyFill="1" applyBorder="1" applyAlignment="1">
      <alignment horizontal="center" vertical="center"/>
    </xf>
    <xf numFmtId="10" fontId="1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0" fontId="2" fillId="0" borderId="0" xfId="2" applyNumberFormat="1" applyFont="1" applyAlignment="1">
      <alignment vertical="center"/>
    </xf>
    <xf numFmtId="44" fontId="2" fillId="0" borderId="0" xfId="0" applyNumberFormat="1" applyFont="1" applyAlignment="1">
      <alignment vertical="center"/>
    </xf>
    <xf numFmtId="164" fontId="4" fillId="9" borderId="38" xfId="0" applyNumberFormat="1" applyFont="1" applyFill="1" applyBorder="1" applyAlignment="1">
      <alignment horizontal="center" vertical="center"/>
    </xf>
    <xf numFmtId="0" fontId="4" fillId="9" borderId="39" xfId="0" applyFont="1" applyFill="1" applyBorder="1" applyAlignment="1">
      <alignment horizontal="center" vertical="center"/>
    </xf>
    <xf numFmtId="0" fontId="7" fillId="12" borderId="40" xfId="0" applyFont="1" applyFill="1" applyBorder="1" applyAlignment="1">
      <alignment horizontal="center" vertical="center"/>
    </xf>
    <xf numFmtId="44" fontId="7" fillId="12" borderId="41" xfId="0" applyNumberFormat="1" applyFont="1" applyFill="1" applyBorder="1" applyAlignment="1">
      <alignment horizontal="center" vertical="center"/>
    </xf>
    <xf numFmtId="0" fontId="12" fillId="9" borderId="42" xfId="0" applyFont="1" applyFill="1" applyBorder="1" applyAlignment="1">
      <alignment horizontal="center" vertical="center"/>
    </xf>
    <xf numFmtId="44" fontId="13" fillId="9" borderId="43" xfId="0" applyNumberFormat="1" applyFont="1" applyFill="1" applyBorder="1" applyAlignment="1">
      <alignment horizontal="center" vertical="center"/>
    </xf>
    <xf numFmtId="44" fontId="14" fillId="9" borderId="43" xfId="0" applyNumberFormat="1" applyFont="1" applyFill="1" applyBorder="1" applyAlignment="1">
      <alignment horizontal="center" vertical="center"/>
    </xf>
    <xf numFmtId="164" fontId="7" fillId="9" borderId="38" xfId="0" applyNumberFormat="1" applyFont="1" applyFill="1" applyBorder="1" applyAlignment="1">
      <alignment horizontal="center" vertical="center"/>
    </xf>
    <xf numFmtId="44" fontId="7" fillId="9" borderId="39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165" fontId="17" fillId="0" borderId="28" xfId="0" applyNumberFormat="1" applyFont="1" applyBorder="1" applyAlignment="1">
      <alignment horizontal="center" vertical="center"/>
    </xf>
    <xf numFmtId="165" fontId="17" fillId="0" borderId="29" xfId="0" applyNumberFormat="1" applyFont="1" applyBorder="1" applyAlignment="1">
      <alignment horizontal="center" vertical="center"/>
    </xf>
    <xf numFmtId="10" fontId="17" fillId="0" borderId="26" xfId="2" applyNumberFormat="1" applyFont="1" applyBorder="1" applyAlignment="1">
      <alignment horizontal="center" vertical="center"/>
    </xf>
    <xf numFmtId="10" fontId="17" fillId="0" borderId="27" xfId="2" applyNumberFormat="1" applyFont="1" applyBorder="1" applyAlignment="1">
      <alignment horizontal="center" vertical="center"/>
    </xf>
    <xf numFmtId="10" fontId="17" fillId="0" borderId="30" xfId="2" applyNumberFormat="1" applyFont="1" applyBorder="1" applyAlignment="1">
      <alignment horizontal="center" vertical="center"/>
    </xf>
    <xf numFmtId="165" fontId="20" fillId="0" borderId="31" xfId="0" applyNumberFormat="1" applyFont="1" applyBorder="1" applyAlignment="1">
      <alignment horizontal="center" vertical="center"/>
    </xf>
    <xf numFmtId="165" fontId="20" fillId="0" borderId="32" xfId="0" applyNumberFormat="1" applyFont="1" applyBorder="1" applyAlignment="1">
      <alignment horizontal="center" vertical="center"/>
    </xf>
    <xf numFmtId="165" fontId="20" fillId="0" borderId="33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165" fontId="11" fillId="9" borderId="8" xfId="2" applyNumberFormat="1" applyFont="1" applyFill="1" applyBorder="1" applyAlignment="1">
      <alignment horizontal="center" vertical="center"/>
    </xf>
    <xf numFmtId="165" fontId="5" fillId="9" borderId="8" xfId="2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288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family val="2"/>
        <scheme val="minor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medium">
          <color auto="1"/>
        </right>
        <top/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9"/>
        <name val="Calibri"/>
        <family val="2"/>
        <scheme val="minor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>
          <bgColor theme="0"/>
        </patternFill>
      </fill>
    </dxf>
    <dxf>
      <border>
        <left style="thick">
          <color auto="1"/>
        </left>
        <bottom style="thick">
          <color auto="1"/>
        </bottom>
      </border>
    </dxf>
    <dxf>
      <fill>
        <patternFill>
          <bgColor rgb="FF0070C0"/>
        </patternFill>
      </fill>
    </dxf>
    <dxf>
      <font>
        <b/>
        <sz val="16"/>
        <color auto="1"/>
      </font>
      <fill>
        <patternFill patternType="solid">
          <fgColor indexed="64"/>
          <bgColor rgb="FFFFFF00"/>
        </patternFill>
      </fill>
    </dxf>
    <dxf>
      <numFmt numFmtId="14" formatCode="0.00%"/>
    </dxf>
    <dxf>
      <border>
        <vertical style="medium">
          <color auto="1"/>
        </vertical>
      </border>
    </dxf>
    <dxf>
      <border>
        <left style="medium">
          <color auto="1"/>
        </left>
        <right style="medium">
          <color auto="1"/>
        </right>
      </border>
    </dxf>
    <dxf>
      <border>
        <top style="thick">
          <color auto="1"/>
        </top>
      </border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border>
        <bottom style="thick">
          <color auto="1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4"/>
      </font>
    </dxf>
    <dxf>
      <font>
        <color theme="1"/>
      </font>
    </dxf>
    <dxf>
      <font>
        <sz val="14"/>
      </font>
    </dxf>
    <dxf>
      <font>
        <color theme="1"/>
      </font>
    </dxf>
    <dxf>
      <font>
        <sz val="14"/>
      </font>
    </dxf>
    <dxf>
      <font>
        <sz val="14"/>
      </font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z val="14"/>
      </font>
    </dxf>
    <dxf>
      <font>
        <sz val="14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z val="14"/>
        <color theme="4"/>
      </font>
      <fill>
        <patternFill>
          <fgColor theme="0" tint="-0.14999847407452621"/>
        </patternFill>
      </fill>
    </dxf>
    <dxf>
      <font>
        <sz val="14"/>
        <color theme="4"/>
      </font>
      <fill>
        <patternFill>
          <fgColor theme="0" tint="-0.14999847407452621"/>
        </patternFill>
      </fill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vertical style="medium">
          <color auto="1"/>
        </vertical>
        <horizontal style="medium">
          <color auto="1"/>
        </horizontal>
      </border>
    </dxf>
    <dxf>
      <border>
        <vertical style="medium">
          <color auto="1"/>
        </vertical>
        <horizontal style="medium">
          <color auto="1"/>
        </horizontal>
      </border>
    </dxf>
    <dxf>
      <border>
        <vertical style="medium">
          <color auto="1"/>
        </vertical>
        <horizontal style="medium">
          <color auto="1"/>
        </horizontal>
      </border>
    </dxf>
    <dxf>
      <border>
        <vertical style="medium">
          <color auto="1"/>
        </vertical>
        <horizontal style="medium">
          <color auto="1"/>
        </horizontal>
      </border>
    </dxf>
    <dxf>
      <border>
        <vertical style="medium">
          <color auto="1"/>
        </vertical>
        <horizontal style="medium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color theme="4"/>
      </font>
    </dxf>
    <dxf>
      <border>
        <top style="medium">
          <color auto="1"/>
        </top>
      </border>
    </dxf>
    <dxf>
      <border>
        <top style="medium">
          <color auto="1"/>
        </top>
        <bottom style="medium">
          <color auto="1"/>
        </bottom>
      </border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bgColor theme="1"/>
        </patternFill>
      </fill>
    </dxf>
    <dxf>
      <font>
        <b/>
      </font>
    </dxf>
    <dxf>
      <font>
        <color theme="0"/>
      </font>
    </dxf>
    <dxf>
      <fill>
        <patternFill patternType="solid">
          <bgColor theme="1"/>
        </patternFill>
      </fill>
    </dxf>
    <dxf>
      <font>
        <b/>
      </font>
    </dxf>
    <dxf>
      <font>
        <b/>
      </font>
    </dxf>
    <dxf>
      <font>
        <b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/>
      </font>
    </dxf>
    <dxf>
      <font>
        <color auto="1"/>
      </font>
    </dxf>
    <dxf>
      <fill>
        <patternFill patternType="solid">
          <bgColor rgb="FFFF0000"/>
        </patternFill>
      </fill>
    </dxf>
    <dxf>
      <fill>
        <patternFill patternType="solid">
          <bgColor theme="9"/>
        </patternFill>
      </fill>
    </dxf>
    <dxf>
      <font>
        <b/>
      </font>
    </dxf>
    <dxf>
      <font>
        <color auto="1"/>
      </font>
    </dxf>
    <dxf>
      <fill>
        <patternFill patternType="solid">
          <bgColor theme="9"/>
        </patternFill>
      </fill>
    </dxf>
    <dxf>
      <fill>
        <patternFill>
          <bgColor theme="9"/>
        </patternFill>
      </fill>
    </dxf>
    <dxf>
      <fill>
        <patternFill patternType="solid">
          <bgColor rgb="FF0070C0"/>
        </patternFill>
      </fill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font>
        <b/>
      </font>
    </dxf>
    <dxf>
      <font>
        <color auto="1"/>
      </font>
    </dxf>
    <dxf>
      <font>
        <b/>
      </font>
    </dxf>
    <dxf>
      <font>
        <color auto="1"/>
      </font>
    </dxf>
    <dxf>
      <font>
        <color auto="1"/>
      </font>
    </dxf>
    <dxf>
      <font>
        <b/>
      </font>
    </dxf>
    <dxf>
      <border>
        <right style="medium">
          <color auto="1"/>
        </right>
      </border>
    </dxf>
    <dxf>
      <border>
        <right style="medium">
          <color auto="1"/>
        </right>
      </border>
    </dxf>
    <dxf>
      <border>
        <right style="medium">
          <color auto="1"/>
        </right>
      </border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color theme="0"/>
      </font>
    </dxf>
    <dxf>
      <font>
        <color theme="0"/>
      </font>
    </dxf>
    <dxf>
      <font>
        <color theme="4"/>
      </font>
    </dxf>
    <dxf>
      <font>
        <color rgb="FFFF0000"/>
      </font>
    </dxf>
    <dxf>
      <font>
        <color theme="9"/>
      </font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left style="medium">
          <color auto="1"/>
        </left>
        <right style="medium">
          <color auto="1"/>
        </right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vertical style="medium">
          <color auto="1"/>
        </vertic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vertical style="medium">
          <color auto="1"/>
        </vertical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ont>
        <b/>
      </font>
    </dxf>
    <dxf>
      <font>
        <b/>
      </font>
    </dxf>
    <dxf>
      <font>
        <sz val="16"/>
      </font>
    </dxf>
    <dxf>
      <font>
        <sz val="16"/>
      </font>
    </dxf>
    <dxf>
      <fill>
        <patternFill patternType="solid">
          <bgColor theme="9"/>
        </patternFill>
      </fill>
    </dxf>
    <dxf>
      <font>
        <color theme="0"/>
      </font>
    </dxf>
    <dxf>
      <fill>
        <patternFill patternType="solid">
          <bgColor theme="1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medium">
          <color auto="1"/>
        </left>
        <right style="medium">
          <color auto="1"/>
        </right>
        <horizontal style="thin">
          <color auto="1"/>
        </horizontal>
      </border>
    </dxf>
    <dxf>
      <border>
        <left style="medium">
          <color auto="1"/>
        </left>
        <right style="medium">
          <color auto="1"/>
        </right>
        <horizontal style="thin">
          <color auto="1"/>
        </horizontal>
      </border>
    </dxf>
    <dxf>
      <border>
        <left style="medium">
          <color auto="1"/>
        </left>
        <right style="medium">
          <color auto="1"/>
        </right>
        <horizontal style="thin">
          <color auto="1"/>
        </horizontal>
      </border>
    </dxf>
    <dxf>
      <border>
        <left style="medium">
          <color auto="1"/>
        </left>
        <right style="medium">
          <color auto="1"/>
        </right>
        <horizontal style="thin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/>
        <sz val="16"/>
        <color theme="0"/>
      </font>
      <numFmt numFmtId="164" formatCode="[$-40C]d\-mmm;@"/>
      <fill>
        <patternFill patternType="solid">
          <fgColor indexed="64"/>
          <bgColor theme="1"/>
        </patternFill>
      </fill>
      <alignment horizontal="center" vertical="center"/>
    </dxf>
    <dxf>
      <font>
        <b/>
        <sz val="16"/>
        <color theme="0"/>
      </font>
      <numFmt numFmtId="164" formatCode="[$-40C]d\-mmm;@"/>
      <fill>
        <patternFill patternType="solid">
          <fgColor indexed="64"/>
          <bgColor theme="1"/>
        </patternFill>
      </fill>
      <alignment horizontal="center"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9"/>
      </font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/>
        </patternFill>
      </fill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 patternType="solid">
          <fgColor auto="1"/>
          <bgColor rgb="FF33CC33"/>
        </patternFill>
      </fill>
    </dxf>
    <dxf>
      <fill>
        <patternFill>
          <bgColor theme="0"/>
        </patternFill>
      </fill>
    </dxf>
    <dxf>
      <font>
        <color theme="9"/>
      </font>
    </dxf>
    <dxf>
      <font>
        <color rgb="FFFF0000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 patternType="solid">
          <fgColor auto="1"/>
          <bgColor rgb="FF33CC3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71438</xdr:colOff>
      <xdr:row>4</xdr:row>
      <xdr:rowOff>261937</xdr:rowOff>
    </xdr:from>
    <xdr:to>
      <xdr:col>12</xdr:col>
      <xdr:colOff>119062</xdr:colOff>
      <xdr:row>6</xdr:row>
      <xdr:rowOff>71437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EEEE6E16-12FC-4642-AEC2-886DE258617B}"/>
            </a:ext>
          </a:extLst>
        </xdr:cNvPr>
        <xdr:cNvSpPr/>
      </xdr:nvSpPr>
      <xdr:spPr>
        <a:xfrm>
          <a:off x="10088563" y="1349375"/>
          <a:ext cx="1039812" cy="3651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127000</xdr:colOff>
      <xdr:row>14</xdr:row>
      <xdr:rowOff>214313</xdr:rowOff>
    </xdr:from>
    <xdr:to>
      <xdr:col>12</xdr:col>
      <xdr:colOff>174624</xdr:colOff>
      <xdr:row>16</xdr:row>
      <xdr:rowOff>39688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E2968581-60FC-4C95-B564-60838C8F1EBA}"/>
            </a:ext>
          </a:extLst>
        </xdr:cNvPr>
        <xdr:cNvSpPr/>
      </xdr:nvSpPr>
      <xdr:spPr>
        <a:xfrm>
          <a:off x="10144125" y="4016376"/>
          <a:ext cx="1039812" cy="3651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111125</xdr:colOff>
      <xdr:row>22</xdr:row>
      <xdr:rowOff>206375</xdr:rowOff>
    </xdr:from>
    <xdr:to>
      <xdr:col>12</xdr:col>
      <xdr:colOff>55562</xdr:colOff>
      <xdr:row>24</xdr:row>
      <xdr:rowOff>39687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9D3269D8-B97B-4295-8A4B-9CB7DE68FC06}"/>
            </a:ext>
          </a:extLst>
        </xdr:cNvPr>
        <xdr:cNvSpPr/>
      </xdr:nvSpPr>
      <xdr:spPr>
        <a:xfrm>
          <a:off x="9985375" y="5699125"/>
          <a:ext cx="936625" cy="317500"/>
        </a:xfrm>
        <a:prstGeom prst="ellipse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65088</xdr:colOff>
      <xdr:row>15</xdr:row>
      <xdr:rowOff>239712</xdr:rowOff>
    </xdr:from>
    <xdr:to>
      <xdr:col>12</xdr:col>
      <xdr:colOff>112712</xdr:colOff>
      <xdr:row>17</xdr:row>
      <xdr:rowOff>65087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6CF84CF9-0DF6-4DEA-9F06-9FE3BEF86C00}"/>
            </a:ext>
          </a:extLst>
        </xdr:cNvPr>
        <xdr:cNvSpPr/>
      </xdr:nvSpPr>
      <xdr:spPr>
        <a:xfrm>
          <a:off x="10082213" y="4311650"/>
          <a:ext cx="1039812" cy="365125"/>
        </a:xfrm>
        <a:prstGeom prst="ellipse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69849</xdr:colOff>
      <xdr:row>22</xdr:row>
      <xdr:rowOff>180975</xdr:rowOff>
    </xdr:from>
    <xdr:to>
      <xdr:col>18</xdr:col>
      <xdr:colOff>117474</xdr:colOff>
      <xdr:row>24</xdr:row>
      <xdr:rowOff>21166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E9A7B07A-9F18-46CC-9005-C4932CCABC1D}"/>
            </a:ext>
          </a:extLst>
        </xdr:cNvPr>
        <xdr:cNvSpPr/>
      </xdr:nvSpPr>
      <xdr:spPr>
        <a:xfrm>
          <a:off x="15119349" y="5747808"/>
          <a:ext cx="1042458" cy="327025"/>
        </a:xfrm>
        <a:prstGeom prst="ellipse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23812</xdr:colOff>
      <xdr:row>15</xdr:row>
      <xdr:rowOff>214312</xdr:rowOff>
    </xdr:from>
    <xdr:to>
      <xdr:col>18</xdr:col>
      <xdr:colOff>71437</xdr:colOff>
      <xdr:row>17</xdr:row>
      <xdr:rowOff>39687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AC14BD21-2257-4653-8569-2F2F46A2D168}"/>
            </a:ext>
          </a:extLst>
        </xdr:cNvPr>
        <xdr:cNvSpPr/>
      </xdr:nvSpPr>
      <xdr:spPr>
        <a:xfrm>
          <a:off x="16081375" y="4040187"/>
          <a:ext cx="1039812" cy="301625"/>
        </a:xfrm>
        <a:prstGeom prst="ellipse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23812</xdr:colOff>
      <xdr:row>4</xdr:row>
      <xdr:rowOff>246062</xdr:rowOff>
    </xdr:from>
    <xdr:to>
      <xdr:col>18</xdr:col>
      <xdr:colOff>71437</xdr:colOff>
      <xdr:row>6</xdr:row>
      <xdr:rowOff>55562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F54E2607-7957-48A1-8E10-1D4EE50B6C3E}"/>
            </a:ext>
          </a:extLst>
        </xdr:cNvPr>
        <xdr:cNvSpPr/>
      </xdr:nvSpPr>
      <xdr:spPr>
        <a:xfrm>
          <a:off x="16081375" y="1317625"/>
          <a:ext cx="1039812" cy="357187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79374</xdr:colOff>
      <xdr:row>14</xdr:row>
      <xdr:rowOff>198438</xdr:rowOff>
    </xdr:from>
    <xdr:to>
      <xdr:col>18</xdr:col>
      <xdr:colOff>126999</xdr:colOff>
      <xdr:row>16</xdr:row>
      <xdr:rowOff>23813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90CF3769-3B6E-45DB-9033-28AED8A4D4A9}"/>
            </a:ext>
          </a:extLst>
        </xdr:cNvPr>
        <xdr:cNvSpPr/>
      </xdr:nvSpPr>
      <xdr:spPr>
        <a:xfrm>
          <a:off x="16136937" y="3786188"/>
          <a:ext cx="1039812" cy="3016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23812</xdr:colOff>
      <xdr:row>23</xdr:row>
      <xdr:rowOff>230187</xdr:rowOff>
    </xdr:from>
    <xdr:to>
      <xdr:col>18</xdr:col>
      <xdr:colOff>71437</xdr:colOff>
      <xdr:row>25</xdr:row>
      <xdr:rowOff>31749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199C8AE8-13E4-4013-88DB-64D2198B91C8}"/>
            </a:ext>
          </a:extLst>
        </xdr:cNvPr>
        <xdr:cNvSpPr/>
      </xdr:nvSpPr>
      <xdr:spPr>
        <a:xfrm>
          <a:off x="16081375" y="5961062"/>
          <a:ext cx="1039812" cy="301625"/>
        </a:xfrm>
        <a:prstGeom prst="ellipse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814917</xdr:colOff>
      <xdr:row>24</xdr:row>
      <xdr:rowOff>10583</xdr:rowOff>
    </xdr:from>
    <xdr:to>
      <xdr:col>12</xdr:col>
      <xdr:colOff>31750</xdr:colOff>
      <xdr:row>25</xdr:row>
      <xdr:rowOff>39687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id="{2524F925-8CD3-4AA1-93DE-85BF7EB7F167}"/>
            </a:ext>
          </a:extLst>
        </xdr:cNvPr>
        <xdr:cNvSpPr/>
      </xdr:nvSpPr>
      <xdr:spPr>
        <a:xfrm>
          <a:off x="9821334" y="6064250"/>
          <a:ext cx="1068916" cy="283104"/>
        </a:xfrm>
        <a:prstGeom prst="ellipse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127000</xdr:colOff>
      <xdr:row>15</xdr:row>
      <xdr:rowOff>190500</xdr:rowOff>
    </xdr:from>
    <xdr:to>
      <xdr:col>12</xdr:col>
      <xdr:colOff>1181100</xdr:colOff>
      <xdr:row>17</xdr:row>
      <xdr:rowOff>71437</xdr:rowOff>
    </xdr:to>
    <xdr:sp macro="" textlink="">
      <xdr:nvSpPr>
        <xdr:cNvPr id="14" name="Ellipse 13">
          <a:extLst>
            <a:ext uri="{FF2B5EF4-FFF2-40B4-BE49-F238E27FC236}">
              <a16:creationId xmlns:a16="http://schemas.microsoft.com/office/drawing/2014/main" id="{CC4095F6-28E0-45D6-8F7C-710C1E4DDA22}"/>
            </a:ext>
          </a:extLst>
        </xdr:cNvPr>
        <xdr:cNvSpPr/>
      </xdr:nvSpPr>
      <xdr:spPr>
        <a:xfrm>
          <a:off x="10993438" y="4016375"/>
          <a:ext cx="1054100" cy="357187"/>
        </a:xfrm>
        <a:prstGeom prst="ellipse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809625</xdr:colOff>
      <xdr:row>15</xdr:row>
      <xdr:rowOff>182562</xdr:rowOff>
    </xdr:from>
    <xdr:to>
      <xdr:col>19</xdr:col>
      <xdr:colOff>150813</xdr:colOff>
      <xdr:row>17</xdr:row>
      <xdr:rowOff>63499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32A6713D-F2FF-4104-A77A-204A1FAF9021}"/>
            </a:ext>
          </a:extLst>
        </xdr:cNvPr>
        <xdr:cNvSpPr/>
      </xdr:nvSpPr>
      <xdr:spPr>
        <a:xfrm>
          <a:off x="16827500" y="4008437"/>
          <a:ext cx="1039813" cy="357187"/>
        </a:xfrm>
        <a:prstGeom prst="ellipse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95250</xdr:colOff>
      <xdr:row>4</xdr:row>
      <xdr:rowOff>246062</xdr:rowOff>
    </xdr:from>
    <xdr:to>
      <xdr:col>13</xdr:col>
      <xdr:colOff>1588</xdr:colOff>
      <xdr:row>6</xdr:row>
      <xdr:rowOff>55562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D3F25FF8-EF95-42A9-A11D-F62EB97944E6}"/>
            </a:ext>
          </a:extLst>
        </xdr:cNvPr>
        <xdr:cNvSpPr/>
      </xdr:nvSpPr>
      <xdr:spPr>
        <a:xfrm>
          <a:off x="10961688" y="1317625"/>
          <a:ext cx="1089025" cy="357187"/>
        </a:xfrm>
        <a:prstGeom prst="ellipse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150813</xdr:colOff>
      <xdr:row>23</xdr:row>
      <xdr:rowOff>206375</xdr:rowOff>
    </xdr:from>
    <xdr:to>
      <xdr:col>13</xdr:col>
      <xdr:colOff>2</xdr:colOff>
      <xdr:row>25</xdr:row>
      <xdr:rowOff>63499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7FEAADF1-E4F5-4F81-9447-8DA3E0411524}"/>
            </a:ext>
          </a:extLst>
        </xdr:cNvPr>
        <xdr:cNvSpPr/>
      </xdr:nvSpPr>
      <xdr:spPr>
        <a:xfrm>
          <a:off x="11017251" y="5937250"/>
          <a:ext cx="1031876" cy="357187"/>
        </a:xfrm>
        <a:prstGeom prst="ellipse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849312</xdr:colOff>
      <xdr:row>4</xdr:row>
      <xdr:rowOff>222250</xdr:rowOff>
    </xdr:from>
    <xdr:to>
      <xdr:col>19</xdr:col>
      <xdr:colOff>190500</xdr:colOff>
      <xdr:row>6</xdr:row>
      <xdr:rowOff>31750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483C5E10-67C4-4992-93CF-2D6FD8EA403E}"/>
            </a:ext>
          </a:extLst>
        </xdr:cNvPr>
        <xdr:cNvSpPr/>
      </xdr:nvSpPr>
      <xdr:spPr>
        <a:xfrm>
          <a:off x="16867187" y="1293813"/>
          <a:ext cx="1039813" cy="357187"/>
        </a:xfrm>
        <a:prstGeom prst="ellipse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931333</xdr:colOff>
      <xdr:row>23</xdr:row>
      <xdr:rowOff>182563</xdr:rowOff>
    </xdr:from>
    <xdr:to>
      <xdr:col>19</xdr:col>
      <xdr:colOff>95250</xdr:colOff>
      <xdr:row>25</xdr:row>
      <xdr:rowOff>39687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F785F884-5819-4DC9-996F-3B7045BE519A}"/>
            </a:ext>
          </a:extLst>
        </xdr:cNvPr>
        <xdr:cNvSpPr/>
      </xdr:nvSpPr>
      <xdr:spPr>
        <a:xfrm>
          <a:off x="15980833" y="5992813"/>
          <a:ext cx="867834" cy="354541"/>
        </a:xfrm>
        <a:prstGeom prst="ellipse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95251</xdr:colOff>
      <xdr:row>9</xdr:row>
      <xdr:rowOff>182563</xdr:rowOff>
    </xdr:from>
    <xdr:to>
      <xdr:col>21</xdr:col>
      <xdr:colOff>134939</xdr:colOff>
      <xdr:row>11</xdr:row>
      <xdr:rowOff>63500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CA72B611-D27D-4000-B298-DAA0F7EC8DA7}"/>
            </a:ext>
          </a:extLst>
        </xdr:cNvPr>
        <xdr:cNvSpPr/>
      </xdr:nvSpPr>
      <xdr:spPr>
        <a:xfrm>
          <a:off x="18573751" y="2579688"/>
          <a:ext cx="801688" cy="357187"/>
        </a:xfrm>
        <a:prstGeom prst="ellipse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111125</xdr:colOff>
      <xdr:row>9</xdr:row>
      <xdr:rowOff>190500</xdr:rowOff>
    </xdr:from>
    <xdr:to>
      <xdr:col>22</xdr:col>
      <xdr:colOff>150813</xdr:colOff>
      <xdr:row>11</xdr:row>
      <xdr:rowOff>71437</xdr:rowOff>
    </xdr:to>
    <xdr:sp macro="" textlink="">
      <xdr:nvSpPr>
        <xdr:cNvPr id="22" name="Ellipse 21">
          <a:extLst>
            <a:ext uri="{FF2B5EF4-FFF2-40B4-BE49-F238E27FC236}">
              <a16:creationId xmlns:a16="http://schemas.microsoft.com/office/drawing/2014/main" id="{CB9AAC68-5958-4640-91BD-A56D0BAFC838}"/>
            </a:ext>
          </a:extLst>
        </xdr:cNvPr>
        <xdr:cNvSpPr/>
      </xdr:nvSpPr>
      <xdr:spPr>
        <a:xfrm>
          <a:off x="19351625" y="2587625"/>
          <a:ext cx="801688" cy="357187"/>
        </a:xfrm>
        <a:prstGeom prst="ellipse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119062</xdr:colOff>
      <xdr:row>9</xdr:row>
      <xdr:rowOff>198437</xdr:rowOff>
    </xdr:from>
    <xdr:to>
      <xdr:col>23</xdr:col>
      <xdr:colOff>158750</xdr:colOff>
      <xdr:row>11</xdr:row>
      <xdr:rowOff>79374</xdr:rowOff>
    </xdr:to>
    <xdr:sp macro="" textlink="">
      <xdr:nvSpPr>
        <xdr:cNvPr id="23" name="Ellipse 22">
          <a:extLst>
            <a:ext uri="{FF2B5EF4-FFF2-40B4-BE49-F238E27FC236}">
              <a16:creationId xmlns:a16="http://schemas.microsoft.com/office/drawing/2014/main" id="{17A85B1B-D7CF-4961-BF1B-8CD1447844D7}"/>
            </a:ext>
          </a:extLst>
        </xdr:cNvPr>
        <xdr:cNvSpPr/>
      </xdr:nvSpPr>
      <xdr:spPr>
        <a:xfrm>
          <a:off x="20121562" y="2595562"/>
          <a:ext cx="801688" cy="357187"/>
        </a:xfrm>
        <a:prstGeom prst="ellipse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23813</xdr:colOff>
      <xdr:row>5</xdr:row>
      <xdr:rowOff>261937</xdr:rowOff>
    </xdr:from>
    <xdr:to>
      <xdr:col>21</xdr:col>
      <xdr:colOff>7938</xdr:colOff>
      <xdr:row>7</xdr:row>
      <xdr:rowOff>39688</xdr:rowOff>
    </xdr:to>
    <xdr:sp macro="" textlink="">
      <xdr:nvSpPr>
        <xdr:cNvPr id="24" name="Ellipse 23">
          <a:extLst>
            <a:ext uri="{FF2B5EF4-FFF2-40B4-BE49-F238E27FC236}">
              <a16:creationId xmlns:a16="http://schemas.microsoft.com/office/drawing/2014/main" id="{3FC82B63-EA4B-400C-A54A-93DE5F1AC384}"/>
            </a:ext>
          </a:extLst>
        </xdr:cNvPr>
        <xdr:cNvSpPr/>
      </xdr:nvSpPr>
      <xdr:spPr>
        <a:xfrm>
          <a:off x="18502313" y="1603375"/>
          <a:ext cx="746125" cy="341313"/>
        </a:xfrm>
        <a:prstGeom prst="ellipse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15875</xdr:colOff>
      <xdr:row>5</xdr:row>
      <xdr:rowOff>261937</xdr:rowOff>
    </xdr:from>
    <xdr:to>
      <xdr:col>22</xdr:col>
      <xdr:colOff>23813</xdr:colOff>
      <xdr:row>7</xdr:row>
      <xdr:rowOff>31750</xdr:rowOff>
    </xdr:to>
    <xdr:sp macro="" textlink="">
      <xdr:nvSpPr>
        <xdr:cNvPr id="25" name="Ellipse 24">
          <a:extLst>
            <a:ext uri="{FF2B5EF4-FFF2-40B4-BE49-F238E27FC236}">
              <a16:creationId xmlns:a16="http://schemas.microsoft.com/office/drawing/2014/main" id="{D3889B62-49EB-4896-AD6F-CACE551DF519}"/>
            </a:ext>
          </a:extLst>
        </xdr:cNvPr>
        <xdr:cNvSpPr/>
      </xdr:nvSpPr>
      <xdr:spPr>
        <a:xfrm>
          <a:off x="19256375" y="1603375"/>
          <a:ext cx="769938" cy="333375"/>
        </a:xfrm>
        <a:prstGeom prst="ellipse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47625</xdr:colOff>
      <xdr:row>4</xdr:row>
      <xdr:rowOff>254000</xdr:rowOff>
    </xdr:from>
    <xdr:to>
      <xdr:col>22</xdr:col>
      <xdr:colOff>15875</xdr:colOff>
      <xdr:row>6</xdr:row>
      <xdr:rowOff>0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id="{00077CA6-0C59-4146-A879-00DCB1083FB3}"/>
            </a:ext>
          </a:extLst>
        </xdr:cNvPr>
        <xdr:cNvSpPr/>
      </xdr:nvSpPr>
      <xdr:spPr>
        <a:xfrm>
          <a:off x="19288125" y="1325563"/>
          <a:ext cx="730250" cy="293687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15876</xdr:colOff>
      <xdr:row>6</xdr:row>
      <xdr:rowOff>39687</xdr:rowOff>
    </xdr:from>
    <xdr:to>
      <xdr:col>23</xdr:col>
      <xdr:colOff>23814</xdr:colOff>
      <xdr:row>7</xdr:row>
      <xdr:rowOff>39686</xdr:rowOff>
    </xdr:to>
    <xdr:sp macro="" textlink="">
      <xdr:nvSpPr>
        <xdr:cNvPr id="27" name="Ellipse 26">
          <a:extLst>
            <a:ext uri="{FF2B5EF4-FFF2-40B4-BE49-F238E27FC236}">
              <a16:creationId xmlns:a16="http://schemas.microsoft.com/office/drawing/2014/main" id="{503C58C7-5484-40D2-9FE5-1C57CD547A01}"/>
            </a:ext>
          </a:extLst>
        </xdr:cNvPr>
        <xdr:cNvSpPr/>
      </xdr:nvSpPr>
      <xdr:spPr>
        <a:xfrm>
          <a:off x="20018376" y="1658937"/>
          <a:ext cx="769938" cy="285749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71438</xdr:colOff>
      <xdr:row>2</xdr:row>
      <xdr:rowOff>365124</xdr:rowOff>
    </xdr:from>
    <xdr:to>
      <xdr:col>12</xdr:col>
      <xdr:colOff>39688</xdr:colOff>
      <xdr:row>4</xdr:row>
      <xdr:rowOff>39686</xdr:rowOff>
    </xdr:to>
    <xdr:sp macro="" textlink="">
      <xdr:nvSpPr>
        <xdr:cNvPr id="28" name="Ellipse 27">
          <a:extLst>
            <a:ext uri="{FF2B5EF4-FFF2-40B4-BE49-F238E27FC236}">
              <a16:creationId xmlns:a16="http://schemas.microsoft.com/office/drawing/2014/main" id="{01A7B8A9-63A0-4944-AE2E-0DDBA2477FF9}"/>
            </a:ext>
          </a:extLst>
        </xdr:cNvPr>
        <xdr:cNvSpPr/>
      </xdr:nvSpPr>
      <xdr:spPr>
        <a:xfrm>
          <a:off x="9945688" y="754062"/>
          <a:ext cx="960438" cy="357187"/>
        </a:xfrm>
        <a:prstGeom prst="ellipse">
          <a:avLst/>
        </a:prstGeom>
        <a:noFill/>
        <a:ln w="381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31750</xdr:colOff>
      <xdr:row>2</xdr:row>
      <xdr:rowOff>357187</xdr:rowOff>
    </xdr:from>
    <xdr:to>
      <xdr:col>18</xdr:col>
      <xdr:colOff>0</xdr:colOff>
      <xdr:row>4</xdr:row>
      <xdr:rowOff>31749</xdr:rowOff>
    </xdr:to>
    <xdr:sp macro="" textlink="">
      <xdr:nvSpPr>
        <xdr:cNvPr id="29" name="Ellipse 28">
          <a:extLst>
            <a:ext uri="{FF2B5EF4-FFF2-40B4-BE49-F238E27FC236}">
              <a16:creationId xmlns:a16="http://schemas.microsoft.com/office/drawing/2014/main" id="{7D14E433-CCF6-4DD2-BA5F-656EECAD692A}"/>
            </a:ext>
          </a:extLst>
        </xdr:cNvPr>
        <xdr:cNvSpPr/>
      </xdr:nvSpPr>
      <xdr:spPr>
        <a:xfrm>
          <a:off x="16049625" y="746125"/>
          <a:ext cx="960438" cy="357187"/>
        </a:xfrm>
        <a:prstGeom prst="ellipse">
          <a:avLst/>
        </a:prstGeom>
        <a:noFill/>
        <a:ln w="381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714376</xdr:colOff>
      <xdr:row>5</xdr:row>
      <xdr:rowOff>0</xdr:rowOff>
    </xdr:from>
    <xdr:to>
      <xdr:col>21</xdr:col>
      <xdr:colOff>55564</xdr:colOff>
      <xdr:row>5</xdr:row>
      <xdr:rowOff>269875</xdr:rowOff>
    </xdr:to>
    <xdr:sp macro="" textlink="">
      <xdr:nvSpPr>
        <xdr:cNvPr id="30" name="Ellipse 29">
          <a:extLst>
            <a:ext uri="{FF2B5EF4-FFF2-40B4-BE49-F238E27FC236}">
              <a16:creationId xmlns:a16="http://schemas.microsoft.com/office/drawing/2014/main" id="{1241AEAF-AB6D-4B4E-94F5-F70BD4428926}"/>
            </a:ext>
          </a:extLst>
        </xdr:cNvPr>
        <xdr:cNvSpPr/>
      </xdr:nvSpPr>
      <xdr:spPr>
        <a:xfrm>
          <a:off x="18430876" y="1341438"/>
          <a:ext cx="865188" cy="269875"/>
        </a:xfrm>
        <a:prstGeom prst="ellipse">
          <a:avLst/>
        </a:prstGeom>
        <a:noFill/>
        <a:ln w="381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754062</xdr:colOff>
      <xdr:row>4</xdr:row>
      <xdr:rowOff>222249</xdr:rowOff>
    </xdr:from>
    <xdr:to>
      <xdr:col>23</xdr:col>
      <xdr:colOff>47625</xdr:colOff>
      <xdr:row>6</xdr:row>
      <xdr:rowOff>31749</xdr:rowOff>
    </xdr:to>
    <xdr:sp macro="" textlink="">
      <xdr:nvSpPr>
        <xdr:cNvPr id="31" name="Ellipse 30">
          <a:extLst>
            <a:ext uri="{FF2B5EF4-FFF2-40B4-BE49-F238E27FC236}">
              <a16:creationId xmlns:a16="http://schemas.microsoft.com/office/drawing/2014/main" id="{4E6EEA6F-0DD0-4B7D-99A2-B30B6EF2273D}"/>
            </a:ext>
          </a:extLst>
        </xdr:cNvPr>
        <xdr:cNvSpPr/>
      </xdr:nvSpPr>
      <xdr:spPr>
        <a:xfrm>
          <a:off x="19994562" y="1293812"/>
          <a:ext cx="817563" cy="357187"/>
        </a:xfrm>
        <a:prstGeom prst="ellipse">
          <a:avLst/>
        </a:prstGeom>
        <a:noFill/>
        <a:ln w="381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tilisateur/Documents/Trading/March&#233;s%20Financier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ymeric Miq" refreshedDate="44332.738194907404" createdVersion="6" refreshedVersion="6" minRefreshableVersion="3" recordCount="43" xr:uid="{B8195E1B-79F5-4FC1-A066-9344435303B2}">
  <cacheSource type="worksheet">
    <worksheetSource name="Tableau13" r:id="rId2"/>
  </cacheSource>
  <cacheFields count="7">
    <cacheField name="Date :" numFmtId="16">
      <sharedItems containsNonDate="0" containsDate="1" containsString="0" containsBlank="1" minDate="2021-02-28T00:00:00" maxDate="2021-05-13T00:00:00" count="19">
        <d v="2021-02-28T00:00:00"/>
        <d v="2021-04-02T00:00:00"/>
        <d v="2021-04-05T00:00:00"/>
        <d v="2021-04-07T00:00:00"/>
        <d v="2021-04-12T00:00:00"/>
        <d v="2021-04-13T00:00:00"/>
        <d v="2021-04-15T00:00:00"/>
        <d v="2021-04-16T00:00:00"/>
        <d v="2021-04-22T00:00:00"/>
        <d v="2021-04-26T00:00:00"/>
        <d v="2021-04-30T00:00:00"/>
        <d v="2021-05-04T00:00:00"/>
        <d v="2021-05-05T00:00:00"/>
        <d v="2021-05-06T00:00:00"/>
        <d v="2021-05-07T00:00:00"/>
        <d v="2021-05-10T00:00:00"/>
        <d v="2021-05-11T00:00:00"/>
        <d v="2021-05-12T00:00:00"/>
        <m/>
      </sharedItems>
      <fieldGroup par="6" base="0">
        <rangePr groupBy="days" startDate="2021-02-28T00:00:00" endDate="2021-05-13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3/05/2021"/>
        </groupItems>
      </fieldGroup>
    </cacheField>
    <cacheField name="Gain :" numFmtId="44">
      <sharedItems containsString="0" containsBlank="1" containsNumber="1" minValue="0" maxValue="12.78" count="12">
        <n v="0"/>
        <n v="0.01"/>
        <n v="0.5"/>
        <n v="10.5"/>
        <n v="3.04"/>
        <n v="12.69"/>
        <n v="1.35"/>
        <n v="12.78"/>
        <n v="1.24"/>
        <n v="0.66"/>
        <n v="0.23"/>
        <m/>
      </sharedItems>
    </cacheField>
    <cacheField name="Trades :" numFmtId="165">
      <sharedItems containsBlank="1" containsMixedTypes="1" containsNumber="1" minValue="845.81" maxValue="1000" count="20">
        <n v="1000"/>
        <n v="968.5"/>
        <n v="967.51"/>
        <n v="968.01"/>
        <n v="968.12"/>
        <n v="962.24"/>
        <n v="974.93000000000006"/>
        <n v="950.7600000000001"/>
        <n v="929.04000000000008"/>
        <n v="916.22"/>
        <n v="914.33"/>
        <n v="922.96"/>
        <n v="909.24"/>
        <n v="898.29"/>
        <n v="889.08999999999992"/>
        <n v="888.43"/>
        <n v="884.82999999999993"/>
        <n v="845.81"/>
        <s v=""/>
        <m/>
      </sharedItems>
    </cacheField>
    <cacheField name="% par Jours :" numFmtId="10">
      <sharedItems containsBlank="1" containsMixedTypes="1" containsNumber="1" minValue="-4.4098866448922372E-2" maxValue="1.318797805121389E-2" count="20">
        <n v="0"/>
        <n v="-3.15E-2"/>
        <n v="-1.0221992772328436E-3"/>
        <n v="5.167905241289496E-4"/>
        <n v="1.1363518971912857E-4"/>
        <n v="-6.0736272362930171E-3"/>
        <n v="1.318797805121389E-2"/>
        <n v="-2.4791523493994397E-2"/>
        <n v="-2.2844881989145551E-2"/>
        <n v="-1.3799190562300922E-2"/>
        <n v="-2.0628233393726247E-3"/>
        <n v="9.438605317554926E-3"/>
        <n v="-1.4865216260726387E-2"/>
        <n v="-1.2043024943909249E-2"/>
        <n v="-1.024168141691441E-2"/>
        <n v="-7.4233204737424586E-4"/>
        <n v="-4.052091892439498E-3"/>
        <n v="-4.4098866448922372E-2"/>
        <s v=""/>
        <m/>
      </sharedItems>
    </cacheField>
    <cacheField name="Date :2" numFmtId="16">
      <sharedItems containsDate="1" containsMixedTypes="1" minDate="2021-02-28T00:00:00" maxDate="2021-05-13T00:00:00" count="19">
        <d v="2021-02-28T00:00:00"/>
        <d v="2021-04-02T00:00:00"/>
        <d v="2021-04-05T00:00:00"/>
        <d v="2021-04-07T00:00:00"/>
        <d v="2021-04-12T00:00:00"/>
        <d v="2021-04-13T00:00:00"/>
        <d v="2021-04-15T00:00:00"/>
        <d v="2021-04-16T00:00:00"/>
        <d v="2021-04-22T00:00:00"/>
        <d v="2021-04-26T00:00:00"/>
        <d v="2021-04-30T00:00:00"/>
        <d v="2021-05-04T00:00:00"/>
        <d v="2021-05-05T00:00:00"/>
        <d v="2021-05-06T00:00:00"/>
        <d v="2021-05-07T00:00:00"/>
        <d v="2021-05-10T00:00:00"/>
        <d v="2021-05-11T00:00:00"/>
        <d v="2021-05-12T00:00:00"/>
        <s v=""/>
      </sharedItems>
    </cacheField>
    <cacheField name="Pertes :" numFmtId="44">
      <sharedItems containsString="0" containsBlank="1" containsNumber="1" minValue="0" maxValue="39.020000000000003" count="17">
        <n v="0"/>
        <n v="31.5"/>
        <n v="1"/>
        <n v="10.39"/>
        <n v="8.92"/>
        <n v="25.519999999999996"/>
        <n v="21.720000000000002"/>
        <n v="12.82"/>
        <n v="1.89"/>
        <n v="4.1500000000000004"/>
        <n v="13.719999999999999"/>
        <n v="12.190000000000001"/>
        <n v="9.1999999999999993"/>
        <n v="1.3199999999999998"/>
        <n v="3.83"/>
        <n v="39.020000000000003"/>
        <m/>
      </sharedItems>
    </cacheField>
    <cacheField name="Mois" numFmtId="0" databaseField="0">
      <fieldGroup base="0">
        <rangePr groupBy="months" startDate="2021-02-28T00:00:00" endDate="2021-05-13T00:00:00"/>
        <groupItems count="14">
          <s v="&lt;28/0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5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x v="0"/>
    <x v="0"/>
    <x v="0"/>
    <x v="0"/>
    <x v="0"/>
    <x v="0"/>
  </r>
  <r>
    <x v="1"/>
    <x v="0"/>
    <x v="1"/>
    <x v="1"/>
    <x v="1"/>
    <x v="1"/>
  </r>
  <r>
    <x v="2"/>
    <x v="1"/>
    <x v="2"/>
    <x v="2"/>
    <x v="2"/>
    <x v="2"/>
  </r>
  <r>
    <x v="3"/>
    <x v="2"/>
    <x v="3"/>
    <x v="3"/>
    <x v="3"/>
    <x v="0"/>
  </r>
  <r>
    <x v="4"/>
    <x v="3"/>
    <x v="4"/>
    <x v="4"/>
    <x v="4"/>
    <x v="3"/>
  </r>
  <r>
    <x v="5"/>
    <x v="4"/>
    <x v="5"/>
    <x v="5"/>
    <x v="5"/>
    <x v="4"/>
  </r>
  <r>
    <x v="6"/>
    <x v="5"/>
    <x v="6"/>
    <x v="6"/>
    <x v="6"/>
    <x v="0"/>
  </r>
  <r>
    <x v="7"/>
    <x v="6"/>
    <x v="7"/>
    <x v="7"/>
    <x v="7"/>
    <x v="5"/>
  </r>
  <r>
    <x v="8"/>
    <x v="0"/>
    <x v="8"/>
    <x v="8"/>
    <x v="8"/>
    <x v="6"/>
  </r>
  <r>
    <x v="9"/>
    <x v="0"/>
    <x v="9"/>
    <x v="9"/>
    <x v="9"/>
    <x v="7"/>
  </r>
  <r>
    <x v="10"/>
    <x v="0"/>
    <x v="10"/>
    <x v="10"/>
    <x v="10"/>
    <x v="8"/>
  </r>
  <r>
    <x v="11"/>
    <x v="7"/>
    <x v="11"/>
    <x v="11"/>
    <x v="11"/>
    <x v="9"/>
  </r>
  <r>
    <x v="12"/>
    <x v="0"/>
    <x v="12"/>
    <x v="12"/>
    <x v="12"/>
    <x v="10"/>
  </r>
  <r>
    <x v="13"/>
    <x v="8"/>
    <x v="13"/>
    <x v="13"/>
    <x v="13"/>
    <x v="11"/>
  </r>
  <r>
    <x v="14"/>
    <x v="0"/>
    <x v="14"/>
    <x v="14"/>
    <x v="14"/>
    <x v="12"/>
  </r>
  <r>
    <x v="15"/>
    <x v="9"/>
    <x v="15"/>
    <x v="15"/>
    <x v="15"/>
    <x v="13"/>
  </r>
  <r>
    <x v="16"/>
    <x v="10"/>
    <x v="16"/>
    <x v="16"/>
    <x v="16"/>
    <x v="14"/>
  </r>
  <r>
    <x v="17"/>
    <x v="0"/>
    <x v="17"/>
    <x v="17"/>
    <x v="17"/>
    <x v="15"/>
  </r>
  <r>
    <x v="18"/>
    <x v="11"/>
    <x v="18"/>
    <x v="18"/>
    <x v="18"/>
    <x v="16"/>
  </r>
  <r>
    <x v="18"/>
    <x v="11"/>
    <x v="18"/>
    <x v="18"/>
    <x v="18"/>
    <x v="16"/>
  </r>
  <r>
    <x v="18"/>
    <x v="11"/>
    <x v="19"/>
    <x v="19"/>
    <x v="18"/>
    <x v="16"/>
  </r>
  <r>
    <x v="18"/>
    <x v="11"/>
    <x v="19"/>
    <x v="19"/>
    <x v="18"/>
    <x v="16"/>
  </r>
  <r>
    <x v="18"/>
    <x v="11"/>
    <x v="19"/>
    <x v="19"/>
    <x v="18"/>
    <x v="16"/>
  </r>
  <r>
    <x v="18"/>
    <x v="11"/>
    <x v="19"/>
    <x v="19"/>
    <x v="18"/>
    <x v="16"/>
  </r>
  <r>
    <x v="18"/>
    <x v="11"/>
    <x v="19"/>
    <x v="19"/>
    <x v="18"/>
    <x v="16"/>
  </r>
  <r>
    <x v="18"/>
    <x v="11"/>
    <x v="19"/>
    <x v="19"/>
    <x v="18"/>
    <x v="16"/>
  </r>
  <r>
    <x v="18"/>
    <x v="11"/>
    <x v="19"/>
    <x v="19"/>
    <x v="18"/>
    <x v="16"/>
  </r>
  <r>
    <x v="18"/>
    <x v="11"/>
    <x v="19"/>
    <x v="19"/>
    <x v="18"/>
    <x v="16"/>
  </r>
  <r>
    <x v="18"/>
    <x v="11"/>
    <x v="19"/>
    <x v="19"/>
    <x v="18"/>
    <x v="16"/>
  </r>
  <r>
    <x v="18"/>
    <x v="11"/>
    <x v="19"/>
    <x v="19"/>
    <x v="18"/>
    <x v="16"/>
  </r>
  <r>
    <x v="18"/>
    <x v="11"/>
    <x v="18"/>
    <x v="18"/>
    <x v="18"/>
    <x v="16"/>
  </r>
  <r>
    <x v="18"/>
    <x v="11"/>
    <x v="18"/>
    <x v="18"/>
    <x v="18"/>
    <x v="16"/>
  </r>
  <r>
    <x v="18"/>
    <x v="11"/>
    <x v="18"/>
    <x v="18"/>
    <x v="18"/>
    <x v="16"/>
  </r>
  <r>
    <x v="18"/>
    <x v="11"/>
    <x v="18"/>
    <x v="18"/>
    <x v="18"/>
    <x v="16"/>
  </r>
  <r>
    <x v="18"/>
    <x v="11"/>
    <x v="18"/>
    <x v="18"/>
    <x v="18"/>
    <x v="16"/>
  </r>
  <r>
    <x v="18"/>
    <x v="11"/>
    <x v="18"/>
    <x v="18"/>
    <x v="18"/>
    <x v="16"/>
  </r>
  <r>
    <x v="18"/>
    <x v="11"/>
    <x v="18"/>
    <x v="18"/>
    <x v="18"/>
    <x v="16"/>
  </r>
  <r>
    <x v="18"/>
    <x v="11"/>
    <x v="18"/>
    <x v="18"/>
    <x v="18"/>
    <x v="16"/>
  </r>
  <r>
    <x v="18"/>
    <x v="11"/>
    <x v="18"/>
    <x v="18"/>
    <x v="18"/>
    <x v="16"/>
  </r>
  <r>
    <x v="18"/>
    <x v="11"/>
    <x v="18"/>
    <x v="18"/>
    <x v="18"/>
    <x v="16"/>
  </r>
  <r>
    <x v="18"/>
    <x v="11"/>
    <x v="18"/>
    <x v="18"/>
    <x v="18"/>
    <x v="16"/>
  </r>
  <r>
    <x v="18"/>
    <x v="11"/>
    <x v="18"/>
    <x v="18"/>
    <x v="18"/>
    <x v="16"/>
  </r>
  <r>
    <x v="18"/>
    <x v="11"/>
    <x v="18"/>
    <x v="18"/>
    <x v="18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360EB2-1A03-4ED1-A347-27B005E138DC}" name="Tableau croisé dynamique2" cacheId="0" applyNumberFormats="0" applyBorderFormats="0" applyFontFormats="0" applyPatternFormats="0" applyAlignmentFormats="0" applyWidthHeightFormats="1" dataCaption="Valeurs" grandTotalCaption="TOTAL :" updatedVersion="6" minRefreshableVersion="3" useAutoFormatting="1" itemPrintTitles="1" createdVersion="6" indent="0" outline="1" outlineData="1" multipleFieldFilters="0" rowHeaderCaption="Dates">
  <location ref="I3:M25" firstHeaderRow="0" firstDataRow="1" firstDataCol="1"/>
  <pivotFields count="7"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dataField="1" showAll="0"/>
    <pivotField dataField="1" showAll="0"/>
    <pivotField showAll="0"/>
    <pivotField dataField="1" showAll="0"/>
    <pivotField axis="axisRow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</pivotFields>
  <rowFields count="2">
    <field x="6"/>
    <field x="0"/>
  </rowFields>
  <rowItems count="22">
    <i>
      <x v="2"/>
    </i>
    <i r="1">
      <x v="59"/>
    </i>
    <i>
      <x v="4"/>
    </i>
    <i r="1">
      <x v="93"/>
    </i>
    <i r="1">
      <x v="96"/>
    </i>
    <i r="1">
      <x v="98"/>
    </i>
    <i r="1">
      <x v="103"/>
    </i>
    <i r="1">
      <x v="104"/>
    </i>
    <i r="1">
      <x v="106"/>
    </i>
    <i r="1">
      <x v="107"/>
    </i>
    <i r="1">
      <x v="113"/>
    </i>
    <i r="1">
      <x v="117"/>
    </i>
    <i r="1">
      <x v="121"/>
    </i>
    <i>
      <x v="5"/>
    </i>
    <i r="1">
      <x v="125"/>
    </i>
    <i r="1">
      <x v="126"/>
    </i>
    <i r="1">
      <x v="127"/>
    </i>
    <i r="1">
      <x v="128"/>
    </i>
    <i r="1">
      <x v="131"/>
    </i>
    <i r="1">
      <x v="132"/>
    </i>
    <i r="1">
      <x v="13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GAINS" fld="1" baseField="6" baseItem="2" numFmtId="44"/>
    <dataField name="PERTES" fld="5" baseField="6" baseItem="2" numFmtId="44"/>
    <dataField name="CAPITAL" fld="2" subtotal="max" baseField="6" baseItem="2" numFmtId="44"/>
    <dataField name="VARIATIONS" fld="3" baseField="6" baseItem="2" numFmtId="10"/>
  </dataFields>
  <formats count="234">
    <format dxfId="242">
      <pivotArea outline="0" collapsedLevelsAreSubtotals="1" fieldPosition="0"/>
    </format>
    <format dxfId="24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40">
      <pivotArea outline="0" collapsedLevelsAreSubtotals="1" fieldPosition="0"/>
    </format>
    <format dxfId="23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8">
      <pivotArea field="6" type="button" dataOnly="0" labelOnly="1" outline="0" axis="axisRow" fieldPosition="0"/>
    </format>
    <format dxfId="237">
      <pivotArea dataOnly="0" labelOnly="1" grandRow="1" outline="0" fieldPosition="0"/>
    </format>
    <format dxfId="236">
      <pivotArea collapsedLevelsAreSubtotals="1" fieldPosition="0">
        <references count="1">
          <reference field="6" count="1">
            <x v="2"/>
          </reference>
        </references>
      </pivotArea>
    </format>
    <format dxfId="235">
      <pivotArea dataOnly="0" labelOnly="1" fieldPosition="0">
        <references count="1">
          <reference field="6" count="1">
            <x v="2"/>
          </reference>
        </references>
      </pivotArea>
    </format>
    <format dxfId="234">
      <pivotArea collapsedLevelsAreSubtotals="1" fieldPosition="0">
        <references count="1">
          <reference field="6" count="1">
            <x v="4"/>
          </reference>
        </references>
      </pivotArea>
    </format>
    <format dxfId="233">
      <pivotArea dataOnly="0" labelOnly="1" fieldPosition="0">
        <references count="1">
          <reference field="6" count="1">
            <x v="4"/>
          </reference>
        </references>
      </pivotArea>
    </format>
    <format dxfId="232">
      <pivotArea collapsedLevelsAreSubtotals="1" fieldPosition="0">
        <references count="1">
          <reference field="6" count="1">
            <x v="5"/>
          </reference>
        </references>
      </pivotArea>
    </format>
    <format dxfId="231">
      <pivotArea dataOnly="0" labelOnly="1" fieldPosition="0">
        <references count="1">
          <reference field="6" count="1">
            <x v="5"/>
          </reference>
        </references>
      </pivotArea>
    </format>
    <format dxfId="230">
      <pivotArea collapsedLevelsAreSubtotals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229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228">
      <pivotArea collapsedLevelsAreSubtotals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227">
      <pivotArea dataOnly="0" labelOnly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226">
      <pivotArea type="all" dataOnly="0" outline="0" fieldPosition="0"/>
    </format>
    <format dxfId="225">
      <pivotArea outline="0" collapsedLevelsAreSubtotals="1" fieldPosition="0"/>
    </format>
    <format dxfId="224">
      <pivotArea field="6" type="button" dataOnly="0" labelOnly="1" outline="0" axis="axisRow" fieldPosition="0"/>
    </format>
    <format dxfId="223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222">
      <pivotArea dataOnly="0" labelOnly="1" grandRow="1" outline="0" fieldPosition="0"/>
    </format>
    <format dxfId="221">
      <pivotArea dataOnly="0" labelOnly="1" fieldPosition="0">
        <references count="2">
          <reference field="0" count="1">
            <x v="59"/>
          </reference>
          <reference field="6" count="1" selected="0">
            <x v="2"/>
          </reference>
        </references>
      </pivotArea>
    </format>
    <format dxfId="220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219">
      <pivotArea dataOnly="0" labelOnly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2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17">
      <pivotArea field="6" type="button" dataOnly="0" labelOnly="1" outline="0" axis="axisRow" fieldPosition="0"/>
    </format>
    <format dxfId="216">
      <pivotArea field="6" type="button" dataOnly="0" labelOnly="1" outline="0" axis="axisRow" fieldPosition="0"/>
    </format>
    <format dxfId="215">
      <pivotArea field="6" type="button" dataOnly="0" labelOnly="1" outline="0" axis="axisRow" fieldPosition="0"/>
    </format>
    <format dxfId="21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13">
      <pivotArea field="6" type="button" dataOnly="0" labelOnly="1" outline="0" axis="axisRow" fieldPosition="0"/>
    </format>
    <format dxfId="2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11">
      <pivotArea field="6" type="button" dataOnly="0" labelOnly="1" outline="0" axis="axisRow" fieldPosition="0"/>
    </format>
    <format dxfId="2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0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0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07">
      <pivotArea field="6" type="button" dataOnly="0" labelOnly="1" outline="0" axis="axisRow" fieldPosition="0"/>
    </format>
    <format dxfId="20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05">
      <pivotArea dataOnly="0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04">
      <pivotArea collapsedLevelsAreSubtotals="1" fieldPosition="0">
        <references count="1">
          <reference field="6" count="1">
            <x v="5"/>
          </reference>
        </references>
      </pivotArea>
    </format>
    <format dxfId="203">
      <pivotArea dataOnly="0" labelOnly="1" fieldPosition="0">
        <references count="1">
          <reference field="6" count="1">
            <x v="5"/>
          </reference>
        </references>
      </pivotArea>
    </format>
    <format dxfId="202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201">
      <pivotArea dataOnly="0" labelOnly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200">
      <pivotArea dataOnly="0" outline="0" fieldPosition="0">
        <references count="1">
          <reference field="4294967294" count="1">
            <x v="0"/>
          </reference>
        </references>
      </pivotArea>
    </format>
    <format dxfId="199">
      <pivotArea dataOnly="0" outline="0" fieldPosition="0">
        <references count="1">
          <reference field="4294967294" count="1">
            <x v="1"/>
          </reference>
        </references>
      </pivotArea>
    </format>
    <format dxfId="198">
      <pivotArea dataOnly="0" outline="0" fieldPosition="0">
        <references count="1">
          <reference field="4294967294" count="1">
            <x v="2"/>
          </reference>
        </references>
      </pivotArea>
    </format>
    <format dxfId="197">
      <pivotArea field="6" type="button" dataOnly="0" labelOnly="1" outline="0" axis="axisRow" fieldPosition="0"/>
    </format>
    <format dxfId="19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95">
      <pivotArea outline="0" collapsedLevelsAreSubtotals="1" fieldPosition="0"/>
    </format>
    <format dxfId="194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193">
      <pivotArea dataOnly="0" labelOnly="1" grandRow="1" outline="0" fieldPosition="0"/>
    </format>
    <format dxfId="192">
      <pivotArea dataOnly="0" labelOnly="1" fieldPosition="0">
        <references count="2">
          <reference field="0" count="1">
            <x v="59"/>
          </reference>
          <reference field="6" count="1" selected="0">
            <x v="2"/>
          </reference>
        </references>
      </pivotArea>
    </format>
    <format dxfId="191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190">
      <pivotArea dataOnly="0" labelOnly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189">
      <pivotArea dataOnly="0" outline="0" fieldPosition="0">
        <references count="1">
          <reference field="4294967294" count="1">
            <x v="0"/>
          </reference>
        </references>
      </pivotArea>
    </format>
    <format dxfId="188">
      <pivotArea dataOnly="0" outline="0" fieldPosition="0">
        <references count="1">
          <reference field="4294967294" count="1">
            <x v="1"/>
          </reference>
        </references>
      </pivotArea>
    </format>
    <format dxfId="187">
      <pivotArea dataOnly="0" outline="0" fieldPosition="0">
        <references count="1">
          <reference field="4294967294" count="1">
            <x v="2"/>
          </reference>
        </references>
      </pivotArea>
    </format>
    <format dxfId="186">
      <pivotArea dataOnly="0" fieldPosition="0">
        <references count="1">
          <reference field="6" count="1">
            <x v="4"/>
          </reference>
        </references>
      </pivotArea>
    </format>
    <format dxfId="185">
      <pivotArea dataOnly="0" fieldPosition="0">
        <references count="1">
          <reference field="6" count="1">
            <x v="4"/>
          </reference>
        </references>
      </pivotArea>
    </format>
    <format dxfId="184">
      <pivotArea dataOnly="0" fieldPosition="0">
        <references count="1">
          <reference field="6" count="1">
            <x v="5"/>
          </reference>
        </references>
      </pivotArea>
    </format>
    <format dxfId="183">
      <pivotArea dataOnly="0" fieldPosition="0">
        <references count="1">
          <reference field="6" count="1">
            <x v="5"/>
          </reference>
        </references>
      </pivotArea>
    </format>
    <format dxfId="182">
      <pivotArea dataOnly="0" labelOnly="1" fieldPosition="0">
        <references count="1">
          <reference field="6" count="1">
            <x v="2"/>
          </reference>
        </references>
      </pivotArea>
    </format>
    <format dxfId="181">
      <pivotArea dataOnly="0" labelOnly="1" fieldPosition="0">
        <references count="1">
          <reference field="6" count="1">
            <x v="2"/>
          </reference>
        </references>
      </pivotArea>
    </format>
    <format dxfId="180">
      <pivotArea type="all" dataOnly="0" outline="0" fieldPosition="0"/>
    </format>
    <format dxfId="179">
      <pivotArea outline="0" collapsedLevelsAreSubtotals="1" fieldPosition="0"/>
    </format>
    <format dxfId="178">
      <pivotArea field="6" type="button" dataOnly="0" labelOnly="1" outline="0" axis="axisRow" fieldPosition="0"/>
    </format>
    <format dxfId="177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176">
      <pivotArea dataOnly="0" labelOnly="1" grandRow="1" outline="0" fieldPosition="0"/>
    </format>
    <format dxfId="175">
      <pivotArea dataOnly="0" labelOnly="1" fieldPosition="0">
        <references count="2">
          <reference field="0" count="1">
            <x v="59"/>
          </reference>
          <reference field="6" count="1" selected="0">
            <x v="2"/>
          </reference>
        </references>
      </pivotArea>
    </format>
    <format dxfId="174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173">
      <pivotArea dataOnly="0" labelOnly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17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1">
      <pivotArea collapsedLevelsAreSubtotals="1" fieldPosition="0">
        <references count="2">
          <reference field="4294967294" count="1" selected="0">
            <x v="0"/>
          </reference>
          <reference field="6" count="1">
            <x v="4"/>
          </reference>
        </references>
      </pivotArea>
    </format>
    <format dxfId="170">
      <pivotArea collapsedLevelsAreSubtotals="1" fieldPosition="0">
        <references count="2">
          <reference field="4294967294" count="1" selected="0">
            <x v="0"/>
          </reference>
          <reference field="6" count="1">
            <x v="4"/>
          </reference>
        </references>
      </pivotArea>
    </format>
    <format dxfId="169">
      <pivotArea collapsedLevelsAreSubtotals="1" fieldPosition="0">
        <references count="2">
          <reference field="4294967294" count="1" selected="0">
            <x v="0"/>
          </reference>
          <reference field="6" count="1">
            <x v="2"/>
          </reference>
        </references>
      </pivotArea>
    </format>
    <format dxfId="168">
      <pivotArea collapsedLevelsAreSubtotals="1" fieldPosition="0">
        <references count="2">
          <reference field="4294967294" count="1" selected="0">
            <x v="0"/>
          </reference>
          <reference field="6" count="1">
            <x v="2"/>
          </reference>
        </references>
      </pivotArea>
    </format>
    <format dxfId="167">
      <pivotArea collapsedLevelsAreSubtotals="1" fieldPosition="0">
        <references count="2">
          <reference field="4294967294" count="1" selected="0">
            <x v="0"/>
          </reference>
          <reference field="6" count="1">
            <x v="2"/>
          </reference>
        </references>
      </pivotArea>
    </format>
    <format dxfId="166">
      <pivotArea collapsedLevelsAreSubtotals="1" fieldPosition="0">
        <references count="2">
          <reference field="4294967294" count="1" selected="0">
            <x v="0"/>
          </reference>
          <reference field="6" count="1">
            <x v="5"/>
          </reference>
        </references>
      </pivotArea>
    </format>
    <format dxfId="165">
      <pivotArea collapsedLevelsAreSubtotals="1" fieldPosition="0">
        <references count="2">
          <reference field="4294967294" count="1" selected="0">
            <x v="1"/>
          </reference>
          <reference field="6" count="1">
            <x v="2"/>
          </reference>
        </references>
      </pivotArea>
    </format>
    <format dxfId="164">
      <pivotArea collapsedLevelsAreSubtotals="1" fieldPosition="0">
        <references count="2">
          <reference field="4294967294" count="1" selected="0">
            <x v="1"/>
          </reference>
          <reference field="6" count="1">
            <x v="2"/>
          </reference>
        </references>
      </pivotArea>
    </format>
    <format dxfId="163">
      <pivotArea collapsedLevelsAreSubtotals="1" fieldPosition="0">
        <references count="2">
          <reference field="4294967294" count="1" selected="0">
            <x v="1"/>
          </reference>
          <reference field="6" count="1">
            <x v="2"/>
          </reference>
        </references>
      </pivotArea>
    </format>
    <format dxfId="162">
      <pivotArea collapsedLevelsAreSubtotals="1" fieldPosition="0">
        <references count="2">
          <reference field="4294967294" count="1" selected="0">
            <x v="1"/>
          </reference>
          <reference field="6" count="1">
            <x v="4"/>
          </reference>
        </references>
      </pivotArea>
    </format>
    <format dxfId="161">
      <pivotArea collapsedLevelsAreSubtotals="1" fieldPosition="0">
        <references count="2">
          <reference field="4294967294" count="1" selected="0">
            <x v="1"/>
          </reference>
          <reference field="6" count="1">
            <x v="5"/>
          </reference>
        </references>
      </pivotArea>
    </format>
    <format dxfId="160">
      <pivotArea collapsedLevelsAreSubtotals="1" fieldPosition="0">
        <references count="2">
          <reference field="4294967294" count="1" selected="0">
            <x v="2"/>
          </reference>
          <reference field="6" count="1">
            <x v="2"/>
          </reference>
        </references>
      </pivotArea>
    </format>
    <format dxfId="159">
      <pivotArea collapsedLevelsAreSubtotals="1" fieldPosition="0">
        <references count="2">
          <reference field="4294967294" count="1" selected="0">
            <x v="2"/>
          </reference>
          <reference field="6" count="1">
            <x v="4"/>
          </reference>
        </references>
      </pivotArea>
    </format>
    <format dxfId="158">
      <pivotArea collapsedLevelsAreSubtotals="1" fieldPosition="0">
        <references count="2">
          <reference field="4294967294" count="1" selected="0">
            <x v="2"/>
          </reference>
          <reference field="6" count="1">
            <x v="5"/>
          </reference>
        </references>
      </pivotArea>
    </format>
    <format dxfId="157">
      <pivotArea collapsedLevelsAreSubtotals="1" fieldPosition="0">
        <references count="2">
          <reference field="4294967294" count="1" selected="0">
            <x v="2"/>
          </reference>
          <reference field="6" count="1">
            <x v="2"/>
          </reference>
        </references>
      </pivotArea>
    </format>
    <format dxfId="156">
      <pivotArea collapsedLevelsAreSubtotals="1" fieldPosition="0">
        <references count="2">
          <reference field="4294967294" count="1" selected="0">
            <x v="2"/>
          </reference>
          <reference field="6" count="1">
            <x v="4"/>
          </reference>
        </references>
      </pivotArea>
    </format>
    <format dxfId="155">
      <pivotArea collapsedLevelsAreSubtotals="1" fieldPosition="0">
        <references count="2">
          <reference field="4294967294" count="1" selected="0">
            <x v="2"/>
          </reference>
          <reference field="6" count="1">
            <x v="5"/>
          </reference>
        </references>
      </pivotArea>
    </format>
    <format dxfId="154">
      <pivotArea collapsedLevelsAreSubtotals="1" fieldPosition="0">
        <references count="2">
          <reference field="4294967294" count="1" selected="0">
            <x v="2"/>
          </reference>
          <reference field="6" count="1">
            <x v="2"/>
          </reference>
        </references>
      </pivotArea>
    </format>
    <format dxfId="153">
      <pivotArea collapsedLevelsAreSubtotals="1" fieldPosition="0">
        <references count="2">
          <reference field="4294967294" count="1" selected="0">
            <x v="2"/>
          </reference>
          <reference field="6" count="1">
            <x v="4"/>
          </reference>
        </references>
      </pivotArea>
    </format>
    <format dxfId="152">
      <pivotArea collapsedLevelsAreSubtotals="1" fieldPosition="0">
        <references count="2">
          <reference field="4294967294" count="1" selected="0">
            <x v="2"/>
          </reference>
          <reference field="6" count="1">
            <x v="5"/>
          </reference>
        </references>
      </pivotArea>
    </format>
    <format dxfId="151">
      <pivotArea dataOnly="0" labelOnly="1" fieldPosition="0">
        <references count="1">
          <reference field="6" count="0"/>
        </references>
      </pivotArea>
    </format>
    <format dxfId="150">
      <pivotArea dataOnly="0" labelOnly="1" fieldPosition="0">
        <references count="1">
          <reference field="6" count="0"/>
        </references>
      </pivotArea>
    </format>
    <format dxfId="149">
      <pivotArea dataOnly="0" labelOnly="1" fieldPosition="0">
        <references count="1">
          <reference field="6" count="0"/>
        </references>
      </pivotArea>
    </format>
    <format dxfId="148">
      <pivotArea dataOnly="0" labelOnly="1" grandRow="1" outline="0" fieldPosition="0"/>
    </format>
    <format dxfId="147">
      <pivotArea dataOnly="0" labelOnly="1" fieldPosition="0">
        <references count="1">
          <reference field="6" count="1">
            <x v="2"/>
          </reference>
        </references>
      </pivotArea>
    </format>
    <format dxfId="146">
      <pivotArea dataOnly="0" labelOnly="1" fieldPosition="0">
        <references count="1">
          <reference field="6" count="1">
            <x v="4"/>
          </reference>
        </references>
      </pivotArea>
    </format>
    <format dxfId="145">
      <pivotArea dataOnly="0" labelOnly="1" fieldPosition="0">
        <references count="1">
          <reference field="6" count="1">
            <x v="5"/>
          </reference>
        </references>
      </pivotArea>
    </format>
    <format dxfId="144">
      <pivotArea type="all" dataOnly="0" outline="0" fieldPosition="0"/>
    </format>
    <format dxfId="143">
      <pivotArea outline="0" collapsedLevelsAreSubtotals="1" fieldPosition="0"/>
    </format>
    <format dxfId="142">
      <pivotArea field="6" type="button" dataOnly="0" labelOnly="1" outline="0" axis="axisRow" fieldPosition="0"/>
    </format>
    <format dxfId="141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140">
      <pivotArea dataOnly="0" labelOnly="1" grandRow="1" outline="0" fieldPosition="0"/>
    </format>
    <format dxfId="139">
      <pivotArea dataOnly="0" labelOnly="1" fieldPosition="0">
        <references count="2">
          <reference field="0" count="1">
            <x v="59"/>
          </reference>
          <reference field="6" count="1" selected="0">
            <x v="2"/>
          </reference>
        </references>
      </pivotArea>
    </format>
    <format dxfId="138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137">
      <pivotArea dataOnly="0" labelOnly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13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5">
      <pivotArea type="all" dataOnly="0" outline="0" fieldPosition="0"/>
    </format>
    <format dxfId="134">
      <pivotArea outline="0" collapsedLevelsAreSubtotals="1" fieldPosition="0"/>
    </format>
    <format dxfId="133">
      <pivotArea field="6" type="button" dataOnly="0" labelOnly="1" outline="0" axis="axisRow" fieldPosition="0"/>
    </format>
    <format dxfId="132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131">
      <pivotArea dataOnly="0" labelOnly="1" grandRow="1" outline="0" fieldPosition="0"/>
    </format>
    <format dxfId="130">
      <pivotArea dataOnly="0" labelOnly="1" fieldPosition="0">
        <references count="2">
          <reference field="0" count="1">
            <x v="59"/>
          </reference>
          <reference field="6" count="1" selected="0">
            <x v="2"/>
          </reference>
        </references>
      </pivotArea>
    </format>
    <format dxfId="129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128">
      <pivotArea dataOnly="0" labelOnly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1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6">
      <pivotArea type="all" dataOnly="0" outline="0" fieldPosition="0"/>
    </format>
    <format dxfId="125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124">
      <pivotArea collapsedLevelsAreSubtotals="1" fieldPosition="0">
        <references count="1">
          <reference field="6" count="1">
            <x v="2"/>
          </reference>
        </references>
      </pivotArea>
    </format>
    <format dxfId="123">
      <pivotArea collapsedLevelsAreSubtotals="1" fieldPosition="0">
        <references count="1">
          <reference field="6" count="1">
            <x v="4"/>
          </reference>
        </references>
      </pivotArea>
    </format>
    <format dxfId="122">
      <pivotArea collapsedLevelsAreSubtotals="1" fieldPosition="0">
        <references count="1">
          <reference field="6" count="1">
            <x v="5"/>
          </reference>
        </references>
      </pivotArea>
    </format>
    <format dxfId="121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120">
      <pivotArea collapsedLevelsAreSubtotals="1" fieldPosition="0">
        <references count="1">
          <reference field="6" count="1">
            <x v="2"/>
          </reference>
        </references>
      </pivotArea>
    </format>
    <format dxfId="119">
      <pivotArea collapsedLevelsAreSubtotals="1" fieldPosition="0">
        <references count="1">
          <reference field="6" count="1">
            <x v="4"/>
          </reference>
        </references>
      </pivotArea>
    </format>
    <format dxfId="118">
      <pivotArea collapsedLevelsAreSubtotals="1" fieldPosition="0">
        <references count="1">
          <reference field="6" count="1">
            <x v="5"/>
          </reference>
        </references>
      </pivotArea>
    </format>
    <format dxfId="117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116">
      <pivotArea collapsedLevelsAreSubtotals="1" fieldPosition="0">
        <references count="1">
          <reference field="6" count="1">
            <x v="4"/>
          </reference>
        </references>
      </pivotArea>
    </format>
    <format dxfId="115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114">
      <pivotArea collapsedLevelsAreSubtotals="1" fieldPosition="0">
        <references count="1">
          <reference field="6" count="1">
            <x v="4"/>
          </reference>
        </references>
      </pivotArea>
    </format>
    <format dxfId="11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12">
      <pivotArea dataOnly="0" fieldPosition="0">
        <references count="1">
          <reference field="6" count="3">
            <x v="2"/>
            <x v="4"/>
            <x v="5"/>
          </reference>
        </references>
      </pivotArea>
    </format>
    <format dxfId="111">
      <pivotArea type="all" dataOnly="0" outline="0" fieldPosition="0"/>
    </format>
    <format dxfId="110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109">
      <pivotArea dataOnly="0" labelOnly="1" grandRow="1" outline="0" fieldPosition="0"/>
    </format>
    <format dxfId="108">
      <pivotArea dataOnly="0" labelOnly="1" fieldPosition="0">
        <references count="2">
          <reference field="0" count="1">
            <x v="59"/>
          </reference>
          <reference field="6" count="1" selected="0">
            <x v="2"/>
          </reference>
        </references>
      </pivotArea>
    </format>
    <format dxfId="107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106">
      <pivotArea dataOnly="0" labelOnly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10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4">
      <pivotArea type="all" dataOnly="0" outline="0" fieldPosition="0"/>
    </format>
    <format dxfId="103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102">
      <pivotArea dataOnly="0" labelOnly="1" grandRow="1" outline="0" fieldPosition="0"/>
    </format>
    <format dxfId="101">
      <pivotArea dataOnly="0" labelOnly="1" fieldPosition="0">
        <references count="2">
          <reference field="0" count="1">
            <x v="59"/>
          </reference>
          <reference field="6" count="1" selected="0">
            <x v="2"/>
          </reference>
        </references>
      </pivotArea>
    </format>
    <format dxfId="10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9">
      <pivotArea collapsedLevelsAreSubtotals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98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97">
      <pivotArea collapsedLevelsAreSubtotals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96">
      <pivotArea dataOnly="0" labelOnly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95">
      <pivotArea dataOnly="0" labelOnly="1" fieldPosition="0">
        <references count="1">
          <reference field="6" count="1">
            <x v="6"/>
          </reference>
        </references>
      </pivotArea>
    </format>
    <format dxfId="94">
      <pivotArea dataOnly="0" labelOnly="1" fieldPosition="0">
        <references count="1">
          <reference field="6" count="1">
            <x v="7"/>
          </reference>
        </references>
      </pivotArea>
    </format>
    <format dxfId="93">
      <pivotArea outline="0" fieldPosition="0">
        <references count="1">
          <reference field="4294967294" count="1">
            <x v="2"/>
          </reference>
        </references>
      </pivotArea>
    </format>
    <format dxfId="92">
      <pivotArea outline="0" fieldPosition="0">
        <references count="1">
          <reference field="4294967294" count="1">
            <x v="1"/>
          </reference>
        </references>
      </pivotArea>
    </format>
    <format dxfId="91">
      <pivotArea outline="0" fieldPosition="0">
        <references count="1">
          <reference field="4294967294" count="1">
            <x v="0"/>
          </reference>
        </references>
      </pivotArea>
    </format>
    <format dxfId="90">
      <pivotArea collapsedLevelsAreSubtotals="1" fieldPosition="0">
        <references count="1">
          <reference field="6" count="1">
            <x v="2"/>
          </reference>
        </references>
      </pivotArea>
    </format>
    <format dxfId="89">
      <pivotArea collapsedLevelsAreSubtotals="1" fieldPosition="0">
        <references count="2">
          <reference field="0" count="1">
            <x v="59"/>
          </reference>
          <reference field="6" count="1" selected="0">
            <x v="2"/>
          </reference>
        </references>
      </pivotArea>
    </format>
    <format dxfId="88">
      <pivotArea collapsedLevelsAreSubtotals="1" fieldPosition="0">
        <references count="1">
          <reference field="6" count="1">
            <x v="4"/>
          </reference>
        </references>
      </pivotArea>
    </format>
    <format dxfId="87">
      <pivotArea collapsedLevelsAreSubtotals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86">
      <pivotArea collapsedLevelsAreSubtotals="1" fieldPosition="0">
        <references count="1">
          <reference field="6" count="1">
            <x v="5"/>
          </reference>
        </references>
      </pivotArea>
    </format>
    <format dxfId="85">
      <pivotArea collapsedLevelsAreSubtotals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84">
      <pivotArea collapsedLevelsAreSubtotals="1" fieldPosition="0">
        <references count="1">
          <reference field="6" count="1">
            <x v="6"/>
          </reference>
        </references>
      </pivotArea>
    </format>
    <format dxfId="83">
      <pivotArea collapsedLevelsAreSubtotals="1" fieldPosition="0">
        <references count="2">
          <reference field="0" count="2">
            <x v="153"/>
            <x v="154"/>
          </reference>
          <reference field="6" count="1" selected="0">
            <x v="6"/>
          </reference>
        </references>
      </pivotArea>
    </format>
    <format dxfId="82">
      <pivotArea collapsedLevelsAreSubtotals="1" fieldPosition="0">
        <references count="1">
          <reference field="6" count="1">
            <x v="7"/>
          </reference>
        </references>
      </pivotArea>
    </format>
    <format dxfId="81">
      <pivotArea collapsedLevelsAreSubtotals="1" fieldPosition="0">
        <references count="2">
          <reference field="0" count="1">
            <x v="183"/>
          </reference>
          <reference field="6" count="1" selected="0">
            <x v="7"/>
          </reference>
        </references>
      </pivotArea>
    </format>
    <format dxfId="80">
      <pivotArea dataOnly="0" labelOnly="1" fieldPosition="0">
        <references count="1">
          <reference field="6" count="5">
            <x v="2"/>
            <x v="4"/>
            <x v="5"/>
            <x v="6"/>
            <x v="7"/>
          </reference>
        </references>
      </pivotArea>
    </format>
    <format dxfId="79">
      <pivotArea dataOnly="0" labelOnly="1" fieldPosition="0">
        <references count="2">
          <reference field="0" count="1">
            <x v="59"/>
          </reference>
          <reference field="6" count="1" selected="0">
            <x v="2"/>
          </reference>
        </references>
      </pivotArea>
    </format>
    <format dxfId="78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77">
      <pivotArea dataOnly="0" labelOnly="1" fieldPosition="0">
        <references count="2">
          <reference field="0" count="7">
            <x v="125"/>
            <x v="126"/>
            <x v="127"/>
            <x v="128"/>
            <x v="131"/>
            <x v="132"/>
            <x v="133"/>
          </reference>
          <reference field="6" count="1" selected="0">
            <x v="5"/>
          </reference>
        </references>
      </pivotArea>
    </format>
    <format dxfId="76">
      <pivotArea dataOnly="0" labelOnly="1" fieldPosition="0">
        <references count="2">
          <reference field="0" count="2">
            <x v="153"/>
            <x v="154"/>
          </reference>
          <reference field="6" count="1" selected="0">
            <x v="6"/>
          </reference>
        </references>
      </pivotArea>
    </format>
    <format dxfId="75">
      <pivotArea dataOnly="0" labelOnly="1" fieldPosition="0">
        <references count="2">
          <reference field="0" count="1">
            <x v="183"/>
          </reference>
          <reference field="6" count="1" selected="0">
            <x v="7"/>
          </reference>
        </references>
      </pivotArea>
    </format>
    <format dxfId="74">
      <pivotArea grandRow="1" outline="0" collapsedLevelsAreSubtotals="1" fieldPosition="0"/>
    </format>
    <format dxfId="73">
      <pivotArea dataOnly="0" labelOnly="1" grandRow="1" outline="0" fieldPosition="0"/>
    </format>
    <format dxfId="72">
      <pivotArea grandRow="1" outline="0" collapsedLevelsAreSubtotals="1" fieldPosition="0"/>
    </format>
    <format dxfId="71">
      <pivotArea dataOnly="0" labelOnly="1" grandRow="1" outline="0" fieldPosition="0"/>
    </format>
    <format dxfId="70">
      <pivotArea collapsedLevelsAreSubtotals="1" fieldPosition="0">
        <references count="1">
          <reference field="6" count="1">
            <x v="7"/>
          </reference>
        </references>
      </pivotArea>
    </format>
    <format dxfId="69">
      <pivotArea dataOnly="0" labelOnly="1" fieldPosition="0">
        <references count="1">
          <reference field="6" count="1">
            <x v="7"/>
          </reference>
        </references>
      </pivotArea>
    </format>
    <format dxfId="68">
      <pivotArea collapsedLevelsAreSubtotals="1" fieldPosition="0">
        <references count="1">
          <reference field="6" count="1">
            <x v="4"/>
          </reference>
        </references>
      </pivotArea>
    </format>
    <format dxfId="67">
      <pivotArea dataOnly="0" labelOnly="1" fieldPosition="0">
        <references count="1">
          <reference field="6" count="1">
            <x v="4"/>
          </reference>
        </references>
      </pivotArea>
    </format>
    <format dxfId="66">
      <pivotArea collapsedLevelsAreSubtotals="1" fieldPosition="0">
        <references count="1">
          <reference field="6" count="1">
            <x v="6"/>
          </reference>
        </references>
      </pivotArea>
    </format>
    <format dxfId="65">
      <pivotArea dataOnly="0" labelOnly="1" fieldPosition="0">
        <references count="1">
          <reference field="6" count="1">
            <x v="6"/>
          </reference>
        </references>
      </pivotArea>
    </format>
    <format dxfId="64">
      <pivotArea collapsedLevelsAreSubtotals="1" fieldPosition="0">
        <references count="1">
          <reference field="6" count="1">
            <x v="7"/>
          </reference>
        </references>
      </pivotArea>
    </format>
    <format dxfId="63">
      <pivotArea dataOnly="0" labelOnly="1" fieldPosition="0">
        <references count="1">
          <reference field="6" count="1">
            <x v="7"/>
          </reference>
        </references>
      </pivotArea>
    </format>
    <format dxfId="62">
      <pivotArea dataOnly="0" labelOnly="1" fieldPosition="0">
        <references count="1">
          <reference field="6" count="0"/>
        </references>
      </pivotArea>
    </format>
    <format dxfId="61">
      <pivotArea collapsedLevelsAreSubtotals="1" fieldPosition="0">
        <references count="2">
          <reference field="0" count="1">
            <x v="183"/>
          </reference>
          <reference field="6" count="1" selected="0">
            <x v="7"/>
          </reference>
        </references>
      </pivotArea>
    </format>
    <format dxfId="60">
      <pivotArea collapsedLevelsAreSubtotals="1" fieldPosition="0">
        <references count="1">
          <reference field="6" count="1">
            <x v="8"/>
          </reference>
        </references>
      </pivotArea>
    </format>
    <format dxfId="59">
      <pivotArea collapsedLevelsAreSubtotals="1" fieldPosition="0">
        <references count="2">
          <reference field="0" count="1">
            <x v="214"/>
          </reference>
          <reference field="6" count="1" selected="0">
            <x v="8"/>
          </reference>
        </references>
      </pivotArea>
    </format>
    <format dxfId="58">
      <pivotArea collapsedLevelsAreSubtotals="1" fieldPosition="0">
        <references count="1">
          <reference field="6" count="1">
            <x v="9"/>
          </reference>
        </references>
      </pivotArea>
    </format>
    <format dxfId="57">
      <pivotArea collapsedLevelsAreSubtotals="1" fieldPosition="0">
        <references count="2">
          <reference field="0" count="1">
            <x v="245"/>
          </reference>
          <reference field="6" count="1" selected="0">
            <x v="9"/>
          </reference>
        </references>
      </pivotArea>
    </format>
    <format dxfId="56">
      <pivotArea dataOnly="0" labelOnly="1" fieldPosition="0">
        <references count="1">
          <reference field="6" count="2">
            <x v="8"/>
            <x v="9"/>
          </reference>
        </references>
      </pivotArea>
    </format>
    <format dxfId="55">
      <pivotArea dataOnly="0" labelOnly="1" fieldPosition="0">
        <references count="2">
          <reference field="0" count="1">
            <x v="183"/>
          </reference>
          <reference field="6" count="1" selected="0">
            <x v="7"/>
          </reference>
        </references>
      </pivotArea>
    </format>
    <format dxfId="54">
      <pivotArea dataOnly="0" labelOnly="1" fieldPosition="0">
        <references count="2">
          <reference field="0" count="1">
            <x v="214"/>
          </reference>
          <reference field="6" count="1" selected="0">
            <x v="8"/>
          </reference>
        </references>
      </pivotArea>
    </format>
    <format dxfId="53">
      <pivotArea dataOnly="0" labelOnly="1" fieldPosition="0">
        <references count="2">
          <reference field="0" count="1">
            <x v="245"/>
          </reference>
          <reference field="6" count="1" selected="0">
            <x v="9"/>
          </reference>
        </references>
      </pivotArea>
    </format>
    <format dxfId="52">
      <pivotArea collapsedLevelsAreSubtotals="1" fieldPosition="0">
        <references count="1">
          <reference field="6" count="1">
            <x v="2"/>
          </reference>
        </references>
      </pivotArea>
    </format>
    <format dxfId="51">
      <pivotArea dataOnly="0" labelOnly="1" fieldPosition="0">
        <references count="1">
          <reference field="6" count="1">
            <x v="2"/>
          </reference>
        </references>
      </pivotArea>
    </format>
    <format dxfId="50">
      <pivotArea collapsedLevelsAreSubtotals="1" fieldPosition="0">
        <references count="1">
          <reference field="6" count="1">
            <x v="4"/>
          </reference>
        </references>
      </pivotArea>
    </format>
    <format dxfId="49">
      <pivotArea dataOnly="0" labelOnly="1" fieldPosition="0">
        <references count="1">
          <reference field="6" count="1">
            <x v="4"/>
          </reference>
        </references>
      </pivotArea>
    </format>
    <format dxfId="48">
      <pivotArea collapsedLevelsAreSubtotals="1" fieldPosition="0">
        <references count="1">
          <reference field="6" count="1">
            <x v="5"/>
          </reference>
        </references>
      </pivotArea>
    </format>
    <format dxfId="47">
      <pivotArea dataOnly="0" labelOnly="1" fieldPosition="0">
        <references count="1">
          <reference field="6" count="1">
            <x v="5"/>
          </reference>
        </references>
      </pivotArea>
    </format>
    <format dxfId="46">
      <pivotArea collapsedLevelsAreSubtotals="1" fieldPosition="0">
        <references count="2">
          <reference field="0" count="1">
            <x v="134"/>
          </reference>
          <reference field="6" count="1" selected="0">
            <x v="5"/>
          </reference>
        </references>
      </pivotArea>
    </format>
    <format dxfId="45">
      <pivotArea dataOnly="0" labelOnly="1" fieldPosition="0">
        <references count="2">
          <reference field="0" count="1">
            <x v="134"/>
          </reference>
          <reference field="6" count="1" selected="0">
            <x v="5"/>
          </reference>
        </references>
      </pivotArea>
    </format>
    <format dxfId="44">
      <pivotArea type="all" dataOnly="0" outline="0" fieldPosition="0"/>
    </format>
    <format dxfId="43">
      <pivotArea outline="0" collapsedLevelsAreSubtotals="1" fieldPosition="0"/>
    </format>
    <format dxfId="42">
      <pivotArea field="6" type="button" dataOnly="0" labelOnly="1" outline="0" axis="axisRow" fieldPosition="0"/>
    </format>
    <format dxfId="41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40">
      <pivotArea dataOnly="0" labelOnly="1" grandRow="1" outline="0" fieldPosition="0"/>
    </format>
    <format dxfId="39">
      <pivotArea dataOnly="0" labelOnly="1" fieldPosition="0">
        <references count="2">
          <reference field="0" count="1">
            <x v="59"/>
          </reference>
          <reference field="6" count="1" selected="0">
            <x v="2"/>
          </reference>
        </references>
      </pivotArea>
    </format>
    <format dxfId="38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37">
      <pivotArea dataOnly="0" labelOnly="1" fieldPosition="0">
        <references count="2">
          <reference field="0" count="10">
            <x v="125"/>
            <x v="126"/>
            <x v="127"/>
            <x v="128"/>
            <x v="131"/>
            <x v="132"/>
            <x v="133"/>
            <x v="134"/>
            <x v="137"/>
            <x v="140"/>
          </reference>
          <reference field="6" count="1" selected="0">
            <x v="5"/>
          </reference>
        </references>
      </pivotArea>
    </format>
    <format dxfId="3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5">
      <pivotArea type="all" dataOnly="0" outline="0" fieldPosition="0"/>
    </format>
    <format dxfId="34">
      <pivotArea outline="0" collapsedLevelsAreSubtotals="1" fieldPosition="0"/>
    </format>
    <format dxfId="33">
      <pivotArea dataOnly="0" labelOnly="1" fieldPosition="0">
        <references count="1">
          <reference field="6" count="3">
            <x v="2"/>
            <x v="4"/>
            <x v="5"/>
          </reference>
        </references>
      </pivotArea>
    </format>
    <format dxfId="32">
      <pivotArea dataOnly="0" labelOnly="1" fieldPosition="0">
        <references count="2">
          <reference field="0" count="1">
            <x v="59"/>
          </reference>
          <reference field="6" count="1" selected="0">
            <x v="2"/>
          </reference>
        </references>
      </pivotArea>
    </format>
    <format dxfId="31">
      <pivotArea dataOnly="0" labelOnly="1" fieldPosition="0">
        <references count="2">
          <reference field="0" count="10">
            <x v="93"/>
            <x v="96"/>
            <x v="98"/>
            <x v="103"/>
            <x v="104"/>
            <x v="106"/>
            <x v="107"/>
            <x v="113"/>
            <x v="117"/>
            <x v="121"/>
          </reference>
          <reference field="6" count="1" selected="0">
            <x v="4"/>
          </reference>
        </references>
      </pivotArea>
    </format>
    <format dxfId="30">
      <pivotArea dataOnly="0" labelOnly="1" fieldPosition="0">
        <references count="2">
          <reference field="0" count="10">
            <x v="125"/>
            <x v="126"/>
            <x v="127"/>
            <x v="128"/>
            <x v="131"/>
            <x v="132"/>
            <x v="133"/>
            <x v="134"/>
            <x v="137"/>
            <x v="140"/>
          </reference>
          <reference field="6" count="1" selected="0">
            <x v="5"/>
          </reference>
        </references>
      </pivotArea>
    </format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8">
      <pivotArea collapsedLevelsAreSubtotals="1" fieldPosition="0">
        <references count="2">
          <reference field="0" count="2">
            <x v="137"/>
            <x v="140"/>
          </reference>
          <reference field="6" count="1" selected="0">
            <x v="5"/>
          </reference>
        </references>
      </pivotArea>
    </format>
    <format dxfId="27">
      <pivotArea dataOnly="0" labelOnly="1" fieldPosition="0">
        <references count="1">
          <reference field="0" count="0"/>
        </references>
      </pivotArea>
    </format>
    <format dxfId="26">
      <pivotArea dataOnly="0" labelOnly="1" fieldPosition="0">
        <references count="1">
          <reference field="6" count="0"/>
        </references>
      </pivotArea>
    </format>
    <format dxfId="25">
      <pivotArea dataOnly="0" labelOnly="1" fieldPosition="0">
        <references count="1">
          <reference field="6" count="0"/>
        </references>
      </pivotArea>
    </format>
    <format dxfId="24">
      <pivotArea dataOnly="0" fieldPosition="0">
        <references count="1">
          <reference field="6" count="6">
            <x v="2"/>
            <x v="4"/>
            <x v="5"/>
            <x v="8"/>
            <x v="10"/>
            <x v="11"/>
          </reference>
        </references>
      </pivotArea>
    </format>
    <format dxfId="23">
      <pivotArea dataOnly="0" outline="0" fieldPosition="0">
        <references count="1">
          <reference field="4294967294" count="1">
            <x v="2"/>
          </reference>
        </references>
      </pivotArea>
    </format>
    <format dxfId="2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1">
      <pivotArea field="6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20">
      <pivotArea dataOnly="0" fieldPosition="0">
        <references count="1">
          <reference field="6" count="5">
            <x v="2"/>
            <x v="4"/>
            <x v="5"/>
            <x v="6"/>
            <x v="7"/>
          </reference>
        </references>
      </pivotArea>
    </format>
    <format dxfId="19">
      <pivotArea field="6" type="button" dataOnly="0" labelOnly="1" outline="0" axis="axisRow" fieldPosition="0"/>
    </format>
    <format dxfId="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">
      <pivotArea grandRow="1" outline="0" collapsedLevelsAreSubtotals="1" fieldPosition="0"/>
    </format>
    <format dxfId="16">
      <pivotArea dataOnly="0" labelOnly="1" grandRow="1" outline="0" fieldPosition="0"/>
    </format>
    <format dxfId="15">
      <pivotArea dataOnly="0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">
      <pivotArea dataOnly="0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">
      <pivotArea outline="0" fieldPosition="0">
        <references count="1">
          <reference field="4294967294" count="1">
            <x v="3"/>
          </reference>
        </references>
      </pivotArea>
    </format>
    <format dxfId="12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0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9">
      <pivotArea field="6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</formats>
  <conditionalFormats count="3">
    <conditionalFormat priority="10">
      <pivotAreas count="1">
        <pivotArea type="data" grandRow="1" outline="0" collapsedLevelsAreSubtotals="1" fieldPosition="0">
          <references count="1">
            <reference field="4294967294" count="1" selected="0">
              <x v="3"/>
            </reference>
          </references>
        </pivotArea>
      </pivotAreas>
    </conditionalFormat>
    <conditionalFormat priority="11">
      <pivotAreas count="1">
        <pivotArea outline="0" fieldPosition="0">
          <references count="1">
            <reference field="4294967294" count="1">
              <x v="3"/>
            </reference>
          </references>
        </pivotArea>
      </pivotAreas>
    </conditionalFormat>
    <conditionalFormat priority="12">
      <pivotAreas count="1">
        <pivotArea outline="0" fieldPosition="0">
          <references count="1">
            <reference field="4294967294" count="1">
              <x v="3"/>
            </reference>
          </references>
        </pivotArea>
      </pivotAreas>
    </conditionalFormat>
  </conditionalFormats>
  <chartFormats count="7">
    <chartFormat chart="14" format="9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9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4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3"/>
          </reference>
          <reference field="6" count="1" selected="0">
            <x v="4"/>
          </reference>
        </references>
      </pivotArea>
    </chartFormat>
    <chartFormat chart="14" format="9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4" format="9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4"/>
          </reference>
          <reference field="6" count="1" selected="0">
            <x v="4"/>
          </reference>
        </references>
      </pivotArea>
    </chartFormat>
    <chartFormat chart="14" format="95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4" format="96">
      <pivotArea type="data" outline="0" fieldPosition="0">
        <references count="3">
          <reference field="4294967294" count="1" selected="0">
            <x v="1"/>
          </reference>
          <reference field="0" count="1" selected="0">
            <x v="133"/>
          </reference>
          <reference field="6" count="1" selected="0">
            <x v="5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18ED2C-79E9-4D81-BB99-7EF4028CFE79}" name="Tableau13" displayName="Tableau13" ref="B8:G51" totalsRowShown="0" headerRowDxfId="8" dataDxfId="7" tableBorderDxfId="6">
  <autoFilter ref="B8:G51" xr:uid="{500DC576-9BF4-48CA-B6E5-626AF771C639}"/>
  <tableColumns count="6">
    <tableColumn id="1" xr3:uid="{9FC1366F-F210-48AB-99B7-11453945F41E}" name="Date :" dataDxfId="5"/>
    <tableColumn id="2" xr3:uid="{6AE824C2-3F89-4285-9E20-B5BA9888E812}" name="Gain :" dataDxfId="4" dataCellStyle="Monétaire"/>
    <tableColumn id="3" xr3:uid="{D9B18602-AD32-4EEF-A457-8400046D49CB}" name="Trades :" dataDxfId="3" dataCellStyle="Monétaire"/>
    <tableColumn id="8" xr3:uid="{A0474BBA-2DD2-4042-8A4D-74568DB312BC}" name="% par Jours :" dataDxfId="2" dataCellStyle="Pourcentage"/>
    <tableColumn id="6" xr3:uid="{91CFFBAE-ED40-4EC3-9C12-68D1E8D0C85B}" name="Date :2" dataDxfId="1">
      <calculatedColumnFormula>IF('Historic + TCD'!$B9="","",'Historic + TCD'!$B9)</calculatedColumnFormula>
    </tableColumn>
    <tableColumn id="7" xr3:uid="{BAB23392-1DD4-4DAE-BDAC-C269990A5177}" name="Pertes :" dataDxfId="0" dataCellStyle="Monétair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94DD3-5085-4A25-BAD2-736B7CD9907D}">
  <sheetPr codeName="Feuil8">
    <tabColor rgb="FF0070C0"/>
  </sheetPr>
  <dimension ref="B1:X55"/>
  <sheetViews>
    <sheetView showGridLines="0" showRowColHeaders="0" tabSelected="1" zoomScale="90" zoomScaleNormal="90" workbookViewId="0">
      <selection activeCell="S30" sqref="S30"/>
    </sheetView>
  </sheetViews>
  <sheetFormatPr baseColWidth="10" defaultRowHeight="15" x14ac:dyDescent="0.25"/>
  <cols>
    <col min="1" max="1" width="11.42578125" style="1"/>
    <col min="2" max="2" width="12.5703125" style="1" bestFit="1" customWidth="1"/>
    <col min="3" max="3" width="12.28515625" style="1" bestFit="1" customWidth="1"/>
    <col min="4" max="4" width="14.7109375" style="1" bestFit="1" customWidth="1"/>
    <col min="5" max="5" width="19.85546875" style="1" bestFit="1" customWidth="1"/>
    <col min="6" max="6" width="14" style="1" bestFit="1" customWidth="1"/>
    <col min="7" max="7" width="14.5703125" style="1" bestFit="1" customWidth="1"/>
    <col min="8" max="8" width="11.42578125" style="1"/>
    <col min="9" max="9" width="12.85546875" style="2" bestFit="1" customWidth="1"/>
    <col min="10" max="10" width="11.42578125" style="2" bestFit="1" customWidth="1"/>
    <col min="11" max="11" width="12.85546875" style="2" bestFit="1" customWidth="1"/>
    <col min="12" max="12" width="14.85546875" style="2" bestFit="1" customWidth="1"/>
    <col min="13" max="13" width="17.7109375" style="2" bestFit="1" customWidth="1"/>
    <col min="14" max="14" width="11.42578125" style="1"/>
    <col min="15" max="15" width="9.42578125" style="1" bestFit="1" customWidth="1"/>
    <col min="16" max="16" width="11.42578125" style="1"/>
    <col min="17" max="17" width="12.85546875" style="1" bestFit="1" customWidth="1"/>
    <col min="18" max="18" width="14.85546875" style="1" bestFit="1" customWidth="1"/>
    <col min="19" max="19" width="10.5703125" style="1" bestFit="1" customWidth="1"/>
    <col min="20" max="20" width="11.42578125" style="1"/>
    <col min="21" max="21" width="11.42578125" style="1" bestFit="1" customWidth="1"/>
    <col min="22" max="16384" width="11.42578125" style="1"/>
  </cols>
  <sheetData>
    <row r="1" spans="2:23" ht="15" customHeight="1" x14ac:dyDescent="0.25">
      <c r="I1" s="106" t="s">
        <v>41</v>
      </c>
      <c r="J1" s="104" t="s">
        <v>39</v>
      </c>
      <c r="K1" s="104" t="s">
        <v>39</v>
      </c>
      <c r="L1" s="102" t="s">
        <v>40</v>
      </c>
      <c r="M1" s="100" t="s">
        <v>39</v>
      </c>
      <c r="N1" s="66"/>
      <c r="O1" s="88" t="s">
        <v>42</v>
      </c>
      <c r="P1" s="88"/>
      <c r="Q1" s="90" t="s">
        <v>43</v>
      </c>
      <c r="R1" s="90"/>
      <c r="S1" s="90"/>
      <c r="T1" s="66"/>
    </row>
    <row r="2" spans="2:23" ht="15.75" customHeight="1" thickBot="1" x14ac:dyDescent="0.3">
      <c r="I2" s="107"/>
      <c r="J2" s="105"/>
      <c r="K2" s="105"/>
      <c r="L2" s="103"/>
      <c r="M2" s="101"/>
      <c r="N2" s="66"/>
      <c r="O2" s="89"/>
      <c r="P2" s="89"/>
      <c r="Q2" s="91"/>
      <c r="R2" s="91"/>
      <c r="S2" s="91"/>
      <c r="T2" s="66"/>
    </row>
    <row r="3" spans="2:23" ht="30" thickTop="1" thickBot="1" x14ac:dyDescent="0.3">
      <c r="B3" s="108" t="s">
        <v>0</v>
      </c>
      <c r="C3" s="108"/>
      <c r="D3" s="108"/>
      <c r="E3" s="108"/>
      <c r="F3" s="108"/>
      <c r="G3" s="108"/>
      <c r="I3" s="3" t="s">
        <v>1</v>
      </c>
      <c r="J3" s="4" t="s">
        <v>2</v>
      </c>
      <c r="K3" s="5" t="s">
        <v>3</v>
      </c>
      <c r="L3" s="6" t="s">
        <v>4</v>
      </c>
      <c r="M3" s="7" t="s">
        <v>5</v>
      </c>
      <c r="N3" s="66"/>
      <c r="O3" s="75"/>
      <c r="P3" s="76"/>
      <c r="Q3" s="76"/>
      <c r="R3" s="6"/>
      <c r="S3" s="7"/>
      <c r="T3" s="66"/>
    </row>
    <row r="4" spans="2:23" ht="24" thickTop="1" x14ac:dyDescent="0.25">
      <c r="B4" s="109" t="s">
        <v>6</v>
      </c>
      <c r="C4" s="109"/>
      <c r="D4" s="109"/>
      <c r="E4" s="109" t="s">
        <v>7</v>
      </c>
      <c r="F4" s="109"/>
      <c r="G4" s="109"/>
      <c r="I4" s="47" t="s">
        <v>8</v>
      </c>
      <c r="J4" s="50">
        <v>0</v>
      </c>
      <c r="K4" s="50">
        <v>0</v>
      </c>
      <c r="L4" s="50">
        <v>1000</v>
      </c>
      <c r="M4" s="48">
        <v>0</v>
      </c>
      <c r="N4" s="66"/>
      <c r="O4" s="77" t="str">
        <f>I4</f>
        <v>févr</v>
      </c>
      <c r="P4" s="78">
        <f t="shared" ref="P4:Q4" si="0">J4</f>
        <v>0</v>
      </c>
      <c r="Q4" s="78">
        <f t="shared" si="0"/>
        <v>0</v>
      </c>
      <c r="R4" s="51">
        <f>GETPIVOTDATA("CAPITAL",$I$3,"Mois",2)</f>
        <v>1000</v>
      </c>
      <c r="S4" s="52">
        <f>GETPIVOTDATA("VARIATIONS",$I$3,"Mois",2)</f>
        <v>0</v>
      </c>
      <c r="T4" s="66"/>
    </row>
    <row r="5" spans="2:23" ht="21" x14ac:dyDescent="0.25">
      <c r="B5" s="110">
        <v>845.81</v>
      </c>
      <c r="C5" s="110"/>
      <c r="D5" s="110"/>
      <c r="E5" s="111">
        <f>B54</f>
        <v>845.81</v>
      </c>
      <c r="F5" s="111"/>
      <c r="G5" s="111"/>
      <c r="I5" s="43" t="s">
        <v>9</v>
      </c>
      <c r="J5" s="42">
        <v>0</v>
      </c>
      <c r="K5" s="45">
        <v>0</v>
      </c>
      <c r="L5" s="46">
        <v>1000</v>
      </c>
      <c r="M5" s="44">
        <v>0</v>
      </c>
      <c r="N5" s="66"/>
      <c r="O5" s="79" t="str">
        <f>I5</f>
        <v>28-févr</v>
      </c>
      <c r="P5" s="80">
        <f t="shared" ref="P5:Q20" si="1">J5</f>
        <v>0</v>
      </c>
      <c r="Q5" s="81">
        <f t="shared" si="1"/>
        <v>0</v>
      </c>
      <c r="R5" s="53">
        <f>GETPIVOTDATA("CAPITAL",$I$3,"Date :",59,"Mois",2)</f>
        <v>1000</v>
      </c>
      <c r="S5" s="54">
        <f>GETPIVOTDATA("VARIATIONS",$I$3,"Date :",59,"Mois",2)</f>
        <v>0</v>
      </c>
      <c r="T5" s="66"/>
      <c r="U5" s="62"/>
    </row>
    <row r="6" spans="2:23" ht="21.75" thickBot="1" x14ac:dyDescent="0.3">
      <c r="B6" s="8"/>
      <c r="C6" s="9"/>
      <c r="D6" s="10"/>
      <c r="E6" s="11">
        <f>$E$5-$B$5</f>
        <v>0</v>
      </c>
      <c r="F6" s="12">
        <f>($E$5-$B$5)/$B$5</f>
        <v>0</v>
      </c>
      <c r="G6" s="13"/>
      <c r="I6" s="47" t="s">
        <v>10</v>
      </c>
      <c r="J6" s="50">
        <v>28.090000000000003</v>
      </c>
      <c r="K6" s="50">
        <v>113.76</v>
      </c>
      <c r="L6" s="50">
        <v>974.93000000000006</v>
      </c>
      <c r="M6" s="49">
        <v>-8.8275842133277369E-2</v>
      </c>
      <c r="N6" s="66"/>
      <c r="O6" s="77" t="str">
        <f>I6</f>
        <v>avr</v>
      </c>
      <c r="P6" s="78">
        <f t="shared" si="1"/>
        <v>28.090000000000003</v>
      </c>
      <c r="Q6" s="78">
        <f t="shared" si="1"/>
        <v>113.76</v>
      </c>
      <c r="R6" s="51">
        <f>GETPIVOTDATA("CAPITAL",$I$3,"Date :",121,"Mois",4)</f>
        <v>914.33</v>
      </c>
      <c r="S6" s="52">
        <f>W11</f>
        <v>-8.5669999999999955E-2</v>
      </c>
      <c r="T6" s="66"/>
      <c r="U6" s="74">
        <f>R4</f>
        <v>1000</v>
      </c>
      <c r="V6" s="74">
        <f>R6</f>
        <v>914.33</v>
      </c>
      <c r="W6" s="74">
        <f>R4</f>
        <v>1000</v>
      </c>
    </row>
    <row r="7" spans="2:23" ht="22.5" thickTop="1" thickBot="1" x14ac:dyDescent="0.3">
      <c r="B7" s="112" t="s">
        <v>11</v>
      </c>
      <c r="C7" s="113"/>
      <c r="D7" s="84" t="s">
        <v>12</v>
      </c>
      <c r="E7" s="85"/>
      <c r="F7" s="86" t="s">
        <v>13</v>
      </c>
      <c r="G7" s="87"/>
      <c r="I7" s="43" t="s">
        <v>14</v>
      </c>
      <c r="J7" s="42">
        <v>0</v>
      </c>
      <c r="K7" s="45">
        <v>31.5</v>
      </c>
      <c r="L7" s="46">
        <v>968.5</v>
      </c>
      <c r="M7" s="44">
        <v>-3.15E-2</v>
      </c>
      <c r="N7" s="66"/>
      <c r="O7" s="79" t="str">
        <f t="shared" ref="O7:O24" si="2">I7</f>
        <v>02-avr</v>
      </c>
      <c r="P7" s="80">
        <f t="shared" si="1"/>
        <v>0</v>
      </c>
      <c r="Q7" s="81">
        <f t="shared" si="1"/>
        <v>31.5</v>
      </c>
      <c r="R7" s="53">
        <f>GETPIVOTDATA("CAPITAL",$I$3,"Date :",93,"Mois",4)</f>
        <v>968.5</v>
      </c>
      <c r="S7" s="54">
        <f>GETPIVOTDATA("VARIATIONS",$I$3,"Date :",93,"Mois",4)</f>
        <v>-3.15E-2</v>
      </c>
      <c r="T7" s="66"/>
      <c r="U7" s="74">
        <f>R25</f>
        <v>845.81</v>
      </c>
      <c r="V7" s="74">
        <f>R17</f>
        <v>845.81</v>
      </c>
      <c r="W7" s="74">
        <f>R16</f>
        <v>914.33</v>
      </c>
    </row>
    <row r="8" spans="2:23" ht="20.25" thickTop="1" thickBot="1" x14ac:dyDescent="0.3">
      <c r="B8" s="14" t="s">
        <v>15</v>
      </c>
      <c r="C8" s="15" t="s">
        <v>16</v>
      </c>
      <c r="D8" s="14" t="s">
        <v>17</v>
      </c>
      <c r="E8" s="16" t="s">
        <v>18</v>
      </c>
      <c r="F8" s="17" t="s">
        <v>19</v>
      </c>
      <c r="G8" s="16" t="s">
        <v>20</v>
      </c>
      <c r="I8" s="43" t="s">
        <v>21</v>
      </c>
      <c r="J8" s="42">
        <v>0.01</v>
      </c>
      <c r="K8" s="45">
        <v>1</v>
      </c>
      <c r="L8" s="46">
        <v>967.51</v>
      </c>
      <c r="M8" s="44">
        <v>-1.0221992772328436E-3</v>
      </c>
      <c r="N8" s="66"/>
      <c r="O8" s="79" t="str">
        <f t="shared" si="2"/>
        <v>05-avr</v>
      </c>
      <c r="P8" s="80">
        <f t="shared" si="1"/>
        <v>0.01</v>
      </c>
      <c r="Q8" s="81">
        <f t="shared" si="1"/>
        <v>1</v>
      </c>
      <c r="R8" s="53">
        <f>GETPIVOTDATA("CAPITAL",$I$3,"Date :",96,"Mois",4)</f>
        <v>967.51</v>
      </c>
      <c r="S8" s="54">
        <f>GETPIVOTDATA("VARIATIONS",$I$3,"Date :",96,"Mois",4)</f>
        <v>-1.0221992772328436E-3</v>
      </c>
      <c r="T8" s="66"/>
    </row>
    <row r="9" spans="2:23" ht="18.75" x14ac:dyDescent="0.25">
      <c r="B9" s="18">
        <v>44255</v>
      </c>
      <c r="C9" s="19">
        <v>0</v>
      </c>
      <c r="D9" s="20">
        <v>1000</v>
      </c>
      <c r="E9" s="21">
        <v>0</v>
      </c>
      <c r="F9" s="18">
        <f>IF('Historic + TCD'!$B9="","",'Historic + TCD'!$B9)</f>
        <v>44255</v>
      </c>
      <c r="G9" s="22">
        <v>0</v>
      </c>
      <c r="I9" s="43" t="s">
        <v>22</v>
      </c>
      <c r="J9" s="42">
        <v>0.5</v>
      </c>
      <c r="K9" s="45">
        <v>0</v>
      </c>
      <c r="L9" s="46">
        <v>968.01</v>
      </c>
      <c r="M9" s="44">
        <v>5.167905241289496E-4</v>
      </c>
      <c r="N9" s="66"/>
      <c r="O9" s="79" t="str">
        <f t="shared" si="2"/>
        <v>07-avr</v>
      </c>
      <c r="P9" s="80">
        <f t="shared" si="1"/>
        <v>0.5</v>
      </c>
      <c r="Q9" s="81">
        <f t="shared" si="1"/>
        <v>0</v>
      </c>
      <c r="R9" s="53">
        <f>GETPIVOTDATA("CAPITAL",$I$3,"Date :",98,"Mois",4)</f>
        <v>968.01</v>
      </c>
      <c r="S9" s="54">
        <f>GETPIVOTDATA("VARIATIONS",$I$3,"Date :",98,"Mois",4)</f>
        <v>5.167905241289496E-4</v>
      </c>
      <c r="T9" s="66"/>
    </row>
    <row r="10" spans="2:23" ht="18.75" x14ac:dyDescent="0.25">
      <c r="B10" s="23">
        <v>44288</v>
      </c>
      <c r="C10" s="24">
        <v>0</v>
      </c>
      <c r="D10" s="25">
        <f>IF('Historic + TCD'!$C10+'Historic + TCD'!$G10=0,"",$D9+('Historic + TCD'!$C10-'Historic + TCD'!$G10))</f>
        <v>968.5</v>
      </c>
      <c r="E10" s="26">
        <f>IF('Historic + TCD'!$C10+'Historic + TCD'!$G10=0,"",('Historic + TCD'!$D10-$D9)/$D9)</f>
        <v>-3.15E-2</v>
      </c>
      <c r="F10" s="23">
        <f>IF('Historic + TCD'!$B10="","",'Historic + TCD'!$B10)</f>
        <v>44288</v>
      </c>
      <c r="G10" s="22">
        <v>31.5</v>
      </c>
      <c r="I10" s="43" t="s">
        <v>23</v>
      </c>
      <c r="J10" s="42">
        <v>10.5</v>
      </c>
      <c r="K10" s="45">
        <v>10.39</v>
      </c>
      <c r="L10" s="46">
        <v>968.12</v>
      </c>
      <c r="M10" s="44">
        <v>1.1363518971912857E-4</v>
      </c>
      <c r="N10" s="66"/>
      <c r="O10" s="79" t="str">
        <f t="shared" si="2"/>
        <v>12-avr</v>
      </c>
      <c r="P10" s="80">
        <f t="shared" si="1"/>
        <v>10.5</v>
      </c>
      <c r="Q10" s="81">
        <f t="shared" si="1"/>
        <v>10.39</v>
      </c>
      <c r="R10" s="53">
        <f>GETPIVOTDATA("CAPITAL",$I$3,"Date :",103,"Mois",4)</f>
        <v>968.12</v>
      </c>
      <c r="S10" s="54">
        <f>GETPIVOTDATA("VARIATIONS",$I$3,"Date :",103,"Mois",4)</f>
        <v>1.1363518971912857E-4</v>
      </c>
      <c r="T10" s="66"/>
      <c r="U10" s="65">
        <f>U7-U6</f>
        <v>-154.19000000000005</v>
      </c>
      <c r="V10" s="65">
        <f>V7-V6</f>
        <v>-68.520000000000095</v>
      </c>
      <c r="W10" s="65">
        <f>W7-W6</f>
        <v>-85.669999999999959</v>
      </c>
    </row>
    <row r="11" spans="2:23" ht="18.75" x14ac:dyDescent="0.25">
      <c r="B11" s="27">
        <v>44291</v>
      </c>
      <c r="C11" s="24">
        <v>0.01</v>
      </c>
      <c r="D11" s="25">
        <f>IF('Historic + TCD'!$C11+'Historic + TCD'!$G11=0,"",$D10+('Historic + TCD'!$C11-'Historic + TCD'!$G11))</f>
        <v>967.51</v>
      </c>
      <c r="E11" s="26">
        <f>IF('Historic + TCD'!$C11+'Historic + TCD'!$G11=0,"",('Historic + TCD'!$D11-$D10)/$D10)</f>
        <v>-1.0221992772328436E-3</v>
      </c>
      <c r="F11" s="27">
        <f>IF('Historic + TCD'!$B11="","",'Historic + TCD'!$B11)</f>
        <v>44291</v>
      </c>
      <c r="G11" s="22">
        <v>1</v>
      </c>
      <c r="I11" s="43" t="s">
        <v>24</v>
      </c>
      <c r="J11" s="42">
        <v>3.04</v>
      </c>
      <c r="K11" s="45">
        <v>8.92</v>
      </c>
      <c r="L11" s="46">
        <v>962.24</v>
      </c>
      <c r="M11" s="44">
        <v>-6.0736272362930171E-3</v>
      </c>
      <c r="N11" s="66"/>
      <c r="O11" s="79" t="str">
        <f t="shared" si="2"/>
        <v>13-avr</v>
      </c>
      <c r="P11" s="80">
        <f t="shared" si="1"/>
        <v>3.04</v>
      </c>
      <c r="Q11" s="81">
        <f t="shared" si="1"/>
        <v>8.92</v>
      </c>
      <c r="R11" s="53">
        <f>GETPIVOTDATA("CAPITAL",$I$3,"Date :",104,"Mois",4)</f>
        <v>962.24</v>
      </c>
      <c r="S11" s="54">
        <f>GETPIVOTDATA("VARIATIONS",$I$3,"Date :",104,"Mois",4)</f>
        <v>-6.0736272362930171E-3</v>
      </c>
      <c r="T11" s="66"/>
      <c r="U11" s="73">
        <f>U10/U6</f>
        <v>-0.15419000000000005</v>
      </c>
      <c r="V11" s="73">
        <f>V10/V6</f>
        <v>-7.494012008793334E-2</v>
      </c>
      <c r="W11" s="73">
        <f>W10/W6</f>
        <v>-8.5669999999999955E-2</v>
      </c>
    </row>
    <row r="12" spans="2:23" ht="18.75" x14ac:dyDescent="0.25">
      <c r="B12" s="27">
        <v>44293</v>
      </c>
      <c r="C12" s="24">
        <v>0.5</v>
      </c>
      <c r="D12" s="25">
        <f>IF('Historic + TCD'!$C12+'Historic + TCD'!$G12=0,"",$D11+('Historic + TCD'!$C12-'Historic + TCD'!$G12))</f>
        <v>968.01</v>
      </c>
      <c r="E12" s="26">
        <f>IF('Historic + TCD'!$C12+'Historic + TCD'!$G12=0,"",('Historic + TCD'!$D12-$D11)/$D11)</f>
        <v>5.167905241289496E-4</v>
      </c>
      <c r="F12" s="27">
        <f>IF('Historic + TCD'!$B12="","",'Historic + TCD'!$B12)</f>
        <v>44293</v>
      </c>
      <c r="G12" s="22">
        <v>0</v>
      </c>
      <c r="I12" s="43" t="s">
        <v>25</v>
      </c>
      <c r="J12" s="42">
        <v>12.69</v>
      </c>
      <c r="K12" s="45">
        <v>0</v>
      </c>
      <c r="L12" s="46">
        <v>974.93000000000006</v>
      </c>
      <c r="M12" s="44">
        <v>1.318797805121389E-2</v>
      </c>
      <c r="N12" s="66"/>
      <c r="O12" s="79" t="str">
        <f t="shared" si="2"/>
        <v>15-avr</v>
      </c>
      <c r="P12" s="80">
        <f t="shared" si="1"/>
        <v>12.69</v>
      </c>
      <c r="Q12" s="81">
        <f t="shared" si="1"/>
        <v>0</v>
      </c>
      <c r="R12" s="53">
        <f>GETPIVOTDATA("CAPITAL",$I$3,"Date :",106,"Mois",4)</f>
        <v>974.93000000000006</v>
      </c>
      <c r="S12" s="54">
        <f>GETPIVOTDATA("VARIATIONS",$I$3,"Date :",106,"Mois",4)</f>
        <v>1.318797805121389E-2</v>
      </c>
      <c r="T12" s="66"/>
    </row>
    <row r="13" spans="2:23" ht="18.75" x14ac:dyDescent="0.25">
      <c r="B13" s="27">
        <v>44298</v>
      </c>
      <c r="C13" s="24">
        <f>0.64+0.71+7.56+1.59</f>
        <v>10.5</v>
      </c>
      <c r="D13" s="25">
        <f>IF('Historic + TCD'!$C13+'Historic + TCD'!$G13=0,"",$D12+('Historic + TCD'!$C13-'Historic + TCD'!$G13))</f>
        <v>968.12</v>
      </c>
      <c r="E13" s="26">
        <f>IF('Historic + TCD'!$C13+'Historic + TCD'!$G13=0,"",('Historic + TCD'!$D13-$D12)/$D12)</f>
        <v>1.1363518971912857E-4</v>
      </c>
      <c r="F13" s="27">
        <f>IF('Historic + TCD'!$B13="","",'Historic + TCD'!$B13)</f>
        <v>44298</v>
      </c>
      <c r="G13" s="22">
        <f>3.14+0.03+1.88+1.28+4.06</f>
        <v>10.39</v>
      </c>
      <c r="I13" s="43" t="s">
        <v>26</v>
      </c>
      <c r="J13" s="42">
        <v>1.35</v>
      </c>
      <c r="K13" s="45">
        <v>25.519999999999996</v>
      </c>
      <c r="L13" s="46">
        <v>950.7600000000001</v>
      </c>
      <c r="M13" s="44">
        <v>-2.4791523493994397E-2</v>
      </c>
      <c r="N13" s="66"/>
      <c r="O13" s="79" t="str">
        <f t="shared" si="2"/>
        <v>16-avr</v>
      </c>
      <c r="P13" s="80">
        <f t="shared" si="1"/>
        <v>1.35</v>
      </c>
      <c r="Q13" s="81">
        <f t="shared" si="1"/>
        <v>25.519999999999996</v>
      </c>
      <c r="R13" s="53">
        <f>GETPIVOTDATA("CAPITAL",$I$3,"Date :",107,"Mois",4)</f>
        <v>950.7600000000001</v>
      </c>
      <c r="S13" s="54">
        <f>GETPIVOTDATA("VARIATIONS",$I$3,"Date :",107,"Mois",4)</f>
        <v>-2.4791523493994397E-2</v>
      </c>
      <c r="T13" s="66"/>
    </row>
    <row r="14" spans="2:23" ht="18.75" x14ac:dyDescent="0.25">
      <c r="B14" s="27">
        <v>44299</v>
      </c>
      <c r="C14" s="24">
        <f>2.94+0.1</f>
        <v>3.04</v>
      </c>
      <c r="D14" s="25">
        <f>IF('Historic + TCD'!$C14+'Historic + TCD'!$G14=0,"",$D13+('Historic + TCD'!$C14-'Historic + TCD'!$G14))</f>
        <v>962.24</v>
      </c>
      <c r="E14" s="26">
        <f>IF('Historic + TCD'!$C14+'Historic + TCD'!$G14=0,"",('Historic + TCD'!$D14-$D13)/$D13)</f>
        <v>-6.0736272362930171E-3</v>
      </c>
      <c r="F14" s="27">
        <f>IF('Historic + TCD'!$B14="","",'Historic + TCD'!$B14)</f>
        <v>44299</v>
      </c>
      <c r="G14" s="22">
        <f>2.76+2.01+0.2+2.21+0.4+1.34</f>
        <v>8.92</v>
      </c>
      <c r="I14" s="43" t="s">
        <v>27</v>
      </c>
      <c r="J14" s="42">
        <v>0</v>
      </c>
      <c r="K14" s="45">
        <v>21.720000000000002</v>
      </c>
      <c r="L14" s="46">
        <v>929.04000000000008</v>
      </c>
      <c r="M14" s="44">
        <v>-2.2844881989145551E-2</v>
      </c>
      <c r="N14" s="66"/>
      <c r="O14" s="79" t="str">
        <f t="shared" si="2"/>
        <v>22-avr</v>
      </c>
      <c r="P14" s="80">
        <f t="shared" si="1"/>
        <v>0</v>
      </c>
      <c r="Q14" s="81">
        <f t="shared" si="1"/>
        <v>21.720000000000002</v>
      </c>
      <c r="R14" s="53">
        <f>GETPIVOTDATA("CAPITAL",$I$3,"Date :",113,"Mois",4)</f>
        <v>929.04000000000008</v>
      </c>
      <c r="S14" s="54">
        <f>GETPIVOTDATA("VARIATIONS",$I$3,"Date :",113,"Mois",4)</f>
        <v>-2.2844881989145551E-2</v>
      </c>
      <c r="T14" s="66"/>
    </row>
    <row r="15" spans="2:23" ht="18.75" x14ac:dyDescent="0.25">
      <c r="B15" s="27">
        <v>44301</v>
      </c>
      <c r="C15" s="24">
        <v>12.69</v>
      </c>
      <c r="D15" s="25">
        <f>IF('Historic + TCD'!$C15+'Historic + TCD'!$G15=0,"",$D14+('Historic + TCD'!$C15-'Historic + TCD'!$G15))</f>
        <v>974.93000000000006</v>
      </c>
      <c r="E15" s="26">
        <f>IF('Historic + TCD'!$C15+'Historic + TCD'!$G15=0,"",('Historic + TCD'!$D15-$D14)/$D14)</f>
        <v>1.318797805121389E-2</v>
      </c>
      <c r="F15" s="27">
        <f>IF('Historic + TCD'!$B15="","",'Historic + TCD'!$B15)</f>
        <v>44301</v>
      </c>
      <c r="G15" s="22">
        <v>0</v>
      </c>
      <c r="I15" s="43" t="s">
        <v>28</v>
      </c>
      <c r="J15" s="42">
        <v>0</v>
      </c>
      <c r="K15" s="45">
        <v>12.82</v>
      </c>
      <c r="L15" s="46">
        <v>916.22</v>
      </c>
      <c r="M15" s="44">
        <v>-1.3799190562300922E-2</v>
      </c>
      <c r="N15" s="66"/>
      <c r="O15" s="79" t="str">
        <f t="shared" si="2"/>
        <v>26-avr</v>
      </c>
      <c r="P15" s="80">
        <f t="shared" si="1"/>
        <v>0</v>
      </c>
      <c r="Q15" s="81">
        <f t="shared" si="1"/>
        <v>12.82</v>
      </c>
      <c r="R15" s="53">
        <f>GETPIVOTDATA("CAPITAL",$I$3,"Date :",117,"Mois",4)</f>
        <v>916.22</v>
      </c>
      <c r="S15" s="54">
        <f>GETPIVOTDATA("VARIATIONS",$I$3,"Date :",117,"Mois",4)</f>
        <v>-1.3799190562300922E-2</v>
      </c>
      <c r="T15" s="66"/>
    </row>
    <row r="16" spans="2:23" ht="18.75" x14ac:dyDescent="0.25">
      <c r="B16" s="27">
        <v>44302</v>
      </c>
      <c r="C16" s="24">
        <f>1.35</f>
        <v>1.35</v>
      </c>
      <c r="D16" s="25">
        <f>IF('Historic + TCD'!$C16+'Historic + TCD'!$G16=0,"",$D15+('Historic + TCD'!$C16-'Historic + TCD'!$G16))</f>
        <v>950.7600000000001</v>
      </c>
      <c r="E16" s="26">
        <f>IF('Historic + TCD'!$C16+'Historic + TCD'!$G16=0,"",('Historic + TCD'!$D16-$D15)/$D15)</f>
        <v>-2.4791523493994397E-2</v>
      </c>
      <c r="F16" s="27">
        <f>IF('Historic + TCD'!$B16="","",'Historic + TCD'!$B16)</f>
        <v>44302</v>
      </c>
      <c r="G16" s="22">
        <f>4.41+2.75+4.44+3.45+1.92+1.74+6.81</f>
        <v>25.519999999999996</v>
      </c>
      <c r="I16" s="43" t="s">
        <v>29</v>
      </c>
      <c r="J16" s="42">
        <v>0</v>
      </c>
      <c r="K16" s="45">
        <v>1.89</v>
      </c>
      <c r="L16" s="46">
        <v>914.33</v>
      </c>
      <c r="M16" s="44">
        <v>-2.0628233393726247E-3</v>
      </c>
      <c r="N16" s="66"/>
      <c r="O16" s="79" t="str">
        <f t="shared" si="2"/>
        <v>30-avr</v>
      </c>
      <c r="P16" s="80">
        <f t="shared" si="1"/>
        <v>0</v>
      </c>
      <c r="Q16" s="81">
        <f t="shared" si="1"/>
        <v>1.89</v>
      </c>
      <c r="R16" s="53">
        <f>GETPIVOTDATA("CAPITAL",$I$3,"Date :",121,"Mois",4)</f>
        <v>914.33</v>
      </c>
      <c r="S16" s="54">
        <f>GETPIVOTDATA("VARIATIONS",$I$3,"Date :",121,"Mois",4)</f>
        <v>-2.0628233393726247E-3</v>
      </c>
      <c r="T16" s="66"/>
      <c r="V16" s="61"/>
    </row>
    <row r="17" spans="2:24" ht="18.75" x14ac:dyDescent="0.25">
      <c r="B17" s="27">
        <v>44308</v>
      </c>
      <c r="C17" s="24">
        <v>0</v>
      </c>
      <c r="D17" s="25">
        <f>IF('Historic + TCD'!$C17+'Historic + TCD'!$G17=0,"",$D16+('Historic + TCD'!$C17-'Historic + TCD'!$G17))</f>
        <v>929.04000000000008</v>
      </c>
      <c r="E17" s="26">
        <f>IF('Historic + TCD'!$C17+'Historic + TCD'!$G17=0,"",('Historic + TCD'!$D17-$D16)/$D16)</f>
        <v>-2.2844881989145551E-2</v>
      </c>
      <c r="F17" s="27">
        <f>IF('Historic + TCD'!$B17="","",'Historic + TCD'!$B17)</f>
        <v>44308</v>
      </c>
      <c r="G17" s="22">
        <f>5.55+3.79+6.76+5.62</f>
        <v>21.720000000000002</v>
      </c>
      <c r="I17" s="47" t="s">
        <v>30</v>
      </c>
      <c r="J17" s="50">
        <v>14.91</v>
      </c>
      <c r="K17" s="50">
        <v>83.43</v>
      </c>
      <c r="L17" s="50">
        <v>922.96</v>
      </c>
      <c r="M17" s="49">
        <v>-7.6604607692731239E-2</v>
      </c>
      <c r="N17" s="66"/>
      <c r="O17" s="77" t="str">
        <f t="shared" si="2"/>
        <v>mai</v>
      </c>
      <c r="P17" s="78">
        <f t="shared" si="1"/>
        <v>14.91</v>
      </c>
      <c r="Q17" s="78">
        <f t="shared" si="1"/>
        <v>83.43</v>
      </c>
      <c r="R17" s="51">
        <f>GETPIVOTDATA("CAPITAL",$I$3,"Date :",133,"Mois",5)</f>
        <v>845.81</v>
      </c>
      <c r="S17" s="52">
        <v>-7.4899999999999994E-2</v>
      </c>
      <c r="T17" s="66"/>
    </row>
    <row r="18" spans="2:24" ht="18.75" x14ac:dyDescent="0.25">
      <c r="B18" s="27">
        <v>44312</v>
      </c>
      <c r="C18" s="24">
        <v>0</v>
      </c>
      <c r="D18" s="25">
        <f>IF('Historic + TCD'!$C18+'Historic + TCD'!$G18=0,"",$D17+('Historic + TCD'!$C18-'Historic + TCD'!$G18))</f>
        <v>916.22</v>
      </c>
      <c r="E18" s="26">
        <f>IF('Historic + TCD'!$C18+'Historic + TCD'!$G18=0,"",('Historic + TCD'!$D18-$D17)/$D17)</f>
        <v>-1.3799190562300922E-2</v>
      </c>
      <c r="F18" s="27">
        <f>IF('Historic + TCD'!$B18="","",'Historic + TCD'!$B18)</f>
        <v>44312</v>
      </c>
      <c r="G18" s="22">
        <f>4.22+1.64+1.79+1.3+2.9+0.97</f>
        <v>12.82</v>
      </c>
      <c r="I18" s="43" t="s">
        <v>31</v>
      </c>
      <c r="J18" s="42">
        <v>12.78</v>
      </c>
      <c r="K18" s="45">
        <v>4.1500000000000004</v>
      </c>
      <c r="L18" s="46">
        <v>922.96</v>
      </c>
      <c r="M18" s="44">
        <v>9.438605317554926E-3</v>
      </c>
      <c r="N18" s="66"/>
      <c r="O18" s="79" t="str">
        <f t="shared" si="2"/>
        <v>04-mai</v>
      </c>
      <c r="P18" s="80">
        <f t="shared" si="1"/>
        <v>12.78</v>
      </c>
      <c r="Q18" s="81">
        <f t="shared" si="1"/>
        <v>4.1500000000000004</v>
      </c>
      <c r="R18" s="53">
        <f>GETPIVOTDATA("CAPITAL",$I$3,"Date :",125,"Mois",5)</f>
        <v>922.96</v>
      </c>
      <c r="S18" s="54">
        <f>GETPIVOTDATA("VARIATIONS",$I$3,"Date :",125,"Mois",5)</f>
        <v>9.438605317554926E-3</v>
      </c>
      <c r="T18" s="66"/>
    </row>
    <row r="19" spans="2:24" ht="18.75" x14ac:dyDescent="0.25">
      <c r="B19" s="27">
        <v>44316</v>
      </c>
      <c r="C19" s="24">
        <v>0</v>
      </c>
      <c r="D19" s="25">
        <f>IF('Historic + TCD'!$C19+'Historic + TCD'!$G19=0,"",$D18+('Historic + TCD'!$C19-'Historic + TCD'!$G19))</f>
        <v>914.33</v>
      </c>
      <c r="E19" s="26">
        <f>IF('Historic + TCD'!$C19+'Historic + TCD'!$G19=0,"",('Historic + TCD'!$D19-$D18)/$D18)</f>
        <v>-2.0628233393726247E-3</v>
      </c>
      <c r="F19" s="27">
        <f>IF('Historic + TCD'!$B19="","",'Historic + TCD'!$B19)</f>
        <v>44316</v>
      </c>
      <c r="G19" s="22">
        <v>1.89</v>
      </c>
      <c r="I19" s="43" t="s">
        <v>32</v>
      </c>
      <c r="J19" s="42">
        <v>0</v>
      </c>
      <c r="K19" s="45">
        <v>13.719999999999999</v>
      </c>
      <c r="L19" s="46">
        <v>909.24</v>
      </c>
      <c r="M19" s="44">
        <v>-1.4865216260726387E-2</v>
      </c>
      <c r="N19" s="66"/>
      <c r="O19" s="79" t="str">
        <f t="shared" si="2"/>
        <v>05-mai</v>
      </c>
      <c r="P19" s="80">
        <f t="shared" si="1"/>
        <v>0</v>
      </c>
      <c r="Q19" s="81">
        <f t="shared" si="1"/>
        <v>13.719999999999999</v>
      </c>
      <c r="R19" s="53">
        <f>GETPIVOTDATA("CAPITAL",$I$3,"Date :",126,"Mois",5)</f>
        <v>909.24</v>
      </c>
      <c r="S19" s="54">
        <f>GETPIVOTDATA("VARIATIONS",$I$3,"Date :",126,"Mois",5)</f>
        <v>-1.4865216260726387E-2</v>
      </c>
      <c r="T19" s="66"/>
    </row>
    <row r="20" spans="2:24" ht="18.75" x14ac:dyDescent="0.25">
      <c r="B20" s="27">
        <v>44320</v>
      </c>
      <c r="C20" s="24">
        <v>12.78</v>
      </c>
      <c r="D20" s="25">
        <f>IF('Historic + TCD'!$C20+'Historic + TCD'!$G20=0,"",$D19+('Historic + TCD'!$C20-'Historic + TCD'!$G20))</f>
        <v>922.96</v>
      </c>
      <c r="E20" s="26">
        <f>IF('Historic + TCD'!$C20+'Historic + TCD'!$G20=0,"",('Historic + TCD'!$D20-$D19)/$D19)</f>
        <v>9.438605317554926E-3</v>
      </c>
      <c r="F20" s="27">
        <f>IF('Historic + TCD'!$B20="","",'Historic + TCD'!$B20)</f>
        <v>44320</v>
      </c>
      <c r="G20" s="22">
        <f>0.96+3.19</f>
        <v>4.1500000000000004</v>
      </c>
      <c r="I20" s="43" t="s">
        <v>33</v>
      </c>
      <c r="J20" s="42">
        <v>1.24</v>
      </c>
      <c r="K20" s="45">
        <v>12.190000000000001</v>
      </c>
      <c r="L20" s="46">
        <v>898.29</v>
      </c>
      <c r="M20" s="44">
        <v>-1.2043024943909249E-2</v>
      </c>
      <c r="N20" s="66"/>
      <c r="O20" s="79" t="str">
        <f t="shared" si="2"/>
        <v>06-mai</v>
      </c>
      <c r="P20" s="80">
        <f t="shared" si="1"/>
        <v>1.24</v>
      </c>
      <c r="Q20" s="81">
        <f t="shared" si="1"/>
        <v>12.190000000000001</v>
      </c>
      <c r="R20" s="53">
        <f>GETPIVOTDATA("CAPITAL",$I$3,"Date :",127,"Mois",5)</f>
        <v>898.29</v>
      </c>
      <c r="S20" s="54">
        <f>GETPIVOTDATA("VARIATIONS",$I$3,"Date :",127,"Mois",5)</f>
        <v>-1.2043024943909249E-2</v>
      </c>
      <c r="T20" s="66"/>
    </row>
    <row r="21" spans="2:24" ht="18.75" x14ac:dyDescent="0.25">
      <c r="B21" s="27">
        <v>44321</v>
      </c>
      <c r="C21" s="24">
        <v>0</v>
      </c>
      <c r="D21" s="25">
        <f>IF('Historic + TCD'!$C21+'Historic + TCD'!$G21=0,"",$D20+('Historic + TCD'!$C21-'Historic + TCD'!$G21))</f>
        <v>909.24</v>
      </c>
      <c r="E21" s="26">
        <f>IF('Historic + TCD'!$C21+'Historic + TCD'!$G21=0,"",('Historic + TCD'!$D21-$D20)/$D20)</f>
        <v>-1.4865216260726387E-2</v>
      </c>
      <c r="F21" s="27">
        <f>IF('Historic + TCD'!$B21="","",'Historic + TCD'!$B21)</f>
        <v>44321</v>
      </c>
      <c r="G21" s="22">
        <f>6.05+6.24+1.43</f>
        <v>13.719999999999999</v>
      </c>
      <c r="I21" s="43" t="s">
        <v>34</v>
      </c>
      <c r="J21" s="42">
        <v>0</v>
      </c>
      <c r="K21" s="45">
        <v>9.1999999999999993</v>
      </c>
      <c r="L21" s="46">
        <v>889.08999999999992</v>
      </c>
      <c r="M21" s="44">
        <v>-1.024168141691441E-2</v>
      </c>
      <c r="N21" s="66"/>
      <c r="O21" s="79" t="str">
        <f t="shared" si="2"/>
        <v>07-mai</v>
      </c>
      <c r="P21" s="80">
        <f t="shared" ref="P21:P24" si="3">J21</f>
        <v>0</v>
      </c>
      <c r="Q21" s="81">
        <f t="shared" ref="Q21:Q24" si="4">K21</f>
        <v>9.1999999999999993</v>
      </c>
      <c r="R21" s="53">
        <f>GETPIVOTDATA("CAPITAL",$I$3,"Date :",128,"Mois",5)</f>
        <v>889.08999999999992</v>
      </c>
      <c r="S21" s="54">
        <f>GETPIVOTDATA("VARIATIONS",$I$3,"Date :",128,"Mois",5)</f>
        <v>-1.024168141691441E-2</v>
      </c>
      <c r="T21" s="66"/>
    </row>
    <row r="22" spans="2:24" ht="18.75" x14ac:dyDescent="0.25">
      <c r="B22" s="27">
        <v>44322</v>
      </c>
      <c r="C22" s="24">
        <v>1.24</v>
      </c>
      <c r="D22" s="25">
        <f>IF('Historic + TCD'!$C22+'Historic + TCD'!$G22=0,"",$D21+('Historic + TCD'!$C22-'Historic + TCD'!$G22))</f>
        <v>898.29</v>
      </c>
      <c r="E22" s="26">
        <f>IF('Historic + TCD'!$C22+'Historic + TCD'!$G22=0,"",('Historic + TCD'!$D22-$D21)/$D21)</f>
        <v>-1.2043024943909249E-2</v>
      </c>
      <c r="F22" s="27">
        <f>IF('Historic + TCD'!$B22="","",'Historic + TCD'!$B22)</f>
        <v>44322</v>
      </c>
      <c r="G22" s="22">
        <f>2.74+4.88+4.57</f>
        <v>12.190000000000001</v>
      </c>
      <c r="I22" s="43" t="s">
        <v>35</v>
      </c>
      <c r="J22" s="42">
        <v>0.66</v>
      </c>
      <c r="K22" s="45">
        <v>1.3199999999999998</v>
      </c>
      <c r="L22" s="46">
        <v>888.43</v>
      </c>
      <c r="M22" s="44">
        <v>-7.4233204737424586E-4</v>
      </c>
      <c r="N22" s="66"/>
      <c r="O22" s="79" t="str">
        <f t="shared" si="2"/>
        <v>10-mai</v>
      </c>
      <c r="P22" s="80">
        <f t="shared" si="3"/>
        <v>0.66</v>
      </c>
      <c r="Q22" s="81">
        <f t="shared" si="4"/>
        <v>1.3199999999999998</v>
      </c>
      <c r="R22" s="53">
        <f>GETPIVOTDATA("CAPITAL",$I$3,"Date :",131,"Mois",5)</f>
        <v>888.43</v>
      </c>
      <c r="S22" s="54">
        <f>GETPIVOTDATA("VARIATIONS",$I$3,"Date :",131,"Mois",5)</f>
        <v>-7.4233204737424586E-4</v>
      </c>
      <c r="T22" s="66"/>
    </row>
    <row r="23" spans="2:24" ht="18.75" x14ac:dyDescent="0.25">
      <c r="B23" s="27">
        <v>44323</v>
      </c>
      <c r="C23" s="24">
        <v>0</v>
      </c>
      <c r="D23" s="25">
        <f>IF('Historic + TCD'!$C23+'Historic + TCD'!$G23=0,"",$D22+('Historic + TCD'!$C23-'Historic + TCD'!$G23))</f>
        <v>889.08999999999992</v>
      </c>
      <c r="E23" s="26">
        <f>IF('Historic + TCD'!$C23+'Historic + TCD'!$G23=0,"",('Historic + TCD'!$D23-$D22)/$D22)</f>
        <v>-1.024168141691441E-2</v>
      </c>
      <c r="F23" s="27">
        <f>IF('Historic + TCD'!$B23="","",'Historic + TCD'!$B23)</f>
        <v>44323</v>
      </c>
      <c r="G23" s="22">
        <f>1.92+0.12+0.35+1.28+1.73+3.8</f>
        <v>9.1999999999999993</v>
      </c>
      <c r="I23" s="43" t="s">
        <v>36</v>
      </c>
      <c r="J23" s="42">
        <v>0.23</v>
      </c>
      <c r="K23" s="45">
        <v>3.83</v>
      </c>
      <c r="L23" s="46">
        <v>884.82999999999993</v>
      </c>
      <c r="M23" s="44">
        <v>-4.052091892439498E-3</v>
      </c>
      <c r="N23" s="66"/>
      <c r="O23" s="79" t="str">
        <f t="shared" si="2"/>
        <v>11-mai</v>
      </c>
      <c r="P23" s="80">
        <f t="shared" si="3"/>
        <v>0.23</v>
      </c>
      <c r="Q23" s="81">
        <f t="shared" si="4"/>
        <v>3.83</v>
      </c>
      <c r="R23" s="53">
        <f>GETPIVOTDATA("CAPITAL",$I$3,"Date :",132,"Mois",5)</f>
        <v>884.82999999999993</v>
      </c>
      <c r="S23" s="54">
        <f>GETPIVOTDATA("VARIATIONS",$I$3,"Date :",132,"Mois",5)</f>
        <v>-4.052091892439498E-3</v>
      </c>
      <c r="T23" s="66"/>
    </row>
    <row r="24" spans="2:24" ht="19.5" thickBot="1" x14ac:dyDescent="0.3">
      <c r="B24" s="27">
        <v>44326</v>
      </c>
      <c r="C24" s="24">
        <f>0.12+0.54</f>
        <v>0.66</v>
      </c>
      <c r="D24" s="25">
        <f>IF('Historic + TCD'!$C24+'Historic + TCD'!$G24=0,"",$D23+('Historic + TCD'!$C24-'Historic + TCD'!$G24))</f>
        <v>888.43</v>
      </c>
      <c r="E24" s="26">
        <f>IF('Historic + TCD'!$C24+'Historic + TCD'!$G24=0,"",('Historic + TCD'!$D24-$D23)/$D23)</f>
        <v>-7.4233204737424586E-4</v>
      </c>
      <c r="F24" s="27">
        <f>IF('Historic + TCD'!$B24="","",'Historic + TCD'!$B24)</f>
        <v>44326</v>
      </c>
      <c r="G24" s="22">
        <f>0.63+0.69</f>
        <v>1.3199999999999998</v>
      </c>
      <c r="I24" s="43" t="s">
        <v>37</v>
      </c>
      <c r="J24" s="42">
        <v>0</v>
      </c>
      <c r="K24" s="45">
        <v>39.020000000000003</v>
      </c>
      <c r="L24" s="46">
        <v>845.81</v>
      </c>
      <c r="M24" s="44">
        <v>-4.4098866448922372E-2</v>
      </c>
      <c r="N24" s="66"/>
      <c r="O24" s="79" t="str">
        <f t="shared" si="2"/>
        <v>12-mai</v>
      </c>
      <c r="P24" s="80">
        <f t="shared" si="3"/>
        <v>0</v>
      </c>
      <c r="Q24" s="81">
        <f t="shared" si="4"/>
        <v>39.020000000000003</v>
      </c>
      <c r="R24" s="53">
        <f>GETPIVOTDATA("CAPITAL",$I$3,"Date :",133,"Mois",5)</f>
        <v>845.81</v>
      </c>
      <c r="S24" s="54">
        <f>GETPIVOTDATA("VARIATIONS",$I$3,"Date :",133,"Mois",5)</f>
        <v>-4.4098866448922372E-2</v>
      </c>
      <c r="T24" s="66"/>
    </row>
    <row r="25" spans="2:24" ht="20.25" thickTop="1" thickBot="1" x14ac:dyDescent="0.3">
      <c r="B25" s="27">
        <v>44327</v>
      </c>
      <c r="C25" s="24">
        <f>0.23</f>
        <v>0.23</v>
      </c>
      <c r="D25" s="25">
        <f>IF('Historic + TCD'!$C25+'Historic + TCD'!$G25=0,"",$D24+('Historic + TCD'!$C25-'Historic + TCD'!$G25))</f>
        <v>884.82999999999993</v>
      </c>
      <c r="E25" s="26">
        <f>IF('Historic + TCD'!$C25+'Historic + TCD'!$G25=0,"",('Historic + TCD'!$D25-$D24)/$D24)</f>
        <v>-4.052091892439498E-3</v>
      </c>
      <c r="F25" s="28">
        <f>IF('Historic + TCD'!$B25="","",'Historic + TCD'!$B25)</f>
        <v>44327</v>
      </c>
      <c r="G25" s="22">
        <f>0.99+0.41+0.86+1.57</f>
        <v>3.83</v>
      </c>
      <c r="I25" s="29" t="s">
        <v>38</v>
      </c>
      <c r="J25" s="30">
        <v>43</v>
      </c>
      <c r="K25" s="30">
        <v>197.19</v>
      </c>
      <c r="L25" s="64">
        <v>1000</v>
      </c>
      <c r="M25" s="31">
        <v>-0.16488044982600858</v>
      </c>
      <c r="N25" s="66"/>
      <c r="O25" s="82"/>
      <c r="P25" s="83"/>
      <c r="Q25" s="83"/>
      <c r="R25" s="63">
        <f>R24</f>
        <v>845.81</v>
      </c>
      <c r="S25" s="55">
        <f>U11</f>
        <v>-0.15419000000000005</v>
      </c>
      <c r="T25" s="66"/>
    </row>
    <row r="26" spans="2:24" ht="19.5" thickTop="1" x14ac:dyDescent="0.25">
      <c r="B26" s="32">
        <v>44328</v>
      </c>
      <c r="C26" s="33">
        <v>0</v>
      </c>
      <c r="D26" s="25">
        <f>IF('Historic + TCD'!$C26+'Historic + TCD'!$G26=0,"",$D25+('Historic + TCD'!$C26-'Historic + TCD'!$G26))</f>
        <v>845.81</v>
      </c>
      <c r="E26" s="34">
        <f>IF('Historic + TCD'!$C26+'Historic + TCD'!$G26=0,"",('Historic + TCD'!$D26-$D25)/$D25)</f>
        <v>-4.4098866448922372E-2</v>
      </c>
      <c r="F26" s="35">
        <f>IF('Historic + TCD'!$B26="","",'Historic + TCD'!$B26)</f>
        <v>44328</v>
      </c>
      <c r="G26" s="36">
        <v>39.020000000000003</v>
      </c>
      <c r="I26"/>
      <c r="J26"/>
      <c r="K26"/>
      <c r="L26"/>
      <c r="M26"/>
      <c r="N26" s="66"/>
      <c r="O26" s="67"/>
      <c r="P26" s="68"/>
      <c r="Q26" s="69"/>
      <c r="R26" s="70"/>
      <c r="S26" s="71"/>
      <c r="T26" s="72"/>
      <c r="U26" s="56"/>
      <c r="V26" s="56"/>
      <c r="W26" s="56"/>
      <c r="X26" s="56"/>
    </row>
    <row r="27" spans="2:24" ht="18.75" x14ac:dyDescent="0.25">
      <c r="B27" s="27"/>
      <c r="C27" s="24"/>
      <c r="D27" s="25" t="str">
        <f>IF('Historic + TCD'!$C27+'Historic + TCD'!$G27=0,"",$D26+('Historic + TCD'!$C27-'Historic + TCD'!$G27))</f>
        <v/>
      </c>
      <c r="E27" s="26" t="str">
        <f>IF('Historic + TCD'!$C27+'Historic + TCD'!$G27=0,"",('Historic + TCD'!$D27-$D26)/$D26)</f>
        <v/>
      </c>
      <c r="F27" s="28" t="str">
        <f>IF('Historic + TCD'!$B27="","",'Historic + TCD'!$B27)</f>
        <v/>
      </c>
      <c r="G27" s="22"/>
      <c r="I27"/>
      <c r="J27"/>
      <c r="K27"/>
      <c r="L27"/>
      <c r="M27"/>
      <c r="O27"/>
      <c r="P27"/>
      <c r="Q27"/>
      <c r="R27"/>
      <c r="S27"/>
      <c r="T27" s="56"/>
      <c r="U27" s="56"/>
      <c r="V27" s="56"/>
      <c r="W27" s="56"/>
      <c r="X27" s="56"/>
    </row>
    <row r="28" spans="2:24" ht="21" x14ac:dyDescent="0.25">
      <c r="B28" s="27"/>
      <c r="C28" s="24"/>
      <c r="D28" s="25" t="str">
        <f>IF('Historic + TCD'!$C28+'Historic + TCD'!$G28=0,"",$D27+('Historic + TCD'!$C28-'Historic + TCD'!$G28))</f>
        <v/>
      </c>
      <c r="E28" s="26" t="str">
        <f>IF('Historic + TCD'!$C28+'Historic + TCD'!$G28=0,"",('Historic + TCD'!$D28-$D27)/$D27)</f>
        <v/>
      </c>
      <c r="F28" s="28" t="str">
        <f>IF('Historic + TCD'!$B28="","",'Historic + TCD'!$B28)</f>
        <v/>
      </c>
      <c r="G28" s="22"/>
      <c r="I28"/>
      <c r="J28"/>
      <c r="K28"/>
      <c r="L28"/>
      <c r="M28"/>
      <c r="O28" s="56"/>
      <c r="P28" s="56"/>
      <c r="Q28" s="56"/>
      <c r="R28" s="56"/>
      <c r="S28" s="57"/>
      <c r="T28" s="58"/>
      <c r="U28" s="58"/>
      <c r="V28" s="59"/>
      <c r="W28" s="60"/>
      <c r="X28" s="56"/>
    </row>
    <row r="29" spans="2:24" ht="21" x14ac:dyDescent="0.25">
      <c r="B29" s="27"/>
      <c r="C29" s="24"/>
      <c r="D29" s="25"/>
      <c r="E29" s="26"/>
      <c r="F29" s="28" t="str">
        <f>IF('Historic + TCD'!$B29="","",'Historic + TCD'!$B29)</f>
        <v/>
      </c>
      <c r="G29" s="22"/>
      <c r="I29"/>
      <c r="J29"/>
      <c r="K29"/>
      <c r="L29"/>
      <c r="M29"/>
      <c r="O29" s="56"/>
      <c r="P29" s="56"/>
      <c r="Q29" s="56"/>
      <c r="R29" s="56"/>
      <c r="S29" s="57"/>
      <c r="T29" s="58"/>
      <c r="U29" s="58"/>
      <c r="V29" s="59"/>
      <c r="W29" s="60"/>
      <c r="X29" s="56"/>
    </row>
    <row r="30" spans="2:24" ht="21" x14ac:dyDescent="0.25">
      <c r="B30" s="27"/>
      <c r="C30" s="24"/>
      <c r="D30" s="25"/>
      <c r="E30" s="26"/>
      <c r="F30" s="28" t="str">
        <f>IF('Historic + TCD'!$B30="","",'Historic + TCD'!$B30)</f>
        <v/>
      </c>
      <c r="G30" s="22"/>
      <c r="I30"/>
      <c r="J30"/>
      <c r="K30"/>
      <c r="L30"/>
      <c r="M30"/>
      <c r="O30" s="56"/>
      <c r="P30" s="56"/>
      <c r="Q30" s="56"/>
      <c r="R30" s="56"/>
      <c r="S30" s="57"/>
      <c r="T30" s="58"/>
      <c r="U30" s="58"/>
      <c r="V30" s="59"/>
      <c r="W30" s="60"/>
      <c r="X30" s="56"/>
    </row>
    <row r="31" spans="2:24" ht="21" x14ac:dyDescent="0.25">
      <c r="B31" s="27"/>
      <c r="C31" s="24"/>
      <c r="D31" s="25"/>
      <c r="E31" s="26"/>
      <c r="F31" s="28" t="str">
        <f>IF('Historic + TCD'!$B31="","",'Historic + TCD'!$B31)</f>
        <v/>
      </c>
      <c r="G31" s="22"/>
      <c r="I31"/>
      <c r="J31"/>
      <c r="K31"/>
      <c r="L31"/>
      <c r="M31"/>
      <c r="O31" s="56"/>
      <c r="P31" s="56"/>
      <c r="Q31" s="56"/>
      <c r="R31" s="56"/>
      <c r="S31" s="57"/>
      <c r="T31" s="58"/>
      <c r="U31" s="58"/>
      <c r="V31" s="59"/>
      <c r="W31" s="60"/>
      <c r="X31" s="56"/>
    </row>
    <row r="32" spans="2:24" ht="21" x14ac:dyDescent="0.25">
      <c r="B32" s="27"/>
      <c r="C32" s="24"/>
      <c r="D32" s="25"/>
      <c r="E32" s="26"/>
      <c r="F32" s="28" t="str">
        <f>IF('Historic + TCD'!$B32="","",'Historic + TCD'!$B32)</f>
        <v/>
      </c>
      <c r="G32" s="22"/>
      <c r="I32"/>
      <c r="J32"/>
      <c r="K32"/>
      <c r="L32"/>
      <c r="M32"/>
      <c r="O32" s="56"/>
      <c r="P32" s="56"/>
      <c r="Q32" s="56"/>
      <c r="R32" s="56"/>
      <c r="S32" s="57"/>
      <c r="T32" s="58"/>
      <c r="U32" s="58"/>
      <c r="V32" s="59"/>
      <c r="W32" s="60"/>
      <c r="X32" s="56"/>
    </row>
    <row r="33" spans="2:24" ht="21" x14ac:dyDescent="0.25">
      <c r="B33" s="27"/>
      <c r="C33" s="24"/>
      <c r="D33" s="25"/>
      <c r="E33" s="26"/>
      <c r="F33" s="28" t="str">
        <f>IF('Historic + TCD'!$B33="","",'Historic + TCD'!$B33)</f>
        <v/>
      </c>
      <c r="G33" s="22"/>
      <c r="I33"/>
      <c r="J33"/>
      <c r="K33"/>
      <c r="L33"/>
      <c r="M33"/>
      <c r="O33" s="56"/>
      <c r="P33" s="56"/>
      <c r="Q33" s="56"/>
      <c r="R33" s="56"/>
      <c r="S33" s="57"/>
      <c r="T33" s="58"/>
      <c r="U33" s="58"/>
      <c r="V33" s="59"/>
      <c r="W33" s="60"/>
      <c r="X33" s="56"/>
    </row>
    <row r="34" spans="2:24" ht="21" x14ac:dyDescent="0.25">
      <c r="B34" s="27"/>
      <c r="C34" s="24"/>
      <c r="D34" s="25"/>
      <c r="E34" s="26"/>
      <c r="F34" s="28" t="str">
        <f>IF('Historic + TCD'!$B34="","",'Historic + TCD'!$B34)</f>
        <v/>
      </c>
      <c r="G34" s="22"/>
      <c r="I34"/>
      <c r="J34"/>
      <c r="K34"/>
      <c r="L34"/>
      <c r="M34"/>
      <c r="O34" s="56"/>
      <c r="P34" s="56"/>
      <c r="Q34" s="56"/>
      <c r="R34" s="56"/>
      <c r="S34" s="57"/>
      <c r="T34" s="58"/>
      <c r="U34" s="58"/>
      <c r="V34" s="59"/>
      <c r="W34" s="60"/>
      <c r="X34" s="56"/>
    </row>
    <row r="35" spans="2:24" ht="21" x14ac:dyDescent="0.25">
      <c r="B35" s="27"/>
      <c r="C35" s="24"/>
      <c r="D35" s="25"/>
      <c r="E35" s="26"/>
      <c r="F35" s="28" t="str">
        <f>IF('Historic + TCD'!$B35="","",'Historic + TCD'!$B35)</f>
        <v/>
      </c>
      <c r="G35" s="22"/>
      <c r="I35"/>
      <c r="J35"/>
      <c r="K35"/>
      <c r="L35"/>
      <c r="M35"/>
      <c r="O35" s="56"/>
      <c r="P35" s="56"/>
      <c r="Q35" s="56"/>
      <c r="R35" s="56"/>
      <c r="S35" s="57"/>
      <c r="T35" s="58"/>
      <c r="U35" s="58"/>
      <c r="V35" s="59"/>
      <c r="W35" s="60"/>
      <c r="X35" s="56"/>
    </row>
    <row r="36" spans="2:24" ht="21" x14ac:dyDescent="0.25">
      <c r="B36" s="27"/>
      <c r="C36" s="24"/>
      <c r="D36" s="25"/>
      <c r="E36" s="26"/>
      <c r="F36" s="28" t="str">
        <f>IF('Historic + TCD'!$B36="","",'Historic + TCD'!$B36)</f>
        <v/>
      </c>
      <c r="G36" s="22"/>
      <c r="I36"/>
      <c r="J36"/>
      <c r="K36"/>
      <c r="L36"/>
      <c r="M36"/>
      <c r="O36" s="56"/>
      <c r="P36" s="56"/>
      <c r="Q36" s="56"/>
      <c r="R36" s="56"/>
      <c r="S36" s="57"/>
      <c r="T36" s="58"/>
      <c r="U36" s="58"/>
      <c r="V36" s="59"/>
      <c r="W36" s="60"/>
      <c r="X36" s="56"/>
    </row>
    <row r="37" spans="2:24" ht="21" x14ac:dyDescent="0.25">
      <c r="B37" s="27"/>
      <c r="C37" s="24"/>
      <c r="D37" s="25"/>
      <c r="E37" s="26"/>
      <c r="F37" s="28" t="str">
        <f>IF('Historic + TCD'!$B37="","",'Historic + TCD'!$B37)</f>
        <v/>
      </c>
      <c r="G37" s="22"/>
      <c r="I37"/>
      <c r="J37"/>
      <c r="K37"/>
      <c r="L37"/>
      <c r="M37"/>
      <c r="O37" s="56"/>
      <c r="P37" s="56"/>
      <c r="Q37" s="56"/>
      <c r="R37" s="56"/>
      <c r="S37" s="57"/>
      <c r="T37" s="58"/>
      <c r="U37" s="58"/>
      <c r="V37" s="59"/>
      <c r="W37" s="60"/>
      <c r="X37" s="56"/>
    </row>
    <row r="38" spans="2:24" ht="18.75" x14ac:dyDescent="0.25">
      <c r="B38" s="27"/>
      <c r="C38" s="24"/>
      <c r="D38" s="25"/>
      <c r="E38" s="26"/>
      <c r="F38" s="28" t="str">
        <f>IF('Historic + TCD'!$B38="","",'Historic + TCD'!$B38)</f>
        <v/>
      </c>
      <c r="G38" s="22"/>
      <c r="I38"/>
      <c r="J38"/>
      <c r="K38"/>
      <c r="L38"/>
      <c r="M38"/>
      <c r="O38" s="56"/>
      <c r="P38" s="56"/>
      <c r="Q38" s="56"/>
      <c r="R38" s="56"/>
      <c r="S38" s="56"/>
      <c r="T38" s="56"/>
      <c r="U38" s="56"/>
      <c r="V38" s="56"/>
      <c r="W38" s="56"/>
      <c r="X38" s="56"/>
    </row>
    <row r="39" spans="2:24" ht="18.75" x14ac:dyDescent="0.25">
      <c r="B39" s="27"/>
      <c r="C39" s="24"/>
      <c r="D39" s="25" t="str">
        <f>IF('Historic + TCD'!$C39+'Historic + TCD'!$G39=0,"",$D28+('Historic + TCD'!$C39-'Historic + TCD'!$G39))</f>
        <v/>
      </c>
      <c r="E39" s="26" t="str">
        <f>IF('Historic + TCD'!$C39+'Historic + TCD'!$G39=0,"",('Historic + TCD'!$D39-$D28)/$D28)</f>
        <v/>
      </c>
      <c r="F39" s="28" t="str">
        <f>IF('Historic + TCD'!$B39="","",'Historic + TCD'!$B39)</f>
        <v/>
      </c>
      <c r="G39" s="22"/>
      <c r="I39"/>
      <c r="J39"/>
      <c r="K39"/>
      <c r="L39"/>
      <c r="M39"/>
      <c r="O39" s="56"/>
      <c r="P39" s="56"/>
      <c r="Q39" s="56"/>
      <c r="R39" s="56"/>
      <c r="S39" s="56"/>
      <c r="T39" s="56"/>
      <c r="U39" s="56"/>
      <c r="V39" s="56"/>
      <c r="W39" s="56"/>
      <c r="X39" s="56"/>
    </row>
    <row r="40" spans="2:24" ht="18.75" x14ac:dyDescent="0.25">
      <c r="B40" s="27"/>
      <c r="C40" s="24"/>
      <c r="D40" s="25" t="str">
        <f>IF('Historic + TCD'!$C40+'Historic + TCD'!$G40=0,"",$D39+('Historic + TCD'!$C40-'Historic + TCD'!$G40))</f>
        <v/>
      </c>
      <c r="E40" s="26" t="str">
        <f>IF('Historic + TCD'!$C40+'Historic + TCD'!$G40=0,"",('Historic + TCD'!$D40-$D39)/$D39)</f>
        <v/>
      </c>
      <c r="F40" s="28" t="str">
        <f>IF('Historic + TCD'!$B40="","",'Historic + TCD'!$B40)</f>
        <v/>
      </c>
      <c r="G40" s="22"/>
      <c r="I40"/>
      <c r="J40"/>
      <c r="K40"/>
      <c r="L40"/>
      <c r="M40"/>
      <c r="O40" s="56"/>
      <c r="P40" s="56"/>
      <c r="Q40" s="56"/>
      <c r="R40" s="56"/>
      <c r="S40" s="56"/>
      <c r="T40" s="56"/>
      <c r="U40" s="56"/>
      <c r="V40" s="56"/>
      <c r="W40" s="56"/>
      <c r="X40" s="56"/>
    </row>
    <row r="41" spans="2:24" ht="18.75" x14ac:dyDescent="0.25">
      <c r="B41" s="27"/>
      <c r="C41" s="24"/>
      <c r="D41" s="25" t="str">
        <f>IF('Historic + TCD'!$C41+'Historic + TCD'!$G41=0,"",$D40+('Historic + TCD'!$C41-'Historic + TCD'!$G41))</f>
        <v/>
      </c>
      <c r="E41" s="26" t="str">
        <f>IF('Historic + TCD'!$C41+'Historic + TCD'!$G41=0,"",('Historic + TCD'!$D41-$D40)/$D40)</f>
        <v/>
      </c>
      <c r="F41" s="28" t="str">
        <f>IF('Historic + TCD'!$B41="","",'Historic + TCD'!$B41)</f>
        <v/>
      </c>
      <c r="G41" s="22"/>
      <c r="I41"/>
      <c r="J41"/>
      <c r="K41"/>
      <c r="L41"/>
      <c r="M41"/>
      <c r="O41" s="56"/>
      <c r="P41" s="56"/>
      <c r="Q41" s="56"/>
      <c r="R41" s="56"/>
      <c r="S41" s="56"/>
      <c r="T41" s="56"/>
      <c r="U41" s="56"/>
      <c r="V41" s="56"/>
      <c r="W41" s="56"/>
      <c r="X41" s="56"/>
    </row>
    <row r="42" spans="2:24" ht="18.75" x14ac:dyDescent="0.25">
      <c r="B42" s="27"/>
      <c r="C42" s="24"/>
      <c r="D42" s="25" t="str">
        <f>IF('Historic + TCD'!$C42+'Historic + TCD'!$G42=0,"",$D41+('Historic + TCD'!$C42-'Historic + TCD'!$G42))</f>
        <v/>
      </c>
      <c r="E42" s="26" t="str">
        <f>IF('Historic + TCD'!$C42+'Historic + TCD'!$G42=0,"",('Historic + TCD'!$D42-$D41)/$D41)</f>
        <v/>
      </c>
      <c r="F42" s="28" t="str">
        <f>IF('Historic + TCD'!$B42="","",'Historic + TCD'!$B42)</f>
        <v/>
      </c>
      <c r="G42" s="22"/>
      <c r="I42"/>
      <c r="J42"/>
      <c r="K42"/>
      <c r="L42"/>
      <c r="M42"/>
      <c r="O42" s="56"/>
      <c r="P42" s="56"/>
      <c r="Q42" s="56"/>
      <c r="R42" s="56"/>
      <c r="S42" s="56"/>
      <c r="T42" s="56"/>
      <c r="U42" s="56"/>
      <c r="V42" s="56"/>
      <c r="W42" s="56"/>
      <c r="X42" s="56"/>
    </row>
    <row r="43" spans="2:24" ht="18.75" x14ac:dyDescent="0.25">
      <c r="B43" s="27"/>
      <c r="C43" s="24"/>
      <c r="D43" s="25" t="str">
        <f>IF('Historic + TCD'!$C43+'Historic + TCD'!$G43=0,"",$D42+('Historic + TCD'!$C43-'Historic + TCD'!$G43))</f>
        <v/>
      </c>
      <c r="E43" s="26" t="str">
        <f>IF('Historic + TCD'!$C43+'Historic + TCD'!$G43=0,"",('Historic + TCD'!$D43-$D42)/$D42)</f>
        <v/>
      </c>
      <c r="F43" s="28" t="str">
        <f>IF('Historic + TCD'!$B43="","",'Historic + TCD'!$B43)</f>
        <v/>
      </c>
      <c r="G43" s="22"/>
      <c r="I43"/>
      <c r="J43"/>
      <c r="K43"/>
      <c r="L43"/>
      <c r="M43"/>
      <c r="O43" s="56"/>
      <c r="P43" s="56"/>
      <c r="Q43" s="56"/>
      <c r="R43" s="56"/>
      <c r="S43" s="56"/>
      <c r="T43" s="56"/>
      <c r="U43" s="56"/>
      <c r="V43" s="56"/>
      <c r="W43" s="56"/>
      <c r="X43" s="56"/>
    </row>
    <row r="44" spans="2:24" ht="18.75" x14ac:dyDescent="0.25">
      <c r="B44" s="27"/>
      <c r="C44" s="24"/>
      <c r="D44" s="25" t="str">
        <f>IF('Historic + TCD'!$C44+'Historic + TCD'!$G44=0,"",$D43+('Historic + TCD'!$C44-'Historic + TCD'!$G44))</f>
        <v/>
      </c>
      <c r="E44" s="26" t="str">
        <f>IF('Historic + TCD'!$C44+'Historic + TCD'!$G44=0,"",('Historic + TCD'!$D44-$D43)/$D43)</f>
        <v/>
      </c>
      <c r="F44" s="28" t="str">
        <f>IF('Historic + TCD'!$B44="","",'Historic + TCD'!$B44)</f>
        <v/>
      </c>
      <c r="G44" s="22"/>
      <c r="I44"/>
      <c r="J44"/>
      <c r="K44"/>
      <c r="L44"/>
      <c r="M44"/>
      <c r="O44" s="56"/>
      <c r="P44" s="56"/>
      <c r="Q44" s="56"/>
      <c r="R44" s="56"/>
      <c r="S44" s="56"/>
      <c r="T44" s="56"/>
      <c r="U44" s="56"/>
      <c r="V44" s="56"/>
      <c r="W44" s="56"/>
      <c r="X44" s="56"/>
    </row>
    <row r="45" spans="2:24" ht="18.75" x14ac:dyDescent="0.25">
      <c r="B45" s="27"/>
      <c r="C45" s="24"/>
      <c r="D45" s="25" t="str">
        <f>IF('Historic + TCD'!$C45+'Historic + TCD'!$G45=0,"",$D44+('Historic + TCD'!$C45-'Historic + TCD'!$G45))</f>
        <v/>
      </c>
      <c r="E45" s="26" t="str">
        <f>IF('Historic + TCD'!$C45+'Historic + TCD'!$G45=0,"",('Historic + TCD'!$D45-$D44)/$D44)</f>
        <v/>
      </c>
      <c r="F45" s="28" t="str">
        <f>IF('Historic + TCD'!$B45="","",'Historic + TCD'!$B45)</f>
        <v/>
      </c>
      <c r="G45" s="22"/>
      <c r="I45"/>
      <c r="J45"/>
      <c r="K45"/>
      <c r="L45"/>
      <c r="M45"/>
    </row>
    <row r="46" spans="2:24" ht="18.75" x14ac:dyDescent="0.25">
      <c r="B46" s="27"/>
      <c r="C46" s="24"/>
      <c r="D46" s="25" t="str">
        <f>IF('Historic + TCD'!$C46+'Historic + TCD'!$G46=0,"",$D45+('Historic + TCD'!$C46-'Historic + TCD'!$G46))</f>
        <v/>
      </c>
      <c r="E46" s="26" t="str">
        <f>IF('Historic + TCD'!$C46+'Historic + TCD'!$G46=0,"",('Historic + TCD'!$D46-$D45)/$D45)</f>
        <v/>
      </c>
      <c r="F46" s="28" t="str">
        <f>IF('Historic + TCD'!$B46="","",'Historic + TCD'!$B46)</f>
        <v/>
      </c>
      <c r="G46" s="22"/>
      <c r="I46"/>
      <c r="J46"/>
      <c r="K46"/>
      <c r="L46"/>
      <c r="M46"/>
    </row>
    <row r="47" spans="2:24" ht="18.75" x14ac:dyDescent="0.25">
      <c r="B47" s="27"/>
      <c r="C47" s="24"/>
      <c r="D47" s="25" t="str">
        <f>IF('Historic + TCD'!$C47+'Historic + TCD'!$G47=0,"",$D46+('Historic + TCD'!$C47-'Historic + TCD'!$G47))</f>
        <v/>
      </c>
      <c r="E47" s="26" t="str">
        <f>IF('Historic + TCD'!$C47+'Historic + TCD'!$G47=0,"",('Historic + TCD'!$D47-$D46)/$D46)</f>
        <v/>
      </c>
      <c r="F47" s="28" t="str">
        <f>IF('Historic + TCD'!$B47="","",'Historic + TCD'!$B47)</f>
        <v/>
      </c>
      <c r="G47" s="22"/>
      <c r="I47"/>
      <c r="J47"/>
      <c r="K47"/>
      <c r="L47"/>
      <c r="M47"/>
    </row>
    <row r="48" spans="2:24" ht="18.75" x14ac:dyDescent="0.25">
      <c r="B48" s="27"/>
      <c r="C48" s="24"/>
      <c r="D48" s="25" t="str">
        <f>IF('Historic + TCD'!$C48+'Historic + TCD'!$G48=0,"",$D47+('Historic + TCD'!$C48-'Historic + TCD'!$G48))</f>
        <v/>
      </c>
      <c r="E48" s="26" t="str">
        <f>IF('Historic + TCD'!$C48+'Historic + TCD'!$G48=0,"",('Historic + TCD'!$D48-$D47)/$D47)</f>
        <v/>
      </c>
      <c r="F48" s="28" t="str">
        <f>IF('Historic + TCD'!$B48="","",'Historic + TCD'!$B48)</f>
        <v/>
      </c>
      <c r="G48" s="22"/>
      <c r="I48"/>
      <c r="J48"/>
      <c r="K48"/>
      <c r="L48"/>
      <c r="M48"/>
    </row>
    <row r="49" spans="2:7" ht="18.75" x14ac:dyDescent="0.25">
      <c r="B49" s="27"/>
      <c r="C49" s="24"/>
      <c r="D49" s="25" t="str">
        <f>IF('Historic + TCD'!$C49+'Historic + TCD'!$G49=0,"",$D48+('Historic + TCD'!$C49-'Historic + TCD'!$G49))</f>
        <v/>
      </c>
      <c r="E49" s="26" t="str">
        <f>IF('Historic + TCD'!$C49+'Historic + TCD'!$G49=0,"",('Historic + TCD'!$D49-$D48)/$D48)</f>
        <v/>
      </c>
      <c r="F49" s="28" t="str">
        <f>IF('Historic + TCD'!$B49="","",'Historic + TCD'!$B49)</f>
        <v/>
      </c>
      <c r="G49" s="22"/>
    </row>
    <row r="50" spans="2:7" ht="18.75" x14ac:dyDescent="0.25">
      <c r="B50" s="27"/>
      <c r="C50" s="24"/>
      <c r="D50" s="25" t="str">
        <f>IF('Historic + TCD'!$C50+'Historic + TCD'!$G50=0,"",$D49+('Historic + TCD'!$C50-'Historic + TCD'!$G50))</f>
        <v/>
      </c>
      <c r="E50" s="26" t="str">
        <f>IF('Historic + TCD'!$C50+'Historic + TCD'!$G50=0,"",('Historic + TCD'!$D50-$D49)/$D49)</f>
        <v/>
      </c>
      <c r="F50" s="28" t="str">
        <f>IF('Historic + TCD'!$B50="","",'Historic + TCD'!$B50)</f>
        <v/>
      </c>
      <c r="G50" s="22"/>
    </row>
    <row r="51" spans="2:7" ht="19.5" thickBot="1" x14ac:dyDescent="0.3">
      <c r="B51" s="27"/>
      <c r="C51" s="24"/>
      <c r="D51" s="25" t="str">
        <f>IF('Historic + TCD'!$C51+'Historic + TCD'!$G51=0,"",$D50+('Historic + TCD'!$C51-'Historic + TCD'!$G51))</f>
        <v/>
      </c>
      <c r="E51" s="37" t="str">
        <f>IF('Historic + TCD'!$C51+'Historic + TCD'!$G51=0,"",('Historic + TCD'!$D51-$D50)/$D50)</f>
        <v/>
      </c>
      <c r="F51" s="28" t="str">
        <f>IF('Historic + TCD'!$B51="","",'Historic + TCD'!$B51)</f>
        <v/>
      </c>
      <c r="G51" s="22"/>
    </row>
    <row r="52" spans="2:7" ht="21.75" thickBot="1" x14ac:dyDescent="0.3">
      <c r="B52" s="38" t="s">
        <v>38</v>
      </c>
      <c r="C52" s="39">
        <f>SUM(Tableau13[Gain :])</f>
        <v>43</v>
      </c>
      <c r="D52" s="92">
        <f>$C$52-$G$52</f>
        <v>-154.19</v>
      </c>
      <c r="E52" s="93"/>
      <c r="F52" s="40" t="s">
        <v>38</v>
      </c>
      <c r="G52" s="41">
        <f>SUM(Tableau13[Pertes :])</f>
        <v>197.19</v>
      </c>
    </row>
    <row r="53" spans="2:7" ht="21.75" thickBot="1" x14ac:dyDescent="0.3">
      <c r="B53" s="94">
        <f>D52/1000</f>
        <v>-0.15418999999999999</v>
      </c>
      <c r="C53" s="95"/>
      <c r="D53" s="95"/>
      <c r="E53" s="95"/>
      <c r="F53" s="95"/>
      <c r="G53" s="96"/>
    </row>
    <row r="54" spans="2:7" ht="24" thickBot="1" x14ac:dyDescent="0.3">
      <c r="B54" s="97">
        <f>1000+D52</f>
        <v>845.81</v>
      </c>
      <c r="C54" s="98"/>
      <c r="D54" s="98"/>
      <c r="E54" s="98"/>
      <c r="F54" s="98"/>
      <c r="G54" s="99"/>
    </row>
    <row r="55" spans="2:7" ht="15.75" thickTop="1" x14ac:dyDescent="0.25"/>
  </sheetData>
  <mergeCells count="18">
    <mergeCell ref="B53:G53"/>
    <mergeCell ref="B54:G54"/>
    <mergeCell ref="M1:M2"/>
    <mergeCell ref="L1:L2"/>
    <mergeCell ref="K1:K2"/>
    <mergeCell ref="J1:J2"/>
    <mergeCell ref="I1:I2"/>
    <mergeCell ref="B3:G3"/>
    <mergeCell ref="B4:D4"/>
    <mergeCell ref="E4:G4"/>
    <mergeCell ref="B5:D5"/>
    <mergeCell ref="E5:G5"/>
    <mergeCell ref="B7:C7"/>
    <mergeCell ref="D7:E7"/>
    <mergeCell ref="F7:G7"/>
    <mergeCell ref="O1:P2"/>
    <mergeCell ref="Q1:S2"/>
    <mergeCell ref="D52:E52"/>
  </mergeCells>
  <conditionalFormatting sqref="B53:C53">
    <cfRule type="cellIs" dxfId="287" priority="52" operator="greaterThan">
      <formula>0</formula>
    </cfRule>
    <cfRule type="cellIs" dxfId="286" priority="53" operator="lessThan">
      <formula>0</formula>
    </cfRule>
    <cfRule type="cellIs" dxfId="285" priority="54" operator="lessThan">
      <formula>0</formula>
    </cfRule>
  </conditionalFormatting>
  <conditionalFormatting sqref="F9:F27 B9:B27 F43:F51 B43:B51">
    <cfRule type="timePeriod" priority="49" timePeriod="last7Days">
      <formula>AND(TODAY()-FLOOR(B9,1)&lt;=6,FLOOR(B9,1)&lt;=TODAY())</formula>
    </cfRule>
  </conditionalFormatting>
  <conditionalFormatting sqref="B11">
    <cfRule type="cellIs" dxfId="284" priority="50" operator="lessThan">
      <formula>0</formula>
    </cfRule>
    <cfRule type="cellIs" dxfId="283" priority="51" operator="greaterThan">
      <formula>#REF!</formula>
    </cfRule>
  </conditionalFormatting>
  <conditionalFormatting sqref="F11">
    <cfRule type="cellIs" dxfId="282" priority="47" operator="lessThan">
      <formula>0</formula>
    </cfRule>
    <cfRule type="cellIs" dxfId="281" priority="48" operator="greaterThan">
      <formula>#REF!</formula>
    </cfRule>
  </conditionalFormatting>
  <conditionalFormatting sqref="D10:D27 D43:D51">
    <cfRule type="cellIs" dxfId="280" priority="45" operator="lessThan">
      <formula>$D9</formula>
    </cfRule>
    <cfRule type="cellIs" dxfId="279" priority="46" operator="greaterThan">
      <formula>$D9</formula>
    </cfRule>
  </conditionalFormatting>
  <conditionalFormatting sqref="E9:E27 E43:E51">
    <cfRule type="cellIs" dxfId="278" priority="43" operator="lessThan">
      <formula>0</formula>
    </cfRule>
    <cfRule type="cellIs" dxfId="277" priority="44" operator="greaterThan">
      <formula>0</formula>
    </cfRule>
  </conditionalFormatting>
  <conditionalFormatting sqref="C10">
    <cfRule type="expression" dxfId="276" priority="42">
      <formula>$C10=0</formula>
    </cfRule>
  </conditionalFormatting>
  <conditionalFormatting sqref="C11:C27 C43:C51">
    <cfRule type="expression" dxfId="275" priority="41">
      <formula>$C11=0</formula>
    </cfRule>
  </conditionalFormatting>
  <conditionalFormatting sqref="G14:G27 G43:G51">
    <cfRule type="expression" dxfId="274" priority="40">
      <formula>$G14=0</formula>
    </cfRule>
  </conditionalFormatting>
  <conditionalFormatting sqref="D11:D27 D43:D51">
    <cfRule type="expression" dxfId="273" priority="39">
      <formula>$D11=""</formula>
    </cfRule>
  </conditionalFormatting>
  <conditionalFormatting sqref="D52">
    <cfRule type="cellIs" dxfId="272" priority="36" operator="greaterThan">
      <formula>0</formula>
    </cfRule>
    <cfRule type="cellIs" dxfId="271" priority="37" operator="lessThan">
      <formula>0</formula>
    </cfRule>
    <cfRule type="cellIs" dxfId="270" priority="38" operator="lessThan">
      <formula>0</formula>
    </cfRule>
  </conditionalFormatting>
  <conditionalFormatting sqref="B9:B27 F9:F27 F43:F51 B43:B51">
    <cfRule type="timePeriod" dxfId="269" priority="32" timePeriod="lastMonth">
      <formula>AND(MONTH(B9)=MONTH(EDATE(TODAY(),0-1)),YEAR(B9)=YEAR(EDATE(TODAY(),0-1)))</formula>
    </cfRule>
    <cfRule type="timePeriod" dxfId="268" priority="33" timePeriod="today">
      <formula>FLOOR(B9,1)=TODAY()</formula>
    </cfRule>
    <cfRule type="timePeriod" dxfId="267" priority="34" timePeriod="last7Days">
      <formula>AND(TODAY()-FLOOR(B9,1)&lt;=6,FLOOR(B9,1)&lt;=TODAY())</formula>
    </cfRule>
    <cfRule type="timePeriod" dxfId="266" priority="35" timePeriod="thisMonth">
      <formula>AND(MONTH(B9)=MONTH(TODAY()),YEAR(B9)=YEAR(TODAY()))</formula>
    </cfRule>
  </conditionalFormatting>
  <conditionalFormatting sqref="F28:F42 B28:B42">
    <cfRule type="timePeriod" priority="31" timePeriod="last7Days">
      <formula>AND(TODAY()-FLOOR(B28,1)&lt;=6,FLOOR(B28,1)&lt;=TODAY())</formula>
    </cfRule>
  </conditionalFormatting>
  <conditionalFormatting sqref="D28:D42">
    <cfRule type="cellIs" dxfId="265" priority="29" operator="lessThan">
      <formula>$D27</formula>
    </cfRule>
    <cfRule type="cellIs" dxfId="264" priority="30" operator="greaterThan">
      <formula>$D27</formula>
    </cfRule>
  </conditionalFormatting>
  <conditionalFormatting sqref="E28:E42">
    <cfRule type="cellIs" dxfId="263" priority="27" operator="lessThan">
      <formula>0</formula>
    </cfRule>
    <cfRule type="cellIs" dxfId="262" priority="28" operator="greaterThan">
      <formula>0</formula>
    </cfRule>
  </conditionalFormatting>
  <conditionalFormatting sqref="C28:C42">
    <cfRule type="expression" dxfId="261" priority="26">
      <formula>$C28=0</formula>
    </cfRule>
  </conditionalFormatting>
  <conditionalFormatting sqref="G28:G42">
    <cfRule type="expression" dxfId="260" priority="25">
      <formula>$G28=0</formula>
    </cfRule>
  </conditionalFormatting>
  <conditionalFormatting sqref="D28:D42">
    <cfRule type="expression" dxfId="259" priority="24">
      <formula>$D28=""</formula>
    </cfRule>
  </conditionalFormatting>
  <conditionalFormatting sqref="B28:B42 F28:F42">
    <cfRule type="timePeriod" dxfId="258" priority="20" timePeriod="lastMonth">
      <formula>AND(MONTH(B28)=MONTH(EDATE(TODAY(),0-1)),YEAR(B28)=YEAR(EDATE(TODAY(),0-1)))</formula>
    </cfRule>
    <cfRule type="timePeriod" dxfId="257" priority="21" timePeriod="today">
      <formula>FLOOR(B28,1)=TODAY()</formula>
    </cfRule>
    <cfRule type="timePeriod" dxfId="256" priority="22" timePeriod="last7Days">
      <formula>AND(TODAY()-FLOOR(B28,1)&lt;=6,FLOOR(B28,1)&lt;=TODAY())</formula>
    </cfRule>
    <cfRule type="timePeriod" dxfId="255" priority="23" timePeriod="thisMonth">
      <formula>AND(MONTH(B28)=MONTH(TODAY()),YEAR(B28)=YEAR(TODAY()))</formula>
    </cfRule>
  </conditionalFormatting>
  <conditionalFormatting sqref="E5">
    <cfRule type="cellIs" dxfId="254" priority="18" operator="greaterThan">
      <formula>$B$5</formula>
    </cfRule>
    <cfRule type="cellIs" dxfId="253" priority="19" operator="lessThan">
      <formula>$B$5</formula>
    </cfRule>
  </conditionalFormatting>
  <conditionalFormatting sqref="E5:G5">
    <cfRule type="cellIs" dxfId="252" priority="16" operator="equal">
      <formula>$B$5</formula>
    </cfRule>
  </conditionalFormatting>
  <conditionalFormatting sqref="F6">
    <cfRule type="cellIs" dxfId="251" priority="14" operator="lessThan">
      <formula>0</formula>
    </cfRule>
    <cfRule type="cellIs" dxfId="250" priority="15" operator="greaterThan">
      <formula>0</formula>
    </cfRule>
  </conditionalFormatting>
  <conditionalFormatting sqref="G9:G13">
    <cfRule type="expression" dxfId="249" priority="13">
      <formula>$G9=0</formula>
    </cfRule>
  </conditionalFormatting>
  <conditionalFormatting pivot="1" sqref="M4:M25">
    <cfRule type="cellIs" dxfId="248" priority="12" operator="greaterThan">
      <formula>0</formula>
    </cfRule>
  </conditionalFormatting>
  <conditionalFormatting pivot="1" sqref="M4:M25">
    <cfRule type="cellIs" dxfId="247" priority="11" operator="lessThan">
      <formula>0</formula>
    </cfRule>
  </conditionalFormatting>
  <conditionalFormatting pivot="1" sqref="M25">
    <cfRule type="expression" dxfId="246" priority="10">
      <formula>$M$25=MAX($M$4:$M$24)</formula>
    </cfRule>
  </conditionalFormatting>
  <conditionalFormatting sqref="S25">
    <cfRule type="expression" dxfId="245" priority="1">
      <formula>$M$25=MAX($M$4:$M$24)</formula>
    </cfRule>
  </conditionalFormatting>
  <conditionalFormatting sqref="S4:S25">
    <cfRule type="cellIs" dxfId="244" priority="3" operator="greaterThan">
      <formula>0</formula>
    </cfRule>
  </conditionalFormatting>
  <conditionalFormatting sqref="S4:S25">
    <cfRule type="cellIs" dxfId="243" priority="2" operator="lessThan">
      <formula>0</formula>
    </cfRule>
  </conditionalFormatting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7" id="{D2ED285C-E608-412B-8B07-B23BED419B8D}">
            <x14:iconSet iconSet="3Triangles">
              <x14:cfvo type="percent">
                <xm:f>0</xm:f>
              </x14:cfvo>
              <x14:cfvo type="formula">
                <xm:f>0</xm:f>
              </x14:cfvo>
              <x14:cfvo type="num" gte="0">
                <xm:f>0</xm:f>
              </x14:cfvo>
            </x14:iconSet>
          </x14:cfRule>
          <xm:sqref>E6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Historic +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 Miq</dc:creator>
  <cp:lastModifiedBy>Aymeric Miq</cp:lastModifiedBy>
  <dcterms:created xsi:type="dcterms:W3CDTF">2021-05-16T15:02:20Z</dcterms:created>
  <dcterms:modified xsi:type="dcterms:W3CDTF">2021-05-16T15:52:06Z</dcterms:modified>
</cp:coreProperties>
</file>