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16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05" yWindow="-105" windowWidth="19425" windowHeight="10425" activeTab="1"/>
  </bookViews>
  <sheets>
    <sheet name="NC Qualité" sheetId="5" r:id="rId1"/>
    <sheet name="Feuille calcul" sheetId="9" r:id="rId2"/>
    <sheet name="Code macro" sheetId="11" r:id="rId3"/>
    <sheet name="Changement d'année" sheetId="12" r:id="rId4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237" i="11"/>
  <c r="AA237"/>
  <c r="X237"/>
  <c r="W237"/>
  <c r="V237"/>
  <c r="U237"/>
  <c r="T237"/>
  <c r="S237"/>
  <c r="R237"/>
  <c r="Q237"/>
  <c r="P237"/>
  <c r="O237"/>
  <c r="J237"/>
  <c r="H237"/>
  <c r="F237"/>
  <c r="D237"/>
  <c r="AB236"/>
  <c r="AA236"/>
  <c r="X236"/>
  <c r="W236"/>
  <c r="V236"/>
  <c r="U236"/>
  <c r="T236"/>
  <c r="S236"/>
  <c r="R236"/>
  <c r="Q236"/>
  <c r="P236"/>
  <c r="O236"/>
  <c r="J236"/>
  <c r="H236"/>
  <c r="F236"/>
  <c r="D236"/>
  <c r="AB235"/>
  <c r="AA235"/>
  <c r="X235"/>
  <c r="W235"/>
  <c r="V235"/>
  <c r="U235"/>
  <c r="T235"/>
  <c r="S235"/>
  <c r="R235"/>
  <c r="Q235"/>
  <c r="P235"/>
  <c r="O235"/>
  <c r="J235"/>
  <c r="H235"/>
  <c r="F235"/>
  <c r="D235"/>
  <c r="AB234"/>
  <c r="AA234"/>
  <c r="X234"/>
  <c r="W234"/>
  <c r="V234"/>
  <c r="U234"/>
  <c r="T234"/>
  <c r="S234"/>
  <c r="R234"/>
  <c r="Q234"/>
  <c r="P234"/>
  <c r="O234"/>
  <c r="J234"/>
  <c r="H234"/>
  <c r="F234"/>
  <c r="D234"/>
  <c r="AB233"/>
  <c r="AA233"/>
  <c r="X233"/>
  <c r="W233"/>
  <c r="V233"/>
  <c r="U233"/>
  <c r="T233"/>
  <c r="S233"/>
  <c r="R233"/>
  <c r="Q233"/>
  <c r="P233"/>
  <c r="O233"/>
  <c r="J233"/>
  <c r="H233"/>
  <c r="F233"/>
  <c r="D233"/>
  <c r="AB218"/>
  <c r="AA218"/>
  <c r="X218"/>
  <c r="W218"/>
  <c r="V218"/>
  <c r="U218"/>
  <c r="T218"/>
  <c r="S218"/>
  <c r="R218"/>
  <c r="Q218"/>
  <c r="P218"/>
  <c r="O218"/>
  <c r="J218"/>
  <c r="H218"/>
  <c r="F218"/>
  <c r="D218"/>
  <c r="AB217"/>
  <c r="AA217"/>
  <c r="X217"/>
  <c r="W217"/>
  <c r="V217"/>
  <c r="U217"/>
  <c r="T217"/>
  <c r="S217"/>
  <c r="R217"/>
  <c r="Q217"/>
  <c r="P217"/>
  <c r="O217"/>
  <c r="J217"/>
  <c r="H217"/>
  <c r="F217"/>
  <c r="D217"/>
  <c r="AB216"/>
  <c r="AA216"/>
  <c r="X216"/>
  <c r="W216"/>
  <c r="V216"/>
  <c r="U216"/>
  <c r="T216"/>
  <c r="S216"/>
  <c r="R216"/>
  <c r="Q216"/>
  <c r="P216"/>
  <c r="O216"/>
  <c r="J216"/>
  <c r="H216"/>
  <c r="F216"/>
  <c r="D216"/>
  <c r="AB215"/>
  <c r="AA215"/>
  <c r="X215"/>
  <c r="W215"/>
  <c r="V215"/>
  <c r="U215"/>
  <c r="T215"/>
  <c r="S215"/>
  <c r="R215"/>
  <c r="Q215"/>
  <c r="P215"/>
  <c r="O215"/>
  <c r="J215"/>
  <c r="H215"/>
  <c r="F215"/>
  <c r="D215"/>
  <c r="AB214"/>
  <c r="AA214"/>
  <c r="X214"/>
  <c r="W214"/>
  <c r="V214"/>
  <c r="U214"/>
  <c r="T214"/>
  <c r="S214"/>
  <c r="R214"/>
  <c r="Q214"/>
  <c r="P214"/>
  <c r="O214"/>
  <c r="J214"/>
  <c r="H214"/>
  <c r="F214"/>
  <c r="D214"/>
  <c r="AB199"/>
  <c r="AA199"/>
  <c r="X199"/>
  <c r="W199"/>
  <c r="V199"/>
  <c r="U199"/>
  <c r="T199"/>
  <c r="S199"/>
  <c r="R199"/>
  <c r="Q199"/>
  <c r="P199"/>
  <c r="O199"/>
  <c r="J199"/>
  <c r="H199"/>
  <c r="F199"/>
  <c r="D199"/>
  <c r="AB198"/>
  <c r="AA198"/>
  <c r="X198"/>
  <c r="W198"/>
  <c r="V198"/>
  <c r="U198"/>
  <c r="T198"/>
  <c r="S198"/>
  <c r="R198"/>
  <c r="Q198"/>
  <c r="P198"/>
  <c r="O198"/>
  <c r="J198"/>
  <c r="H198"/>
  <c r="F198"/>
  <c r="D198"/>
  <c r="AB197"/>
  <c r="AA197"/>
  <c r="X197"/>
  <c r="W197"/>
  <c r="V197"/>
  <c r="U197"/>
  <c r="T197"/>
  <c r="S197"/>
  <c r="R197"/>
  <c r="Q197"/>
  <c r="P197"/>
  <c r="O197"/>
  <c r="J197"/>
  <c r="H197"/>
  <c r="F197"/>
  <c r="D197"/>
  <c r="AB196"/>
  <c r="AA196"/>
  <c r="X196"/>
  <c r="W196"/>
  <c r="V196"/>
  <c r="U196"/>
  <c r="T196"/>
  <c r="S196"/>
  <c r="R196"/>
  <c r="Q196"/>
  <c r="P196"/>
  <c r="O196"/>
  <c r="J196"/>
  <c r="H196"/>
  <c r="F196"/>
  <c r="D196"/>
  <c r="AB195"/>
  <c r="AA195"/>
  <c r="X195"/>
  <c r="W195"/>
  <c r="V195"/>
  <c r="U195"/>
  <c r="T195"/>
  <c r="S195"/>
  <c r="R195"/>
  <c r="Q195"/>
  <c r="P195"/>
  <c r="O195"/>
  <c r="J195"/>
  <c r="H195"/>
  <c r="F195"/>
  <c r="D195"/>
  <c r="AB180"/>
  <c r="AA180"/>
  <c r="X180"/>
  <c r="W180"/>
  <c r="V180"/>
  <c r="U180"/>
  <c r="T180"/>
  <c r="S180"/>
  <c r="R180"/>
  <c r="Q180"/>
  <c r="P180"/>
  <c r="O180"/>
  <c r="J180"/>
  <c r="H180"/>
  <c r="F180"/>
  <c r="D180"/>
  <c r="AB179"/>
  <c r="AA179"/>
  <c r="X179"/>
  <c r="W179"/>
  <c r="V179"/>
  <c r="U179"/>
  <c r="T179"/>
  <c r="S179"/>
  <c r="R179"/>
  <c r="Q179"/>
  <c r="P179"/>
  <c r="O179"/>
  <c r="J179"/>
  <c r="H179"/>
  <c r="F179"/>
  <c r="D179"/>
  <c r="AB178"/>
  <c r="AA178"/>
  <c r="X178"/>
  <c r="W178"/>
  <c r="V178"/>
  <c r="U178"/>
  <c r="T178"/>
  <c r="S178"/>
  <c r="R178"/>
  <c r="Q178"/>
  <c r="P178"/>
  <c r="O178"/>
  <c r="J178"/>
  <c r="H178"/>
  <c r="F178"/>
  <c r="D178"/>
  <c r="AB177"/>
  <c r="AA177"/>
  <c r="X177"/>
  <c r="W177"/>
  <c r="V177"/>
  <c r="U177"/>
  <c r="T177"/>
  <c r="S177"/>
  <c r="R177"/>
  <c r="Q177"/>
  <c r="P177"/>
  <c r="O177"/>
  <c r="J177"/>
  <c r="H177"/>
  <c r="F177"/>
  <c r="D177"/>
  <c r="AB176"/>
  <c r="AA176"/>
  <c r="X176"/>
  <c r="W176"/>
  <c r="V176"/>
  <c r="U176"/>
  <c r="T176"/>
  <c r="S176"/>
  <c r="R176"/>
  <c r="Q176"/>
  <c r="P176"/>
  <c r="O176"/>
  <c r="J176"/>
  <c r="H176"/>
  <c r="F176"/>
  <c r="D176"/>
  <c r="AB161"/>
  <c r="AA161"/>
  <c r="X161"/>
  <c r="W161"/>
  <c r="V161"/>
  <c r="U161"/>
  <c r="T161"/>
  <c r="S161"/>
  <c r="R161"/>
  <c r="Q161"/>
  <c r="P161"/>
  <c r="O161"/>
  <c r="J161"/>
  <c r="H161"/>
  <c r="F161"/>
  <c r="D161"/>
  <c r="AB160"/>
  <c r="AA160"/>
  <c r="X160"/>
  <c r="W160"/>
  <c r="V160"/>
  <c r="U160"/>
  <c r="T160"/>
  <c r="S160"/>
  <c r="R160"/>
  <c r="Q160"/>
  <c r="P160"/>
  <c r="O160"/>
  <c r="J160"/>
  <c r="H160"/>
  <c r="F160"/>
  <c r="D160"/>
  <c r="AB159"/>
  <c r="AA159"/>
  <c r="X159"/>
  <c r="W159"/>
  <c r="V159"/>
  <c r="U159"/>
  <c r="T159"/>
  <c r="S159"/>
  <c r="R159"/>
  <c r="Q159"/>
  <c r="P159"/>
  <c r="O159"/>
  <c r="J159"/>
  <c r="H159"/>
  <c r="F159"/>
  <c r="D159"/>
  <c r="AB158"/>
  <c r="AA158"/>
  <c r="X158"/>
  <c r="W158"/>
  <c r="V158"/>
  <c r="U158"/>
  <c r="T158"/>
  <c r="S158"/>
  <c r="R158"/>
  <c r="Q158"/>
  <c r="P158"/>
  <c r="O158"/>
  <c r="J158"/>
  <c r="H158"/>
  <c r="F158"/>
  <c r="D158"/>
  <c r="AB157"/>
  <c r="AA157"/>
  <c r="X157"/>
  <c r="W157"/>
  <c r="V157"/>
  <c r="U157"/>
  <c r="T157"/>
  <c r="S157"/>
  <c r="R157"/>
  <c r="Q157"/>
  <c r="P157"/>
  <c r="O157"/>
  <c r="J157"/>
  <c r="H157"/>
  <c r="F157"/>
  <c r="D157"/>
  <c r="AB142"/>
  <c r="AA142"/>
  <c r="X142"/>
  <c r="W142"/>
  <c r="V142"/>
  <c r="U142"/>
  <c r="T142"/>
  <c r="S142"/>
  <c r="R142"/>
  <c r="Q142"/>
  <c r="P142"/>
  <c r="O142"/>
  <c r="J142"/>
  <c r="H142"/>
  <c r="F142"/>
  <c r="D142"/>
  <c r="AB141"/>
  <c r="AA141"/>
  <c r="X141"/>
  <c r="W141"/>
  <c r="V141"/>
  <c r="U141"/>
  <c r="T141"/>
  <c r="S141"/>
  <c r="R141"/>
  <c r="Q141"/>
  <c r="P141"/>
  <c r="O141"/>
  <c r="J141"/>
  <c r="H141"/>
  <c r="F141"/>
  <c r="D141"/>
  <c r="AB140"/>
  <c r="AA140"/>
  <c r="X140"/>
  <c r="W140"/>
  <c r="V140"/>
  <c r="U140"/>
  <c r="T140"/>
  <c r="S140"/>
  <c r="R140"/>
  <c r="Q140"/>
  <c r="P140"/>
  <c r="O140"/>
  <c r="J140"/>
  <c r="H140"/>
  <c r="F140"/>
  <c r="D140"/>
  <c r="AB139"/>
  <c r="AA139"/>
  <c r="X139"/>
  <c r="W139"/>
  <c r="V139"/>
  <c r="U139"/>
  <c r="T139"/>
  <c r="S139"/>
  <c r="R139"/>
  <c r="Q139"/>
  <c r="P139"/>
  <c r="O139"/>
  <c r="J139"/>
  <c r="H139"/>
  <c r="F139"/>
  <c r="D139"/>
  <c r="AB138"/>
  <c r="AA138"/>
  <c r="X138"/>
  <c r="W138"/>
  <c r="V138"/>
  <c r="U138"/>
  <c r="T138"/>
  <c r="S138"/>
  <c r="R138"/>
  <c r="Q138"/>
  <c r="P138"/>
  <c r="O138"/>
  <c r="J138"/>
  <c r="H138"/>
  <c r="F138"/>
  <c r="D138"/>
  <c r="AB123"/>
  <c r="AA123"/>
  <c r="X123"/>
  <c r="W123"/>
  <c r="V123"/>
  <c r="U123"/>
  <c r="T123"/>
  <c r="S123"/>
  <c r="R123"/>
  <c r="Q123"/>
  <c r="P123"/>
  <c r="O123"/>
  <c r="J123"/>
  <c r="H123"/>
  <c r="F123"/>
  <c r="D123"/>
  <c r="AB122"/>
  <c r="AA122"/>
  <c r="X122"/>
  <c r="W122"/>
  <c r="V122"/>
  <c r="U122"/>
  <c r="T122"/>
  <c r="S122"/>
  <c r="R122"/>
  <c r="Q122"/>
  <c r="P122"/>
  <c r="O122"/>
  <c r="J122"/>
  <c r="H122"/>
  <c r="F122"/>
  <c r="D122"/>
  <c r="AB121"/>
  <c r="AA121"/>
  <c r="X121"/>
  <c r="W121"/>
  <c r="V121"/>
  <c r="U121"/>
  <c r="T121"/>
  <c r="S121"/>
  <c r="R121"/>
  <c r="Q121"/>
  <c r="P121"/>
  <c r="O121"/>
  <c r="J121"/>
  <c r="H121"/>
  <c r="F121"/>
  <c r="D121"/>
  <c r="AB120"/>
  <c r="AA120"/>
  <c r="X120"/>
  <c r="W120"/>
  <c r="V120"/>
  <c r="U120"/>
  <c r="T120"/>
  <c r="S120"/>
  <c r="R120"/>
  <c r="Q120"/>
  <c r="P120"/>
  <c r="O120"/>
  <c r="J120"/>
  <c r="H120"/>
  <c r="F120"/>
  <c r="D120"/>
  <c r="AB119"/>
  <c r="AA119"/>
  <c r="X119"/>
  <c r="W119"/>
  <c r="V119"/>
  <c r="U119"/>
  <c r="T119"/>
  <c r="S119"/>
  <c r="R119"/>
  <c r="Q119"/>
  <c r="P119"/>
  <c r="O119"/>
  <c r="J119"/>
  <c r="H119"/>
  <c r="F119"/>
  <c r="D119"/>
  <c r="AB104"/>
  <c r="AA104"/>
  <c r="X104"/>
  <c r="W104"/>
  <c r="V104"/>
  <c r="U104"/>
  <c r="T104"/>
  <c r="S104"/>
  <c r="R104"/>
  <c r="Q104"/>
  <c r="P104"/>
  <c r="O104"/>
  <c r="J104"/>
  <c r="H104"/>
  <c r="F104"/>
  <c r="D104"/>
  <c r="AB103"/>
  <c r="AA103"/>
  <c r="X103"/>
  <c r="W103"/>
  <c r="V103"/>
  <c r="U103"/>
  <c r="T103"/>
  <c r="S103"/>
  <c r="R103"/>
  <c r="Q103"/>
  <c r="P103"/>
  <c r="O103"/>
  <c r="J103"/>
  <c r="H103"/>
  <c r="F103"/>
  <c r="D103"/>
  <c r="AB102"/>
  <c r="AA102"/>
  <c r="X102"/>
  <c r="W102"/>
  <c r="V102"/>
  <c r="U102"/>
  <c r="T102"/>
  <c r="S102"/>
  <c r="R102"/>
  <c r="Q102"/>
  <c r="P102"/>
  <c r="O102"/>
  <c r="J102"/>
  <c r="H102"/>
  <c r="F102"/>
  <c r="D102"/>
  <c r="AB101"/>
  <c r="AA101"/>
  <c r="X101"/>
  <c r="W101"/>
  <c r="V101"/>
  <c r="U101"/>
  <c r="T101"/>
  <c r="S101"/>
  <c r="R101"/>
  <c r="Q101"/>
  <c r="P101"/>
  <c r="O101"/>
  <c r="J101"/>
  <c r="H101"/>
  <c r="F101"/>
  <c r="D101"/>
  <c r="AB100"/>
  <c r="AA100"/>
  <c r="X100"/>
  <c r="W100"/>
  <c r="V100"/>
  <c r="U100"/>
  <c r="T100"/>
  <c r="S100"/>
  <c r="R100"/>
  <c r="Q100"/>
  <c r="P100"/>
  <c r="O100"/>
  <c r="J100"/>
  <c r="H100"/>
  <c r="F100"/>
  <c r="D100"/>
  <c r="AB85"/>
  <c r="AA85"/>
  <c r="X85"/>
  <c r="W85"/>
  <c r="V85"/>
  <c r="U85"/>
  <c r="T85"/>
  <c r="S85"/>
  <c r="R85"/>
  <c r="Q85"/>
  <c r="P85"/>
  <c r="O85"/>
  <c r="J85"/>
  <c r="H85"/>
  <c r="F85"/>
  <c r="D85"/>
  <c r="AB84"/>
  <c r="AA84"/>
  <c r="X84"/>
  <c r="W84"/>
  <c r="V84"/>
  <c r="U84"/>
  <c r="T84"/>
  <c r="S84"/>
  <c r="R84"/>
  <c r="Q84"/>
  <c r="P84"/>
  <c r="O84"/>
  <c r="J84"/>
  <c r="H84"/>
  <c r="F84"/>
  <c r="D84"/>
  <c r="AB83"/>
  <c r="AA83"/>
  <c r="X83"/>
  <c r="W83"/>
  <c r="V83"/>
  <c r="U83"/>
  <c r="T83"/>
  <c r="S83"/>
  <c r="R83"/>
  <c r="Q83"/>
  <c r="P83"/>
  <c r="O83"/>
  <c r="J83"/>
  <c r="H83"/>
  <c r="F83"/>
  <c r="D83"/>
  <c r="AB82"/>
  <c r="AA82"/>
  <c r="X82"/>
  <c r="W82"/>
  <c r="V82"/>
  <c r="U82"/>
  <c r="T82"/>
  <c r="S82"/>
  <c r="R82"/>
  <c r="Q82"/>
  <c r="P82"/>
  <c r="O82"/>
  <c r="J82"/>
  <c r="H82"/>
  <c r="F82"/>
  <c r="D82"/>
  <c r="AB81"/>
  <c r="AA81"/>
  <c r="X81"/>
  <c r="W81"/>
  <c r="V81"/>
  <c r="U81"/>
  <c r="T81"/>
  <c r="S81"/>
  <c r="R81"/>
  <c r="Q81"/>
  <c r="P81"/>
  <c r="O81"/>
  <c r="J81"/>
  <c r="H81"/>
  <c r="F81"/>
  <c r="D81"/>
  <c r="AB65"/>
  <c r="AA65"/>
  <c r="X65"/>
  <c r="W65"/>
  <c r="V65"/>
  <c r="U65"/>
  <c r="T65"/>
  <c r="S65"/>
  <c r="R65"/>
  <c r="Q65"/>
  <c r="P65"/>
  <c r="O65"/>
  <c r="J65"/>
  <c r="H65"/>
  <c r="F65"/>
  <c r="D65"/>
  <c r="AB64"/>
  <c r="AA64"/>
  <c r="X64"/>
  <c r="W64"/>
  <c r="V64"/>
  <c r="U64"/>
  <c r="T64"/>
  <c r="S64"/>
  <c r="R64"/>
  <c r="Q64"/>
  <c r="P64"/>
  <c r="O64"/>
  <c r="J64"/>
  <c r="H64"/>
  <c r="F64"/>
  <c r="D64"/>
  <c r="AB63"/>
  <c r="AA63"/>
  <c r="X63"/>
  <c r="W63"/>
  <c r="V63"/>
  <c r="U63"/>
  <c r="T63"/>
  <c r="S63"/>
  <c r="R63"/>
  <c r="Q63"/>
  <c r="P63"/>
  <c r="O63"/>
  <c r="J63"/>
  <c r="H63"/>
  <c r="F63"/>
  <c r="D63"/>
  <c r="AB62"/>
  <c r="AA62"/>
  <c r="X62"/>
  <c r="W62"/>
  <c r="V62"/>
  <c r="U62"/>
  <c r="T62"/>
  <c r="S62"/>
  <c r="R62"/>
  <c r="Q62"/>
  <c r="P62"/>
  <c r="O62"/>
  <c r="J62"/>
  <c r="H62"/>
  <c r="F62"/>
  <c r="D62"/>
  <c r="AB61"/>
  <c r="AA61"/>
  <c r="X61"/>
  <c r="W61"/>
  <c r="V61"/>
  <c r="U61"/>
  <c r="T61"/>
  <c r="S61"/>
  <c r="R61"/>
  <c r="Q61"/>
  <c r="P61"/>
  <c r="O61"/>
  <c r="J61"/>
  <c r="H61"/>
  <c r="F61"/>
  <c r="D61"/>
  <c r="AB47"/>
  <c r="AA47"/>
  <c r="X47"/>
  <c r="W47"/>
  <c r="V47"/>
  <c r="U47"/>
  <c r="T47"/>
  <c r="S47"/>
  <c r="R47"/>
  <c r="Q47"/>
  <c r="P47"/>
  <c r="O47"/>
  <c r="J47"/>
  <c r="H47"/>
  <c r="F47"/>
  <c r="D47"/>
  <c r="AB46"/>
  <c r="AA46"/>
  <c r="X46"/>
  <c r="W46"/>
  <c r="V46"/>
  <c r="U46"/>
  <c r="T46"/>
  <c r="S46"/>
  <c r="R46"/>
  <c r="Q46"/>
  <c r="P46"/>
  <c r="O46"/>
  <c r="J46"/>
  <c r="H46"/>
  <c r="F46"/>
  <c r="D46"/>
  <c r="AB45"/>
  <c r="AA45"/>
  <c r="X45"/>
  <c r="W45"/>
  <c r="V45"/>
  <c r="U45"/>
  <c r="T45"/>
  <c r="S45"/>
  <c r="R45"/>
  <c r="Q45"/>
  <c r="P45"/>
  <c r="O45"/>
  <c r="J45"/>
  <c r="H45"/>
  <c r="F45"/>
  <c r="D45"/>
  <c r="AB44"/>
  <c r="AA44"/>
  <c r="X44"/>
  <c r="W44"/>
  <c r="V44"/>
  <c r="U44"/>
  <c r="T44"/>
  <c r="S44"/>
  <c r="R44"/>
  <c r="Q44"/>
  <c r="P44"/>
  <c r="O44"/>
  <c r="J44"/>
  <c r="H44"/>
  <c r="F44"/>
  <c r="D44"/>
  <c r="AB43"/>
  <c r="AA43"/>
  <c r="X43"/>
  <c r="W43"/>
  <c r="V43"/>
  <c r="U43"/>
  <c r="T43"/>
  <c r="S43"/>
  <c r="R43"/>
  <c r="Q43"/>
  <c r="P43"/>
  <c r="O43"/>
  <c r="J43"/>
  <c r="H43"/>
  <c r="F43"/>
  <c r="D43"/>
  <c r="AB30"/>
  <c r="AA30"/>
  <c r="X30"/>
  <c r="W30"/>
  <c r="V30"/>
  <c r="U30"/>
  <c r="T30"/>
  <c r="S30"/>
  <c r="R30"/>
  <c r="Q30"/>
  <c r="P30"/>
  <c r="O30"/>
  <c r="J30"/>
  <c r="H30"/>
  <c r="F30"/>
  <c r="D30"/>
  <c r="AB29"/>
  <c r="AA29"/>
  <c r="X29"/>
  <c r="W29"/>
  <c r="V29"/>
  <c r="U29"/>
  <c r="T29"/>
  <c r="S29"/>
  <c r="R29"/>
  <c r="Q29"/>
  <c r="P29"/>
  <c r="O29"/>
  <c r="J29"/>
  <c r="H29"/>
  <c r="F29"/>
  <c r="D29"/>
  <c r="AB28"/>
  <c r="AA28"/>
  <c r="X28"/>
  <c r="W28"/>
  <c r="V28"/>
  <c r="U28"/>
  <c r="T28"/>
  <c r="S28"/>
  <c r="R28"/>
  <c r="Q28"/>
  <c r="P28"/>
  <c r="O28"/>
  <c r="J28"/>
  <c r="H28"/>
  <c r="F28"/>
  <c r="D28"/>
  <c r="AB27"/>
  <c r="AA27"/>
  <c r="X27"/>
  <c r="W27"/>
  <c r="V27"/>
  <c r="U27"/>
  <c r="T27"/>
  <c r="S27"/>
  <c r="R27"/>
  <c r="Q27"/>
  <c r="P27"/>
  <c r="O27"/>
  <c r="J27"/>
  <c r="H27"/>
  <c r="F27"/>
  <c r="D27"/>
  <c r="AB26"/>
  <c r="AA26"/>
  <c r="X26"/>
  <c r="W26"/>
  <c r="V26"/>
  <c r="U26"/>
  <c r="T26"/>
  <c r="S26"/>
  <c r="R26"/>
  <c r="Q26"/>
  <c r="P26"/>
  <c r="O26"/>
  <c r="J26"/>
  <c r="H26"/>
  <c r="F26"/>
  <c r="D26"/>
  <c r="M14"/>
  <c r="L14"/>
  <c r="K14"/>
  <c r="J14"/>
  <c r="I14"/>
  <c r="H14"/>
  <c r="G14"/>
  <c r="F14"/>
  <c r="E14"/>
  <c r="D14"/>
  <c r="C14"/>
  <c r="B14"/>
  <c r="M13"/>
  <c r="L13"/>
  <c r="K13"/>
  <c r="J13"/>
  <c r="I13"/>
  <c r="H13"/>
  <c r="G13"/>
  <c r="F13"/>
  <c r="E13"/>
  <c r="D13"/>
  <c r="C13"/>
  <c r="B13"/>
  <c r="M12"/>
  <c r="L12"/>
  <c r="K12"/>
  <c r="J12"/>
  <c r="I12"/>
  <c r="H12"/>
  <c r="G12"/>
  <c r="F12"/>
  <c r="E12"/>
  <c r="D12"/>
  <c r="C12"/>
  <c r="B12"/>
  <c r="M11"/>
  <c r="L11"/>
  <c r="K11"/>
  <c r="J11"/>
  <c r="I11"/>
  <c r="H11"/>
  <c r="G11"/>
  <c r="F11"/>
  <c r="E11"/>
  <c r="D11"/>
  <c r="C11"/>
  <c r="B11"/>
  <c r="M10"/>
  <c r="L10"/>
  <c r="K10"/>
  <c r="J10"/>
  <c r="I10"/>
  <c r="H10"/>
  <c r="G10"/>
  <c r="F10"/>
  <c r="E10"/>
  <c r="D10"/>
  <c r="C10"/>
  <c r="B10"/>
  <c r="AA219" l="1"/>
  <c r="AB219"/>
  <c r="AA238"/>
  <c r="AB238"/>
  <c r="AB200"/>
  <c r="AA200"/>
  <c r="AB181"/>
  <c r="AB162"/>
  <c r="AB143"/>
  <c r="AB124"/>
  <c r="AB105"/>
  <c r="AB86"/>
  <c r="AB66"/>
  <c r="AB48"/>
  <c r="AB31"/>
  <c r="I15" l="1"/>
  <c r="H15"/>
  <c r="K15"/>
  <c r="G15"/>
  <c r="J15"/>
  <c r="F15"/>
  <c r="M15"/>
  <c r="L15"/>
  <c r="E15"/>
  <c r="D15"/>
  <c r="C15"/>
  <c r="B15" l="1"/>
  <c r="T8" i="5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368"/>
  <c r="T369"/>
  <c r="T370"/>
  <c r="T371"/>
  <c r="T372"/>
  <c r="T373"/>
  <c r="T374"/>
  <c r="T375"/>
  <c r="T376"/>
  <c r="T377"/>
  <c r="T378"/>
  <c r="T379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T431"/>
  <c r="T432"/>
  <c r="T433"/>
  <c r="T434"/>
  <c r="T435"/>
  <c r="T436"/>
  <c r="T437"/>
  <c r="T438"/>
  <c r="T439"/>
  <c r="T440"/>
  <c r="T441"/>
  <c r="T442"/>
  <c r="T443"/>
  <c r="T444"/>
  <c r="T445"/>
  <c r="T446"/>
  <c r="T447"/>
  <c r="T448"/>
  <c r="T449"/>
  <c r="T450"/>
  <c r="T451"/>
  <c r="T452"/>
  <c r="T453"/>
  <c r="T454"/>
  <c r="T455"/>
  <c r="T456"/>
  <c r="T457"/>
  <c r="T458"/>
  <c r="T459"/>
  <c r="T460"/>
  <c r="T461"/>
  <c r="T462"/>
  <c r="T463"/>
  <c r="T464"/>
  <c r="T465"/>
  <c r="T466"/>
  <c r="T467"/>
  <c r="T468"/>
  <c r="T469"/>
  <c r="T470"/>
  <c r="T471"/>
  <c r="T472"/>
  <c r="T473"/>
  <c r="T474"/>
  <c r="T475"/>
  <c r="T476"/>
  <c r="T477"/>
  <c r="T478"/>
  <c r="T479"/>
  <c r="T480"/>
  <c r="T481"/>
  <c r="T482"/>
  <c r="T483"/>
  <c r="T484"/>
  <c r="T485"/>
  <c r="T486"/>
  <c r="T487"/>
  <c r="T488"/>
  <c r="T489"/>
  <c r="T490"/>
  <c r="T491"/>
  <c r="T492"/>
  <c r="T493"/>
  <c r="T494"/>
  <c r="T495"/>
  <c r="T496"/>
  <c r="T497"/>
  <c r="T498"/>
  <c r="T499"/>
  <c r="T500"/>
  <c r="T501"/>
  <c r="T502"/>
  <c r="T503"/>
  <c r="T504"/>
  <c r="T505"/>
  <c r="T506"/>
  <c r="T507"/>
  <c r="T508"/>
  <c r="T509"/>
  <c r="T510"/>
  <c r="T511"/>
  <c r="T512"/>
  <c r="T513"/>
  <c r="T514"/>
  <c r="T515"/>
  <c r="T4"/>
  <c r="T5"/>
  <c r="T6"/>
  <c r="T7"/>
  <c r="AB16" i="9"/>
  <c r="AB15"/>
  <c r="AB14"/>
  <c r="AB13"/>
  <c r="AB12"/>
  <c r="AA181" i="11" l="1"/>
  <c r="AA31"/>
  <c r="AA105"/>
  <c r="AA86"/>
  <c r="AA16" i="9"/>
  <c r="AA14"/>
  <c r="AA15"/>
  <c r="AA13"/>
  <c r="AA12"/>
  <c r="AB17"/>
  <c r="X16"/>
  <c r="W16"/>
  <c r="V16"/>
  <c r="U16"/>
  <c r="T16"/>
  <c r="S16"/>
  <c r="R16"/>
  <c r="Q16"/>
  <c r="P16"/>
  <c r="O16"/>
  <c r="J16"/>
  <c r="H16"/>
  <c r="F16"/>
  <c r="D16"/>
  <c r="X15"/>
  <c r="W15"/>
  <c r="V15"/>
  <c r="U15"/>
  <c r="T15"/>
  <c r="S15"/>
  <c r="R15"/>
  <c r="Q15"/>
  <c r="P15"/>
  <c r="O15"/>
  <c r="J15"/>
  <c r="H15"/>
  <c r="F15"/>
  <c r="D15"/>
  <c r="X14"/>
  <c r="W14"/>
  <c r="V14"/>
  <c r="U14"/>
  <c r="T14"/>
  <c r="S14"/>
  <c r="R14"/>
  <c r="Q14"/>
  <c r="P14"/>
  <c r="O14"/>
  <c r="J14"/>
  <c r="H14"/>
  <c r="F14"/>
  <c r="D14"/>
  <c r="X13"/>
  <c r="W13"/>
  <c r="V13"/>
  <c r="U13"/>
  <c r="T13"/>
  <c r="S13"/>
  <c r="R13"/>
  <c r="Q13"/>
  <c r="P13"/>
  <c r="O13"/>
  <c r="J13"/>
  <c r="H13"/>
  <c r="F13"/>
  <c r="D13"/>
  <c r="X12"/>
  <c r="P50" s="1"/>
  <c r="W12"/>
  <c r="O50" s="1"/>
  <c r="V12"/>
  <c r="U12"/>
  <c r="M50" s="1"/>
  <c r="T12"/>
  <c r="L50" s="1"/>
  <c r="S12"/>
  <c r="K50" s="1"/>
  <c r="R12"/>
  <c r="Q12"/>
  <c r="I50" s="1"/>
  <c r="P12"/>
  <c r="H50" s="1"/>
  <c r="O12"/>
  <c r="G50" s="1"/>
  <c r="J12"/>
  <c r="H12"/>
  <c r="E50" s="1"/>
  <c r="F12"/>
  <c r="D50" s="1"/>
  <c r="D12"/>
  <c r="C50" s="1"/>
  <c r="AA162" i="11" l="1"/>
  <c r="AA143"/>
  <c r="F50" i="9"/>
  <c r="J50"/>
  <c r="N50"/>
  <c r="AA124" i="11"/>
  <c r="AA48"/>
  <c r="AA66"/>
  <c r="AA17" i="9"/>
</calcChain>
</file>

<file path=xl/sharedStrings.xml><?xml version="1.0" encoding="utf-8"?>
<sst xmlns="http://schemas.openxmlformats.org/spreadsheetml/2006/main" count="632" uniqueCount="93">
  <si>
    <t>Bianchi</t>
  </si>
  <si>
    <t>Chambres</t>
  </si>
  <si>
    <t>Parc</t>
  </si>
  <si>
    <t>Précontraint</t>
  </si>
  <si>
    <t>Préfabrication</t>
  </si>
  <si>
    <t>Problème d'étiquetage</t>
  </si>
  <si>
    <t>Chanfrein</t>
  </si>
  <si>
    <t>Panneau coulé à plat</t>
  </si>
  <si>
    <t>Cintrage</t>
  </si>
  <si>
    <t>Horodateur</t>
  </si>
  <si>
    <t xml:space="preserve">Nom-Prénom </t>
  </si>
  <si>
    <t>Situation à remonter :</t>
  </si>
  <si>
    <t>Nom du Client / Ville</t>
  </si>
  <si>
    <t xml:space="preserve">Ateliers concernés par l'anomalie </t>
  </si>
  <si>
    <t>Si tuyaux superflex, préciser le diamètre</t>
  </si>
  <si>
    <t>Si tuyaux modul, préciser le diamètre</t>
  </si>
  <si>
    <t xml:space="preserve">Référence produit </t>
  </si>
  <si>
    <t>Date de coulage (sur l'étiquette)</t>
  </si>
  <si>
    <t>Type de non conformité</t>
  </si>
  <si>
    <t>Photos qualité de fabrication</t>
  </si>
  <si>
    <t>Action suite à l'anomalie constatée</t>
  </si>
  <si>
    <t>Commentaires</t>
  </si>
  <si>
    <t>PILOTE</t>
  </si>
  <si>
    <t>Partie Assainissement  : _x000D_
Analyse des causes si besoin</t>
  </si>
  <si>
    <t>Action corrective mise en place (pour eviter la récurrence)</t>
  </si>
  <si>
    <t>Critère de mesure de l'efficacité</t>
  </si>
  <si>
    <t>Efficacité de l'action _x000D_
corrective (PDCA)</t>
  </si>
  <si>
    <t>Cadres</t>
  </si>
  <si>
    <t>Superflex : Tuyaux Dn 500 à 1600</t>
  </si>
  <si>
    <t>Accessoires (Mauvais positionnement , manquement, etc.)</t>
  </si>
  <si>
    <t>Dimensionnement (entraînant un rebut)</t>
  </si>
  <si>
    <t>Aspect béton (tâches / nid d'abeilles / granuleux / Fissures etc.)</t>
  </si>
  <si>
    <t>Seuil de porte (réservation)</t>
  </si>
  <si>
    <t>Problème de chargement (sanglage, casse etc.)</t>
  </si>
  <si>
    <t>Ateliers</t>
  </si>
  <si>
    <t>Superflex</t>
  </si>
  <si>
    <t>Inversion des aciers de clavetages</t>
  </si>
  <si>
    <t>éléments de regard</t>
  </si>
  <si>
    <t>Tuyaux départ cheminée</t>
  </si>
  <si>
    <t>Fielding : Bordures et Caniveaux</t>
  </si>
  <si>
    <t>Modul : Tuyaux Dn 1800 à 2630</t>
  </si>
  <si>
    <t>étanchéité</t>
  </si>
  <si>
    <t>équarrissage d'about</t>
  </si>
  <si>
    <t>Ancre de levage</t>
  </si>
  <si>
    <t>Emboîtement</t>
  </si>
  <si>
    <t>Armatures apparentes</t>
  </si>
  <si>
    <t>Joint décalé</t>
  </si>
  <si>
    <t>Non respect du délais de livraison de 14 jours</t>
  </si>
  <si>
    <t>Mauvaise position des réservations (chambres)</t>
  </si>
  <si>
    <t>Casse de l'élément</t>
  </si>
  <si>
    <t>Autres :</t>
  </si>
  <si>
    <t>Charpente</t>
  </si>
  <si>
    <t>Assainissement</t>
  </si>
  <si>
    <t>équerrisage</t>
  </si>
  <si>
    <t>épaisseur</t>
  </si>
  <si>
    <t xml:space="preserve">Erreur de chargement </t>
  </si>
  <si>
    <t>Actions Correctives Terminées</t>
  </si>
  <si>
    <t>Actions Correctives totales</t>
  </si>
  <si>
    <t>Aout</t>
  </si>
  <si>
    <t xml:space="preserve">Septembre </t>
  </si>
  <si>
    <t xml:space="preserve">Octobre </t>
  </si>
  <si>
    <t>Novembre</t>
  </si>
  <si>
    <t>Décembre</t>
  </si>
  <si>
    <t>Janvier</t>
  </si>
  <si>
    <t>Février</t>
  </si>
  <si>
    <t xml:space="preserve">Mars </t>
  </si>
  <si>
    <t>Avril</t>
  </si>
  <si>
    <t xml:space="preserve">Mai </t>
  </si>
  <si>
    <t xml:space="preserve">Juin </t>
  </si>
  <si>
    <t>Juillet</t>
  </si>
  <si>
    <t>NE PAS TOUCHER</t>
  </si>
  <si>
    <t>MOIS</t>
  </si>
  <si>
    <t>Année</t>
  </si>
  <si>
    <t>Septembre</t>
  </si>
  <si>
    <t>NE PAS TOUCHER !!!</t>
  </si>
  <si>
    <t>Octobre</t>
  </si>
  <si>
    <t>Mars</t>
  </si>
  <si>
    <t>Mai</t>
  </si>
  <si>
    <t>Juin</t>
  </si>
  <si>
    <t>INDICATEUR SUR LES NON-CONFORMTES DE JANVIER</t>
  </si>
  <si>
    <t>INDICATEUR SUR LES NON-CONFORMTES DE FEVRIER</t>
  </si>
  <si>
    <t>INDICATEUR SUR LES NON-CONFORMTES DE MARS</t>
  </si>
  <si>
    <t>INDICATEUR SUR LES NON-CONFORMTES DE AVRIL</t>
  </si>
  <si>
    <t>INDICATEUR SUR LES NON-CONFORMTES DE MAI</t>
  </si>
  <si>
    <t>INDICATEUR SUR LES NON-CONFORMTES DE JUIN</t>
  </si>
  <si>
    <t>INDICATEUR SUR LES NON-CONFORMTES DE JUILLET</t>
  </si>
  <si>
    <t>INDICATEUR SUR LES NON-CONFORMTES DE AOUT</t>
  </si>
  <si>
    <t>INDICATEUR SUR LES NON-CONFORMTES DE SEPTEMBRE</t>
  </si>
  <si>
    <t>INDICATEUR SUR LES NON-CONFORMTES DE OCTOBRE</t>
  </si>
  <si>
    <t>INDICATEUR SUR LES NON-CONFORMTES DE NOVEMBRE</t>
  </si>
  <si>
    <t>INDICATEUR SUR LES NON-CONFORMTES DE DECEMBRE</t>
  </si>
  <si>
    <t>Tableau récapitulatif des non conformités en Charpente</t>
  </si>
  <si>
    <t>VOUS ETES EN 2020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</si>
</sst>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color rgb="FF141414"/>
      <name val="Segoe UI"/>
      <family val="2"/>
    </font>
    <font>
      <sz val="8"/>
      <color theme="0"/>
      <name val="Segoe UI"/>
      <family val="2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 wrapText="1"/>
    </xf>
    <xf numFmtId="22" fontId="0" fillId="0" borderId="0" xfId="0" applyNumberForma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2" fontId="0" fillId="0" borderId="0" xfId="0" applyNumberFormat="1" applyBorder="1" applyAlignment="1">
      <alignment horizontal="center" vertical="center" wrapText="1"/>
    </xf>
    <xf numFmtId="22" fontId="0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6" borderId="0" xfId="0" applyFill="1"/>
    <xf numFmtId="0" fontId="0" fillId="6" borderId="5" xfId="0" applyFill="1" applyBorder="1"/>
    <xf numFmtId="0" fontId="0" fillId="0" borderId="6" xfId="0" applyBorder="1"/>
    <xf numFmtId="0" fontId="0" fillId="6" borderId="6" xfId="0" applyFill="1" applyBorder="1"/>
    <xf numFmtId="0" fontId="0" fillId="6" borderId="7" xfId="0" applyFill="1" applyBorder="1"/>
    <xf numFmtId="0" fontId="0" fillId="6" borderId="4" xfId="0" applyFill="1" applyBorder="1"/>
    <xf numFmtId="0" fontId="0" fillId="0" borderId="4" xfId="0" applyBorder="1"/>
    <xf numFmtId="0" fontId="0" fillId="0" borderId="8" xfId="0" applyBorder="1"/>
    <xf numFmtId="0" fontId="5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" fillId="3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18" xfId="0" applyBorder="1"/>
    <xf numFmtId="0" fontId="3" fillId="0" borderId="0" xfId="0" applyFont="1" applyFill="1" applyAlignment="1">
      <alignment horizontal="center" vertical="center" wrapText="1"/>
    </xf>
    <xf numFmtId="0" fontId="0" fillId="0" borderId="0" xfId="0" applyFon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quotePrefix="1"/>
    <xf numFmtId="14" fontId="0" fillId="0" borderId="0" xfId="0" applyNumberFormat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vertical="center" textRotation="90"/>
    </xf>
    <xf numFmtId="0" fontId="15" fillId="0" borderId="0" xfId="1" applyAlignment="1">
      <alignment horizontal="center" vertical="center" wrapText="1"/>
    </xf>
    <xf numFmtId="0" fontId="15" fillId="0" borderId="0" xfId="1"/>
    <xf numFmtId="0" fontId="16" fillId="0" borderId="0" xfId="0" applyFont="1"/>
    <xf numFmtId="0" fontId="0" fillId="5" borderId="0" xfId="0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19" xfId="0" applyBorder="1"/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numFmt numFmtId="27" formatCode="dd/mm/yyyy\ hh:mm"/>
      <alignment horizontal="center" vertical="center" textRotation="0" wrapText="1" indent="0" relativeIndent="255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1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3:A23" totalsRowShown="0" headerRowDxfId="4" dataDxfId="2" headerRowBorderDxfId="3" tableBorderDxfId="1">
  <autoFilter ref="A3:A23"/>
  <sortState ref="A4:A23">
    <sortCondition ref="A3:A23"/>
  </sortState>
  <tableColumns count="1">
    <tableColumn id="1" name="Horodat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16" Type="http://schemas.openxmlformats.org/officeDocument/2006/relationships/ctrlProp" Target="../ctrlProps/ctrlProp14.xml"/><Relationship Id="rId1" Type="http://schemas.openxmlformats.org/officeDocument/2006/relationships/vmlDrawing" Target="../drawings/vmlDrawing1.v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C515"/>
  <sheetViews>
    <sheetView zoomScale="55" zoomScaleNormal="55" zoomScaleSheetLayoutView="40" workbookViewId="0">
      <selection activeCell="C8" sqref="C8"/>
    </sheetView>
  </sheetViews>
  <sheetFormatPr baseColWidth="10" defaultRowHeight="15"/>
  <cols>
    <col min="1" max="2" width="20.5703125" style="1" customWidth="1"/>
    <col min="3" max="3" width="21.7109375" style="1" customWidth="1"/>
    <col min="4" max="4" width="21.28515625" style="1" bestFit="1" customWidth="1"/>
    <col min="5" max="5" width="20.5703125" style="18" customWidth="1"/>
    <col min="6" max="7" width="20.5703125" style="1" customWidth="1"/>
    <col min="8" max="8" width="20.5703125" style="7" customWidth="1"/>
    <col min="9" max="9" width="20.5703125" style="8" customWidth="1"/>
    <col min="10" max="10" width="20.5703125" style="18" customWidth="1"/>
    <col min="11" max="12" width="20.5703125" style="1" customWidth="1"/>
    <col min="13" max="13" width="27.42578125" style="1" customWidth="1"/>
    <col min="14" max="14" width="20.5703125" style="1" customWidth="1"/>
    <col min="15" max="15" width="22.42578125" style="1" customWidth="1"/>
    <col min="16" max="18" width="20.5703125" style="1" customWidth="1"/>
    <col min="19" max="19" width="20.5703125" style="31" customWidth="1"/>
    <col min="20" max="29" width="10.85546875" style="1"/>
  </cols>
  <sheetData>
    <row r="1" spans="1:29" ht="50.1" customHeight="1" thickBot="1">
      <c r="A1" s="58" t="s">
        <v>91</v>
      </c>
      <c r="B1" s="59"/>
      <c r="C1" s="59"/>
      <c r="D1" s="59"/>
      <c r="E1" s="59"/>
      <c r="F1" s="59"/>
      <c r="G1" s="59"/>
      <c r="H1" s="59"/>
      <c r="I1" s="59"/>
      <c r="J1" s="60"/>
    </row>
    <row r="2" spans="1:29">
      <c r="E2" s="20"/>
      <c r="J2" s="20"/>
    </row>
    <row r="3" spans="1:29" s="3" customFormat="1" ht="69.95" customHeight="1">
      <c r="A3" s="38" t="s">
        <v>9</v>
      </c>
      <c r="B3" s="13" t="s">
        <v>10</v>
      </c>
      <c r="C3" s="13" t="s">
        <v>11</v>
      </c>
      <c r="D3" s="13" t="s">
        <v>12</v>
      </c>
      <c r="E3" s="13" t="s">
        <v>13</v>
      </c>
      <c r="F3" s="13" t="s">
        <v>14</v>
      </c>
      <c r="G3" s="13" t="s">
        <v>15</v>
      </c>
      <c r="H3" s="13" t="s">
        <v>16</v>
      </c>
      <c r="I3" s="13" t="s">
        <v>17</v>
      </c>
      <c r="J3" s="13" t="s">
        <v>18</v>
      </c>
      <c r="K3" s="13" t="s">
        <v>19</v>
      </c>
      <c r="L3" s="13" t="s">
        <v>20</v>
      </c>
      <c r="M3" s="13" t="s">
        <v>21</v>
      </c>
      <c r="N3" s="14" t="s">
        <v>22</v>
      </c>
      <c r="O3" s="14" t="s">
        <v>23</v>
      </c>
      <c r="P3" s="14" t="s">
        <v>24</v>
      </c>
      <c r="Q3" s="14" t="s">
        <v>25</v>
      </c>
      <c r="R3" s="14" t="s">
        <v>26</v>
      </c>
      <c r="S3" s="31"/>
      <c r="T3" s="36"/>
      <c r="U3" s="1"/>
      <c r="V3" s="1"/>
      <c r="W3" s="1"/>
      <c r="X3" s="1"/>
      <c r="Y3" s="1"/>
      <c r="Z3" s="1"/>
      <c r="AA3" s="1"/>
      <c r="AB3" s="1"/>
      <c r="AC3" s="1"/>
    </row>
    <row r="4" spans="1:29" s="3" customFormat="1" ht="50.1" customHeight="1">
      <c r="A4" s="6"/>
      <c r="B4" s="1"/>
      <c r="C4" s="1"/>
      <c r="D4" s="1"/>
      <c r="E4" s="18"/>
      <c r="F4" s="1"/>
      <c r="G4" s="1"/>
      <c r="H4" s="7"/>
      <c r="I4" s="8"/>
      <c r="J4" s="19"/>
      <c r="K4" s="8"/>
      <c r="L4" s="1"/>
      <c r="M4" s="1"/>
      <c r="N4" s="1"/>
      <c r="O4" s="1"/>
      <c r="P4" s="1"/>
      <c r="Q4" s="1"/>
      <c r="R4" s="1"/>
      <c r="S4" s="31"/>
      <c r="T4" s="37">
        <f t="shared" ref="T4:T35" si="0">IF(ISTEXT(N:N),1,)</f>
        <v>0</v>
      </c>
      <c r="U4" s="1"/>
      <c r="V4" s="1"/>
      <c r="W4" s="1"/>
      <c r="X4" s="1"/>
      <c r="Y4" s="1"/>
      <c r="Z4" s="1"/>
      <c r="AA4" s="1"/>
      <c r="AB4" s="1"/>
      <c r="AC4" s="1"/>
    </row>
    <row r="5" spans="1:29" s="3" customFormat="1" ht="50.1" customHeight="1">
      <c r="A5" s="6"/>
      <c r="B5" s="1"/>
      <c r="C5" s="1"/>
      <c r="D5" s="1"/>
      <c r="E5" s="18"/>
      <c r="F5" s="1"/>
      <c r="G5" s="1"/>
      <c r="H5" s="7"/>
      <c r="I5" s="11"/>
      <c r="J5" s="19"/>
      <c r="K5" s="51"/>
      <c r="L5" s="1"/>
      <c r="M5" s="1"/>
      <c r="N5" s="1"/>
      <c r="O5" s="1"/>
      <c r="P5" s="1"/>
      <c r="Q5" s="1"/>
      <c r="R5" s="1"/>
      <c r="S5" s="31"/>
      <c r="T5" s="37">
        <f t="shared" si="0"/>
        <v>0</v>
      </c>
      <c r="U5" s="1"/>
      <c r="V5" s="1"/>
      <c r="W5" s="1"/>
      <c r="X5" s="1"/>
      <c r="Y5" s="1"/>
      <c r="Z5" s="1"/>
      <c r="AA5" s="1"/>
      <c r="AB5" s="1"/>
      <c r="AC5" s="1"/>
    </row>
    <row r="6" spans="1:29" s="3" customFormat="1" ht="50.1" customHeight="1">
      <c r="A6" s="6"/>
      <c r="B6" s="1"/>
      <c r="C6" s="1"/>
      <c r="D6" s="1"/>
      <c r="E6" s="18"/>
      <c r="F6" s="1"/>
      <c r="G6" s="1"/>
      <c r="H6" s="7"/>
      <c r="I6" s="11"/>
      <c r="J6" s="19"/>
      <c r="K6" s="51"/>
      <c r="L6" s="1"/>
      <c r="M6" s="1"/>
      <c r="N6" s="1"/>
      <c r="O6" s="1"/>
      <c r="P6" s="1"/>
      <c r="Q6" s="1"/>
      <c r="R6" s="1"/>
      <c r="S6" s="31"/>
      <c r="T6" s="37">
        <f t="shared" si="0"/>
        <v>0</v>
      </c>
      <c r="U6" s="1"/>
      <c r="V6" s="1"/>
      <c r="W6" s="1"/>
      <c r="X6" s="1"/>
      <c r="Y6" s="1"/>
      <c r="Z6" s="1"/>
      <c r="AA6" s="1"/>
      <c r="AB6" s="1"/>
      <c r="AC6" s="1"/>
    </row>
    <row r="7" spans="1:29" s="3" customFormat="1" ht="50.1" customHeight="1">
      <c r="A7" s="6"/>
      <c r="B7" s="1"/>
      <c r="C7" s="1"/>
      <c r="D7" s="1"/>
      <c r="E7" s="18"/>
      <c r="F7" s="1"/>
      <c r="G7" s="1"/>
      <c r="H7" s="7"/>
      <c r="I7" s="11"/>
      <c r="J7" s="19"/>
      <c r="K7" s="8"/>
      <c r="L7" s="1"/>
      <c r="M7" s="1"/>
      <c r="N7" s="1"/>
      <c r="P7" s="1"/>
      <c r="Q7" s="1"/>
      <c r="R7" s="1"/>
      <c r="S7" s="31"/>
      <c r="T7" s="37">
        <f t="shared" si="0"/>
        <v>0</v>
      </c>
      <c r="U7" s="1"/>
      <c r="V7" s="1"/>
      <c r="W7" s="1"/>
      <c r="X7" s="1"/>
      <c r="Y7" s="1"/>
      <c r="Z7" s="1"/>
      <c r="AA7" s="1"/>
      <c r="AB7" s="1"/>
      <c r="AC7" s="1"/>
    </row>
    <row r="8" spans="1:29" s="3" customFormat="1" ht="50.1" customHeight="1">
      <c r="A8" s="6"/>
      <c r="B8" s="1"/>
      <c r="C8" s="1"/>
      <c r="D8" s="1"/>
      <c r="E8" s="18"/>
      <c r="F8" s="1"/>
      <c r="G8" s="1"/>
      <c r="H8" s="7"/>
      <c r="I8" s="8"/>
      <c r="J8" s="19"/>
      <c r="K8" s="8"/>
      <c r="L8" s="1"/>
      <c r="M8" s="1"/>
      <c r="N8" s="1"/>
      <c r="O8" s="1"/>
      <c r="P8" s="1"/>
      <c r="Q8" s="1"/>
      <c r="R8" s="1"/>
      <c r="S8" s="31"/>
      <c r="T8" s="37">
        <f t="shared" si="0"/>
        <v>0</v>
      </c>
      <c r="U8" s="1"/>
      <c r="V8" s="1"/>
      <c r="W8" s="1"/>
      <c r="X8" s="1"/>
      <c r="Y8" s="1"/>
      <c r="Z8" s="1"/>
      <c r="AA8" s="1"/>
      <c r="AB8" s="1"/>
      <c r="AC8" s="1"/>
    </row>
    <row r="9" spans="1:29" s="3" customFormat="1" ht="50.1" customHeight="1">
      <c r="A9" s="6"/>
      <c r="B9" s="1"/>
      <c r="C9" s="1"/>
      <c r="D9" s="1"/>
      <c r="E9" s="18"/>
      <c r="F9" s="1"/>
      <c r="H9" s="1"/>
      <c r="J9" s="19"/>
      <c r="K9" s="8"/>
      <c r="L9" s="7"/>
      <c r="M9" s="8"/>
      <c r="N9" s="1"/>
      <c r="O9" s="1"/>
      <c r="P9" s="1"/>
      <c r="Q9" s="1"/>
      <c r="R9" s="1"/>
      <c r="S9" s="31"/>
      <c r="T9" s="37">
        <f t="shared" si="0"/>
        <v>0</v>
      </c>
      <c r="U9" s="1"/>
      <c r="V9" s="1"/>
      <c r="W9" s="1"/>
      <c r="X9" s="1"/>
      <c r="Y9" s="1"/>
      <c r="Z9" s="1"/>
      <c r="AA9" s="1"/>
      <c r="AB9" s="1"/>
      <c r="AC9" s="1"/>
    </row>
    <row r="10" spans="1:29" s="3" customFormat="1" ht="50.1" customHeight="1">
      <c r="A10" s="55"/>
      <c r="E10" s="54"/>
      <c r="J10" s="54"/>
      <c r="K10" s="1"/>
      <c r="S10" s="31"/>
      <c r="T10" s="37">
        <f t="shared" si="0"/>
        <v>0</v>
      </c>
      <c r="U10" s="1"/>
      <c r="V10" s="1"/>
      <c r="W10" s="1"/>
      <c r="X10" s="1"/>
      <c r="Y10" s="1"/>
      <c r="Z10" s="1"/>
      <c r="AA10" s="1"/>
      <c r="AB10" s="1"/>
      <c r="AC10" s="1"/>
    </row>
    <row r="11" spans="1:29" s="3" customFormat="1" ht="50.1" customHeight="1">
      <c r="A11" s="55"/>
      <c r="E11" s="54"/>
      <c r="J11" s="54"/>
      <c r="K11" s="1"/>
      <c r="S11" s="31"/>
      <c r="T11" s="37">
        <f t="shared" si="0"/>
        <v>0</v>
      </c>
      <c r="U11" s="1"/>
      <c r="V11" s="1"/>
      <c r="W11" s="1"/>
      <c r="X11" s="1"/>
      <c r="Y11" s="1"/>
      <c r="Z11" s="1"/>
      <c r="AA11" s="1"/>
      <c r="AB11" s="1"/>
      <c r="AC11" s="1"/>
    </row>
    <row r="12" spans="1:29" s="3" customFormat="1" ht="50.1" customHeight="1">
      <c r="A12" s="6"/>
      <c r="B12" s="4"/>
      <c r="C12" s="1"/>
      <c r="D12" s="1"/>
      <c r="E12" s="18"/>
      <c r="F12" s="1"/>
      <c r="G12" s="1"/>
      <c r="H12" s="1"/>
      <c r="J12" s="18"/>
      <c r="K12" s="8"/>
      <c r="L12" s="7"/>
      <c r="M12" s="41"/>
      <c r="N12" s="1"/>
      <c r="O12" s="1"/>
      <c r="P12" s="7"/>
      <c r="Q12" s="1"/>
      <c r="R12" s="1"/>
      <c r="S12" s="31"/>
      <c r="T12" s="37">
        <f t="shared" si="0"/>
        <v>0</v>
      </c>
      <c r="U12" s="1"/>
      <c r="V12" s="1"/>
      <c r="W12" s="1"/>
      <c r="X12" s="1"/>
      <c r="Y12" s="1"/>
      <c r="Z12" s="1"/>
      <c r="AA12" s="1"/>
      <c r="AB12" s="1"/>
      <c r="AC12" s="1"/>
    </row>
    <row r="13" spans="1:29" s="3" customFormat="1" ht="50.1" customHeight="1">
      <c r="A13" s="6"/>
      <c r="B13" s="1"/>
      <c r="C13" s="1"/>
      <c r="D13" s="1"/>
      <c r="E13" s="18"/>
      <c r="F13" s="1"/>
      <c r="H13" s="1"/>
      <c r="J13" s="19"/>
      <c r="K13" s="8"/>
      <c r="L13" s="7"/>
      <c r="M13" s="56"/>
      <c r="N13" s="1"/>
      <c r="O13" s="1"/>
      <c r="P13" s="1"/>
      <c r="Q13" s="1"/>
      <c r="R13" s="1"/>
      <c r="S13" s="31"/>
      <c r="T13" s="37">
        <f t="shared" si="0"/>
        <v>0</v>
      </c>
      <c r="U13" s="1"/>
      <c r="V13" s="1"/>
      <c r="W13" s="1"/>
      <c r="X13" s="1"/>
      <c r="Y13" s="1"/>
      <c r="Z13" s="1"/>
      <c r="AA13" s="1"/>
      <c r="AB13" s="1"/>
      <c r="AC13" s="1"/>
    </row>
    <row r="14" spans="1:29" s="3" customFormat="1" ht="50.1" customHeight="1">
      <c r="A14" s="9"/>
      <c r="B14" s="1"/>
      <c r="C14" s="1"/>
      <c r="D14" s="1"/>
      <c r="E14" s="18"/>
      <c r="F14" s="1"/>
      <c r="H14" s="1"/>
      <c r="J14" s="19"/>
      <c r="K14" s="51"/>
      <c r="L14" s="7"/>
      <c r="M14" s="56"/>
      <c r="N14" s="1"/>
      <c r="O14" s="1"/>
      <c r="P14" s="1"/>
      <c r="Q14" s="1"/>
      <c r="R14" s="1"/>
      <c r="S14" s="31"/>
      <c r="T14" s="37">
        <f t="shared" si="0"/>
        <v>0</v>
      </c>
      <c r="U14" s="1"/>
      <c r="V14" s="1"/>
      <c r="W14" s="1"/>
      <c r="X14" s="1"/>
      <c r="Y14" s="1"/>
      <c r="Z14" s="1"/>
      <c r="AA14" s="1"/>
      <c r="AB14" s="1"/>
      <c r="AC14" s="1"/>
    </row>
    <row r="15" spans="1:29" s="3" customFormat="1" ht="50.1" customHeight="1">
      <c r="A15" s="9"/>
      <c r="B15" s="1"/>
      <c r="C15" s="1"/>
      <c r="D15" s="1"/>
      <c r="E15" s="18"/>
      <c r="F15" s="1"/>
      <c r="H15" s="1"/>
      <c r="J15" s="19"/>
      <c r="K15" s="8"/>
      <c r="L15" s="7"/>
      <c r="M15" s="56"/>
      <c r="N15" s="1"/>
      <c r="O15" s="1"/>
      <c r="P15" s="1"/>
      <c r="Q15" s="1"/>
      <c r="R15" s="1"/>
      <c r="S15" s="31"/>
      <c r="T15" s="37">
        <f t="shared" si="0"/>
        <v>0</v>
      </c>
      <c r="U15" s="1"/>
      <c r="V15" s="1"/>
      <c r="W15" s="1"/>
      <c r="X15" s="1"/>
      <c r="Y15" s="1"/>
      <c r="Z15" s="1"/>
      <c r="AA15" s="1"/>
      <c r="AB15" s="1"/>
      <c r="AC15" s="1"/>
    </row>
    <row r="16" spans="1:29" s="3" customFormat="1" ht="50.1" customHeight="1">
      <c r="A16" s="5"/>
      <c r="B16" s="1"/>
      <c r="C16" s="1"/>
      <c r="D16" s="1"/>
      <c r="E16" s="18"/>
      <c r="F16" s="1"/>
      <c r="H16" s="1"/>
      <c r="J16" s="54"/>
      <c r="K16" s="8"/>
      <c r="L16" s="7"/>
      <c r="M16" s="41"/>
      <c r="N16" s="1"/>
      <c r="O16" s="1"/>
      <c r="P16" s="1"/>
      <c r="Q16" s="1"/>
      <c r="R16" s="1"/>
      <c r="S16" s="31"/>
      <c r="T16" s="37">
        <f t="shared" si="0"/>
        <v>0</v>
      </c>
      <c r="U16" s="1"/>
      <c r="V16" s="1"/>
      <c r="W16" s="1"/>
      <c r="X16" s="1"/>
      <c r="Y16" s="1"/>
      <c r="Z16" s="1"/>
      <c r="AA16" s="1"/>
      <c r="AB16" s="1"/>
      <c r="AC16" s="1"/>
    </row>
    <row r="17" spans="1:29" s="3" customFormat="1" ht="50.1" customHeight="1">
      <c r="A17" s="5"/>
      <c r="B17" s="1"/>
      <c r="C17" s="1"/>
      <c r="D17" s="1"/>
      <c r="E17" s="18"/>
      <c r="F17" s="1"/>
      <c r="H17" s="1"/>
      <c r="J17" s="19"/>
      <c r="K17" s="8"/>
      <c r="L17" s="7"/>
      <c r="M17" s="8"/>
      <c r="N17" s="1"/>
      <c r="O17" s="1"/>
      <c r="P17" s="1"/>
      <c r="Q17" s="1"/>
      <c r="R17" s="1"/>
      <c r="S17" s="31"/>
      <c r="T17" s="37">
        <f t="shared" si="0"/>
        <v>0</v>
      </c>
      <c r="U17" s="1"/>
      <c r="V17" s="1"/>
      <c r="W17" s="1"/>
      <c r="X17" s="1"/>
      <c r="Y17" s="1"/>
      <c r="Z17" s="1"/>
      <c r="AA17" s="1"/>
      <c r="AB17" s="1"/>
      <c r="AC17" s="1"/>
    </row>
    <row r="18" spans="1:29" s="3" customFormat="1" ht="50.1" customHeight="1">
      <c r="A18" s="5"/>
      <c r="B18" s="1"/>
      <c r="C18" s="1"/>
      <c r="D18" s="1"/>
      <c r="E18" s="18"/>
      <c r="F18" s="1"/>
      <c r="H18" s="1"/>
      <c r="J18" s="19"/>
      <c r="K18" s="8"/>
      <c r="L18" s="7"/>
      <c r="M18" s="8"/>
      <c r="N18" s="1"/>
      <c r="O18" s="1"/>
      <c r="P18" s="1"/>
      <c r="Q18" s="1"/>
      <c r="R18" s="1"/>
      <c r="S18" s="31"/>
      <c r="T18" s="37">
        <f t="shared" si="0"/>
        <v>0</v>
      </c>
      <c r="U18" s="1"/>
      <c r="V18" s="1"/>
      <c r="W18" s="1"/>
      <c r="X18" s="1"/>
      <c r="Y18" s="1"/>
      <c r="Z18" s="1"/>
      <c r="AA18" s="1"/>
      <c r="AB18" s="1"/>
      <c r="AC18" s="1"/>
    </row>
    <row r="19" spans="1:29" s="3" customFormat="1" ht="50.1" customHeight="1">
      <c r="A19" s="5"/>
      <c r="B19" s="1"/>
      <c r="C19" s="1"/>
      <c r="D19" s="1"/>
      <c r="E19" s="18"/>
      <c r="F19" s="1"/>
      <c r="H19" s="1"/>
      <c r="J19" s="19"/>
      <c r="K19" s="8"/>
      <c r="L19" s="7"/>
      <c r="M19" s="8"/>
      <c r="N19" s="1"/>
      <c r="O19" s="1"/>
      <c r="P19" s="1"/>
      <c r="Q19" s="1"/>
      <c r="R19" s="1"/>
      <c r="S19" s="31"/>
      <c r="T19" s="37">
        <f t="shared" si="0"/>
        <v>0</v>
      </c>
      <c r="U19" s="1"/>
      <c r="V19" s="1"/>
      <c r="W19" s="1"/>
      <c r="X19" s="1"/>
      <c r="Y19" s="1"/>
      <c r="Z19" s="1"/>
      <c r="AA19" s="1"/>
      <c r="AB19" s="1"/>
      <c r="AC19" s="1"/>
    </row>
    <row r="20" spans="1:29" s="3" customFormat="1" ht="50.1" customHeight="1">
      <c r="A20" s="5"/>
      <c r="B20" s="1"/>
      <c r="C20" s="1"/>
      <c r="D20" s="1"/>
      <c r="E20" s="18"/>
      <c r="F20" s="1"/>
      <c r="H20" s="1"/>
      <c r="J20" s="19"/>
      <c r="K20" s="8"/>
      <c r="L20" s="7"/>
      <c r="M20" s="8"/>
      <c r="N20" s="1"/>
      <c r="O20" s="1"/>
      <c r="P20" s="1"/>
      <c r="Q20" s="1"/>
      <c r="R20" s="1"/>
      <c r="S20" s="31"/>
      <c r="T20" s="37">
        <f t="shared" si="0"/>
        <v>0</v>
      </c>
      <c r="U20" s="1"/>
      <c r="V20" s="1"/>
      <c r="W20" s="1"/>
      <c r="X20" s="1"/>
      <c r="Y20" s="1"/>
      <c r="Z20" s="1"/>
      <c r="AA20" s="1"/>
      <c r="AB20" s="1"/>
      <c r="AC20" s="1"/>
    </row>
    <row r="21" spans="1:29" s="3" customFormat="1" ht="50.1" customHeight="1">
      <c r="A21" s="5"/>
      <c r="B21" s="1"/>
      <c r="C21" s="1"/>
      <c r="D21" s="1"/>
      <c r="E21" s="18"/>
      <c r="F21" s="1"/>
      <c r="H21" s="1"/>
      <c r="J21" s="19"/>
      <c r="K21" s="8"/>
      <c r="L21" s="7"/>
      <c r="M21" s="8"/>
      <c r="N21" s="1"/>
      <c r="O21" s="1"/>
      <c r="P21" s="1"/>
      <c r="Q21" s="1"/>
      <c r="R21" s="1"/>
      <c r="S21" s="31"/>
      <c r="T21" s="37">
        <f t="shared" si="0"/>
        <v>0</v>
      </c>
      <c r="U21" s="1"/>
      <c r="V21" s="1"/>
      <c r="W21" s="1"/>
      <c r="X21" s="1"/>
      <c r="Y21" s="1"/>
      <c r="Z21" s="1"/>
      <c r="AA21" s="1"/>
      <c r="AB21" s="1"/>
      <c r="AC21" s="1"/>
    </row>
    <row r="22" spans="1:29" s="3" customFormat="1">
      <c r="A22" s="5"/>
      <c r="B22" s="1"/>
      <c r="C22" s="1"/>
      <c r="D22" s="1"/>
      <c r="E22" s="18"/>
      <c r="F22" s="1"/>
      <c r="G22" s="1"/>
      <c r="H22" s="1"/>
      <c r="J22" s="19"/>
      <c r="K22" s="8"/>
      <c r="L22" s="7"/>
      <c r="M22" s="8"/>
      <c r="N22" s="1"/>
      <c r="O22" s="1"/>
      <c r="P22" s="1"/>
      <c r="Q22" s="1"/>
      <c r="R22" s="1"/>
      <c r="S22" s="31"/>
      <c r="T22" s="37">
        <f t="shared" si="0"/>
        <v>0</v>
      </c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A23" s="5"/>
      <c r="H23" s="1"/>
      <c r="J23" s="19"/>
      <c r="K23" s="8"/>
      <c r="L23" s="7"/>
      <c r="M23" s="8"/>
      <c r="T23" s="37">
        <f t="shared" si="0"/>
        <v>0</v>
      </c>
    </row>
    <row r="24" spans="1:29">
      <c r="A24" s="5"/>
      <c r="H24" s="1"/>
      <c r="J24" s="19"/>
      <c r="K24" s="8"/>
      <c r="L24" s="7"/>
      <c r="M24" s="8"/>
      <c r="T24" s="37">
        <f t="shared" si="0"/>
        <v>0</v>
      </c>
    </row>
    <row r="25" spans="1:29">
      <c r="A25" s="5"/>
      <c r="H25" s="1"/>
      <c r="J25" s="19"/>
      <c r="K25" s="8"/>
      <c r="L25" s="7"/>
      <c r="N25" s="8"/>
      <c r="T25" s="37">
        <f t="shared" si="0"/>
        <v>0</v>
      </c>
    </row>
    <row r="26" spans="1:29">
      <c r="A26" s="5"/>
      <c r="H26" s="1"/>
      <c r="J26" s="19"/>
      <c r="K26" s="8"/>
      <c r="L26" s="7"/>
      <c r="T26" s="37">
        <f t="shared" si="0"/>
        <v>0</v>
      </c>
    </row>
    <row r="27" spans="1:29">
      <c r="A27" s="5"/>
      <c r="H27" s="1"/>
      <c r="J27" s="19"/>
      <c r="K27" s="8"/>
      <c r="L27" s="7"/>
      <c r="T27" s="37">
        <f t="shared" si="0"/>
        <v>0</v>
      </c>
    </row>
    <row r="28" spans="1:29" ht="50.1" customHeight="1">
      <c r="A28" s="5"/>
      <c r="H28" s="1"/>
      <c r="J28" s="19"/>
      <c r="K28" s="8"/>
      <c r="L28" s="7"/>
      <c r="T28" s="37">
        <f t="shared" si="0"/>
        <v>0</v>
      </c>
    </row>
    <row r="29" spans="1:29" ht="50.1" customHeight="1">
      <c r="A29" s="5"/>
      <c r="H29" s="1"/>
      <c r="J29" s="19"/>
      <c r="K29" s="8"/>
      <c r="L29" s="7"/>
      <c r="T29" s="37">
        <f t="shared" si="0"/>
        <v>0</v>
      </c>
    </row>
    <row r="30" spans="1:29" ht="50.1" customHeight="1">
      <c r="A30" s="10"/>
      <c r="H30" s="1"/>
      <c r="J30" s="19"/>
      <c r="K30" s="8"/>
      <c r="L30" s="7"/>
      <c r="T30" s="37">
        <f t="shared" si="0"/>
        <v>0</v>
      </c>
    </row>
    <row r="31" spans="1:29" ht="50.1" customHeight="1">
      <c r="A31" s="6"/>
      <c r="H31" s="1"/>
      <c r="J31" s="19"/>
      <c r="K31" s="8"/>
      <c r="L31" s="7"/>
      <c r="N31" s="8"/>
      <c r="T31" s="37">
        <f t="shared" si="0"/>
        <v>0</v>
      </c>
    </row>
    <row r="32" spans="1:29" ht="50.1" customHeight="1">
      <c r="A32" s="5"/>
      <c r="H32" s="1"/>
      <c r="J32" s="19"/>
      <c r="K32" s="8"/>
      <c r="L32" s="7"/>
      <c r="T32" s="37">
        <f t="shared" si="0"/>
        <v>0</v>
      </c>
    </row>
    <row r="33" spans="1:20" ht="50.1" customHeight="1">
      <c r="A33" s="5"/>
      <c r="H33" s="1"/>
      <c r="J33" s="19"/>
      <c r="K33" s="8"/>
      <c r="L33" s="7"/>
      <c r="N33" s="8"/>
      <c r="T33" s="37">
        <f t="shared" si="0"/>
        <v>0</v>
      </c>
    </row>
    <row r="34" spans="1:20" ht="50.1" customHeight="1">
      <c r="A34" s="5"/>
      <c r="H34" s="1"/>
      <c r="J34" s="19"/>
      <c r="K34" s="8"/>
      <c r="L34" s="7"/>
      <c r="T34" s="37">
        <f t="shared" si="0"/>
        <v>0</v>
      </c>
    </row>
    <row r="35" spans="1:20" ht="50.1" customHeight="1">
      <c r="A35" s="5"/>
      <c r="H35" s="1"/>
      <c r="J35" s="19"/>
      <c r="K35" s="8"/>
      <c r="L35" s="7"/>
      <c r="T35" s="37">
        <f t="shared" si="0"/>
        <v>0</v>
      </c>
    </row>
    <row r="36" spans="1:20" ht="50.1" customHeight="1">
      <c r="A36" s="5"/>
      <c r="H36" s="1"/>
      <c r="J36" s="19"/>
      <c r="K36" s="8"/>
      <c r="L36" s="7"/>
      <c r="T36" s="37">
        <f t="shared" ref="T36:T70" si="1">IF(ISTEXT(N:N),1,)</f>
        <v>0</v>
      </c>
    </row>
    <row r="37" spans="1:20" ht="50.1" customHeight="1">
      <c r="A37" s="5"/>
      <c r="H37" s="1"/>
      <c r="J37" s="19"/>
      <c r="K37" s="8"/>
      <c r="L37" s="7"/>
      <c r="N37" s="8"/>
      <c r="T37" s="37">
        <f t="shared" si="1"/>
        <v>0</v>
      </c>
    </row>
    <row r="38" spans="1:20" ht="50.1" customHeight="1">
      <c r="A38" s="5"/>
      <c r="H38" s="1"/>
      <c r="J38" s="19"/>
      <c r="K38" s="8"/>
      <c r="L38" s="7"/>
      <c r="N38" s="8"/>
      <c r="T38" s="37">
        <f t="shared" si="1"/>
        <v>0</v>
      </c>
    </row>
    <row r="39" spans="1:20" ht="50.1" customHeight="1">
      <c r="A39" s="5"/>
      <c r="H39" s="1"/>
      <c r="J39" s="19"/>
      <c r="K39" s="8"/>
      <c r="L39" s="7"/>
      <c r="N39" s="8"/>
      <c r="T39" s="37">
        <f t="shared" si="1"/>
        <v>0</v>
      </c>
    </row>
    <row r="40" spans="1:20" ht="50.1" customHeight="1">
      <c r="A40" s="5"/>
      <c r="H40" s="1"/>
      <c r="J40" s="19"/>
      <c r="K40" s="8"/>
      <c r="L40" s="7"/>
      <c r="N40" s="8"/>
      <c r="T40" s="37">
        <f t="shared" si="1"/>
        <v>0</v>
      </c>
    </row>
    <row r="41" spans="1:20" ht="50.1" customHeight="1">
      <c r="A41" s="5"/>
      <c r="H41" s="1"/>
      <c r="J41" s="19"/>
      <c r="K41" s="8"/>
      <c r="L41" s="7"/>
      <c r="T41" s="37">
        <f t="shared" si="1"/>
        <v>0</v>
      </c>
    </row>
    <row r="42" spans="1:20" ht="50.1" customHeight="1">
      <c r="A42" s="5"/>
      <c r="H42" s="1"/>
      <c r="J42" s="19"/>
      <c r="K42" s="8"/>
      <c r="L42" s="7"/>
      <c r="N42" s="8"/>
      <c r="T42" s="37">
        <f t="shared" si="1"/>
        <v>0</v>
      </c>
    </row>
    <row r="43" spans="1:20" ht="50.1" customHeight="1">
      <c r="A43" s="5"/>
      <c r="H43" s="1"/>
      <c r="J43" s="19"/>
      <c r="K43" s="8"/>
      <c r="L43" s="7"/>
      <c r="N43" s="8"/>
      <c r="T43" s="37">
        <f t="shared" si="1"/>
        <v>0</v>
      </c>
    </row>
    <row r="44" spans="1:20" ht="50.1" customHeight="1">
      <c r="A44" s="5"/>
      <c r="H44" s="1"/>
      <c r="J44" s="19"/>
      <c r="K44" s="8"/>
      <c r="L44" s="7"/>
      <c r="T44" s="37">
        <f t="shared" si="1"/>
        <v>0</v>
      </c>
    </row>
    <row r="45" spans="1:20" ht="50.1" customHeight="1">
      <c r="A45" s="5"/>
      <c r="H45" s="1"/>
      <c r="J45" s="19"/>
      <c r="K45" s="8"/>
      <c r="L45" s="7"/>
      <c r="N45" s="8"/>
      <c r="T45" s="37">
        <f t="shared" si="1"/>
        <v>0</v>
      </c>
    </row>
    <row r="46" spans="1:20" ht="50.1" customHeight="1">
      <c r="A46" s="5"/>
      <c r="H46" s="1"/>
      <c r="J46" s="19"/>
      <c r="K46" s="8"/>
      <c r="L46" s="7"/>
      <c r="N46" s="8"/>
      <c r="T46" s="37">
        <f t="shared" si="1"/>
        <v>0</v>
      </c>
    </row>
    <row r="47" spans="1:20" ht="50.1" customHeight="1">
      <c r="A47" s="5"/>
      <c r="H47" s="1"/>
      <c r="J47" s="19"/>
      <c r="K47" s="8"/>
      <c r="L47" s="7"/>
      <c r="N47" s="8"/>
      <c r="T47" s="37">
        <f t="shared" si="1"/>
        <v>0</v>
      </c>
    </row>
    <row r="48" spans="1:20" ht="50.1" customHeight="1">
      <c r="A48" s="5"/>
      <c r="H48" s="1"/>
      <c r="J48" s="19"/>
      <c r="K48" s="8"/>
      <c r="L48" s="7"/>
      <c r="N48" s="8"/>
      <c r="T48" s="37">
        <f t="shared" si="1"/>
        <v>0</v>
      </c>
    </row>
    <row r="49" spans="1:20" ht="50.1" customHeight="1">
      <c r="A49" s="5"/>
      <c r="H49" s="1"/>
      <c r="J49" s="19"/>
      <c r="K49" s="8"/>
      <c r="L49" s="7"/>
      <c r="T49" s="37">
        <f t="shared" si="1"/>
        <v>0</v>
      </c>
    </row>
    <row r="50" spans="1:20" ht="50.1" customHeight="1">
      <c r="A50" s="5"/>
      <c r="H50" s="1"/>
      <c r="J50" s="19"/>
      <c r="K50" s="8"/>
      <c r="L50" s="7"/>
      <c r="N50" s="8"/>
      <c r="T50" s="37">
        <f t="shared" si="1"/>
        <v>0</v>
      </c>
    </row>
    <row r="51" spans="1:20" ht="50.1" customHeight="1">
      <c r="A51" s="5"/>
      <c r="H51" s="1"/>
      <c r="J51" s="19"/>
      <c r="K51" s="8"/>
      <c r="L51" s="7"/>
      <c r="M51" s="52"/>
      <c r="N51" s="8"/>
      <c r="T51" s="37">
        <f t="shared" si="1"/>
        <v>0</v>
      </c>
    </row>
    <row r="52" spans="1:20" ht="50.1" customHeight="1">
      <c r="A52" s="5"/>
      <c r="H52" s="1"/>
      <c r="J52" s="19"/>
      <c r="K52" s="8"/>
      <c r="L52" s="7"/>
      <c r="T52" s="37">
        <f t="shared" si="1"/>
        <v>0</v>
      </c>
    </row>
    <row r="53" spans="1:20" ht="50.1" customHeight="1">
      <c r="A53" s="5"/>
      <c r="H53" s="1"/>
      <c r="J53" s="19"/>
      <c r="K53" s="8"/>
      <c r="L53" s="7"/>
      <c r="N53" s="8"/>
      <c r="T53" s="37">
        <f t="shared" si="1"/>
        <v>0</v>
      </c>
    </row>
    <row r="54" spans="1:20" ht="50.1" customHeight="1">
      <c r="A54" s="5"/>
      <c r="H54" s="1"/>
      <c r="J54" s="19"/>
      <c r="K54" s="8"/>
      <c r="L54" s="7"/>
      <c r="N54" s="8"/>
      <c r="T54" s="37">
        <f t="shared" si="1"/>
        <v>0</v>
      </c>
    </row>
    <row r="55" spans="1:20" ht="50.1" customHeight="1">
      <c r="A55" s="5"/>
      <c r="H55" s="1"/>
      <c r="J55" s="19"/>
      <c r="K55" s="8"/>
      <c r="L55" s="7"/>
      <c r="N55" s="8"/>
      <c r="T55" s="37">
        <f t="shared" si="1"/>
        <v>0</v>
      </c>
    </row>
    <row r="56" spans="1:20" ht="50.1" customHeight="1">
      <c r="A56" s="5"/>
      <c r="H56" s="1"/>
      <c r="J56" s="19"/>
      <c r="K56" s="8"/>
      <c r="L56" s="7"/>
      <c r="T56" s="37">
        <f t="shared" si="1"/>
        <v>0</v>
      </c>
    </row>
    <row r="57" spans="1:20" ht="50.1" customHeight="1">
      <c r="A57" s="5"/>
      <c r="H57" s="1"/>
      <c r="J57" s="19"/>
      <c r="K57" s="8"/>
      <c r="L57" s="7"/>
      <c r="N57" s="8"/>
      <c r="T57" s="37">
        <f t="shared" si="1"/>
        <v>0</v>
      </c>
    </row>
    <row r="58" spans="1:20" ht="50.1" customHeight="1">
      <c r="A58" s="5"/>
      <c r="H58" s="1"/>
      <c r="J58" s="19"/>
      <c r="K58" s="8"/>
      <c r="L58" s="7"/>
      <c r="T58" s="37">
        <f t="shared" si="1"/>
        <v>0</v>
      </c>
    </row>
    <row r="59" spans="1:20" ht="50.1" customHeight="1">
      <c r="A59" s="5"/>
      <c r="H59" s="1"/>
      <c r="J59" s="19"/>
      <c r="K59" s="8"/>
      <c r="L59" s="7"/>
      <c r="T59" s="37">
        <f t="shared" si="1"/>
        <v>0</v>
      </c>
    </row>
    <row r="60" spans="1:20" ht="50.1" customHeight="1">
      <c r="A60" s="5"/>
      <c r="H60" s="1"/>
      <c r="J60" s="19"/>
      <c r="K60" s="8"/>
      <c r="L60" s="7"/>
      <c r="N60" s="8"/>
      <c r="T60" s="37">
        <f t="shared" si="1"/>
        <v>0</v>
      </c>
    </row>
    <row r="61" spans="1:20" ht="50.1" customHeight="1">
      <c r="A61" s="5"/>
      <c r="I61" s="11"/>
      <c r="J61" s="19"/>
      <c r="K61" s="8"/>
      <c r="T61" s="37">
        <f t="shared" si="1"/>
        <v>0</v>
      </c>
    </row>
    <row r="62" spans="1:20" ht="50.1" customHeight="1">
      <c r="A62" s="5"/>
      <c r="H62" s="1"/>
      <c r="J62" s="19"/>
      <c r="K62" s="8"/>
      <c r="L62" s="41"/>
      <c r="N62" s="8"/>
      <c r="T62" s="37">
        <f t="shared" si="1"/>
        <v>0</v>
      </c>
    </row>
    <row r="63" spans="1:20" ht="50.1" customHeight="1">
      <c r="A63" s="5"/>
      <c r="H63" s="1"/>
      <c r="J63" s="19"/>
      <c r="K63" s="8"/>
      <c r="L63" s="41"/>
      <c r="T63" s="37">
        <f t="shared" si="1"/>
        <v>0</v>
      </c>
    </row>
    <row r="64" spans="1:20" ht="50.1" customHeight="1">
      <c r="A64" s="5"/>
      <c r="H64" s="1"/>
      <c r="J64" s="19"/>
      <c r="K64" s="8"/>
      <c r="L64" s="41"/>
      <c r="T64" s="37">
        <f t="shared" si="1"/>
        <v>0</v>
      </c>
    </row>
    <row r="65" spans="1:20" ht="50.1" customHeight="1">
      <c r="A65" s="5"/>
      <c r="J65" s="19"/>
      <c r="K65" s="8"/>
      <c r="T65" s="37">
        <f t="shared" si="1"/>
        <v>0</v>
      </c>
    </row>
    <row r="66" spans="1:20" ht="50.1" customHeight="1">
      <c r="A66" s="5"/>
      <c r="I66" s="11"/>
      <c r="J66" s="19"/>
      <c r="K66" s="8"/>
      <c r="T66" s="37">
        <f t="shared" si="1"/>
        <v>0</v>
      </c>
    </row>
    <row r="67" spans="1:20" ht="50.1" customHeight="1">
      <c r="A67" s="5"/>
      <c r="I67" s="11"/>
      <c r="J67" s="19"/>
      <c r="K67" s="8"/>
      <c r="T67" s="37">
        <f t="shared" si="1"/>
        <v>0</v>
      </c>
    </row>
    <row r="68" spans="1:20" ht="50.1" customHeight="1">
      <c r="A68" s="5"/>
      <c r="I68" s="11"/>
      <c r="J68" s="19"/>
      <c r="K68" s="8"/>
      <c r="T68" s="37">
        <f t="shared" si="1"/>
        <v>0</v>
      </c>
    </row>
    <row r="69" spans="1:20" ht="50.1" customHeight="1">
      <c r="A69" s="5"/>
      <c r="J69" s="48"/>
      <c r="K69" s="8"/>
      <c r="L69" s="41"/>
      <c r="T69" s="37">
        <f t="shared" si="1"/>
        <v>0</v>
      </c>
    </row>
    <row r="70" spans="1:20" ht="50.1" customHeight="1">
      <c r="A70" s="5"/>
      <c r="J70" s="48"/>
      <c r="K70" s="8"/>
      <c r="L70" s="41"/>
      <c r="T70" s="37">
        <f t="shared" si="1"/>
        <v>0</v>
      </c>
    </row>
    <row r="71" spans="1:20" ht="50.1" customHeight="1">
      <c r="A71" s="5"/>
      <c r="I71" s="11"/>
      <c r="J71" s="48"/>
      <c r="K71" s="8"/>
      <c r="L71" s="41"/>
      <c r="T71" s="37"/>
    </row>
    <row r="72" spans="1:20" ht="50.1" customHeight="1">
      <c r="A72" s="47"/>
      <c r="I72" s="11"/>
      <c r="J72" s="19"/>
      <c r="K72" s="8"/>
      <c r="T72" s="37">
        <f t="shared" ref="T72:T135" si="2">IF(ISTEXT(N:N),1,)</f>
        <v>0</v>
      </c>
    </row>
    <row r="73" spans="1:20" ht="50.1" customHeight="1">
      <c r="A73" s="47"/>
      <c r="J73" s="19"/>
      <c r="K73" s="8"/>
      <c r="L73" s="41"/>
      <c r="T73" s="37">
        <f t="shared" si="2"/>
        <v>0</v>
      </c>
    </row>
    <row r="74" spans="1:20" ht="50.1" customHeight="1">
      <c r="A74" s="5"/>
      <c r="J74" s="19"/>
      <c r="K74" s="8"/>
      <c r="L74" s="41"/>
      <c r="T74" s="37">
        <f t="shared" si="2"/>
        <v>0</v>
      </c>
    </row>
    <row r="75" spans="1:20" ht="50.1" customHeight="1">
      <c r="A75" s="5"/>
      <c r="J75" s="19"/>
      <c r="K75" s="8"/>
      <c r="L75" s="41"/>
      <c r="T75" s="37">
        <f t="shared" si="2"/>
        <v>0</v>
      </c>
    </row>
    <row r="76" spans="1:20" ht="50.1" customHeight="1">
      <c r="A76" s="5"/>
      <c r="J76" s="19"/>
      <c r="K76" s="8"/>
      <c r="L76" s="20"/>
      <c r="T76" s="37">
        <f t="shared" si="2"/>
        <v>0</v>
      </c>
    </row>
    <row r="77" spans="1:20" ht="50.1" customHeight="1">
      <c r="A77" s="5"/>
      <c r="J77" s="19"/>
      <c r="K77" s="8"/>
      <c r="L77" s="20"/>
      <c r="T77" s="37">
        <f t="shared" si="2"/>
        <v>0</v>
      </c>
    </row>
    <row r="78" spans="1:20" ht="50.1" customHeight="1">
      <c r="A78" s="5"/>
      <c r="J78" s="19"/>
      <c r="K78" s="8"/>
      <c r="L78" s="20"/>
      <c r="T78" s="37">
        <f t="shared" si="2"/>
        <v>0</v>
      </c>
    </row>
    <row r="79" spans="1:20" ht="50.1" customHeight="1">
      <c r="A79" s="5"/>
      <c r="J79" s="19"/>
      <c r="K79" s="8"/>
      <c r="T79" s="37">
        <f t="shared" si="2"/>
        <v>0</v>
      </c>
    </row>
    <row r="80" spans="1:20" ht="50.1" customHeight="1">
      <c r="A80" s="5"/>
      <c r="J80" s="19"/>
      <c r="K80" s="8"/>
      <c r="T80" s="37">
        <f t="shared" si="2"/>
        <v>0</v>
      </c>
    </row>
    <row r="81" spans="1:20" ht="50.1" customHeight="1">
      <c r="A81" s="5"/>
      <c r="J81" s="19"/>
      <c r="K81" s="51"/>
      <c r="T81" s="37">
        <f t="shared" si="2"/>
        <v>0</v>
      </c>
    </row>
    <row r="82" spans="1:20" ht="50.1" customHeight="1">
      <c r="A82" s="5"/>
      <c r="J82" s="19"/>
      <c r="K82" s="51"/>
      <c r="T82" s="37">
        <f t="shared" si="2"/>
        <v>0</v>
      </c>
    </row>
    <row r="83" spans="1:20" ht="50.1" customHeight="1">
      <c r="A83" s="5"/>
      <c r="J83" s="19"/>
      <c r="K83" s="51"/>
      <c r="T83" s="37">
        <f t="shared" si="2"/>
        <v>0</v>
      </c>
    </row>
    <row r="84" spans="1:20" ht="50.1" customHeight="1">
      <c r="A84" s="5"/>
      <c r="J84" s="19"/>
      <c r="K84" s="8"/>
      <c r="T84" s="37">
        <f t="shared" si="2"/>
        <v>0</v>
      </c>
    </row>
    <row r="85" spans="1:20" ht="50.1" customHeight="1">
      <c r="A85" s="5"/>
      <c r="J85" s="19"/>
      <c r="K85" s="8"/>
      <c r="T85" s="37">
        <f t="shared" si="2"/>
        <v>0</v>
      </c>
    </row>
    <row r="86" spans="1:20" ht="50.1" customHeight="1">
      <c r="A86" s="5"/>
      <c r="T86" s="37">
        <f t="shared" si="2"/>
        <v>0</v>
      </c>
    </row>
    <row r="87" spans="1:20" ht="50.1" customHeight="1">
      <c r="A87" s="5"/>
      <c r="T87" s="37">
        <f t="shared" si="2"/>
        <v>0</v>
      </c>
    </row>
    <row r="88" spans="1:20" ht="50.1" customHeight="1">
      <c r="A88" s="5"/>
      <c r="T88" s="37">
        <f t="shared" si="2"/>
        <v>0</v>
      </c>
    </row>
    <row r="89" spans="1:20" ht="50.1" customHeight="1">
      <c r="A89" s="5"/>
      <c r="T89" s="37">
        <f t="shared" si="2"/>
        <v>0</v>
      </c>
    </row>
    <row r="90" spans="1:20" ht="50.1" customHeight="1">
      <c r="A90" s="5"/>
      <c r="T90" s="37">
        <f t="shared" si="2"/>
        <v>0</v>
      </c>
    </row>
    <row r="91" spans="1:20" ht="50.1" customHeight="1">
      <c r="A91" s="5"/>
      <c r="T91" s="37">
        <f t="shared" si="2"/>
        <v>0</v>
      </c>
    </row>
    <row r="92" spans="1:20" ht="50.1" customHeight="1">
      <c r="T92" s="37">
        <f t="shared" si="2"/>
        <v>0</v>
      </c>
    </row>
    <row r="93" spans="1:20" ht="50.1" customHeight="1">
      <c r="T93" s="37">
        <f t="shared" si="2"/>
        <v>0</v>
      </c>
    </row>
    <row r="94" spans="1:20" ht="50.1" customHeight="1">
      <c r="T94" s="37">
        <f t="shared" si="2"/>
        <v>0</v>
      </c>
    </row>
    <row r="95" spans="1:20" ht="50.1" customHeight="1">
      <c r="T95" s="37">
        <f t="shared" si="2"/>
        <v>0</v>
      </c>
    </row>
    <row r="96" spans="1:20" ht="50.1" customHeight="1">
      <c r="T96" s="37">
        <f t="shared" si="2"/>
        <v>0</v>
      </c>
    </row>
    <row r="97" spans="20:20" ht="50.1" customHeight="1">
      <c r="T97" s="37">
        <f t="shared" si="2"/>
        <v>0</v>
      </c>
    </row>
    <row r="98" spans="20:20" ht="50.1" customHeight="1">
      <c r="T98" s="37">
        <f t="shared" si="2"/>
        <v>0</v>
      </c>
    </row>
    <row r="99" spans="20:20" ht="50.1" customHeight="1">
      <c r="T99" s="37">
        <f t="shared" si="2"/>
        <v>0</v>
      </c>
    </row>
    <row r="100" spans="20:20" ht="50.1" customHeight="1">
      <c r="T100" s="37">
        <f t="shared" si="2"/>
        <v>0</v>
      </c>
    </row>
    <row r="101" spans="20:20" ht="50.1" customHeight="1">
      <c r="T101" s="37">
        <f t="shared" si="2"/>
        <v>0</v>
      </c>
    </row>
    <row r="102" spans="20:20" ht="50.1" customHeight="1">
      <c r="T102" s="37">
        <f t="shared" si="2"/>
        <v>0</v>
      </c>
    </row>
    <row r="103" spans="20:20" ht="50.1" customHeight="1">
      <c r="T103" s="37">
        <f t="shared" si="2"/>
        <v>0</v>
      </c>
    </row>
    <row r="104" spans="20:20" ht="50.1" customHeight="1">
      <c r="T104" s="37">
        <f t="shared" si="2"/>
        <v>0</v>
      </c>
    </row>
    <row r="105" spans="20:20" ht="50.1" customHeight="1">
      <c r="T105" s="37">
        <f t="shared" si="2"/>
        <v>0</v>
      </c>
    </row>
    <row r="106" spans="20:20" ht="50.1" customHeight="1">
      <c r="T106" s="37">
        <f t="shared" si="2"/>
        <v>0</v>
      </c>
    </row>
    <row r="107" spans="20:20" ht="50.1" customHeight="1">
      <c r="T107" s="37">
        <f t="shared" si="2"/>
        <v>0</v>
      </c>
    </row>
    <row r="108" spans="20:20" ht="50.1" customHeight="1">
      <c r="T108" s="37">
        <f t="shared" si="2"/>
        <v>0</v>
      </c>
    </row>
    <row r="109" spans="20:20" ht="50.1" customHeight="1">
      <c r="T109" s="37">
        <f t="shared" si="2"/>
        <v>0</v>
      </c>
    </row>
    <row r="110" spans="20:20" ht="50.1" customHeight="1">
      <c r="T110" s="37">
        <f t="shared" si="2"/>
        <v>0</v>
      </c>
    </row>
    <row r="111" spans="20:20" ht="50.1" customHeight="1">
      <c r="T111" s="37">
        <f t="shared" si="2"/>
        <v>0</v>
      </c>
    </row>
    <row r="112" spans="20:20" ht="50.1" customHeight="1">
      <c r="T112" s="37">
        <f t="shared" si="2"/>
        <v>0</v>
      </c>
    </row>
    <row r="113" spans="20:20" ht="50.1" customHeight="1">
      <c r="T113" s="37">
        <f t="shared" si="2"/>
        <v>0</v>
      </c>
    </row>
    <row r="114" spans="20:20" ht="50.1" customHeight="1">
      <c r="T114" s="37">
        <f t="shared" si="2"/>
        <v>0</v>
      </c>
    </row>
    <row r="115" spans="20:20" ht="50.1" customHeight="1">
      <c r="T115" s="37">
        <f t="shared" si="2"/>
        <v>0</v>
      </c>
    </row>
    <row r="116" spans="20:20" ht="50.1" customHeight="1">
      <c r="T116" s="37">
        <f t="shared" si="2"/>
        <v>0</v>
      </c>
    </row>
    <row r="117" spans="20:20" ht="50.1" customHeight="1">
      <c r="T117" s="37">
        <f t="shared" si="2"/>
        <v>0</v>
      </c>
    </row>
    <row r="118" spans="20:20" ht="50.1" customHeight="1">
      <c r="T118" s="37">
        <f t="shared" si="2"/>
        <v>0</v>
      </c>
    </row>
    <row r="119" spans="20:20" ht="50.1" customHeight="1">
      <c r="T119" s="37">
        <f t="shared" si="2"/>
        <v>0</v>
      </c>
    </row>
    <row r="120" spans="20:20" ht="50.1" customHeight="1">
      <c r="T120" s="37">
        <f t="shared" si="2"/>
        <v>0</v>
      </c>
    </row>
    <row r="121" spans="20:20" ht="50.1" customHeight="1">
      <c r="T121" s="37">
        <f t="shared" si="2"/>
        <v>0</v>
      </c>
    </row>
    <row r="122" spans="20:20" ht="50.1" customHeight="1">
      <c r="T122" s="37">
        <f t="shared" si="2"/>
        <v>0</v>
      </c>
    </row>
    <row r="123" spans="20:20" ht="50.1" customHeight="1">
      <c r="T123" s="37">
        <f t="shared" si="2"/>
        <v>0</v>
      </c>
    </row>
    <row r="124" spans="20:20" ht="50.1" customHeight="1">
      <c r="T124" s="37">
        <f t="shared" si="2"/>
        <v>0</v>
      </c>
    </row>
    <row r="125" spans="20:20" ht="50.1" customHeight="1">
      <c r="T125" s="37">
        <f t="shared" si="2"/>
        <v>0</v>
      </c>
    </row>
    <row r="126" spans="20:20" ht="50.1" customHeight="1">
      <c r="T126" s="37">
        <f t="shared" si="2"/>
        <v>0</v>
      </c>
    </row>
    <row r="127" spans="20:20" ht="50.1" customHeight="1">
      <c r="T127" s="37">
        <f t="shared" si="2"/>
        <v>0</v>
      </c>
    </row>
    <row r="128" spans="20:20" ht="50.1" customHeight="1">
      <c r="T128" s="37">
        <f t="shared" si="2"/>
        <v>0</v>
      </c>
    </row>
    <row r="129" spans="20:20" ht="50.1" customHeight="1">
      <c r="T129" s="37">
        <f t="shared" si="2"/>
        <v>0</v>
      </c>
    </row>
    <row r="130" spans="20:20" ht="50.1" customHeight="1">
      <c r="T130" s="37">
        <f t="shared" si="2"/>
        <v>0</v>
      </c>
    </row>
    <row r="131" spans="20:20" ht="50.1" customHeight="1">
      <c r="T131" s="37">
        <f t="shared" si="2"/>
        <v>0</v>
      </c>
    </row>
    <row r="132" spans="20:20" ht="50.1" customHeight="1">
      <c r="T132" s="37">
        <f t="shared" si="2"/>
        <v>0</v>
      </c>
    </row>
    <row r="133" spans="20:20" ht="50.1" customHeight="1">
      <c r="T133" s="37">
        <f t="shared" si="2"/>
        <v>0</v>
      </c>
    </row>
    <row r="134" spans="20:20" ht="50.1" customHeight="1">
      <c r="T134" s="37">
        <f t="shared" si="2"/>
        <v>0</v>
      </c>
    </row>
    <row r="135" spans="20:20" ht="50.1" customHeight="1">
      <c r="T135" s="37">
        <f t="shared" si="2"/>
        <v>0</v>
      </c>
    </row>
    <row r="136" spans="20:20" ht="50.1" customHeight="1">
      <c r="T136" s="37">
        <f t="shared" ref="T136:T199" si="3">IF(ISTEXT(N:N),1,)</f>
        <v>0</v>
      </c>
    </row>
    <row r="137" spans="20:20" ht="50.1" customHeight="1">
      <c r="T137" s="37">
        <f t="shared" si="3"/>
        <v>0</v>
      </c>
    </row>
    <row r="138" spans="20:20" ht="50.1" customHeight="1">
      <c r="T138" s="37">
        <f t="shared" si="3"/>
        <v>0</v>
      </c>
    </row>
    <row r="139" spans="20:20" ht="50.1" customHeight="1">
      <c r="T139" s="37">
        <f t="shared" si="3"/>
        <v>0</v>
      </c>
    </row>
    <row r="140" spans="20:20" ht="50.1" customHeight="1">
      <c r="T140" s="37">
        <f t="shared" si="3"/>
        <v>0</v>
      </c>
    </row>
    <row r="141" spans="20:20" ht="50.1" customHeight="1">
      <c r="T141" s="37">
        <f t="shared" si="3"/>
        <v>0</v>
      </c>
    </row>
    <row r="142" spans="20:20" ht="50.1" customHeight="1">
      <c r="T142" s="37">
        <f t="shared" si="3"/>
        <v>0</v>
      </c>
    </row>
    <row r="143" spans="20:20" ht="50.1" customHeight="1">
      <c r="T143" s="37">
        <f t="shared" si="3"/>
        <v>0</v>
      </c>
    </row>
    <row r="144" spans="20:20" ht="50.1" customHeight="1">
      <c r="T144" s="37">
        <f t="shared" si="3"/>
        <v>0</v>
      </c>
    </row>
    <row r="145" spans="20:20" ht="50.1" customHeight="1">
      <c r="T145" s="37">
        <f t="shared" si="3"/>
        <v>0</v>
      </c>
    </row>
    <row r="146" spans="20:20" ht="50.1" customHeight="1">
      <c r="T146" s="37">
        <f t="shared" si="3"/>
        <v>0</v>
      </c>
    </row>
    <row r="147" spans="20:20" ht="50.1" customHeight="1">
      <c r="T147" s="37">
        <f t="shared" si="3"/>
        <v>0</v>
      </c>
    </row>
    <row r="148" spans="20:20" ht="50.1" customHeight="1">
      <c r="T148" s="37">
        <f t="shared" si="3"/>
        <v>0</v>
      </c>
    </row>
    <row r="149" spans="20:20" ht="50.1" customHeight="1">
      <c r="T149" s="37">
        <f t="shared" si="3"/>
        <v>0</v>
      </c>
    </row>
    <row r="150" spans="20:20" ht="50.1" customHeight="1">
      <c r="T150" s="37">
        <f t="shared" si="3"/>
        <v>0</v>
      </c>
    </row>
    <row r="151" spans="20:20" ht="50.1" customHeight="1">
      <c r="T151" s="37">
        <f t="shared" si="3"/>
        <v>0</v>
      </c>
    </row>
    <row r="152" spans="20:20" ht="50.1" customHeight="1">
      <c r="T152" s="37">
        <f t="shared" si="3"/>
        <v>0</v>
      </c>
    </row>
    <row r="153" spans="20:20" ht="50.1" customHeight="1">
      <c r="T153" s="37">
        <f t="shared" si="3"/>
        <v>0</v>
      </c>
    </row>
    <row r="154" spans="20:20" ht="50.1" customHeight="1">
      <c r="T154" s="37">
        <f t="shared" si="3"/>
        <v>0</v>
      </c>
    </row>
    <row r="155" spans="20:20" ht="50.1" customHeight="1">
      <c r="T155" s="37">
        <f t="shared" si="3"/>
        <v>0</v>
      </c>
    </row>
    <row r="156" spans="20:20" ht="50.1" customHeight="1">
      <c r="T156" s="37">
        <f t="shared" si="3"/>
        <v>0</v>
      </c>
    </row>
    <row r="157" spans="20:20" ht="50.1" customHeight="1">
      <c r="T157" s="37">
        <f t="shared" si="3"/>
        <v>0</v>
      </c>
    </row>
    <row r="158" spans="20:20" ht="50.1" customHeight="1">
      <c r="T158" s="37">
        <f t="shared" si="3"/>
        <v>0</v>
      </c>
    </row>
    <row r="159" spans="20:20" ht="50.1" customHeight="1">
      <c r="T159" s="37">
        <f t="shared" si="3"/>
        <v>0</v>
      </c>
    </row>
    <row r="160" spans="20:20" ht="50.1" customHeight="1">
      <c r="T160" s="37">
        <f t="shared" si="3"/>
        <v>0</v>
      </c>
    </row>
    <row r="161" spans="20:20" ht="50.1" customHeight="1">
      <c r="T161" s="37">
        <f t="shared" si="3"/>
        <v>0</v>
      </c>
    </row>
    <row r="162" spans="20:20" ht="50.1" customHeight="1">
      <c r="T162" s="37">
        <f t="shared" si="3"/>
        <v>0</v>
      </c>
    </row>
    <row r="163" spans="20:20" ht="50.1" customHeight="1">
      <c r="T163" s="37">
        <f t="shared" si="3"/>
        <v>0</v>
      </c>
    </row>
    <row r="164" spans="20:20" ht="50.1" customHeight="1">
      <c r="T164" s="37">
        <f t="shared" si="3"/>
        <v>0</v>
      </c>
    </row>
    <row r="165" spans="20:20" ht="50.1" customHeight="1">
      <c r="T165" s="37">
        <f t="shared" si="3"/>
        <v>0</v>
      </c>
    </row>
    <row r="166" spans="20:20" ht="50.1" customHeight="1">
      <c r="T166" s="37">
        <f t="shared" si="3"/>
        <v>0</v>
      </c>
    </row>
    <row r="167" spans="20:20" ht="50.1" customHeight="1">
      <c r="T167" s="37">
        <f t="shared" si="3"/>
        <v>0</v>
      </c>
    </row>
    <row r="168" spans="20:20" ht="50.1" customHeight="1">
      <c r="T168" s="37">
        <f t="shared" si="3"/>
        <v>0</v>
      </c>
    </row>
    <row r="169" spans="20:20" ht="50.1" customHeight="1">
      <c r="T169" s="37">
        <f t="shared" si="3"/>
        <v>0</v>
      </c>
    </row>
    <row r="170" spans="20:20" ht="50.1" customHeight="1">
      <c r="T170" s="37">
        <f t="shared" si="3"/>
        <v>0</v>
      </c>
    </row>
    <row r="171" spans="20:20" ht="50.1" customHeight="1">
      <c r="T171" s="37">
        <f t="shared" si="3"/>
        <v>0</v>
      </c>
    </row>
    <row r="172" spans="20:20" ht="50.1" customHeight="1">
      <c r="T172" s="37">
        <f t="shared" si="3"/>
        <v>0</v>
      </c>
    </row>
    <row r="173" spans="20:20" ht="50.1" customHeight="1">
      <c r="T173" s="37">
        <f t="shared" si="3"/>
        <v>0</v>
      </c>
    </row>
    <row r="174" spans="20:20" ht="50.1" customHeight="1">
      <c r="T174" s="37">
        <f t="shared" si="3"/>
        <v>0</v>
      </c>
    </row>
    <row r="175" spans="20:20" ht="50.1" customHeight="1">
      <c r="T175" s="37">
        <f t="shared" si="3"/>
        <v>0</v>
      </c>
    </row>
    <row r="176" spans="20:20" ht="50.1" customHeight="1">
      <c r="T176" s="37">
        <f t="shared" si="3"/>
        <v>0</v>
      </c>
    </row>
    <row r="177" spans="20:20" ht="50.1" customHeight="1">
      <c r="T177" s="37">
        <f t="shared" si="3"/>
        <v>0</v>
      </c>
    </row>
    <row r="178" spans="20:20" ht="50.1" customHeight="1">
      <c r="T178" s="37">
        <f t="shared" si="3"/>
        <v>0</v>
      </c>
    </row>
    <row r="179" spans="20:20" ht="50.1" customHeight="1">
      <c r="T179" s="37">
        <f t="shared" si="3"/>
        <v>0</v>
      </c>
    </row>
    <row r="180" spans="20:20" ht="50.1" customHeight="1">
      <c r="T180" s="37">
        <f t="shared" si="3"/>
        <v>0</v>
      </c>
    </row>
    <row r="181" spans="20:20" ht="50.1" customHeight="1">
      <c r="T181" s="37">
        <f t="shared" si="3"/>
        <v>0</v>
      </c>
    </row>
    <row r="182" spans="20:20" ht="50.1" customHeight="1">
      <c r="T182" s="37">
        <f t="shared" si="3"/>
        <v>0</v>
      </c>
    </row>
    <row r="183" spans="20:20" ht="50.1" customHeight="1">
      <c r="T183" s="37">
        <f t="shared" si="3"/>
        <v>0</v>
      </c>
    </row>
    <row r="184" spans="20:20" ht="50.1" customHeight="1">
      <c r="T184" s="37">
        <f t="shared" si="3"/>
        <v>0</v>
      </c>
    </row>
    <row r="185" spans="20:20" ht="50.1" customHeight="1">
      <c r="T185" s="37">
        <f t="shared" si="3"/>
        <v>0</v>
      </c>
    </row>
    <row r="186" spans="20:20" ht="50.1" customHeight="1">
      <c r="T186" s="37">
        <f t="shared" si="3"/>
        <v>0</v>
      </c>
    </row>
    <row r="187" spans="20:20" ht="50.1" customHeight="1">
      <c r="T187" s="37">
        <f t="shared" si="3"/>
        <v>0</v>
      </c>
    </row>
    <row r="188" spans="20:20" ht="50.1" customHeight="1">
      <c r="T188" s="37">
        <f t="shared" si="3"/>
        <v>0</v>
      </c>
    </row>
    <row r="189" spans="20:20" ht="50.1" customHeight="1">
      <c r="T189" s="37">
        <f t="shared" si="3"/>
        <v>0</v>
      </c>
    </row>
    <row r="190" spans="20:20" ht="50.1" customHeight="1">
      <c r="T190" s="37">
        <f t="shared" si="3"/>
        <v>0</v>
      </c>
    </row>
    <row r="191" spans="20:20" ht="50.1" customHeight="1">
      <c r="T191" s="37">
        <f t="shared" si="3"/>
        <v>0</v>
      </c>
    </row>
    <row r="192" spans="20:20" ht="50.1" customHeight="1">
      <c r="T192" s="37">
        <f t="shared" si="3"/>
        <v>0</v>
      </c>
    </row>
    <row r="193" spans="20:20" ht="50.1" customHeight="1">
      <c r="T193" s="37">
        <f t="shared" si="3"/>
        <v>0</v>
      </c>
    </row>
    <row r="194" spans="20:20" ht="50.1" customHeight="1">
      <c r="T194" s="37">
        <f t="shared" si="3"/>
        <v>0</v>
      </c>
    </row>
    <row r="195" spans="20:20" ht="50.1" customHeight="1">
      <c r="T195" s="37">
        <f t="shared" si="3"/>
        <v>0</v>
      </c>
    </row>
    <row r="196" spans="20:20" ht="50.1" customHeight="1">
      <c r="T196" s="37">
        <f t="shared" si="3"/>
        <v>0</v>
      </c>
    </row>
    <row r="197" spans="20:20" ht="50.1" customHeight="1">
      <c r="T197" s="37">
        <f t="shared" si="3"/>
        <v>0</v>
      </c>
    </row>
    <row r="198" spans="20:20" ht="50.1" customHeight="1">
      <c r="T198" s="37">
        <f t="shared" si="3"/>
        <v>0</v>
      </c>
    </row>
    <row r="199" spans="20:20" ht="50.1" customHeight="1">
      <c r="T199" s="37">
        <f t="shared" si="3"/>
        <v>0</v>
      </c>
    </row>
    <row r="200" spans="20:20" ht="50.1" customHeight="1">
      <c r="T200" s="37">
        <f t="shared" ref="T200:T263" si="4">IF(ISTEXT(N:N),1,)</f>
        <v>0</v>
      </c>
    </row>
    <row r="201" spans="20:20" ht="50.1" customHeight="1">
      <c r="T201" s="37">
        <f t="shared" si="4"/>
        <v>0</v>
      </c>
    </row>
    <row r="202" spans="20:20" ht="50.1" customHeight="1">
      <c r="T202" s="37">
        <f t="shared" si="4"/>
        <v>0</v>
      </c>
    </row>
    <row r="203" spans="20:20" ht="50.1" customHeight="1">
      <c r="T203" s="37">
        <f t="shared" si="4"/>
        <v>0</v>
      </c>
    </row>
    <row r="204" spans="20:20" ht="50.1" customHeight="1">
      <c r="T204" s="37">
        <f t="shared" si="4"/>
        <v>0</v>
      </c>
    </row>
    <row r="205" spans="20:20">
      <c r="T205" s="37">
        <f t="shared" si="4"/>
        <v>0</v>
      </c>
    </row>
    <row r="206" spans="20:20">
      <c r="T206" s="37">
        <f t="shared" si="4"/>
        <v>0</v>
      </c>
    </row>
    <row r="207" spans="20:20">
      <c r="T207" s="37">
        <f t="shared" si="4"/>
        <v>0</v>
      </c>
    </row>
    <row r="208" spans="20:20">
      <c r="T208" s="37">
        <f t="shared" si="4"/>
        <v>0</v>
      </c>
    </row>
    <row r="209" spans="20:20">
      <c r="T209" s="37">
        <f t="shared" si="4"/>
        <v>0</v>
      </c>
    </row>
    <row r="210" spans="20:20">
      <c r="T210" s="37">
        <f t="shared" si="4"/>
        <v>0</v>
      </c>
    </row>
    <row r="211" spans="20:20">
      <c r="T211" s="37">
        <f t="shared" si="4"/>
        <v>0</v>
      </c>
    </row>
    <row r="212" spans="20:20">
      <c r="T212" s="37">
        <f t="shared" si="4"/>
        <v>0</v>
      </c>
    </row>
    <row r="213" spans="20:20">
      <c r="T213" s="37">
        <f t="shared" si="4"/>
        <v>0</v>
      </c>
    </row>
    <row r="214" spans="20:20">
      <c r="T214" s="37">
        <f t="shared" si="4"/>
        <v>0</v>
      </c>
    </row>
    <row r="215" spans="20:20">
      <c r="T215" s="37">
        <f t="shared" si="4"/>
        <v>0</v>
      </c>
    </row>
    <row r="216" spans="20:20">
      <c r="T216" s="37">
        <f t="shared" si="4"/>
        <v>0</v>
      </c>
    </row>
    <row r="217" spans="20:20">
      <c r="T217" s="37">
        <f t="shared" si="4"/>
        <v>0</v>
      </c>
    </row>
    <row r="218" spans="20:20">
      <c r="T218" s="37">
        <f t="shared" si="4"/>
        <v>0</v>
      </c>
    </row>
    <row r="219" spans="20:20">
      <c r="T219" s="37">
        <f t="shared" si="4"/>
        <v>0</v>
      </c>
    </row>
    <row r="220" spans="20:20">
      <c r="T220" s="37">
        <f t="shared" si="4"/>
        <v>0</v>
      </c>
    </row>
    <row r="221" spans="20:20">
      <c r="T221" s="37">
        <f t="shared" si="4"/>
        <v>0</v>
      </c>
    </row>
    <row r="222" spans="20:20">
      <c r="T222" s="37">
        <f t="shared" si="4"/>
        <v>0</v>
      </c>
    </row>
    <row r="223" spans="20:20">
      <c r="T223" s="37">
        <f t="shared" si="4"/>
        <v>0</v>
      </c>
    </row>
    <row r="224" spans="20:20">
      <c r="T224" s="37">
        <f t="shared" si="4"/>
        <v>0</v>
      </c>
    </row>
    <row r="225" spans="20:20">
      <c r="T225" s="37">
        <f t="shared" si="4"/>
        <v>0</v>
      </c>
    </row>
    <row r="226" spans="20:20">
      <c r="T226" s="37">
        <f t="shared" si="4"/>
        <v>0</v>
      </c>
    </row>
    <row r="227" spans="20:20">
      <c r="T227" s="37">
        <f t="shared" si="4"/>
        <v>0</v>
      </c>
    </row>
    <row r="228" spans="20:20">
      <c r="T228" s="37">
        <f t="shared" si="4"/>
        <v>0</v>
      </c>
    </row>
    <row r="229" spans="20:20">
      <c r="T229" s="37">
        <f t="shared" si="4"/>
        <v>0</v>
      </c>
    </row>
    <row r="230" spans="20:20">
      <c r="T230" s="37">
        <f t="shared" si="4"/>
        <v>0</v>
      </c>
    </row>
    <row r="231" spans="20:20">
      <c r="T231" s="37">
        <f t="shared" si="4"/>
        <v>0</v>
      </c>
    </row>
    <row r="232" spans="20:20">
      <c r="T232" s="37">
        <f t="shared" si="4"/>
        <v>0</v>
      </c>
    </row>
    <row r="233" spans="20:20">
      <c r="T233" s="37">
        <f t="shared" si="4"/>
        <v>0</v>
      </c>
    </row>
    <row r="234" spans="20:20">
      <c r="T234" s="37">
        <f t="shared" si="4"/>
        <v>0</v>
      </c>
    </row>
    <row r="235" spans="20:20">
      <c r="T235" s="37">
        <f t="shared" si="4"/>
        <v>0</v>
      </c>
    </row>
    <row r="236" spans="20:20">
      <c r="T236" s="37">
        <f t="shared" si="4"/>
        <v>0</v>
      </c>
    </row>
    <row r="237" spans="20:20">
      <c r="T237" s="37">
        <f t="shared" si="4"/>
        <v>0</v>
      </c>
    </row>
    <row r="238" spans="20:20">
      <c r="T238" s="37">
        <f t="shared" si="4"/>
        <v>0</v>
      </c>
    </row>
    <row r="239" spans="20:20">
      <c r="T239" s="37">
        <f t="shared" si="4"/>
        <v>0</v>
      </c>
    </row>
    <row r="240" spans="20:20">
      <c r="T240" s="37">
        <f t="shared" si="4"/>
        <v>0</v>
      </c>
    </row>
    <row r="241" spans="20:20">
      <c r="T241" s="37">
        <f t="shared" si="4"/>
        <v>0</v>
      </c>
    </row>
    <row r="242" spans="20:20">
      <c r="T242" s="37">
        <f t="shared" si="4"/>
        <v>0</v>
      </c>
    </row>
    <row r="243" spans="20:20">
      <c r="T243" s="37">
        <f t="shared" si="4"/>
        <v>0</v>
      </c>
    </row>
    <row r="244" spans="20:20">
      <c r="T244" s="37">
        <f t="shared" si="4"/>
        <v>0</v>
      </c>
    </row>
    <row r="245" spans="20:20">
      <c r="T245" s="37">
        <f t="shared" si="4"/>
        <v>0</v>
      </c>
    </row>
    <row r="246" spans="20:20">
      <c r="T246" s="37">
        <f t="shared" si="4"/>
        <v>0</v>
      </c>
    </row>
    <row r="247" spans="20:20">
      <c r="T247" s="37">
        <f t="shared" si="4"/>
        <v>0</v>
      </c>
    </row>
    <row r="248" spans="20:20">
      <c r="T248" s="37">
        <f t="shared" si="4"/>
        <v>0</v>
      </c>
    </row>
    <row r="249" spans="20:20">
      <c r="T249" s="37">
        <f t="shared" si="4"/>
        <v>0</v>
      </c>
    </row>
    <row r="250" spans="20:20">
      <c r="T250" s="37">
        <f t="shared" si="4"/>
        <v>0</v>
      </c>
    </row>
    <row r="251" spans="20:20">
      <c r="T251" s="37">
        <f t="shared" si="4"/>
        <v>0</v>
      </c>
    </row>
    <row r="252" spans="20:20">
      <c r="T252" s="37">
        <f t="shared" si="4"/>
        <v>0</v>
      </c>
    </row>
    <row r="253" spans="20:20">
      <c r="T253" s="37">
        <f t="shared" si="4"/>
        <v>0</v>
      </c>
    </row>
    <row r="254" spans="20:20">
      <c r="T254" s="37">
        <f t="shared" si="4"/>
        <v>0</v>
      </c>
    </row>
    <row r="255" spans="20:20">
      <c r="T255" s="37">
        <f t="shared" si="4"/>
        <v>0</v>
      </c>
    </row>
    <row r="256" spans="20:20">
      <c r="T256" s="37">
        <f t="shared" si="4"/>
        <v>0</v>
      </c>
    </row>
    <row r="257" spans="20:20">
      <c r="T257" s="37">
        <f t="shared" si="4"/>
        <v>0</v>
      </c>
    </row>
    <row r="258" spans="20:20">
      <c r="T258" s="37">
        <f t="shared" si="4"/>
        <v>0</v>
      </c>
    </row>
    <row r="259" spans="20:20">
      <c r="T259" s="37">
        <f t="shared" si="4"/>
        <v>0</v>
      </c>
    </row>
    <row r="260" spans="20:20">
      <c r="T260" s="37">
        <f t="shared" si="4"/>
        <v>0</v>
      </c>
    </row>
    <row r="261" spans="20:20">
      <c r="T261" s="37">
        <f t="shared" si="4"/>
        <v>0</v>
      </c>
    </row>
    <row r="262" spans="20:20">
      <c r="T262" s="37">
        <f t="shared" si="4"/>
        <v>0</v>
      </c>
    </row>
    <row r="263" spans="20:20">
      <c r="T263" s="37">
        <f t="shared" si="4"/>
        <v>0</v>
      </c>
    </row>
    <row r="264" spans="20:20">
      <c r="T264" s="37">
        <f t="shared" ref="T264:T327" si="5">IF(ISTEXT(N:N),1,)</f>
        <v>0</v>
      </c>
    </row>
    <row r="265" spans="20:20">
      <c r="T265" s="37">
        <f t="shared" si="5"/>
        <v>0</v>
      </c>
    </row>
    <row r="266" spans="20:20">
      <c r="T266" s="37">
        <f t="shared" si="5"/>
        <v>0</v>
      </c>
    </row>
    <row r="267" spans="20:20">
      <c r="T267" s="37">
        <f t="shared" si="5"/>
        <v>0</v>
      </c>
    </row>
    <row r="268" spans="20:20">
      <c r="T268" s="37">
        <f t="shared" si="5"/>
        <v>0</v>
      </c>
    </row>
    <row r="269" spans="20:20">
      <c r="T269" s="37">
        <f t="shared" si="5"/>
        <v>0</v>
      </c>
    </row>
    <row r="270" spans="20:20">
      <c r="T270" s="37">
        <f t="shared" si="5"/>
        <v>0</v>
      </c>
    </row>
    <row r="271" spans="20:20">
      <c r="T271" s="37">
        <f t="shared" si="5"/>
        <v>0</v>
      </c>
    </row>
    <row r="272" spans="20:20">
      <c r="T272" s="37">
        <f t="shared" si="5"/>
        <v>0</v>
      </c>
    </row>
    <row r="273" spans="20:20">
      <c r="T273" s="37">
        <f t="shared" si="5"/>
        <v>0</v>
      </c>
    </row>
    <row r="274" spans="20:20">
      <c r="T274" s="37">
        <f t="shared" si="5"/>
        <v>0</v>
      </c>
    </row>
    <row r="275" spans="20:20">
      <c r="T275" s="37">
        <f t="shared" si="5"/>
        <v>0</v>
      </c>
    </row>
    <row r="276" spans="20:20">
      <c r="T276" s="37">
        <f t="shared" si="5"/>
        <v>0</v>
      </c>
    </row>
    <row r="277" spans="20:20">
      <c r="T277" s="37">
        <f t="shared" si="5"/>
        <v>0</v>
      </c>
    </row>
    <row r="278" spans="20:20">
      <c r="T278" s="37">
        <f t="shared" si="5"/>
        <v>0</v>
      </c>
    </row>
    <row r="279" spans="20:20">
      <c r="T279" s="37">
        <f t="shared" si="5"/>
        <v>0</v>
      </c>
    </row>
    <row r="280" spans="20:20">
      <c r="T280" s="37">
        <f t="shared" si="5"/>
        <v>0</v>
      </c>
    </row>
    <row r="281" spans="20:20">
      <c r="T281" s="37">
        <f t="shared" si="5"/>
        <v>0</v>
      </c>
    </row>
    <row r="282" spans="20:20">
      <c r="T282" s="37">
        <f t="shared" si="5"/>
        <v>0</v>
      </c>
    </row>
    <row r="283" spans="20:20">
      <c r="T283" s="37">
        <f t="shared" si="5"/>
        <v>0</v>
      </c>
    </row>
    <row r="284" spans="20:20">
      <c r="T284" s="37">
        <f t="shared" si="5"/>
        <v>0</v>
      </c>
    </row>
    <row r="285" spans="20:20">
      <c r="T285" s="37">
        <f t="shared" si="5"/>
        <v>0</v>
      </c>
    </row>
    <row r="286" spans="20:20">
      <c r="T286" s="37">
        <f t="shared" si="5"/>
        <v>0</v>
      </c>
    </row>
    <row r="287" spans="20:20">
      <c r="T287" s="37">
        <f t="shared" si="5"/>
        <v>0</v>
      </c>
    </row>
    <row r="288" spans="20:20">
      <c r="T288" s="37">
        <f t="shared" si="5"/>
        <v>0</v>
      </c>
    </row>
    <row r="289" spans="20:20">
      <c r="T289" s="37">
        <f t="shared" si="5"/>
        <v>0</v>
      </c>
    </row>
    <row r="290" spans="20:20">
      <c r="T290" s="37">
        <f t="shared" si="5"/>
        <v>0</v>
      </c>
    </row>
    <row r="291" spans="20:20">
      <c r="T291" s="37">
        <f t="shared" si="5"/>
        <v>0</v>
      </c>
    </row>
    <row r="292" spans="20:20">
      <c r="T292" s="37">
        <f t="shared" si="5"/>
        <v>0</v>
      </c>
    </row>
    <row r="293" spans="20:20">
      <c r="T293" s="37">
        <f t="shared" si="5"/>
        <v>0</v>
      </c>
    </row>
    <row r="294" spans="20:20">
      <c r="T294" s="37">
        <f t="shared" si="5"/>
        <v>0</v>
      </c>
    </row>
    <row r="295" spans="20:20">
      <c r="T295" s="37">
        <f t="shared" si="5"/>
        <v>0</v>
      </c>
    </row>
    <row r="296" spans="20:20">
      <c r="T296" s="37">
        <f t="shared" si="5"/>
        <v>0</v>
      </c>
    </row>
    <row r="297" spans="20:20">
      <c r="T297" s="37">
        <f t="shared" si="5"/>
        <v>0</v>
      </c>
    </row>
    <row r="298" spans="20:20">
      <c r="T298" s="37">
        <f t="shared" si="5"/>
        <v>0</v>
      </c>
    </row>
    <row r="299" spans="20:20">
      <c r="T299" s="37">
        <f t="shared" si="5"/>
        <v>0</v>
      </c>
    </row>
    <row r="300" spans="20:20">
      <c r="T300" s="37">
        <f t="shared" si="5"/>
        <v>0</v>
      </c>
    </row>
    <row r="301" spans="20:20">
      <c r="T301" s="37">
        <f t="shared" si="5"/>
        <v>0</v>
      </c>
    </row>
    <row r="302" spans="20:20">
      <c r="T302" s="37">
        <f t="shared" si="5"/>
        <v>0</v>
      </c>
    </row>
    <row r="303" spans="20:20">
      <c r="T303" s="37">
        <f t="shared" si="5"/>
        <v>0</v>
      </c>
    </row>
    <row r="304" spans="20:20">
      <c r="T304" s="37">
        <f t="shared" si="5"/>
        <v>0</v>
      </c>
    </row>
    <row r="305" spans="20:20">
      <c r="T305" s="37">
        <f t="shared" si="5"/>
        <v>0</v>
      </c>
    </row>
    <row r="306" spans="20:20">
      <c r="T306" s="37">
        <f t="shared" si="5"/>
        <v>0</v>
      </c>
    </row>
    <row r="307" spans="20:20">
      <c r="T307" s="37">
        <f t="shared" si="5"/>
        <v>0</v>
      </c>
    </row>
    <row r="308" spans="20:20">
      <c r="T308" s="37">
        <f t="shared" si="5"/>
        <v>0</v>
      </c>
    </row>
    <row r="309" spans="20:20">
      <c r="T309" s="37">
        <f t="shared" si="5"/>
        <v>0</v>
      </c>
    </row>
    <row r="310" spans="20:20">
      <c r="T310" s="37">
        <f t="shared" si="5"/>
        <v>0</v>
      </c>
    </row>
    <row r="311" spans="20:20">
      <c r="T311" s="37">
        <f t="shared" si="5"/>
        <v>0</v>
      </c>
    </row>
    <row r="312" spans="20:20">
      <c r="T312" s="37">
        <f t="shared" si="5"/>
        <v>0</v>
      </c>
    </row>
    <row r="313" spans="20:20">
      <c r="T313" s="37">
        <f t="shared" si="5"/>
        <v>0</v>
      </c>
    </row>
    <row r="314" spans="20:20">
      <c r="T314" s="37">
        <f t="shared" si="5"/>
        <v>0</v>
      </c>
    </row>
    <row r="315" spans="20:20">
      <c r="T315" s="37">
        <f t="shared" si="5"/>
        <v>0</v>
      </c>
    </row>
    <row r="316" spans="20:20">
      <c r="T316" s="37">
        <f t="shared" si="5"/>
        <v>0</v>
      </c>
    </row>
    <row r="317" spans="20:20">
      <c r="T317" s="37">
        <f t="shared" si="5"/>
        <v>0</v>
      </c>
    </row>
    <row r="318" spans="20:20">
      <c r="T318" s="37">
        <f t="shared" si="5"/>
        <v>0</v>
      </c>
    </row>
    <row r="319" spans="20:20">
      <c r="T319" s="37">
        <f t="shared" si="5"/>
        <v>0</v>
      </c>
    </row>
    <row r="320" spans="20:20">
      <c r="T320" s="37">
        <f t="shared" si="5"/>
        <v>0</v>
      </c>
    </row>
    <row r="321" spans="20:20">
      <c r="T321" s="37">
        <f t="shared" si="5"/>
        <v>0</v>
      </c>
    </row>
    <row r="322" spans="20:20">
      <c r="T322" s="37">
        <f t="shared" si="5"/>
        <v>0</v>
      </c>
    </row>
    <row r="323" spans="20:20">
      <c r="T323" s="37">
        <f t="shared" si="5"/>
        <v>0</v>
      </c>
    </row>
    <row r="324" spans="20:20">
      <c r="T324" s="37">
        <f t="shared" si="5"/>
        <v>0</v>
      </c>
    </row>
    <row r="325" spans="20:20">
      <c r="T325" s="37">
        <f t="shared" si="5"/>
        <v>0</v>
      </c>
    </row>
    <row r="326" spans="20:20">
      <c r="T326" s="37">
        <f t="shared" si="5"/>
        <v>0</v>
      </c>
    </row>
    <row r="327" spans="20:20">
      <c r="T327" s="37">
        <f t="shared" si="5"/>
        <v>0</v>
      </c>
    </row>
    <row r="328" spans="20:20">
      <c r="T328" s="37">
        <f t="shared" ref="T328:T391" si="6">IF(ISTEXT(N:N),1,)</f>
        <v>0</v>
      </c>
    </row>
    <row r="329" spans="20:20">
      <c r="T329" s="37">
        <f t="shared" si="6"/>
        <v>0</v>
      </c>
    </row>
    <row r="330" spans="20:20">
      <c r="T330" s="37">
        <f t="shared" si="6"/>
        <v>0</v>
      </c>
    </row>
    <row r="331" spans="20:20">
      <c r="T331" s="37">
        <f t="shared" si="6"/>
        <v>0</v>
      </c>
    </row>
    <row r="332" spans="20:20">
      <c r="T332" s="37">
        <f t="shared" si="6"/>
        <v>0</v>
      </c>
    </row>
    <row r="333" spans="20:20">
      <c r="T333" s="37">
        <f t="shared" si="6"/>
        <v>0</v>
      </c>
    </row>
    <row r="334" spans="20:20">
      <c r="T334" s="37">
        <f t="shared" si="6"/>
        <v>0</v>
      </c>
    </row>
    <row r="335" spans="20:20">
      <c r="T335" s="37">
        <f t="shared" si="6"/>
        <v>0</v>
      </c>
    </row>
    <row r="336" spans="20:20">
      <c r="T336" s="37">
        <f t="shared" si="6"/>
        <v>0</v>
      </c>
    </row>
    <row r="337" spans="20:20">
      <c r="T337" s="37">
        <f t="shared" si="6"/>
        <v>0</v>
      </c>
    </row>
    <row r="338" spans="20:20">
      <c r="T338" s="37">
        <f t="shared" si="6"/>
        <v>0</v>
      </c>
    </row>
    <row r="339" spans="20:20">
      <c r="T339" s="37">
        <f t="shared" si="6"/>
        <v>0</v>
      </c>
    </row>
    <row r="340" spans="20:20">
      <c r="T340" s="37">
        <f t="shared" si="6"/>
        <v>0</v>
      </c>
    </row>
    <row r="341" spans="20:20">
      <c r="T341" s="37">
        <f t="shared" si="6"/>
        <v>0</v>
      </c>
    </row>
    <row r="342" spans="20:20">
      <c r="T342" s="37">
        <f t="shared" si="6"/>
        <v>0</v>
      </c>
    </row>
    <row r="343" spans="20:20">
      <c r="T343" s="37">
        <f t="shared" si="6"/>
        <v>0</v>
      </c>
    </row>
    <row r="344" spans="20:20">
      <c r="T344" s="37">
        <f t="shared" si="6"/>
        <v>0</v>
      </c>
    </row>
    <row r="345" spans="20:20">
      <c r="T345" s="37">
        <f t="shared" si="6"/>
        <v>0</v>
      </c>
    </row>
    <row r="346" spans="20:20">
      <c r="T346" s="37">
        <f t="shared" si="6"/>
        <v>0</v>
      </c>
    </row>
    <row r="347" spans="20:20">
      <c r="T347" s="37">
        <f t="shared" si="6"/>
        <v>0</v>
      </c>
    </row>
    <row r="348" spans="20:20">
      <c r="T348" s="37">
        <f t="shared" si="6"/>
        <v>0</v>
      </c>
    </row>
    <row r="349" spans="20:20">
      <c r="T349" s="37">
        <f t="shared" si="6"/>
        <v>0</v>
      </c>
    </row>
    <row r="350" spans="20:20">
      <c r="T350" s="37">
        <f t="shared" si="6"/>
        <v>0</v>
      </c>
    </row>
    <row r="351" spans="20:20">
      <c r="T351" s="37">
        <f t="shared" si="6"/>
        <v>0</v>
      </c>
    </row>
    <row r="352" spans="20:20">
      <c r="T352" s="37">
        <f t="shared" si="6"/>
        <v>0</v>
      </c>
    </row>
    <row r="353" spans="20:20">
      <c r="T353" s="37">
        <f t="shared" si="6"/>
        <v>0</v>
      </c>
    </row>
    <row r="354" spans="20:20">
      <c r="T354" s="37">
        <f t="shared" si="6"/>
        <v>0</v>
      </c>
    </row>
    <row r="355" spans="20:20">
      <c r="T355" s="37">
        <f t="shared" si="6"/>
        <v>0</v>
      </c>
    </row>
    <row r="356" spans="20:20">
      <c r="T356" s="37">
        <f t="shared" si="6"/>
        <v>0</v>
      </c>
    </row>
    <row r="357" spans="20:20">
      <c r="T357" s="37">
        <f t="shared" si="6"/>
        <v>0</v>
      </c>
    </row>
    <row r="358" spans="20:20">
      <c r="T358" s="37">
        <f t="shared" si="6"/>
        <v>0</v>
      </c>
    </row>
    <row r="359" spans="20:20">
      <c r="T359" s="37">
        <f t="shared" si="6"/>
        <v>0</v>
      </c>
    </row>
    <row r="360" spans="20:20">
      <c r="T360" s="37">
        <f t="shared" si="6"/>
        <v>0</v>
      </c>
    </row>
    <row r="361" spans="20:20">
      <c r="T361" s="37">
        <f t="shared" si="6"/>
        <v>0</v>
      </c>
    </row>
    <row r="362" spans="20:20">
      <c r="T362" s="37">
        <f t="shared" si="6"/>
        <v>0</v>
      </c>
    </row>
    <row r="363" spans="20:20">
      <c r="T363" s="37">
        <f t="shared" si="6"/>
        <v>0</v>
      </c>
    </row>
    <row r="364" spans="20:20">
      <c r="T364" s="37">
        <f t="shared" si="6"/>
        <v>0</v>
      </c>
    </row>
    <row r="365" spans="20:20">
      <c r="T365" s="37">
        <f t="shared" si="6"/>
        <v>0</v>
      </c>
    </row>
    <row r="366" spans="20:20">
      <c r="T366" s="37">
        <f t="shared" si="6"/>
        <v>0</v>
      </c>
    </row>
    <row r="367" spans="20:20">
      <c r="T367" s="37">
        <f t="shared" si="6"/>
        <v>0</v>
      </c>
    </row>
    <row r="368" spans="20:20">
      <c r="T368" s="37">
        <f t="shared" si="6"/>
        <v>0</v>
      </c>
    </row>
    <row r="369" spans="20:20">
      <c r="T369" s="37">
        <f t="shared" si="6"/>
        <v>0</v>
      </c>
    </row>
    <row r="370" spans="20:20">
      <c r="T370" s="37">
        <f t="shared" si="6"/>
        <v>0</v>
      </c>
    </row>
    <row r="371" spans="20:20">
      <c r="T371" s="37">
        <f t="shared" si="6"/>
        <v>0</v>
      </c>
    </row>
    <row r="372" spans="20:20">
      <c r="T372" s="37">
        <f t="shared" si="6"/>
        <v>0</v>
      </c>
    </row>
    <row r="373" spans="20:20">
      <c r="T373" s="37">
        <f t="shared" si="6"/>
        <v>0</v>
      </c>
    </row>
    <row r="374" spans="20:20">
      <c r="T374" s="37">
        <f t="shared" si="6"/>
        <v>0</v>
      </c>
    </row>
    <row r="375" spans="20:20">
      <c r="T375" s="37">
        <f t="shared" si="6"/>
        <v>0</v>
      </c>
    </row>
    <row r="376" spans="20:20">
      <c r="T376" s="37">
        <f t="shared" si="6"/>
        <v>0</v>
      </c>
    </row>
    <row r="377" spans="20:20">
      <c r="T377" s="37">
        <f t="shared" si="6"/>
        <v>0</v>
      </c>
    </row>
    <row r="378" spans="20:20">
      <c r="T378" s="37">
        <f t="shared" si="6"/>
        <v>0</v>
      </c>
    </row>
    <row r="379" spans="20:20">
      <c r="T379" s="37">
        <f t="shared" si="6"/>
        <v>0</v>
      </c>
    </row>
    <row r="380" spans="20:20">
      <c r="T380" s="37">
        <f t="shared" si="6"/>
        <v>0</v>
      </c>
    </row>
    <row r="381" spans="20:20">
      <c r="T381" s="37">
        <f t="shared" si="6"/>
        <v>0</v>
      </c>
    </row>
    <row r="382" spans="20:20">
      <c r="T382" s="37">
        <f t="shared" si="6"/>
        <v>0</v>
      </c>
    </row>
    <row r="383" spans="20:20">
      <c r="T383" s="37">
        <f t="shared" si="6"/>
        <v>0</v>
      </c>
    </row>
    <row r="384" spans="20:20">
      <c r="T384" s="37">
        <f t="shared" si="6"/>
        <v>0</v>
      </c>
    </row>
    <row r="385" spans="20:20">
      <c r="T385" s="37">
        <f t="shared" si="6"/>
        <v>0</v>
      </c>
    </row>
    <row r="386" spans="20:20">
      <c r="T386" s="37">
        <f t="shared" si="6"/>
        <v>0</v>
      </c>
    </row>
    <row r="387" spans="20:20">
      <c r="T387" s="37">
        <f t="shared" si="6"/>
        <v>0</v>
      </c>
    </row>
    <row r="388" spans="20:20">
      <c r="T388" s="37">
        <f t="shared" si="6"/>
        <v>0</v>
      </c>
    </row>
    <row r="389" spans="20:20">
      <c r="T389" s="37">
        <f t="shared" si="6"/>
        <v>0</v>
      </c>
    </row>
    <row r="390" spans="20:20">
      <c r="T390" s="37">
        <f t="shared" si="6"/>
        <v>0</v>
      </c>
    </row>
    <row r="391" spans="20:20">
      <c r="T391" s="37">
        <f t="shared" si="6"/>
        <v>0</v>
      </c>
    </row>
    <row r="392" spans="20:20">
      <c r="T392" s="37">
        <f t="shared" ref="T392:T455" si="7">IF(ISTEXT(N:N),1,)</f>
        <v>0</v>
      </c>
    </row>
    <row r="393" spans="20:20">
      <c r="T393" s="37">
        <f t="shared" si="7"/>
        <v>0</v>
      </c>
    </row>
    <row r="394" spans="20:20">
      <c r="T394" s="37">
        <f t="shared" si="7"/>
        <v>0</v>
      </c>
    </row>
    <row r="395" spans="20:20">
      <c r="T395" s="37">
        <f t="shared" si="7"/>
        <v>0</v>
      </c>
    </row>
    <row r="396" spans="20:20">
      <c r="T396" s="37">
        <f t="shared" si="7"/>
        <v>0</v>
      </c>
    </row>
    <row r="397" spans="20:20">
      <c r="T397" s="37">
        <f t="shared" si="7"/>
        <v>0</v>
      </c>
    </row>
    <row r="398" spans="20:20">
      <c r="T398" s="37">
        <f t="shared" si="7"/>
        <v>0</v>
      </c>
    </row>
    <row r="399" spans="20:20">
      <c r="T399" s="37">
        <f t="shared" si="7"/>
        <v>0</v>
      </c>
    </row>
    <row r="400" spans="20:20">
      <c r="T400" s="37">
        <f t="shared" si="7"/>
        <v>0</v>
      </c>
    </row>
    <row r="401" spans="20:20">
      <c r="T401" s="37">
        <f t="shared" si="7"/>
        <v>0</v>
      </c>
    </row>
    <row r="402" spans="20:20">
      <c r="T402" s="37">
        <f t="shared" si="7"/>
        <v>0</v>
      </c>
    </row>
    <row r="403" spans="20:20">
      <c r="T403" s="37">
        <f t="shared" si="7"/>
        <v>0</v>
      </c>
    </row>
    <row r="404" spans="20:20">
      <c r="T404" s="37">
        <f t="shared" si="7"/>
        <v>0</v>
      </c>
    </row>
    <row r="405" spans="20:20">
      <c r="T405" s="37">
        <f t="shared" si="7"/>
        <v>0</v>
      </c>
    </row>
    <row r="406" spans="20:20">
      <c r="T406" s="37">
        <f t="shared" si="7"/>
        <v>0</v>
      </c>
    </row>
    <row r="407" spans="20:20">
      <c r="T407" s="37">
        <f t="shared" si="7"/>
        <v>0</v>
      </c>
    </row>
    <row r="408" spans="20:20">
      <c r="T408" s="37">
        <f t="shared" si="7"/>
        <v>0</v>
      </c>
    </row>
    <row r="409" spans="20:20">
      <c r="T409" s="37">
        <f t="shared" si="7"/>
        <v>0</v>
      </c>
    </row>
    <row r="410" spans="20:20">
      <c r="T410" s="37">
        <f t="shared" si="7"/>
        <v>0</v>
      </c>
    </row>
    <row r="411" spans="20:20">
      <c r="T411" s="37">
        <f t="shared" si="7"/>
        <v>0</v>
      </c>
    </row>
    <row r="412" spans="20:20">
      <c r="T412" s="37">
        <f t="shared" si="7"/>
        <v>0</v>
      </c>
    </row>
    <row r="413" spans="20:20">
      <c r="T413" s="37">
        <f t="shared" si="7"/>
        <v>0</v>
      </c>
    </row>
    <row r="414" spans="20:20">
      <c r="T414" s="37">
        <f t="shared" si="7"/>
        <v>0</v>
      </c>
    </row>
    <row r="415" spans="20:20">
      <c r="T415" s="37">
        <f t="shared" si="7"/>
        <v>0</v>
      </c>
    </row>
    <row r="416" spans="20:20">
      <c r="T416" s="37">
        <f t="shared" si="7"/>
        <v>0</v>
      </c>
    </row>
    <row r="417" spans="20:20">
      <c r="T417" s="37">
        <f t="shared" si="7"/>
        <v>0</v>
      </c>
    </row>
    <row r="418" spans="20:20">
      <c r="T418" s="37">
        <f t="shared" si="7"/>
        <v>0</v>
      </c>
    </row>
    <row r="419" spans="20:20">
      <c r="T419" s="37">
        <f t="shared" si="7"/>
        <v>0</v>
      </c>
    </row>
    <row r="420" spans="20:20">
      <c r="T420" s="37">
        <f t="shared" si="7"/>
        <v>0</v>
      </c>
    </row>
    <row r="421" spans="20:20">
      <c r="T421" s="37">
        <f t="shared" si="7"/>
        <v>0</v>
      </c>
    </row>
    <row r="422" spans="20:20">
      <c r="T422" s="37">
        <f t="shared" si="7"/>
        <v>0</v>
      </c>
    </row>
    <row r="423" spans="20:20">
      <c r="T423" s="37">
        <f t="shared" si="7"/>
        <v>0</v>
      </c>
    </row>
    <row r="424" spans="20:20">
      <c r="T424" s="37">
        <f t="shared" si="7"/>
        <v>0</v>
      </c>
    </row>
    <row r="425" spans="20:20">
      <c r="T425" s="37">
        <f t="shared" si="7"/>
        <v>0</v>
      </c>
    </row>
    <row r="426" spans="20:20">
      <c r="T426" s="37">
        <f t="shared" si="7"/>
        <v>0</v>
      </c>
    </row>
    <row r="427" spans="20:20">
      <c r="T427" s="37">
        <f t="shared" si="7"/>
        <v>0</v>
      </c>
    </row>
    <row r="428" spans="20:20">
      <c r="T428" s="37">
        <f t="shared" si="7"/>
        <v>0</v>
      </c>
    </row>
    <row r="429" spans="20:20">
      <c r="T429" s="37">
        <f t="shared" si="7"/>
        <v>0</v>
      </c>
    </row>
    <row r="430" spans="20:20">
      <c r="T430" s="37">
        <f t="shared" si="7"/>
        <v>0</v>
      </c>
    </row>
    <row r="431" spans="20:20">
      <c r="T431" s="37">
        <f t="shared" si="7"/>
        <v>0</v>
      </c>
    </row>
    <row r="432" spans="20:20">
      <c r="T432" s="37">
        <f t="shared" si="7"/>
        <v>0</v>
      </c>
    </row>
    <row r="433" spans="20:20">
      <c r="T433" s="37">
        <f t="shared" si="7"/>
        <v>0</v>
      </c>
    </row>
    <row r="434" spans="20:20">
      <c r="T434" s="37">
        <f t="shared" si="7"/>
        <v>0</v>
      </c>
    </row>
    <row r="435" spans="20:20">
      <c r="T435" s="37">
        <f t="shared" si="7"/>
        <v>0</v>
      </c>
    </row>
    <row r="436" spans="20:20">
      <c r="T436" s="37">
        <f t="shared" si="7"/>
        <v>0</v>
      </c>
    </row>
    <row r="437" spans="20:20">
      <c r="T437" s="37">
        <f t="shared" si="7"/>
        <v>0</v>
      </c>
    </row>
    <row r="438" spans="20:20">
      <c r="T438" s="37">
        <f t="shared" si="7"/>
        <v>0</v>
      </c>
    </row>
    <row r="439" spans="20:20">
      <c r="T439" s="37">
        <f t="shared" si="7"/>
        <v>0</v>
      </c>
    </row>
    <row r="440" spans="20:20">
      <c r="T440" s="37">
        <f t="shared" si="7"/>
        <v>0</v>
      </c>
    </row>
    <row r="441" spans="20:20">
      <c r="T441" s="37">
        <f t="shared" si="7"/>
        <v>0</v>
      </c>
    </row>
    <row r="442" spans="20:20">
      <c r="T442" s="37">
        <f t="shared" si="7"/>
        <v>0</v>
      </c>
    </row>
    <row r="443" spans="20:20">
      <c r="T443" s="37">
        <f t="shared" si="7"/>
        <v>0</v>
      </c>
    </row>
    <row r="444" spans="20:20">
      <c r="T444" s="37">
        <f t="shared" si="7"/>
        <v>0</v>
      </c>
    </row>
    <row r="445" spans="20:20">
      <c r="T445" s="37">
        <f t="shared" si="7"/>
        <v>0</v>
      </c>
    </row>
    <row r="446" spans="20:20">
      <c r="T446" s="37">
        <f t="shared" si="7"/>
        <v>0</v>
      </c>
    </row>
    <row r="447" spans="20:20">
      <c r="T447" s="37">
        <f t="shared" si="7"/>
        <v>0</v>
      </c>
    </row>
    <row r="448" spans="20:20">
      <c r="T448" s="37">
        <f t="shared" si="7"/>
        <v>0</v>
      </c>
    </row>
    <row r="449" spans="20:20">
      <c r="T449" s="37">
        <f t="shared" si="7"/>
        <v>0</v>
      </c>
    </row>
    <row r="450" spans="20:20">
      <c r="T450" s="37">
        <f t="shared" si="7"/>
        <v>0</v>
      </c>
    </row>
    <row r="451" spans="20:20">
      <c r="T451" s="37">
        <f t="shared" si="7"/>
        <v>0</v>
      </c>
    </row>
    <row r="452" spans="20:20">
      <c r="T452" s="37">
        <f t="shared" si="7"/>
        <v>0</v>
      </c>
    </row>
    <row r="453" spans="20:20">
      <c r="T453" s="37">
        <f t="shared" si="7"/>
        <v>0</v>
      </c>
    </row>
    <row r="454" spans="20:20">
      <c r="T454" s="37">
        <f t="shared" si="7"/>
        <v>0</v>
      </c>
    </row>
    <row r="455" spans="20:20">
      <c r="T455" s="37">
        <f t="shared" si="7"/>
        <v>0</v>
      </c>
    </row>
    <row r="456" spans="20:20">
      <c r="T456" s="37">
        <f t="shared" ref="T456:T515" si="8">IF(ISTEXT(N:N),1,)</f>
        <v>0</v>
      </c>
    </row>
    <row r="457" spans="20:20">
      <c r="T457" s="37">
        <f t="shared" si="8"/>
        <v>0</v>
      </c>
    </row>
    <row r="458" spans="20:20">
      <c r="T458" s="37">
        <f t="shared" si="8"/>
        <v>0</v>
      </c>
    </row>
    <row r="459" spans="20:20">
      <c r="T459" s="37">
        <f t="shared" si="8"/>
        <v>0</v>
      </c>
    </row>
    <row r="460" spans="20:20">
      <c r="T460" s="37">
        <f t="shared" si="8"/>
        <v>0</v>
      </c>
    </row>
    <row r="461" spans="20:20">
      <c r="T461" s="37">
        <f t="shared" si="8"/>
        <v>0</v>
      </c>
    </row>
    <row r="462" spans="20:20">
      <c r="T462" s="37">
        <f t="shared" si="8"/>
        <v>0</v>
      </c>
    </row>
    <row r="463" spans="20:20">
      <c r="T463" s="37">
        <f t="shared" si="8"/>
        <v>0</v>
      </c>
    </row>
    <row r="464" spans="20:20">
      <c r="T464" s="37">
        <f t="shared" si="8"/>
        <v>0</v>
      </c>
    </row>
    <row r="465" spans="20:20">
      <c r="T465" s="37">
        <f t="shared" si="8"/>
        <v>0</v>
      </c>
    </row>
    <row r="466" spans="20:20">
      <c r="T466" s="37">
        <f t="shared" si="8"/>
        <v>0</v>
      </c>
    </row>
    <row r="467" spans="20:20">
      <c r="T467" s="37">
        <f t="shared" si="8"/>
        <v>0</v>
      </c>
    </row>
    <row r="468" spans="20:20">
      <c r="T468" s="37">
        <f t="shared" si="8"/>
        <v>0</v>
      </c>
    </row>
    <row r="469" spans="20:20">
      <c r="T469" s="37">
        <f t="shared" si="8"/>
        <v>0</v>
      </c>
    </row>
    <row r="470" spans="20:20">
      <c r="T470" s="37">
        <f t="shared" si="8"/>
        <v>0</v>
      </c>
    </row>
    <row r="471" spans="20:20">
      <c r="T471" s="37">
        <f t="shared" si="8"/>
        <v>0</v>
      </c>
    </row>
    <row r="472" spans="20:20">
      <c r="T472" s="37">
        <f t="shared" si="8"/>
        <v>0</v>
      </c>
    </row>
    <row r="473" spans="20:20">
      <c r="T473" s="37">
        <f t="shared" si="8"/>
        <v>0</v>
      </c>
    </row>
    <row r="474" spans="20:20">
      <c r="T474" s="37">
        <f t="shared" si="8"/>
        <v>0</v>
      </c>
    </row>
    <row r="475" spans="20:20">
      <c r="T475" s="37">
        <f t="shared" si="8"/>
        <v>0</v>
      </c>
    </row>
    <row r="476" spans="20:20">
      <c r="T476" s="37">
        <f t="shared" si="8"/>
        <v>0</v>
      </c>
    </row>
    <row r="477" spans="20:20">
      <c r="T477" s="37">
        <f t="shared" si="8"/>
        <v>0</v>
      </c>
    </row>
    <row r="478" spans="20:20">
      <c r="T478" s="37">
        <f t="shared" si="8"/>
        <v>0</v>
      </c>
    </row>
    <row r="479" spans="20:20">
      <c r="T479" s="37">
        <f t="shared" si="8"/>
        <v>0</v>
      </c>
    </row>
    <row r="480" spans="20:20">
      <c r="T480" s="37">
        <f t="shared" si="8"/>
        <v>0</v>
      </c>
    </row>
    <row r="481" spans="20:20">
      <c r="T481" s="37">
        <f t="shared" si="8"/>
        <v>0</v>
      </c>
    </row>
    <row r="482" spans="20:20">
      <c r="T482" s="37">
        <f t="shared" si="8"/>
        <v>0</v>
      </c>
    </row>
    <row r="483" spans="20:20">
      <c r="T483" s="37">
        <f t="shared" si="8"/>
        <v>0</v>
      </c>
    </row>
    <row r="484" spans="20:20">
      <c r="T484" s="37">
        <f t="shared" si="8"/>
        <v>0</v>
      </c>
    </row>
    <row r="485" spans="20:20">
      <c r="T485" s="37">
        <f t="shared" si="8"/>
        <v>0</v>
      </c>
    </row>
    <row r="486" spans="20:20">
      <c r="T486" s="37">
        <f t="shared" si="8"/>
        <v>0</v>
      </c>
    </row>
    <row r="487" spans="20:20">
      <c r="T487" s="37">
        <f t="shared" si="8"/>
        <v>0</v>
      </c>
    </row>
    <row r="488" spans="20:20">
      <c r="T488" s="37">
        <f t="shared" si="8"/>
        <v>0</v>
      </c>
    </row>
    <row r="489" spans="20:20">
      <c r="T489" s="37">
        <f t="shared" si="8"/>
        <v>0</v>
      </c>
    </row>
    <row r="490" spans="20:20">
      <c r="T490" s="37">
        <f t="shared" si="8"/>
        <v>0</v>
      </c>
    </row>
    <row r="491" spans="20:20">
      <c r="T491" s="37">
        <f t="shared" si="8"/>
        <v>0</v>
      </c>
    </row>
    <row r="492" spans="20:20">
      <c r="T492" s="37">
        <f t="shared" si="8"/>
        <v>0</v>
      </c>
    </row>
    <row r="493" spans="20:20">
      <c r="T493" s="37">
        <f t="shared" si="8"/>
        <v>0</v>
      </c>
    </row>
    <row r="494" spans="20:20">
      <c r="T494" s="37">
        <f t="shared" si="8"/>
        <v>0</v>
      </c>
    </row>
    <row r="495" spans="20:20">
      <c r="T495" s="37">
        <f t="shared" si="8"/>
        <v>0</v>
      </c>
    </row>
    <row r="496" spans="20:20">
      <c r="T496" s="37">
        <f t="shared" si="8"/>
        <v>0</v>
      </c>
    </row>
    <row r="497" spans="20:20">
      <c r="T497" s="37">
        <f t="shared" si="8"/>
        <v>0</v>
      </c>
    </row>
    <row r="498" spans="20:20">
      <c r="T498" s="37">
        <f t="shared" si="8"/>
        <v>0</v>
      </c>
    </row>
    <row r="499" spans="20:20">
      <c r="T499" s="37">
        <f t="shared" si="8"/>
        <v>0</v>
      </c>
    </row>
    <row r="500" spans="20:20">
      <c r="T500" s="37">
        <f t="shared" si="8"/>
        <v>0</v>
      </c>
    </row>
    <row r="501" spans="20:20">
      <c r="T501" s="37">
        <f t="shared" si="8"/>
        <v>0</v>
      </c>
    </row>
    <row r="502" spans="20:20">
      <c r="T502" s="37">
        <f t="shared" si="8"/>
        <v>0</v>
      </c>
    </row>
    <row r="503" spans="20:20">
      <c r="T503" s="37">
        <f t="shared" si="8"/>
        <v>0</v>
      </c>
    </row>
    <row r="504" spans="20:20">
      <c r="T504" s="37">
        <f t="shared" si="8"/>
        <v>0</v>
      </c>
    </row>
    <row r="505" spans="20:20">
      <c r="T505" s="37">
        <f t="shared" si="8"/>
        <v>0</v>
      </c>
    </row>
    <row r="506" spans="20:20">
      <c r="T506" s="37">
        <f t="shared" si="8"/>
        <v>0</v>
      </c>
    </row>
    <row r="507" spans="20:20">
      <c r="T507" s="37">
        <f t="shared" si="8"/>
        <v>0</v>
      </c>
    </row>
    <row r="508" spans="20:20">
      <c r="T508" s="37">
        <f t="shared" si="8"/>
        <v>0</v>
      </c>
    </row>
    <row r="509" spans="20:20">
      <c r="T509" s="37">
        <f t="shared" si="8"/>
        <v>0</v>
      </c>
    </row>
    <row r="510" spans="20:20">
      <c r="T510" s="37">
        <f t="shared" si="8"/>
        <v>0</v>
      </c>
    </row>
    <row r="511" spans="20:20">
      <c r="T511" s="37">
        <f t="shared" si="8"/>
        <v>0</v>
      </c>
    </row>
    <row r="512" spans="20:20">
      <c r="T512" s="37">
        <f t="shared" si="8"/>
        <v>0</v>
      </c>
    </row>
    <row r="513" spans="20:20">
      <c r="T513" s="37">
        <f t="shared" si="8"/>
        <v>0</v>
      </c>
    </row>
    <row r="514" spans="20:20">
      <c r="T514" s="37">
        <f t="shared" si="8"/>
        <v>0</v>
      </c>
    </row>
    <row r="515" spans="20:20">
      <c r="T515" s="37">
        <f t="shared" si="8"/>
        <v>0</v>
      </c>
    </row>
  </sheetData>
  <mergeCells count="1">
    <mergeCell ref="A1:J1"/>
  </mergeCells>
  <pageMargins left="0.25" right="0.25" top="0.75" bottom="0.75" header="0.3" footer="0.3"/>
  <pageSetup paperSize="9" orientation="landscape" r:id="rId1"/>
  <rowBreaks count="1" manualBreakCount="1">
    <brk id="35" max="16383" man="1"/>
  </rowBreaks>
  <colBreaks count="1" manualBreakCount="1">
    <brk id="19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K50"/>
  <sheetViews>
    <sheetView tabSelected="1" zoomScale="55" zoomScaleNormal="55" workbookViewId="0">
      <selection activeCell="R11" sqref="R11"/>
    </sheetView>
  </sheetViews>
  <sheetFormatPr baseColWidth="10" defaultRowHeight="15"/>
  <cols>
    <col min="25" max="25" width="2" customWidth="1"/>
    <col min="26" max="26" width="1.5703125" customWidth="1"/>
    <col min="27" max="27" width="20.42578125" customWidth="1"/>
    <col min="28" max="28" width="22.140625" customWidth="1"/>
  </cols>
  <sheetData>
    <row r="1" spans="1:37" ht="60.95" customHeight="1" thickBot="1">
      <c r="G1" s="65" t="s">
        <v>70</v>
      </c>
      <c r="H1" s="65"/>
      <c r="I1" s="65"/>
      <c r="J1" s="65"/>
      <c r="K1" s="65"/>
      <c r="L1" s="65"/>
      <c r="M1" s="65"/>
      <c r="N1" s="65"/>
      <c r="O1" s="65"/>
      <c r="P1" s="65"/>
    </row>
    <row r="2" spans="1:37" ht="26.45" customHeight="1" thickBot="1">
      <c r="D2" s="61" t="s">
        <v>72</v>
      </c>
      <c r="E2" s="62"/>
      <c r="F2" s="62"/>
      <c r="G2" s="62"/>
      <c r="H2" s="63"/>
    </row>
    <row r="4" spans="1:37" ht="76.5">
      <c r="B4" s="15" t="s">
        <v>34</v>
      </c>
      <c r="C4" s="22"/>
      <c r="D4" s="22" t="s">
        <v>5</v>
      </c>
      <c r="E4" s="22"/>
      <c r="F4" s="22" t="s">
        <v>31</v>
      </c>
      <c r="G4" s="22"/>
      <c r="H4" s="22" t="s">
        <v>43</v>
      </c>
      <c r="I4" s="22"/>
      <c r="J4" s="22" t="s">
        <v>45</v>
      </c>
      <c r="K4" s="22"/>
      <c r="L4" s="22"/>
      <c r="M4" s="22"/>
      <c r="N4" s="22"/>
      <c r="O4" s="22" t="s">
        <v>50</v>
      </c>
      <c r="P4" s="22" t="s">
        <v>29</v>
      </c>
      <c r="Q4" s="22" t="s">
        <v>53</v>
      </c>
      <c r="R4" s="22" t="s">
        <v>32</v>
      </c>
      <c r="S4" s="22" t="s">
        <v>54</v>
      </c>
      <c r="T4" s="22" t="s">
        <v>6</v>
      </c>
      <c r="U4" s="22" t="s">
        <v>30</v>
      </c>
      <c r="V4" s="22" t="s">
        <v>8</v>
      </c>
      <c r="W4" s="22" t="s">
        <v>33</v>
      </c>
      <c r="X4" s="22" t="s">
        <v>55</v>
      </c>
      <c r="AA4" s="34" t="s">
        <v>57</v>
      </c>
      <c r="AB4" s="33" t="s">
        <v>56</v>
      </c>
    </row>
    <row r="5" spans="1:37" ht="21">
      <c r="A5" s="64" t="s">
        <v>52</v>
      </c>
      <c r="B5" s="21" t="s">
        <v>27</v>
      </c>
      <c r="P5" s="23"/>
      <c r="Q5" s="23"/>
      <c r="R5" s="23"/>
      <c r="S5" s="23"/>
      <c r="T5" s="23"/>
      <c r="U5" s="23"/>
      <c r="V5" s="23"/>
      <c r="W5" s="23"/>
      <c r="X5" s="27"/>
      <c r="AA5" s="32"/>
      <c r="AB5" s="32"/>
    </row>
    <row r="6" spans="1:37" ht="21">
      <c r="A6" s="64"/>
      <c r="B6" s="2" t="s">
        <v>1</v>
      </c>
      <c r="P6" s="23"/>
      <c r="Q6" s="23"/>
      <c r="R6" s="23"/>
      <c r="S6" s="23"/>
      <c r="T6" s="23"/>
      <c r="U6" s="23"/>
      <c r="V6" s="23"/>
      <c r="W6" s="23"/>
      <c r="X6" s="28"/>
      <c r="AA6" s="32"/>
      <c r="AB6" s="32"/>
    </row>
    <row r="7" spans="1:37" ht="45">
      <c r="A7" s="64"/>
      <c r="B7" s="2" t="s">
        <v>28</v>
      </c>
      <c r="P7" s="23"/>
      <c r="Q7" s="23"/>
      <c r="R7" s="23"/>
      <c r="S7" s="23"/>
      <c r="T7" s="23"/>
      <c r="U7" s="23"/>
      <c r="V7" s="23"/>
      <c r="W7" s="23"/>
      <c r="X7" s="28"/>
      <c r="AA7" s="32"/>
      <c r="AB7" s="32"/>
    </row>
    <row r="8" spans="1:37" ht="30">
      <c r="A8" s="64"/>
      <c r="B8" s="16" t="s">
        <v>37</v>
      </c>
      <c r="P8" s="23"/>
      <c r="Q8" s="23"/>
      <c r="R8" s="23"/>
      <c r="S8" s="23"/>
      <c r="T8" s="23"/>
      <c r="U8" s="23"/>
      <c r="V8" s="23"/>
      <c r="W8" s="23"/>
      <c r="X8" s="28"/>
      <c r="AA8" s="32"/>
      <c r="AB8" s="32"/>
    </row>
    <row r="9" spans="1:37" ht="45">
      <c r="A9" s="64"/>
      <c r="B9" s="16" t="s">
        <v>38</v>
      </c>
      <c r="P9" s="23"/>
      <c r="Q9" s="23"/>
      <c r="R9" s="23"/>
      <c r="S9" s="23"/>
      <c r="T9" s="23"/>
      <c r="U9" s="23"/>
      <c r="V9" s="23"/>
      <c r="W9" s="23"/>
      <c r="X9" s="28"/>
      <c r="AA9" s="32"/>
      <c r="AB9" s="32"/>
    </row>
    <row r="10" spans="1:37" ht="45">
      <c r="A10" s="64"/>
      <c r="B10" s="16" t="s">
        <v>39</v>
      </c>
      <c r="P10" s="23"/>
      <c r="Q10" s="23"/>
      <c r="R10" s="23">
        <v>2020</v>
      </c>
      <c r="S10" s="23"/>
      <c r="T10" s="23"/>
      <c r="U10" s="23"/>
      <c r="V10" s="23"/>
      <c r="W10" s="23"/>
      <c r="X10" s="28"/>
      <c r="AA10" s="32"/>
      <c r="AB10" s="32"/>
      <c r="AH10">
        <v>2020</v>
      </c>
      <c r="AK10">
        <v>2020</v>
      </c>
    </row>
    <row r="11" spans="1:37" ht="45">
      <c r="A11" s="64"/>
      <c r="B11" s="2" t="s">
        <v>40</v>
      </c>
      <c r="P11" s="23"/>
      <c r="Q11" s="23"/>
      <c r="R11" s="23"/>
      <c r="S11" s="23"/>
      <c r="T11" s="23"/>
      <c r="U11" s="23"/>
      <c r="V11" s="23"/>
      <c r="W11" s="23"/>
      <c r="X11" s="28"/>
      <c r="AA11" s="32"/>
      <c r="AB11" s="32"/>
    </row>
    <row r="12" spans="1:37" ht="30">
      <c r="A12" s="64" t="s">
        <v>51</v>
      </c>
      <c r="B12" s="2" t="s">
        <v>7</v>
      </c>
      <c r="C12" s="23"/>
      <c r="D12">
        <f>COUNTIFS('NC Qualité'!E:E,"Panneau coulé à plat",'NC Qualité'!J:J,"Problème d'étiquetage")</f>
        <v>0</v>
      </c>
      <c r="E12" s="23"/>
      <c r="F12">
        <f>COUNTIFS('NC Qualité'!E:E,"Panneau coulé à plat",'NC Qualité'!J:J,"Aspect béton (tâches / nid d'abeilles / granuleux / Fissures etc.)")</f>
        <v>0</v>
      </c>
      <c r="G12" s="23"/>
      <c r="H12">
        <f>COUNTIFS('NC Qualité'!E:E,"Panneau coulé à plat",'NC Qualité'!J:J,"Ancre de levage")</f>
        <v>0</v>
      </c>
      <c r="I12" s="23"/>
      <c r="J12">
        <f>COUNTIFS('NC Qualité'!E:E,"Modul : Tuyaux Dn 1800 à 2630",'NC Qualité'!J:J,"Armatures apparentes")</f>
        <v>0</v>
      </c>
      <c r="K12" s="23"/>
      <c r="L12" s="23"/>
      <c r="M12" s="23"/>
      <c r="N12" s="23"/>
      <c r="O12">
        <f>COUNTIFS('NC Qualité'!E:E,"Panneau coulé à plat",'NC Qualité'!J:J,"Autres :")</f>
        <v>0</v>
      </c>
      <c r="P12">
        <f>COUNTIFS('NC Qualité'!E:E,"Panneau coulé à plat",'NC Qualité'!J:J,"Accessoires (Mauvais positionnement , manquement, etc.)")</f>
        <v>0</v>
      </c>
      <c r="Q12">
        <f>COUNTIFS('NC Qualité'!E:E,"Panneau coulé à plat",'NC Qualité'!J:J,"équerrisage")</f>
        <v>0</v>
      </c>
      <c r="R12">
        <f>COUNTIFS('NC Qualité'!E:E,"Panneau coulé à plat",'NC Qualité'!J:J,"Seuil de porte (réservation)")</f>
        <v>0</v>
      </c>
      <c r="S12">
        <f>COUNTIFS('NC Qualité'!E:E,"Panneau coulé à plat",'NC Qualité'!J:J,"épaisseur")</f>
        <v>0</v>
      </c>
      <c r="T12">
        <f>COUNTIFS('NC Qualité'!E:E,"Panneau coulé à plat",'NC Qualité'!J:J,"Chanfrein")</f>
        <v>0</v>
      </c>
      <c r="U12">
        <f>COUNTIFS('NC Qualité'!E:E,"Panneau coulé à plat",'NC Qualité'!J:J,"Dimensionnement (entraînant un rebut)")</f>
        <v>0</v>
      </c>
      <c r="V12">
        <f>COUNTIFS('NC Qualité'!E:E,"Panneau coulé à plat",'NC Qualité'!J:J,"Cintrage")</f>
        <v>0</v>
      </c>
      <c r="W12">
        <f>COUNTIFS('NC Qualité'!E:E,"Panneau coulé à plat",'NC Qualité'!J:J,"Problème de chargement (sanglage, casse etc.)")</f>
        <v>0</v>
      </c>
      <c r="X12" s="29">
        <f>COUNTIFS('NC Qualité'!E:E,"Panneau coulé à plat",'NC Qualité'!J:J,"Erreur de chargement ")</f>
        <v>0</v>
      </c>
      <c r="AA12" s="32">
        <f>COUNTIFS('NC Qualité'!E:E,"Panneau coulé à plat",'NC Qualité'!T:T,1)</f>
        <v>0</v>
      </c>
      <c r="AB12" s="32">
        <f>COUNTIFS('NC Qualité'!E:E,"Panneau coulé à plat",'NC Qualité'!R:R,"A")</f>
        <v>0</v>
      </c>
    </row>
    <row r="13" spans="1:37" ht="21">
      <c r="A13" s="64"/>
      <c r="B13" s="2" t="s">
        <v>0</v>
      </c>
      <c r="C13" s="23"/>
      <c r="D13">
        <f>COUNTIFS('NC Qualité'!E:E,"Bianchi",'NC Qualité'!J:J,"Problème d'étiquetage")</f>
        <v>0</v>
      </c>
      <c r="E13" s="23"/>
      <c r="F13">
        <f>COUNTIFS('NC Qualité'!E:E,"Bianchi",'NC Qualité'!J:J,"Aspect béton (tâches / nid d'abeilles / granuleux / Fissures etc.)")</f>
        <v>0</v>
      </c>
      <c r="G13" s="23"/>
      <c r="H13">
        <f>COUNTIFS('NC Qualité'!E:E,"Bianchi",'NC Qualité'!J:J,"Ancre de levage")</f>
        <v>0</v>
      </c>
      <c r="I13" s="23"/>
      <c r="J13">
        <f>COUNTIFS('NC Qualité'!E:E,"Bianchi",'NC Qualité'!J:J,"Armatures apparentes")</f>
        <v>0</v>
      </c>
      <c r="K13" s="23"/>
      <c r="L13" s="23"/>
      <c r="M13" s="23"/>
      <c r="N13" s="23"/>
      <c r="O13">
        <f>COUNTIFS('NC Qualité'!E:E,"Bianchi",'NC Qualité'!J:J,"Autres :")</f>
        <v>0</v>
      </c>
      <c r="P13">
        <f>COUNTIFS('NC Qualité'!E:E,"Bianchi",'NC Qualité'!J:J,"Accessoires (Mauvais positionnement , manquement, etc.)")</f>
        <v>0</v>
      </c>
      <c r="Q13">
        <f>COUNTIFS('NC Qualité'!E:E,"Bianchi",'NC Qualité'!J:J,"équerrisage")</f>
        <v>0</v>
      </c>
      <c r="R13">
        <f>COUNTIFS('NC Qualité'!E:E,"Bianchi",'NC Qualité'!J:J,"Seuil de porte (réservation)")</f>
        <v>0</v>
      </c>
      <c r="S13">
        <f>COUNTIFS('NC Qualité'!E:E,"Bianchi",'NC Qualité'!J:J,"épaisseur")</f>
        <v>0</v>
      </c>
      <c r="T13">
        <f>COUNTIFS('NC Qualité'!E:E,"Bianchi",'NC Qualité'!J:J,"Chanfrein")</f>
        <v>0</v>
      </c>
      <c r="U13">
        <f>COUNTIFS('NC Qualité'!E:E,"Bianchi",'NC Qualité'!J:J,"Dimensionnement (entraînant un rebut)")</f>
        <v>0</v>
      </c>
      <c r="V13">
        <f>COUNTIFS('NC Qualité'!E:E,"Bianchi",'NC Qualité'!J:J,"Cintrage")</f>
        <v>0</v>
      </c>
      <c r="W13">
        <f>COUNTIFS('NC Qualité'!E:E,"Bianchi",'NC Qualité'!J:J,"Problème de chargement (sanglage, casse etc.)")</f>
        <v>0</v>
      </c>
      <c r="X13" s="29">
        <f>COUNTIFS('NC Qualité'!E:E,"Bianchi",'NC Qualité'!J:J,"Erreur de chargement ")</f>
        <v>0</v>
      </c>
      <c r="AA13" s="32">
        <f>COUNTIFS('NC Qualité'!E:E,"Bianchi",'NC Qualité'!T:T,1)</f>
        <v>0</v>
      </c>
      <c r="AB13" s="32">
        <f>COUNTIFS('NC Qualité'!E:E,"Bianchi",'NC Qualité'!R:R,"A")</f>
        <v>0</v>
      </c>
    </row>
    <row r="14" spans="1:37" ht="30">
      <c r="A14" s="64"/>
      <c r="B14" s="2" t="s">
        <v>4</v>
      </c>
      <c r="C14" s="23"/>
      <c r="D14">
        <f>COUNTIFS('NC Qualité'!E:E,"Préfabrication",'NC Qualité'!J:J,"Problème d'étiquetage")</f>
        <v>0</v>
      </c>
      <c r="E14" s="23"/>
      <c r="F14">
        <f>COUNTIFS('NC Qualité'!E:E,"Préfabrication",'NC Qualité'!J:J,"Aspect béton (tâches / nid d'abeilles / granuleux / Fissures etc.)")</f>
        <v>0</v>
      </c>
      <c r="G14" s="23"/>
      <c r="H14">
        <f>COUNTIFS('NC Qualité'!E:E,"Préfabrication",'NC Qualité'!J:J,"Ancre de levage")</f>
        <v>0</v>
      </c>
      <c r="I14" s="23"/>
      <c r="J14">
        <f>COUNTIFS('NC Qualité'!E:E,"Préfabrication",'NC Qualité'!J:J,"Armatures apparentes")</f>
        <v>0</v>
      </c>
      <c r="K14" s="23"/>
      <c r="L14" s="23"/>
      <c r="M14" s="23"/>
      <c r="N14" s="23"/>
      <c r="O14">
        <f>COUNTIFS('NC Qualité'!E:E,"Préfabrication",'NC Qualité'!J:J,"Autres :")</f>
        <v>0</v>
      </c>
      <c r="P14">
        <f>COUNTIFS('NC Qualité'!E:E,"Préfabrication",'NC Qualité'!J:J,"Accessoires (Mauvais positionnement , manquement, etc.)")</f>
        <v>0</v>
      </c>
      <c r="Q14">
        <f>COUNTIFS('NC Qualité'!E:E,"Préfabrication",'NC Qualité'!J:J,"équerrisage")</f>
        <v>0</v>
      </c>
      <c r="R14">
        <f>COUNTIFS('NC Qualité'!E:E,"Préfabrication",'NC Qualité'!J:J,"Seuil de porte (réservation)")</f>
        <v>0</v>
      </c>
      <c r="S14">
        <f>COUNTIFS('NC Qualité'!E:E,"Préfabrication",'NC Qualité'!J:J,"épaisseur")</f>
        <v>0</v>
      </c>
      <c r="T14">
        <f>COUNTIFS('NC Qualité'!E:E,"Préfabrication",'NC Qualité'!J:J,"Chanfrein")</f>
        <v>0</v>
      </c>
      <c r="U14">
        <f>COUNTIFS('NC Qualité'!E:E,"Préfabrication",'NC Qualité'!J:J,"Dimensionnement (entraînant un rebut)")</f>
        <v>0</v>
      </c>
      <c r="V14">
        <f>COUNTIFS('NC Qualité'!E:E,"Préfabrication",'NC Qualité'!J:J,"Cintrage")</f>
        <v>0</v>
      </c>
      <c r="W14">
        <f>COUNTIFS('NC Qualité'!E:E,"Préfabrication",'NC Qualité'!J:J,"Problème de chargement (sanglage, casse etc.)")</f>
        <v>0</v>
      </c>
      <c r="X14" s="29">
        <f>COUNTIFS('NC Qualité'!E:E,"Préfabrication",'NC Qualité'!J:J,"Erreur de chargement ")</f>
        <v>0</v>
      </c>
      <c r="AA14" s="32">
        <f>COUNTIFS('NC Qualité'!E:E,"Préfabrication",'NC Qualité'!T:T,1)</f>
        <v>0</v>
      </c>
      <c r="AB14" s="32">
        <f>COUNTIFS('NC Qualité'!E:E,"Préfabrication",'NC Qualité'!R:R,"A")</f>
        <v>0</v>
      </c>
    </row>
    <row r="15" spans="1:37" ht="30">
      <c r="A15" s="64"/>
      <c r="B15" s="17" t="s">
        <v>3</v>
      </c>
      <c r="C15" s="23"/>
      <c r="D15">
        <f>COUNTIFS('NC Qualité'!E:E,"Précontraint",'NC Qualité'!J:J,"Problème d'étiquetage")</f>
        <v>0</v>
      </c>
      <c r="E15" s="23"/>
      <c r="F15">
        <f>COUNTIFS('NC Qualité'!E:E,"Précontraint",'NC Qualité'!J:J,"Aspect béton (tâches / nid d'abeilles / granuleux / Fissures etc.)")</f>
        <v>0</v>
      </c>
      <c r="G15" s="23"/>
      <c r="H15">
        <f>COUNTIFS('NC Qualité'!E:E,"Précontraint",'NC Qualité'!J:J,"Ancre de levage")</f>
        <v>0</v>
      </c>
      <c r="I15" s="23"/>
      <c r="J15">
        <f>COUNTIFS('NC Qualité'!E:E,"Précontraint",'NC Qualité'!J:J,"Armatures apparentes")</f>
        <v>0</v>
      </c>
      <c r="K15" s="23"/>
      <c r="L15" s="23"/>
      <c r="M15" s="23"/>
      <c r="N15" s="23"/>
      <c r="O15">
        <f>COUNTIFS('NC Qualité'!E:E,"Précontraint",'NC Qualité'!J:J,"Autres :")</f>
        <v>0</v>
      </c>
      <c r="P15">
        <f>COUNTIFS('NC Qualité'!E:E,"Précontraint",'NC Qualité'!J:J,"Accessoires (Mauvais positionnement , manquement, etc.)")</f>
        <v>0</v>
      </c>
      <c r="Q15">
        <f>COUNTIFS('NC Qualité'!E:E,"Précontraint",'NC Qualité'!J:J,"équerrisage")</f>
        <v>0</v>
      </c>
      <c r="R15">
        <f>COUNTIFS('NC Qualité'!E:E,"Précontraint",'NC Qualité'!J:J,"Seuil de porte (réservation)")</f>
        <v>0</v>
      </c>
      <c r="S15">
        <f>COUNTIFS('NC Qualité'!E:E,"Précontraint",'NC Qualité'!J:J,"épaisseur")</f>
        <v>0</v>
      </c>
      <c r="T15">
        <f>COUNTIFS('NC Qualité'!E:E,"Précontraint",'NC Qualité'!J:J,"Chanfrein")</f>
        <v>0</v>
      </c>
      <c r="U15">
        <f>COUNTIFS('NC Qualité'!E:E,"Précontraint",'NC Qualité'!J:J,"Dimensionnement (entraînant un rebut)")</f>
        <v>0</v>
      </c>
      <c r="V15">
        <f>COUNTIFS('NC Qualité'!E:E,"Précontraint",'NC Qualité'!J:J,"Cintrage")</f>
        <v>0</v>
      </c>
      <c r="W15">
        <f>COUNTIFS('NC Qualité'!E:E,"Précontraint",'NC Qualité'!J:J,"Problème de chargement (sanglage, casse etc.)")</f>
        <v>0</v>
      </c>
      <c r="X15" s="29">
        <f>COUNTIFS('NC Qualité'!E:E,"Précontraint",'NC Qualité'!J:J,"Erreur de chargement ")</f>
        <v>0</v>
      </c>
      <c r="AA15" s="32">
        <f>COUNTIFS('NC Qualité'!E:E,"Précontraint",'NC Qualité'!T:T,1)</f>
        <v>0</v>
      </c>
      <c r="AB15" s="32">
        <f>COUNTIFS('NC Qualité'!E:E,"Précontraint",'NC Qualité'!R:R,"A")</f>
        <v>0</v>
      </c>
    </row>
    <row r="16" spans="1:37" ht="21">
      <c r="A16" s="64"/>
      <c r="B16" s="2" t="s">
        <v>2</v>
      </c>
      <c r="C16" s="24"/>
      <c r="D16" s="25">
        <f>COUNTIFS('NC Qualité'!E:E,"Parc",'NC Qualité'!J:J,"Problème d'étiquetage")</f>
        <v>0</v>
      </c>
      <c r="E16" s="26"/>
      <c r="F16" s="25">
        <f>COUNTIFS('NC Qualité'!E:E,"Parc",'NC Qualité'!J:J,"Aspect béton (tâches / nid d'abeilles / granuleux / Fissures etc.)")</f>
        <v>0</v>
      </c>
      <c r="G16" s="26"/>
      <c r="H16" s="25">
        <f>COUNTIFS('NC Qualité'!E:E,"Parc",'NC Qualité'!J:J,"Ancre de levage")</f>
        <v>0</v>
      </c>
      <c r="I16" s="26"/>
      <c r="J16" s="25">
        <f>COUNTIFS('NC Qualité'!E:E,"Parc",'NC Qualité'!J:J,"Armatures apparentes")</f>
        <v>0</v>
      </c>
      <c r="K16" s="26"/>
      <c r="L16" s="26"/>
      <c r="M16" s="26"/>
      <c r="N16" s="26"/>
      <c r="O16" s="25">
        <f>COUNTIFS('NC Qualité'!E:E,"Parc",'NC Qualité'!J:J,"Autres :")</f>
        <v>0</v>
      </c>
      <c r="P16" s="25">
        <f>COUNTIFS('NC Qualité'!E:E,"Parc",'NC Qualité'!J:J,"Accessoires (Mauvais positionnement , manquement, etc.)")</f>
        <v>0</v>
      </c>
      <c r="Q16" s="25">
        <f>COUNTIFS('NC Qualité'!E:E,"Parc",'NC Qualité'!J:J,"équerrisage")</f>
        <v>0</v>
      </c>
      <c r="R16" s="25">
        <f>COUNTIFS('NC Qualité'!E:E,"Parc",'NC Qualité'!J:J,"Seuil de porte (réservation)")</f>
        <v>0</v>
      </c>
      <c r="S16" s="25">
        <f>COUNTIFS('NC Qualité'!E:E,"Parc",'NC Qualité'!J:J,"épaisseur")</f>
        <v>0</v>
      </c>
      <c r="T16" s="25">
        <f>COUNTIFS('NC Qualité'!E:E,"Parc",'NC Qualité'!J:J,"Chanfrein")</f>
        <v>0</v>
      </c>
      <c r="U16" s="25">
        <f>COUNTIFS('NC Qualité'!E:E,"Parc",'NC Qualité'!J:J,"Dimensionnement (entraînant un rebut)")</f>
        <v>0</v>
      </c>
      <c r="V16" s="25">
        <f>COUNTIFS('NC Qualité'!E:E,"Parc",'NC Qualité'!J:J,"Cintrage")</f>
        <v>0</v>
      </c>
      <c r="W16" s="25">
        <f>COUNTIFS('NC Qualité'!E:E,"Parc",'NC Qualité'!J:J,"Problème de chargement (sanglage, casse etc.)")</f>
        <v>0</v>
      </c>
      <c r="X16" s="30">
        <f>COUNTIFS('NC Qualité'!E:E,"Parc",'NC Qualité'!J:J,"Erreur de chargement ")</f>
        <v>0</v>
      </c>
      <c r="AA16" s="32">
        <f>COUNTIFS('NC Qualité'!E:E,"Parc",'NC Qualité'!T:T,1)</f>
        <v>0</v>
      </c>
      <c r="AB16" s="32">
        <f>COUNTIFS('NC Qualité'!E:E,"Parc",'NC Qualité'!R:R,"A")</f>
        <v>0</v>
      </c>
    </row>
    <row r="17" spans="1:37" ht="36.950000000000003" customHeight="1">
      <c r="AA17" s="35">
        <f>SUM(AA5:AA16)</f>
        <v>0</v>
      </c>
      <c r="AB17" s="35">
        <f>SUM(AB5:AB16)</f>
        <v>0</v>
      </c>
    </row>
    <row r="19" spans="1:37" ht="15.75" thickBot="1"/>
    <row r="20" spans="1:37" ht="34.5" customHeight="1" thickBot="1">
      <c r="B20" s="61" t="s">
        <v>71</v>
      </c>
      <c r="C20" s="66"/>
      <c r="D20" s="66"/>
      <c r="E20" s="66"/>
      <c r="F20" s="66"/>
      <c r="G20" s="66"/>
      <c r="H20" s="66"/>
      <c r="I20" s="66"/>
      <c r="J20" s="67"/>
    </row>
    <row r="21" spans="1:37">
      <c r="AK21">
        <v>2020</v>
      </c>
    </row>
    <row r="22" spans="1:37" ht="76.5">
      <c r="B22" s="15" t="s">
        <v>34</v>
      </c>
      <c r="C22" s="22"/>
      <c r="D22" s="22" t="s">
        <v>5</v>
      </c>
      <c r="E22" s="22"/>
      <c r="F22" s="22" t="s">
        <v>31</v>
      </c>
      <c r="G22" s="22"/>
      <c r="H22" s="22" t="s">
        <v>43</v>
      </c>
      <c r="I22" s="22"/>
      <c r="J22" s="22" t="s">
        <v>45</v>
      </c>
      <c r="K22" s="22"/>
      <c r="L22" s="22"/>
      <c r="M22" s="22"/>
      <c r="N22" s="22"/>
      <c r="O22" s="22" t="s">
        <v>50</v>
      </c>
      <c r="P22" s="22" t="s">
        <v>29</v>
      </c>
      <c r="Q22" s="22" t="s">
        <v>53</v>
      </c>
      <c r="R22" s="22" t="s">
        <v>32</v>
      </c>
      <c r="S22" s="22" t="s">
        <v>54</v>
      </c>
      <c r="T22" s="22" t="s">
        <v>6</v>
      </c>
      <c r="U22" s="22" t="s">
        <v>30</v>
      </c>
      <c r="V22" s="22" t="s">
        <v>8</v>
      </c>
      <c r="W22" s="22" t="s">
        <v>33</v>
      </c>
      <c r="X22" s="22" t="s">
        <v>55</v>
      </c>
      <c r="AA22" s="34" t="s">
        <v>57</v>
      </c>
      <c r="AB22" s="33" t="s">
        <v>56</v>
      </c>
    </row>
    <row r="23" spans="1:37" ht="21">
      <c r="A23" s="64" t="s">
        <v>52</v>
      </c>
      <c r="B23" s="21" t="s">
        <v>27</v>
      </c>
      <c r="P23" s="23"/>
      <c r="Q23" s="23"/>
      <c r="R23" s="23"/>
      <c r="S23" s="23"/>
      <c r="T23" s="23"/>
      <c r="U23" s="23"/>
      <c r="V23" s="23"/>
      <c r="W23" s="23"/>
      <c r="X23" s="27"/>
      <c r="AA23" s="32"/>
      <c r="AB23" s="32"/>
    </row>
    <row r="24" spans="1:37" ht="21">
      <c r="A24" s="64"/>
      <c r="B24" s="2" t="s">
        <v>1</v>
      </c>
      <c r="P24" s="23"/>
      <c r="Q24" s="23"/>
      <c r="R24" s="23"/>
      <c r="S24" s="23"/>
      <c r="T24" s="23"/>
      <c r="U24" s="23"/>
      <c r="V24" s="23"/>
      <c r="W24" s="23"/>
      <c r="X24" s="28"/>
      <c r="AA24" s="32"/>
      <c r="AB24" s="32"/>
    </row>
    <row r="25" spans="1:37" ht="45">
      <c r="A25" s="64"/>
      <c r="B25" s="2" t="s">
        <v>28</v>
      </c>
      <c r="P25" s="23"/>
      <c r="Q25" s="23"/>
      <c r="R25" s="23"/>
      <c r="S25" s="23"/>
      <c r="T25" s="23"/>
      <c r="U25" s="23"/>
      <c r="V25" s="23"/>
      <c r="W25" s="23"/>
      <c r="X25" s="28"/>
      <c r="AA25" s="32"/>
      <c r="AB25" s="32"/>
    </row>
    <row r="26" spans="1:37" ht="30">
      <c r="A26" s="64"/>
      <c r="B26" s="16" t="s">
        <v>37</v>
      </c>
      <c r="P26" s="23"/>
      <c r="Q26" s="23"/>
      <c r="R26" s="23"/>
      <c r="S26" s="23"/>
      <c r="T26" s="23"/>
      <c r="U26" s="23"/>
      <c r="V26" s="23"/>
      <c r="W26" s="23"/>
      <c r="X26" s="28"/>
      <c r="AA26" s="32"/>
      <c r="AB26" s="32"/>
    </row>
    <row r="27" spans="1:37" ht="45">
      <c r="A27" s="64"/>
      <c r="B27" s="16" t="s">
        <v>38</v>
      </c>
      <c r="P27" s="23"/>
      <c r="Q27" s="23"/>
      <c r="R27" s="23"/>
      <c r="S27" s="23"/>
      <c r="T27" s="23"/>
      <c r="U27" s="23"/>
      <c r="V27" s="23"/>
      <c r="W27" s="23"/>
      <c r="X27" s="28"/>
      <c r="AA27" s="32"/>
      <c r="AB27" s="32"/>
    </row>
    <row r="28" spans="1:37" ht="45">
      <c r="A28" s="64"/>
      <c r="B28" s="16" t="s">
        <v>39</v>
      </c>
      <c r="P28" s="23"/>
      <c r="Q28" s="23"/>
      <c r="R28" s="23"/>
      <c r="S28" s="23"/>
      <c r="T28" s="23"/>
      <c r="U28" s="23"/>
      <c r="V28" s="23"/>
      <c r="W28" s="23"/>
      <c r="X28" s="28"/>
      <c r="AA28" s="32"/>
      <c r="AB28" s="32"/>
    </row>
    <row r="29" spans="1:37" ht="45">
      <c r="A29" s="64"/>
      <c r="B29" s="2" t="s">
        <v>40</v>
      </c>
      <c r="P29" s="23"/>
      <c r="Q29" s="23"/>
      <c r="R29" s="23"/>
      <c r="S29" s="23"/>
      <c r="T29" s="23"/>
      <c r="U29" s="23"/>
      <c r="V29" s="23"/>
      <c r="W29" s="23"/>
      <c r="X29" s="28"/>
      <c r="AA29" s="32"/>
      <c r="AB29" s="32"/>
    </row>
    <row r="30" spans="1:37" ht="30">
      <c r="A30" s="64" t="s">
        <v>51</v>
      </c>
      <c r="B30" s="2" t="s">
        <v>7</v>
      </c>
      <c r="C30" s="23"/>
      <c r="D30">
        <v>0</v>
      </c>
      <c r="E30" s="23"/>
      <c r="F30">
        <v>0</v>
      </c>
      <c r="G30" s="23"/>
      <c r="H30">
        <v>0</v>
      </c>
      <c r="I30" s="23"/>
      <c r="J30">
        <v>0</v>
      </c>
      <c r="K30" s="23"/>
      <c r="L30" s="23"/>
      <c r="M30" s="23"/>
      <c r="N30" s="23"/>
      <c r="O30">
        <v>0</v>
      </c>
      <c r="P30">
        <v>3</v>
      </c>
      <c r="Q30">
        <v>0</v>
      </c>
      <c r="R30">
        <v>1</v>
      </c>
      <c r="S30">
        <v>0</v>
      </c>
      <c r="T30">
        <v>0</v>
      </c>
      <c r="U30">
        <v>0</v>
      </c>
      <c r="V30">
        <v>0</v>
      </c>
      <c r="W30">
        <v>0</v>
      </c>
      <c r="X30" s="29">
        <v>0</v>
      </c>
      <c r="AA30" s="32">
        <v>0</v>
      </c>
      <c r="AB30" s="32">
        <v>0</v>
      </c>
    </row>
    <row r="31" spans="1:37" ht="21">
      <c r="A31" s="64"/>
      <c r="B31" s="2" t="s">
        <v>0</v>
      </c>
      <c r="C31" s="23"/>
      <c r="D31">
        <v>0</v>
      </c>
      <c r="E31" s="23"/>
      <c r="F31">
        <v>0</v>
      </c>
      <c r="G31" s="23"/>
      <c r="H31">
        <v>0</v>
      </c>
      <c r="I31" s="23"/>
      <c r="J31">
        <v>0</v>
      </c>
      <c r="K31" s="23"/>
      <c r="L31" s="23"/>
      <c r="M31" s="23"/>
      <c r="N31" s="23"/>
      <c r="O31">
        <v>0</v>
      </c>
      <c r="P31">
        <v>1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 s="29">
        <v>0</v>
      </c>
      <c r="AA31" s="32">
        <v>0</v>
      </c>
      <c r="AB31" s="32">
        <v>0</v>
      </c>
    </row>
    <row r="32" spans="1:37" ht="30">
      <c r="A32" s="64"/>
      <c r="B32" s="2" t="s">
        <v>4</v>
      </c>
      <c r="C32" s="23"/>
      <c r="D32">
        <v>0</v>
      </c>
      <c r="E32" s="23"/>
      <c r="F32">
        <v>0</v>
      </c>
      <c r="G32" s="23"/>
      <c r="H32">
        <v>0</v>
      </c>
      <c r="I32" s="23"/>
      <c r="J32">
        <v>0</v>
      </c>
      <c r="K32" s="23"/>
      <c r="L32" s="23"/>
      <c r="M32" s="23"/>
      <c r="N32" s="23"/>
      <c r="O32">
        <v>0</v>
      </c>
      <c r="P32">
        <v>0</v>
      </c>
      <c r="Q32">
        <v>0</v>
      </c>
      <c r="R32">
        <v>0</v>
      </c>
      <c r="S32">
        <v>0</v>
      </c>
      <c r="T32">
        <v>1</v>
      </c>
      <c r="U32">
        <v>0</v>
      </c>
      <c r="V32">
        <v>0</v>
      </c>
      <c r="W32">
        <v>0</v>
      </c>
      <c r="X32" s="29">
        <v>0</v>
      </c>
      <c r="AA32" s="32">
        <v>0</v>
      </c>
      <c r="AB32" s="32">
        <v>0</v>
      </c>
    </row>
    <row r="33" spans="1:28" ht="30">
      <c r="A33" s="64"/>
      <c r="B33" s="17" t="s">
        <v>3</v>
      </c>
      <c r="C33" s="23"/>
      <c r="D33">
        <v>0</v>
      </c>
      <c r="E33" s="23"/>
      <c r="F33">
        <v>0</v>
      </c>
      <c r="G33" s="23"/>
      <c r="H33">
        <v>0</v>
      </c>
      <c r="I33" s="23"/>
      <c r="J33">
        <v>0</v>
      </c>
      <c r="K33" s="23"/>
      <c r="L33" s="23"/>
      <c r="M33" s="23"/>
      <c r="N33" s="23"/>
      <c r="O33">
        <v>0</v>
      </c>
      <c r="P33">
        <v>2</v>
      </c>
      <c r="Q33">
        <v>0</v>
      </c>
      <c r="R33">
        <v>0</v>
      </c>
      <c r="S33">
        <v>1</v>
      </c>
      <c r="T33">
        <v>0</v>
      </c>
      <c r="U33">
        <v>0</v>
      </c>
      <c r="V33">
        <v>2</v>
      </c>
      <c r="W33">
        <v>0</v>
      </c>
      <c r="X33" s="29">
        <v>0</v>
      </c>
      <c r="AA33" s="32">
        <v>3</v>
      </c>
      <c r="AB33" s="32">
        <v>0</v>
      </c>
    </row>
    <row r="34" spans="1:28" ht="21">
      <c r="A34" s="64"/>
      <c r="B34" s="2" t="s">
        <v>2</v>
      </c>
      <c r="C34" s="24"/>
      <c r="D34" s="25">
        <v>0</v>
      </c>
      <c r="E34" s="26"/>
      <c r="F34" s="25">
        <v>0</v>
      </c>
      <c r="G34" s="26"/>
      <c r="H34" s="25">
        <v>0</v>
      </c>
      <c r="I34" s="26"/>
      <c r="J34" s="25">
        <v>0</v>
      </c>
      <c r="K34" s="26"/>
      <c r="L34" s="26"/>
      <c r="M34" s="26"/>
      <c r="N34" s="26"/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30">
        <v>0</v>
      </c>
      <c r="AA34" s="32">
        <v>0</v>
      </c>
      <c r="AB34" s="32">
        <v>0</v>
      </c>
    </row>
    <row r="35" spans="1:28" ht="23.25">
      <c r="AA35" s="35">
        <v>3</v>
      </c>
      <c r="AB35" s="35">
        <v>0</v>
      </c>
    </row>
    <row r="38" spans="1:28" ht="15.75" thickBot="1"/>
    <row r="39" spans="1:28" ht="27" thickBot="1">
      <c r="C39" s="61" t="s">
        <v>72</v>
      </c>
      <c r="D39" s="62"/>
      <c r="E39" s="62"/>
      <c r="F39" s="62"/>
      <c r="G39" s="63"/>
    </row>
    <row r="44" spans="1:28" ht="63.75">
      <c r="C44" s="22" t="s">
        <v>36</v>
      </c>
      <c r="D44" s="22" t="s">
        <v>5</v>
      </c>
      <c r="E44" s="22" t="s">
        <v>41</v>
      </c>
      <c r="F44" s="22" t="s">
        <v>31</v>
      </c>
      <c r="G44" s="22" t="s">
        <v>42</v>
      </c>
      <c r="H44" s="22" t="s">
        <v>43</v>
      </c>
      <c r="I44" s="22" t="s">
        <v>44</v>
      </c>
      <c r="J44" s="22" t="s">
        <v>45</v>
      </c>
      <c r="K44" s="22" t="s">
        <v>46</v>
      </c>
      <c r="L44" s="22" t="s">
        <v>47</v>
      </c>
      <c r="M44" s="22" t="s">
        <v>48</v>
      </c>
      <c r="N44" s="22" t="s">
        <v>49</v>
      </c>
      <c r="O44" s="22" t="s">
        <v>50</v>
      </c>
    </row>
    <row r="45" spans="1:28" ht="124.5" customHeight="1">
      <c r="B45" s="49" t="s">
        <v>52</v>
      </c>
    </row>
    <row r="49" spans="2:16" ht="76.5">
      <c r="C49" s="22" t="s">
        <v>5</v>
      </c>
      <c r="D49" s="22" t="s">
        <v>31</v>
      </c>
      <c r="E49" s="22" t="s">
        <v>43</v>
      </c>
      <c r="F49" s="22" t="s">
        <v>45</v>
      </c>
      <c r="G49" s="22" t="s">
        <v>50</v>
      </c>
      <c r="H49" s="22" t="s">
        <v>29</v>
      </c>
      <c r="I49" s="22" t="s">
        <v>53</v>
      </c>
      <c r="J49" s="22" t="s">
        <v>32</v>
      </c>
      <c r="K49" s="22" t="s">
        <v>54</v>
      </c>
      <c r="L49" s="22" t="s">
        <v>6</v>
      </c>
      <c r="M49" s="22" t="s">
        <v>30</v>
      </c>
      <c r="N49" s="22" t="s">
        <v>8</v>
      </c>
      <c r="O49" s="22" t="s">
        <v>33</v>
      </c>
      <c r="P49" s="22" t="s">
        <v>55</v>
      </c>
    </row>
    <row r="50" spans="2:16" ht="93" customHeight="1">
      <c r="B50" s="50" t="s">
        <v>51</v>
      </c>
      <c r="C50">
        <f>SUM(D12:D16)</f>
        <v>0</v>
      </c>
      <c r="D50">
        <f>SUM(F12:F16)</f>
        <v>0</v>
      </c>
      <c r="E50">
        <f>SUM(H12:H16)</f>
        <v>0</v>
      </c>
      <c r="F50">
        <f>SUM(J12:J16)</f>
        <v>0</v>
      </c>
      <c r="G50">
        <f>SUM(O12:O16)</f>
        <v>0</v>
      </c>
      <c r="H50">
        <f t="shared" ref="H50:P50" si="0">SUM(P12:P16)</f>
        <v>0</v>
      </c>
      <c r="I50">
        <f t="shared" si="0"/>
        <v>0</v>
      </c>
      <c r="J50">
        <f t="shared" si="0"/>
        <v>0</v>
      </c>
      <c r="K50">
        <f t="shared" si="0"/>
        <v>0</v>
      </c>
      <c r="L50">
        <f t="shared" si="0"/>
        <v>0</v>
      </c>
      <c r="M50">
        <f t="shared" si="0"/>
        <v>0</v>
      </c>
      <c r="N50">
        <f t="shared" si="0"/>
        <v>0</v>
      </c>
      <c r="O50">
        <f t="shared" si="0"/>
        <v>0</v>
      </c>
      <c r="P50">
        <f t="shared" si="0"/>
        <v>0</v>
      </c>
    </row>
  </sheetData>
  <mergeCells count="8">
    <mergeCell ref="C39:G39"/>
    <mergeCell ref="A5:A11"/>
    <mergeCell ref="A12:A16"/>
    <mergeCell ref="G1:P1"/>
    <mergeCell ref="A23:A29"/>
    <mergeCell ref="A30:A34"/>
    <mergeCell ref="B20:J20"/>
    <mergeCell ref="D2:H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G252"/>
  <sheetViews>
    <sheetView zoomScale="55" zoomScaleNormal="55" workbookViewId="0">
      <selection activeCell="AE25" sqref="AE25"/>
    </sheetView>
  </sheetViews>
  <sheetFormatPr baseColWidth="10" defaultRowHeight="15"/>
  <cols>
    <col min="1" max="1" width="13.42578125" customWidth="1"/>
  </cols>
  <sheetData>
    <row r="1" spans="1:25" ht="39" customHeight="1">
      <c r="C1" s="68" t="s">
        <v>74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</row>
    <row r="2" spans="1:25">
      <c r="B2" s="39" t="s">
        <v>58</v>
      </c>
      <c r="C2" s="39" t="s">
        <v>59</v>
      </c>
      <c r="D2" s="39" t="s">
        <v>60</v>
      </c>
      <c r="E2" s="39" t="s">
        <v>61</v>
      </c>
      <c r="F2" s="39" t="s">
        <v>62</v>
      </c>
      <c r="G2" s="39" t="s">
        <v>63</v>
      </c>
      <c r="H2" s="39" t="s">
        <v>64</v>
      </c>
      <c r="I2" s="39" t="s">
        <v>65</v>
      </c>
      <c r="J2" s="39" t="s">
        <v>66</v>
      </c>
      <c r="K2" s="39" t="s">
        <v>67</v>
      </c>
      <c r="L2" s="39" t="s">
        <v>68</v>
      </c>
      <c r="M2" s="39" t="s">
        <v>69</v>
      </c>
    </row>
    <row r="3" spans="1:25">
      <c r="A3" s="2" t="s">
        <v>27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25">
      <c r="A4" s="2" t="s">
        <v>1</v>
      </c>
      <c r="B4" s="40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25">
      <c r="A5" s="2" t="s">
        <v>35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25" ht="30">
      <c r="A6" s="16" t="s">
        <v>37</v>
      </c>
      <c r="B6" s="40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25" ht="45">
      <c r="A7" s="16" t="s">
        <v>38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S7">
        <v>2020</v>
      </c>
    </row>
    <row r="8" spans="1:25" ht="45">
      <c r="A8" s="16" t="s">
        <v>39</v>
      </c>
      <c r="B8" s="4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25" ht="45">
      <c r="A9" s="2" t="s">
        <v>40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25" ht="30">
      <c r="A10" s="2" t="s">
        <v>7</v>
      </c>
      <c r="B10" s="40">
        <f>COUNTIFS('NC Qualité'!A:A,"&gt;=01/08/2020",'NC Qualité'!A:A,"&lt;=31/08/2020",'NC Qualité'!E:E,"Panneau coulé à plat")</f>
        <v>0</v>
      </c>
      <c r="C10" s="12">
        <f>COUNTIFS('NC Qualité'!A:A,"&gt;=01/09/2020",'NC Qualité'!A:A,"&lt;=30/09/2020",'NC Qualité'!E:E,"Panneau coulé à plat")</f>
        <v>0</v>
      </c>
      <c r="D10" s="12">
        <f>COUNTIFS('NC Qualité'!A:A,"&gt;=01/10/2020",'NC Qualité'!A:A,"&lt;=31/10/2020",'NC Qualité'!E:E,"Panneau coulé à plat")</f>
        <v>0</v>
      </c>
      <c r="E10" s="12">
        <f>COUNTIFS('NC Qualité'!A:A,"&gt;=01/11/2020",'NC Qualité'!A:A,"&lt;=30/11/2020",'NC Qualité'!E:E,"Panneau coulé à plat")</f>
        <v>0</v>
      </c>
      <c r="F10" s="12">
        <f>COUNTIFS('NC Qualité'!A:A,"&gt;=01/12/2020",'NC Qualité'!A:A,"&lt;=31/12/2020",'NC Qualité'!E:E,"Panneau coulé à plat")</f>
        <v>0</v>
      </c>
      <c r="G10" s="12">
        <f>COUNTIFS('NC Qualité'!A:A,"&gt;=01/01/2020",'NC Qualité'!A:A,"&lt;=31/01/2020",'NC Qualité'!E:E,"Panneau coulé à plat")</f>
        <v>0</v>
      </c>
      <c r="H10" s="12">
        <f>COUNTIFS('NC Qualité'!A:A,"&gt;=01/02/2020",'NC Qualité'!A:A,"&lt;=29/02/2020",'NC Qualité'!E:E,"Panneau coulé à plat")</f>
        <v>0</v>
      </c>
      <c r="I10" s="12">
        <f>COUNTIFS('NC Qualité'!A:A,"&gt;=01/03/2020",'NC Qualité'!A:A,"&lt;=31/03/2020",'NC Qualité'!E:E,"Panneau coulé à plat")</f>
        <v>0</v>
      </c>
      <c r="J10" s="12">
        <f>COUNTIFS('NC Qualité'!A:A,"&gt;=01/04/2020",'NC Qualité'!A:A,"&lt;=30/04/2020",'NC Qualité'!E:E,"Panneau coulé à plat")</f>
        <v>0</v>
      </c>
      <c r="K10" s="12">
        <f>COUNTIFS('NC Qualité'!A:A,"&gt;=01/05/2020",'NC Qualité'!A:A,"&lt;=31/05/2020",'NC Qualité'!E:E,"Panneau coulé à plat")</f>
        <v>0</v>
      </c>
      <c r="L10" s="12">
        <f>COUNTIFS('NC Qualité'!A:A,"&gt;=01/06/2020",'NC Qualité'!A:A,"&lt;=30/06/2020",'NC Qualité'!E:E,"Panneau coulé à plat")</f>
        <v>0</v>
      </c>
      <c r="M10" s="12">
        <f>COUNTIFS('NC Qualité'!A:A,"&gt;=01/07/2020",'NC Qualité'!A:A,"&lt;=31/07/2020",'NC Qualité'!E:E,"Panneau coulé à plat")</f>
        <v>0</v>
      </c>
    </row>
    <row r="11" spans="1:25">
      <c r="A11" s="2" t="s">
        <v>0</v>
      </c>
      <c r="B11">
        <f>COUNTIFS('NC Qualité'!A:A,"&gt;=01/08/2020",'NC Qualité'!A:A,"&lt;=31/08/2020",'NC Qualité'!E:E,"Bianchi")</f>
        <v>0</v>
      </c>
      <c r="C11" s="12">
        <f>COUNTIFS('NC Qualité'!A:A,"&gt;=01/09/2020",'NC Qualité'!A:A,"&lt;=30/09/2020",'NC Qualité'!E:E,"Bianchi")</f>
        <v>0</v>
      </c>
      <c r="D11" s="12">
        <f>COUNTIFS('NC Qualité'!A:A,"&gt;=01/10/2020",'NC Qualité'!A:A,"&lt;=31/10/2020",'NC Qualité'!E:E,"Bianchi")</f>
        <v>0</v>
      </c>
      <c r="E11" s="12">
        <f>COUNTIFS('NC Qualité'!A:A,"&gt;=01/11/2020",'NC Qualité'!A:A,"&lt;=30/11/2020",'NC Qualité'!E:E,"Bianchi")</f>
        <v>0</v>
      </c>
      <c r="F11" s="12">
        <f>COUNTIFS('NC Qualité'!A:A,"&gt;=01/12/2020",'NC Qualité'!A:A,"&lt;=31/12/2020",'NC Qualité'!E:E,"Bianchi")</f>
        <v>0</v>
      </c>
      <c r="G11" s="12">
        <f>COUNTIFS('NC Qualité'!A:A,"&gt;=01/01/2020",'NC Qualité'!A:A,"&lt;=31/01/2020",'NC Qualité'!E:E,"Bianchi")</f>
        <v>0</v>
      </c>
      <c r="H11" s="12">
        <f>COUNTIFS('NC Qualité'!A:A,"&gt;=01/02/2020",'NC Qualité'!A:A,"&lt;=29/02/2020",'NC Qualité'!E:E,"Bianchi")</f>
        <v>0</v>
      </c>
      <c r="I11" s="12">
        <f>COUNTIFS('NC Qualité'!A:A,"&gt;=01/03/2020",'NC Qualité'!A:A,"&lt;=31/03/2020",'NC Qualité'!E:E,"Bianchi")</f>
        <v>0</v>
      </c>
      <c r="J11" s="12">
        <f>COUNTIFS('NC Qualité'!A:A,"&gt;=01/04/2020",'NC Qualité'!A:A,"&lt;=30/04/2020",'NC Qualité'!E:E,"Bianchi")</f>
        <v>0</v>
      </c>
      <c r="K11" s="12">
        <f>COUNTIFS('NC Qualité'!A:A,"&gt;=01/05/2020",'NC Qualité'!A:A,"&lt;=31/05/2020",'NC Qualité'!E:E,"Bianchi")</f>
        <v>0</v>
      </c>
      <c r="L11" s="12">
        <f>COUNTIFS('NC Qualité'!A:A,"&gt;=01/06/2020",'NC Qualité'!A:A,"&lt;=30/06/2020",'NC Qualité'!E:E,"Bianchi")</f>
        <v>0</v>
      </c>
      <c r="M11" s="12">
        <f>COUNTIFS('NC Qualité'!A:A,"&gt;=01/07/2020",'NC Qualité'!A:A,"&lt;=31/07/2020",'NC Qualité'!E:E,"Bianchi")</f>
        <v>0</v>
      </c>
    </row>
    <row r="12" spans="1:25" ht="30">
      <c r="A12" s="2" t="s">
        <v>4</v>
      </c>
      <c r="B12" s="40">
        <f>COUNTIFS('NC Qualité'!A:A,"&gt;=01/08/2020",'NC Qualité'!A:A,"&lt;=31/08/2020",'NC Qualité'!E:E,"Préfabrication")</f>
        <v>0</v>
      </c>
      <c r="C12" s="12">
        <f>COUNTIFS('NC Qualité'!A:A,"&gt;=01/09/2020",'NC Qualité'!A:A,"&lt;=30/09/2020",'NC Qualité'!E:E,"Préfabrication")</f>
        <v>0</v>
      </c>
      <c r="D12" s="12">
        <f>COUNTIFS('NC Qualité'!A:A,"&gt;=01/10/2020",'NC Qualité'!A:A,"&lt;=31/10/2020",'NC Qualité'!E:E,"Préfabrication")</f>
        <v>0</v>
      </c>
      <c r="E12" s="12">
        <f>COUNTIFS('NC Qualité'!A:A,"&gt;=01/11/2020",'NC Qualité'!A:A,"&lt;=30/11/2020",'NC Qualité'!E:E,"Préfabrication")</f>
        <v>0</v>
      </c>
      <c r="F12" s="12">
        <f>COUNTIFS('NC Qualité'!A:A,"&gt;=01/12/2020",'NC Qualité'!A:A,"&lt;=31/12/2020",'NC Qualité'!E:E,"Préfabrication")</f>
        <v>0</v>
      </c>
      <c r="G12" s="12">
        <f>COUNTIFS('NC Qualité'!A:A,"&gt;=01/01/2020",'NC Qualité'!A:A,"&lt;=31/01/2020",'NC Qualité'!E:E,"Préfabrication")</f>
        <v>0</v>
      </c>
      <c r="H12" s="12">
        <f>COUNTIFS('NC Qualité'!A:A,"&gt;=01/02/2020",'NC Qualité'!A:A,"&lt;=29/02/2020",'NC Qualité'!E:E,"Préfabrication")</f>
        <v>0</v>
      </c>
      <c r="I12" s="12">
        <f>COUNTIFS('NC Qualité'!A:A,"&gt;=01/03/2020",'NC Qualité'!A:A,"&lt;=31/03/2020",'NC Qualité'!E:E,"Préfabrication")</f>
        <v>0</v>
      </c>
      <c r="J12" s="12">
        <f>COUNTIFS('NC Qualité'!A:A,"&gt;=01/04/2020",'NC Qualité'!A:A,"&lt;=30/04/2020",'NC Qualité'!E:E,"Préfabrication")</f>
        <v>0</v>
      </c>
      <c r="K12" s="12">
        <f>COUNTIFS('NC Qualité'!A:A,"&gt;=01/05/2020",'NC Qualité'!A:A,"&lt;=31/05/2020",'NC Qualité'!E:E,"Préfabrication")</f>
        <v>0</v>
      </c>
      <c r="L12" s="12">
        <f>COUNTIFS('NC Qualité'!A:A,"&gt;=01/06/2020",'NC Qualité'!A:A,"&lt;=30/06/2020",'NC Qualité'!E:E,"Préfabrication")</f>
        <v>0</v>
      </c>
      <c r="M12" s="12">
        <f>COUNTIFS('NC Qualité'!A:A,"&gt;=01/07/2020",'NC Qualité'!A:A,"&lt;=31/07/2020",'NC Qualité'!E:E,"Préfabrication")</f>
        <v>0</v>
      </c>
    </row>
    <row r="13" spans="1:25">
      <c r="A13" s="17" t="s">
        <v>3</v>
      </c>
      <c r="B13">
        <f>COUNTIFS('NC Qualité'!A:A,"&gt;=01/08/2020",'NC Qualité'!A:A,"&lt;=31/08/2020",'NC Qualité'!E:E,"Précontraint")</f>
        <v>0</v>
      </c>
      <c r="C13" s="12">
        <f>COUNTIFS('NC Qualité'!A:A,"&gt;=01/09/2020",'NC Qualité'!A:A,"&lt;=30/09/2020",'NC Qualité'!E:E,"Précontraint")</f>
        <v>0</v>
      </c>
      <c r="D13" s="12">
        <f>COUNTIFS('NC Qualité'!A:A,"&gt;=01/10/2020",'NC Qualité'!A:A,"&lt;=31/10/2020",'NC Qualité'!E:E,"Précontraint")</f>
        <v>0</v>
      </c>
      <c r="E13" s="12">
        <f>COUNTIFS('NC Qualité'!A:A,"&gt;=01/11/2020",'NC Qualité'!A:A,"&lt;=30/11/2020",'NC Qualité'!E:E,"Précontraint")</f>
        <v>0</v>
      </c>
      <c r="F13" s="12">
        <f>COUNTIFS('NC Qualité'!A:A,"&gt;=01/12/2020",'NC Qualité'!A:A,"&lt;=31/12/2020",'NC Qualité'!E:E,"Précontraint")</f>
        <v>0</v>
      </c>
      <c r="G13" s="12">
        <f>COUNTIFS('NC Qualité'!A:A,"&gt;=01/01/2020",'NC Qualité'!A:A,"&lt;=31/01/2020",'NC Qualité'!E:E,"Précontraint")</f>
        <v>0</v>
      </c>
      <c r="H13" s="12">
        <f>COUNTIFS('NC Qualité'!A:A,"&gt;=01/02/2020",'NC Qualité'!A:A,"&lt;=29/02/2020",'NC Qualité'!E:E,"Précontraint")</f>
        <v>0</v>
      </c>
      <c r="I13" s="12">
        <f>COUNTIFS('NC Qualité'!A:A,"&gt;=01/03/2020",'NC Qualité'!A:A,"&lt;=31/03/2020",'NC Qualité'!E:E,"Précontraint")</f>
        <v>0</v>
      </c>
      <c r="J13" s="12">
        <f>COUNTIFS('NC Qualité'!A:A,"&gt;=01/04/2020",'NC Qualité'!A:A,"&lt;=30/04/2020",'NC Qualité'!E:E,"Précontraint")</f>
        <v>0</v>
      </c>
      <c r="K13" s="12">
        <f>COUNTIFS('NC Qualité'!A:A,"&gt;=01/05/2020",'NC Qualité'!A:A,"&lt;=31/05/2020",'NC Qualité'!E:E,"Précontraint")</f>
        <v>0</v>
      </c>
      <c r="L13" s="12">
        <f>COUNTIFS('NC Qualité'!A:A,"&gt;=01/06/2020",'NC Qualité'!A:A,"&lt;=30/06/2020",'NC Qualité'!E:E,"Précontraint")</f>
        <v>0</v>
      </c>
      <c r="M13" s="12">
        <f>COUNTIFS('NC Qualité'!A:A,"&gt;=01/07/2020",'NC Qualité'!A:A,"&lt;=31/07/2020",'NC Qualité'!E:E,"Précontraint")</f>
        <v>0</v>
      </c>
    </row>
    <row r="14" spans="1:25">
      <c r="A14" s="2" t="s">
        <v>2</v>
      </c>
      <c r="B14" s="40">
        <f>COUNTIFS('NC Qualité'!A:A,"&gt;=01/08/2020",'NC Qualité'!A:A,"&lt;=31/08/2020",'NC Qualité'!E:E,"Parc")</f>
        <v>0</v>
      </c>
      <c r="C14" s="12">
        <f>COUNTIFS('NC Qualité'!A:A,"&gt;=01/09/2020",'NC Qualité'!A:A,"&lt;=30/09/2020",'NC Qualité'!E:E,"Parc")</f>
        <v>0</v>
      </c>
      <c r="D14" s="12">
        <f>COUNTIFS('NC Qualité'!A:A,"&gt;=01/10/2020",'NC Qualité'!A:A,"&lt;=31/10/2020",'NC Qualité'!E:E,"Parc")</f>
        <v>0</v>
      </c>
      <c r="E14" s="12">
        <f>COUNTIFS('NC Qualité'!A:A,"&gt;=01/11/2020",'NC Qualité'!A:A,"&lt;=30/11/2020",'NC Qualité'!E:E,"Parc")</f>
        <v>0</v>
      </c>
      <c r="F14" s="12">
        <f>COUNTIFS('NC Qualité'!A:A,"&gt;=01/12/2020",'NC Qualité'!A:A,"&lt;=31/12/2020",'NC Qualité'!E:E,"Parc")</f>
        <v>0</v>
      </c>
      <c r="G14" s="12">
        <f>COUNTIFS('NC Qualité'!A:A,"&gt;=01/01/2020",'NC Qualité'!A:A,"&lt;=31/01/2020",'NC Qualité'!E:E,"Parc")</f>
        <v>0</v>
      </c>
      <c r="H14" s="12">
        <f>COUNTIFS('NC Qualité'!A:A,"&gt;=01/02/2020",'NC Qualité'!A:A,"&lt;=29/02/2020",'NC Qualité'!E:E,"Parc")</f>
        <v>0</v>
      </c>
      <c r="I14" s="12">
        <f>COUNTIFS('NC Qualité'!A:A,"&gt;=01/03/2020",'NC Qualité'!A:A,"&lt;=31/03/2020",'NC Qualité'!E:E,"Parc")</f>
        <v>0</v>
      </c>
      <c r="J14" s="12">
        <f>COUNTIFS('NC Qualité'!A:A,"&gt;=01/04/2020",'NC Qualité'!A:A,"&lt;=30/04/2020",'NC Qualité'!E:E,"Parc")</f>
        <v>0</v>
      </c>
      <c r="K14" s="12">
        <f>COUNTIFS('NC Qualité'!A:A,"&gt;=01/05/2020",'NC Qualité'!A:A,"&lt;=31/05/2020",'NC Qualité'!E:E,"Parc")</f>
        <v>0</v>
      </c>
      <c r="L14" s="12">
        <f>COUNTIFS('NC Qualité'!A:A,"&gt;=01/06/2020",'NC Qualité'!A:A,"&lt;=30/06/2020",'NC Qualité'!E:E,"Parc")</f>
        <v>0</v>
      </c>
      <c r="M14" s="12">
        <f>COUNTIFS('NC Qualité'!A:A,"&gt;=01/07/2020",'NC Qualité'!A:A,"&lt;=31/07/2020",'NC Qualité'!E:E,"Parc")</f>
        <v>0</v>
      </c>
    </row>
    <row r="15" spans="1:25">
      <c r="B15" s="39">
        <f>SUM(B3:B14)</f>
        <v>0</v>
      </c>
      <c r="C15" s="39">
        <f>SUM(C3:C14)</f>
        <v>0</v>
      </c>
      <c r="D15" s="39">
        <f>SUM(D3:D14)</f>
        <v>0</v>
      </c>
      <c r="E15" s="39">
        <f t="shared" ref="E15:M15" si="0">SUM(E3:E14)</f>
        <v>0</v>
      </c>
      <c r="F15" s="39">
        <f t="shared" si="0"/>
        <v>0</v>
      </c>
      <c r="G15" s="39">
        <f t="shared" si="0"/>
        <v>0</v>
      </c>
      <c r="H15" s="39">
        <f t="shared" si="0"/>
        <v>0</v>
      </c>
      <c r="I15" s="39">
        <f t="shared" si="0"/>
        <v>0</v>
      </c>
      <c r="J15" s="39">
        <f t="shared" si="0"/>
        <v>0</v>
      </c>
      <c r="K15" s="39">
        <f t="shared" si="0"/>
        <v>0</v>
      </c>
      <c r="L15" s="39">
        <f t="shared" si="0"/>
        <v>0</v>
      </c>
      <c r="M15" s="39">
        <f t="shared" si="0"/>
        <v>0</v>
      </c>
    </row>
    <row r="17" spans="1:33">
      <c r="B17" t="s">
        <v>58</v>
      </c>
    </row>
    <row r="18" spans="1:33" ht="105">
      <c r="B18" s="15" t="s">
        <v>34</v>
      </c>
      <c r="C18" s="22" t="s">
        <v>36</v>
      </c>
      <c r="D18" s="22" t="s">
        <v>5</v>
      </c>
      <c r="E18" s="22" t="s">
        <v>41</v>
      </c>
      <c r="F18" s="22" t="s">
        <v>31</v>
      </c>
      <c r="G18" s="22" t="s">
        <v>42</v>
      </c>
      <c r="H18" s="22" t="s">
        <v>43</v>
      </c>
      <c r="I18" s="22" t="s">
        <v>44</v>
      </c>
      <c r="J18" s="22" t="s">
        <v>45</v>
      </c>
      <c r="K18" s="22" t="s">
        <v>46</v>
      </c>
      <c r="L18" s="22" t="s">
        <v>47</v>
      </c>
      <c r="M18" s="22" t="s">
        <v>48</v>
      </c>
      <c r="N18" s="22" t="s">
        <v>49</v>
      </c>
      <c r="O18" s="22" t="s">
        <v>50</v>
      </c>
      <c r="P18" s="22" t="s">
        <v>29</v>
      </c>
      <c r="Q18" s="22" t="s">
        <v>53</v>
      </c>
      <c r="R18" s="22" t="s">
        <v>32</v>
      </c>
      <c r="S18" s="22" t="s">
        <v>54</v>
      </c>
      <c r="T18" s="22" t="s">
        <v>6</v>
      </c>
      <c r="U18" s="22" t="s">
        <v>30</v>
      </c>
      <c r="V18" s="22" t="s">
        <v>8</v>
      </c>
      <c r="W18" s="22" t="s">
        <v>33</v>
      </c>
      <c r="X18" s="22" t="s">
        <v>55</v>
      </c>
      <c r="AA18" s="34" t="s">
        <v>57</v>
      </c>
      <c r="AB18" s="33" t="s">
        <v>56</v>
      </c>
    </row>
    <row r="19" spans="1:33" ht="21">
      <c r="A19" s="64" t="s">
        <v>52</v>
      </c>
      <c r="B19" s="21" t="s">
        <v>27</v>
      </c>
      <c r="P19" s="23"/>
      <c r="Q19" s="23"/>
      <c r="R19" s="23"/>
      <c r="S19" s="23"/>
      <c r="T19" s="23"/>
      <c r="U19" s="23"/>
      <c r="V19" s="23"/>
      <c r="W19" s="23"/>
      <c r="X19" s="27"/>
      <c r="AA19" s="32"/>
      <c r="AB19" s="32"/>
    </row>
    <row r="20" spans="1:33" ht="21">
      <c r="A20" s="64"/>
      <c r="B20" s="2" t="s">
        <v>1</v>
      </c>
      <c r="M20" s="46"/>
      <c r="P20" s="23"/>
      <c r="Q20" s="23"/>
      <c r="R20" s="23"/>
      <c r="S20" s="23"/>
      <c r="T20" s="23"/>
      <c r="U20" s="23"/>
      <c r="V20" s="23"/>
      <c r="W20" s="23"/>
      <c r="X20" s="28"/>
      <c r="AA20" s="32"/>
      <c r="AB20" s="32"/>
    </row>
    <row r="21" spans="1:33" ht="45">
      <c r="A21" s="64"/>
      <c r="B21" s="2" t="s">
        <v>28</v>
      </c>
      <c r="P21" s="23"/>
      <c r="Q21" s="23"/>
      <c r="R21" s="23"/>
      <c r="S21" s="23"/>
      <c r="T21" s="23"/>
      <c r="U21" s="23"/>
      <c r="V21" s="23"/>
      <c r="W21" s="23"/>
      <c r="X21" s="28"/>
      <c r="AA21" s="32"/>
      <c r="AB21" s="32"/>
      <c r="AG21">
        <v>2020</v>
      </c>
    </row>
    <row r="22" spans="1:33" ht="30">
      <c r="A22" s="64"/>
      <c r="B22" s="16" t="s">
        <v>37</v>
      </c>
      <c r="P22" s="23"/>
      <c r="Q22" s="23"/>
      <c r="R22" s="23"/>
      <c r="S22" s="23"/>
      <c r="T22" s="23"/>
      <c r="U22" s="23"/>
      <c r="V22" s="23"/>
      <c r="W22" s="23"/>
      <c r="X22" s="28"/>
      <c r="AA22" s="32"/>
      <c r="AB22" s="32"/>
    </row>
    <row r="23" spans="1:33" ht="45">
      <c r="A23" s="64"/>
      <c r="B23" s="16" t="s">
        <v>38</v>
      </c>
      <c r="P23" s="23"/>
      <c r="Q23" s="23"/>
      <c r="R23" s="23"/>
      <c r="S23" s="23"/>
      <c r="T23" s="23"/>
      <c r="U23" s="23"/>
      <c r="V23" s="23"/>
      <c r="W23" s="23"/>
      <c r="X23" s="28"/>
      <c r="AA23" s="32"/>
      <c r="AB23" s="32"/>
    </row>
    <row r="24" spans="1:33" ht="45">
      <c r="A24" s="64"/>
      <c r="B24" s="16" t="s">
        <v>39</v>
      </c>
      <c r="P24" s="23"/>
      <c r="Q24" s="23"/>
      <c r="R24" s="23"/>
      <c r="S24" s="23"/>
      <c r="T24" s="23"/>
      <c r="U24" s="23"/>
      <c r="V24" s="23"/>
      <c r="W24" s="23"/>
      <c r="X24" s="28"/>
      <c r="AA24" s="32"/>
      <c r="AB24" s="32"/>
    </row>
    <row r="25" spans="1:33" ht="45">
      <c r="A25" s="64"/>
      <c r="B25" s="2" t="s">
        <v>40</v>
      </c>
      <c r="P25" s="23"/>
      <c r="Q25" s="23"/>
      <c r="R25" s="23"/>
      <c r="S25" s="23"/>
      <c r="T25" s="23"/>
      <c r="U25" s="23"/>
      <c r="V25" s="23"/>
      <c r="W25" s="23"/>
      <c r="X25" s="28"/>
      <c r="AA25" s="32"/>
      <c r="AB25" s="32"/>
    </row>
    <row r="26" spans="1:33" ht="30">
      <c r="A26" s="64" t="s">
        <v>51</v>
      </c>
      <c r="B26" s="2" t="s">
        <v>7</v>
      </c>
      <c r="C26" s="23"/>
      <c r="D26">
        <f>COUNTIFS('NC Qualité'!A:A,"&gt;=01/08/2020",'NC Qualité'!A:A,"&lt;=31/08/2020",'NC Qualité'!E:E,"Panneau coulé à plat",'NC Qualité'!J:J,"Problème d'étiquetage")</f>
        <v>0</v>
      </c>
      <c r="E26" s="23"/>
      <c r="F26">
        <f>COUNTIFS('NC Qualité'!A:A,"&gt;=01/08/2020",'NC Qualité'!A:A,"&lt;=31/08/2020",'NC Qualité'!E:E,"Panneau coulé à plat",'NC Qualité'!J:J,"Aspect béton (tâches / nid d'abeilles / granuleux / Fissures etc.)")</f>
        <v>0</v>
      </c>
      <c r="G26" s="23"/>
      <c r="H26">
        <f>COUNTIFS('NC Qualité'!A:A,"&gt;=01/08/2020",'NC Qualité'!A:A,"&lt;=31/08/2020",'NC Qualité'!E:E,"Panneau coulé à plat",'NC Qualité'!J:J,"Ancre de levage")</f>
        <v>0</v>
      </c>
      <c r="I26" s="23"/>
      <c r="J26">
        <f>COUNTIFS('NC Qualité'!A:A,"&gt;=01/08/2020",'NC Qualité'!A:A,"&lt;=31/08/2020",'NC Qualité'!E:E,"Modul : Tuyaux Dn 1800 à 2630",'NC Qualité'!J:J,"Armatures apparentes")</f>
        <v>0</v>
      </c>
      <c r="K26" s="23"/>
      <c r="L26" s="23"/>
      <c r="M26" s="23"/>
      <c r="N26" s="23"/>
      <c r="O26">
        <f>COUNTIFS('NC Qualité'!A:A,"&gt;=01/08/2020",'NC Qualité'!A:A,"&lt;=31/08/2020",'NC Qualité'!E:E,"Panneau coulé à plat",'NC Qualité'!J:J,"Autres :")</f>
        <v>0</v>
      </c>
      <c r="P26">
        <f>COUNTIFS('NC Qualité'!A:A,"&gt;=01/08/2020",'NC Qualité'!A:A,"&lt;=31/08/2020",'NC Qualité'!E:E,"Panneau coulé à plat",'NC Qualité'!J:J,"Accessoires (Mauvais positionnement , manquement, etc.)")</f>
        <v>0</v>
      </c>
      <c r="Q26">
        <f>COUNTIFS('NC Qualité'!A:A,"&gt;=01/08/2020",'NC Qualité'!A:A,"&lt;=31/08/2020",'NC Qualité'!E:E,"Panneau coulé à plat",'NC Qualité'!J:J,"équerrisage")</f>
        <v>0</v>
      </c>
      <c r="R26">
        <f>COUNTIFS('NC Qualité'!A:A,"&gt;=01/08/2020",'NC Qualité'!A:A,"&lt;=31/08/2020",'NC Qualité'!E:E,"Panneau coulé à plat",'NC Qualité'!J:J,"Seuil de porte (réservation)")</f>
        <v>0</v>
      </c>
      <c r="S26">
        <f>COUNTIFS('NC Qualité'!A:A,"&gt;=01/08/2020",'NC Qualité'!A:A,"&lt;=31/08/2020",'NC Qualité'!E:E,"Panneau coulé à plat",'NC Qualité'!J:J,"épaisseur")</f>
        <v>0</v>
      </c>
      <c r="T26">
        <f>COUNTIFS('NC Qualité'!A:A,"&gt;=01/08/2020",'NC Qualité'!A:A,"&lt;=31/08/2020",'NC Qualité'!E:E,"Panneau coulé à plat",'NC Qualité'!J:J,"Chanfrein")</f>
        <v>0</v>
      </c>
      <c r="U26">
        <f>COUNTIFS('NC Qualité'!A:A,"&gt;=01/08/2020",'NC Qualité'!A:A,"&lt;=31/08/2020",'NC Qualité'!E:E,"Panneau coulé à plat",'NC Qualité'!J:J,"Dimensionnement (entraînant un rebut)")</f>
        <v>0</v>
      </c>
      <c r="V26">
        <f>COUNTIFS('NC Qualité'!A:A,"&gt;=01/08/2020",'NC Qualité'!A:A,"&lt;=31/08/2020",'NC Qualité'!E:E,"Panneau coulé à plat",'NC Qualité'!J:J,"Cintrage")</f>
        <v>0</v>
      </c>
      <c r="W26">
        <f>COUNTIFS('NC Qualité'!A:A,"&gt;=01/08/2020",'NC Qualité'!A:A,"&lt;=31/08/2020",'NC Qualité'!E:E,"Panneau coulé à plat",'NC Qualité'!J:J,"Problème de chargement (sanglage, casse etc.)")</f>
        <v>0</v>
      </c>
      <c r="X26" s="29">
        <f>COUNTIFS('NC Qualité'!A:A,"&gt;=01/08/2020",'NC Qualité'!A:A,"&lt;=31/08/2020",'NC Qualité'!E:E,"Panneau coulé à plat",'NC Qualité'!J:J,"Erreur de chargement ")</f>
        <v>0</v>
      </c>
      <c r="AA26" s="32">
        <f>COUNTIFS('NC Qualité'!A:A,"&gt;=01/08/2020",'NC Qualité'!A:A,"&lt;=31/08/2020",'NC Qualité'!E:E,"Panneau coulé à plat",'NC Qualité'!T:T,1)</f>
        <v>0</v>
      </c>
      <c r="AB26" s="32">
        <f>COUNTIFS('NC Qualité'!A:A,"&gt;=01/08/2020",'NC Qualité'!A:A,"&lt;=31/08/2020",'NC Qualité'!E:E,"Panneau coulé à plat",'NC Qualité'!R:R,"A")</f>
        <v>0</v>
      </c>
    </row>
    <row r="27" spans="1:33" ht="21">
      <c r="A27" s="64"/>
      <c r="B27" s="2" t="s">
        <v>0</v>
      </c>
      <c r="C27" s="23"/>
      <c r="D27">
        <f>COUNTIFS('NC Qualité'!A:A,"&gt;=01/08/2020",'NC Qualité'!A:A,"&lt;=31/08/2020",'NC Qualité'!E:E,"Bianchi",'NC Qualité'!J:J,"Problème d'étiquetage")</f>
        <v>0</v>
      </c>
      <c r="E27" s="23"/>
      <c r="F27">
        <f>COUNTIFS('NC Qualité'!A:A,"&gt;=01/08/2020",'NC Qualité'!A:A,"&lt;=31/08/2020",'NC Qualité'!E:E,"Bianchi",'NC Qualité'!J:J,"Aspect béton (tâches / nid d'abeilles / granuleux / Fissures etc.)")</f>
        <v>0</v>
      </c>
      <c r="G27" s="23"/>
      <c r="H27">
        <f>COUNTIFS('NC Qualité'!A:A,"&gt;=01/08/2020",'NC Qualité'!A:A,"&lt;=31/08/2020",'NC Qualité'!E:E,"Bianchi",'NC Qualité'!J:J,"Ancre de levage")</f>
        <v>0</v>
      </c>
      <c r="I27" s="23"/>
      <c r="J27">
        <f>COUNTIFS('NC Qualité'!A:A,"&gt;=01/08/2020",'NC Qualité'!A:A,"&lt;=31/08/2020",'NC Qualité'!E:E,"Bianchi",'NC Qualité'!J:J,"Armatures apparentes")</f>
        <v>0</v>
      </c>
      <c r="K27" s="23"/>
      <c r="L27" s="23"/>
      <c r="M27" s="23"/>
      <c r="N27" s="23"/>
      <c r="O27">
        <f>COUNTIFS('NC Qualité'!A:A,"&gt;=01/08/2020",'NC Qualité'!A:A,"&lt;=31/08/2020",'NC Qualité'!E:E,"Bianchi",'NC Qualité'!J:J,"Autres :")</f>
        <v>0</v>
      </c>
      <c r="P27">
        <f>COUNTIFS('NC Qualité'!A:A,"&gt;=01/08/2020",'NC Qualité'!A:A,"&lt;=31/08/2020",'NC Qualité'!E:E,"Bianchi",'NC Qualité'!J:J,"Accessoires (Mauvais positionnement , manquement, etc.)")</f>
        <v>0</v>
      </c>
      <c r="Q27">
        <f>COUNTIFS('NC Qualité'!A:A,"&gt;=01/08/2020",'NC Qualité'!A:A,"&lt;=31/08/2020",'NC Qualité'!E:E,"Bianchi",'NC Qualité'!J:J,"équerrisage")</f>
        <v>0</v>
      </c>
      <c r="R27">
        <f>COUNTIFS('NC Qualité'!A:A,"&gt;=01/08/2020",'NC Qualité'!A:A,"&lt;=31/08/2020",'NC Qualité'!E:E,"Bianchi",'NC Qualité'!J:J,"Seuil de porte (réservation)")</f>
        <v>0</v>
      </c>
      <c r="S27">
        <f>COUNTIFS('NC Qualité'!A:A,"&gt;=01/08/2020",'NC Qualité'!A:A,"&lt;=31/08/2020",'NC Qualité'!E:E,"Bianchi",'NC Qualité'!J:J,"épaisseur")</f>
        <v>0</v>
      </c>
      <c r="T27">
        <f>COUNTIFS('NC Qualité'!A:A,"&gt;=01/08/2020",'NC Qualité'!A:A,"&lt;=31/08/2020",'NC Qualité'!E:E,"Bianchi",'NC Qualité'!J:J,"Chanfrein")</f>
        <v>0</v>
      </c>
      <c r="U27">
        <f>COUNTIFS('NC Qualité'!A:A,"&gt;=01/08/2020",'NC Qualité'!A:A,"&lt;=31/08/2020",'NC Qualité'!E:E,"Bianchi",'NC Qualité'!J:J,"Dimensionnement (entraînant un rebut)")</f>
        <v>0</v>
      </c>
      <c r="V27">
        <f>COUNTIFS('NC Qualité'!A:A,"&gt;=01/08/2020",'NC Qualité'!A:A,"&lt;=31/08/2020",'NC Qualité'!E:E,"Bianchi",'NC Qualité'!J:J,"Cintrage")</f>
        <v>0</v>
      </c>
      <c r="W27">
        <f>COUNTIFS('NC Qualité'!A:A,"&gt;=01/08/2020",'NC Qualité'!A:A,"&lt;=31/08/2020",'NC Qualité'!E:E,"Bianchi",'NC Qualité'!J:J,"Problème de chargement (sanglage, casse etc.)")</f>
        <v>0</v>
      </c>
      <c r="X27" s="29">
        <f>COUNTIFS('NC Qualité'!A:A,"&gt;=01/08/2020",'NC Qualité'!A:A,"&lt;=31/08/2020",'NC Qualité'!E:E,"Bianchi",'NC Qualité'!J:J,"Erreur de chargement ")</f>
        <v>0</v>
      </c>
      <c r="AA27" s="32">
        <f>COUNTIFS('NC Qualité'!A:A,"&gt;=01/08/2020",'NC Qualité'!A:A,"&lt;=31/08/2020",'NC Qualité'!E:E,"Bianchi",'NC Qualité'!T:T,1)</f>
        <v>0</v>
      </c>
      <c r="AB27" s="32">
        <f>COUNTIFS('NC Qualité'!A:A,"&gt;=01/08/2020",'NC Qualité'!A:A,"&lt;=31/08/2020",'NC Qualité'!E:E,"Bianchi",'NC Qualité'!R:R,"A")</f>
        <v>0</v>
      </c>
    </row>
    <row r="28" spans="1:33" ht="30">
      <c r="A28" s="64"/>
      <c r="B28" s="2" t="s">
        <v>4</v>
      </c>
      <c r="C28" s="23"/>
      <c r="D28">
        <f>COUNTIFS('NC Qualité'!A:A,"&gt;=01/08/2020",'NC Qualité'!A:A,"&lt;=31/08/2020",'NC Qualité'!E:E,"Préfabrication",'NC Qualité'!J:J,"Problème d'étiquetage")</f>
        <v>0</v>
      </c>
      <c r="E28" s="23"/>
      <c r="F28">
        <f>COUNTIFS('NC Qualité'!A:A,"&gt;=01/08/2020",'NC Qualité'!A:A,"&lt;=31/08/2020",'NC Qualité'!E:E,"Préfabrication",'NC Qualité'!J:J,"Aspect béton (tâches / nid d'abeilles / granuleux / Fissures etc.)")</f>
        <v>0</v>
      </c>
      <c r="G28" s="23"/>
      <c r="H28">
        <f>COUNTIFS('NC Qualité'!A:A,"&gt;=01/08/2020",'NC Qualité'!A:A,"&lt;=31/08/2020",'NC Qualité'!E:E,"Préfabrication",'NC Qualité'!J:J,"Ancre de levage")</f>
        <v>0</v>
      </c>
      <c r="I28" s="23"/>
      <c r="J28">
        <f>COUNTIFS('NC Qualité'!A:A,"&gt;=01/08/2020",'NC Qualité'!A:A,"&lt;=31/08/2020",'NC Qualité'!E:E,"Préfabrication",'NC Qualité'!J:J,"Armatures apparentes")</f>
        <v>0</v>
      </c>
      <c r="K28" s="23"/>
      <c r="L28" s="23"/>
      <c r="M28" s="23"/>
      <c r="N28" s="23"/>
      <c r="O28">
        <f>COUNTIFS('NC Qualité'!A:A,"&gt;=01/08/2020",'NC Qualité'!A:A,"&lt;=31/08/2020",'NC Qualité'!E:E,"Préfabrication",'NC Qualité'!J:J,"Autres :")</f>
        <v>0</v>
      </c>
      <c r="P28">
        <f>COUNTIFS('NC Qualité'!A:A,"&gt;=01/08/2020",'NC Qualité'!A:A,"&lt;=31/08/2020",'NC Qualité'!E:E,"Préfabrication",'NC Qualité'!J:J,"Accessoires (Mauvais positionnement , manquement, etc.)")</f>
        <v>0</v>
      </c>
      <c r="Q28">
        <f>COUNTIFS('NC Qualité'!A:A,"&gt;=01/08/2020",'NC Qualité'!A:A,"&lt;=31/08/2020",'NC Qualité'!E:E,"Préfabrication",'NC Qualité'!J:J,"équerrisage")</f>
        <v>0</v>
      </c>
      <c r="R28">
        <f>COUNTIFS('NC Qualité'!A:A,"&gt;=01/08/2020",'NC Qualité'!A:A,"&lt;=31/08/2020",'NC Qualité'!E:E,"Préfabrication",'NC Qualité'!J:J,"Seuil de porte (réservation)")</f>
        <v>0</v>
      </c>
      <c r="S28">
        <f>COUNTIFS('NC Qualité'!A:A,"&gt;=01/08/2020",'NC Qualité'!A:A,"&lt;=31/08/2020",'NC Qualité'!E:E,"Préfabrication",'NC Qualité'!J:J,"épaisseur")</f>
        <v>0</v>
      </c>
      <c r="T28">
        <f>COUNTIFS('NC Qualité'!A:A,"&gt;=01/08/2020",'NC Qualité'!A:A,"&lt;=31/08/2020",'NC Qualité'!E:E,"Préfabrication",'NC Qualité'!J:J,"Chanfrein")</f>
        <v>0</v>
      </c>
      <c r="U28">
        <f>COUNTIFS('NC Qualité'!A:A,"&gt;=01/08/2020",'NC Qualité'!A:A,"&lt;=31/08/2020",'NC Qualité'!E:E,"Préfabrication",'NC Qualité'!J:J,"Dimensionnement (entraînant un rebut)")</f>
        <v>0</v>
      </c>
      <c r="V28">
        <f>COUNTIFS('NC Qualité'!A:A,"&gt;=01/08/2020",'NC Qualité'!A:A,"&lt;=31/08/2020",'NC Qualité'!E:E,"Préfabrication",'NC Qualité'!J:J,"Cintrage")</f>
        <v>0</v>
      </c>
      <c r="W28">
        <f>COUNTIFS('NC Qualité'!A:A,"&gt;=01/08/2020",'NC Qualité'!A:A,"&lt;=31/08/2020",'NC Qualité'!E:E,"Préfabrication",'NC Qualité'!J:J,"Problème de chargement (sanglage, casse etc.)")</f>
        <v>0</v>
      </c>
      <c r="X28" s="29">
        <f>COUNTIFS('NC Qualité'!A:A,"&gt;=01/08/2020",'NC Qualité'!A:A,"&lt;=31/08/2020",'NC Qualité'!E:E,"Préfabrication",'NC Qualité'!J:J,"Erreur de chargement ")</f>
        <v>0</v>
      </c>
      <c r="AA28" s="32">
        <f>COUNTIFS('NC Qualité'!A:A,"&gt;=01/08/2020",'NC Qualité'!A:A,"&lt;=31/08/2020",'NC Qualité'!E:E,"Préfabrication",'NC Qualité'!T:T,1)</f>
        <v>0</v>
      </c>
      <c r="AB28" s="32">
        <f>COUNTIFS('NC Qualité'!A:A,"&gt;=01/08/2020",'NC Qualité'!A:A,"&lt;=31/08/2020",'NC Qualité'!E:E,"Préfabrication",'NC Qualité'!R:R,"A")</f>
        <v>0</v>
      </c>
    </row>
    <row r="29" spans="1:33" ht="30">
      <c r="A29" s="64"/>
      <c r="B29" s="17" t="s">
        <v>3</v>
      </c>
      <c r="C29" s="23"/>
      <c r="D29">
        <f>COUNTIFS('NC Qualité'!A:A,"&gt;=01/08/2020",'NC Qualité'!A:A,"&lt;=31/08/2020",'NC Qualité'!E:E,"Précontraint",'NC Qualité'!J:J,"Problème d'étiquetage")</f>
        <v>0</v>
      </c>
      <c r="E29" s="23"/>
      <c r="F29">
        <f>COUNTIFS('NC Qualité'!A:A,"&gt;=01/08/2020",'NC Qualité'!A:A,"&lt;=31/08/2020",'NC Qualité'!E:E,"Précontraint",'NC Qualité'!J:J,"Aspect béton (tâches / nid d'abeilles / granuleux / Fissures etc.)")</f>
        <v>0</v>
      </c>
      <c r="G29" s="23"/>
      <c r="H29">
        <f>COUNTIFS('NC Qualité'!A:A,"&gt;=01/08/2020",'NC Qualité'!A:A,"&lt;=31/08/2020",'NC Qualité'!E:E,"Précontraint",'NC Qualité'!J:J,"Ancre de levage")</f>
        <v>0</v>
      </c>
      <c r="I29" s="23"/>
      <c r="J29">
        <f>COUNTIFS('NC Qualité'!A:A,"&gt;=01/08/2020",'NC Qualité'!A:A,"&lt;=31/08/2020",'NC Qualité'!E:E,"Précontraint",'NC Qualité'!J:J,"Armatures apparentes")</f>
        <v>0</v>
      </c>
      <c r="K29" s="23"/>
      <c r="L29" s="23"/>
      <c r="M29" s="23"/>
      <c r="N29" s="23"/>
      <c r="O29">
        <f>COUNTIFS('NC Qualité'!A:A,"&gt;=01/08/2020",'NC Qualité'!A:A,"&lt;=31/08/2020",'NC Qualité'!E:E,"Précontraint",'NC Qualité'!J:J,"Autres :")</f>
        <v>0</v>
      </c>
      <c r="P29">
        <f>COUNTIFS('NC Qualité'!A:A,"&gt;=01/08/2020",'NC Qualité'!A:A,"&lt;=31/08/2020",'NC Qualité'!E:E,"Précontraint",'NC Qualité'!J:J,"Accessoires (Mauvais positionnement , manquement, etc.)")</f>
        <v>0</v>
      </c>
      <c r="Q29">
        <f>COUNTIFS('NC Qualité'!A:A,"&gt;=01/08/2020",'NC Qualité'!A:A,"&lt;=31/08/2020",'NC Qualité'!E:E,"Précontraint",'NC Qualité'!J:J,"équerrisage")</f>
        <v>0</v>
      </c>
      <c r="R29">
        <f>COUNTIFS('NC Qualité'!A:A,"&gt;=01/08/2020",'NC Qualité'!A:A,"&lt;=31/08/2020",'NC Qualité'!E:E,"Précontraint",'NC Qualité'!J:J,"Seuil de porte (réservation)")</f>
        <v>0</v>
      </c>
      <c r="S29">
        <f>COUNTIFS('NC Qualité'!A:A,"&gt;=01/08/2020",'NC Qualité'!A:A,"&lt;=31/08/2020",'NC Qualité'!E:E,"Précontraint",'NC Qualité'!J:J,"épaisseur")</f>
        <v>0</v>
      </c>
      <c r="T29">
        <f>COUNTIFS('NC Qualité'!A:A,"&gt;=01/08/2020",'NC Qualité'!A:A,"&lt;=31/08/2020",'NC Qualité'!E:E,"Précontraint",'NC Qualité'!J:J,"Chanfrein")</f>
        <v>0</v>
      </c>
      <c r="U29">
        <f>COUNTIFS('NC Qualité'!A:A,"&gt;=01/08/2020",'NC Qualité'!A:A,"&lt;=31/08/2020",'NC Qualité'!E:E,"Précontraint",'NC Qualité'!J:J,"Dimensionnement (entraînant un rebut)")</f>
        <v>0</v>
      </c>
      <c r="V29">
        <f>COUNTIFS('NC Qualité'!A:A,"&gt;=01/08/2020",'NC Qualité'!A:A,"&lt;=31/08/2020",'NC Qualité'!E:E,"Précontraint",'NC Qualité'!J:J,"Cintrage")</f>
        <v>0</v>
      </c>
      <c r="W29">
        <f>COUNTIFS('NC Qualité'!A:A,"&gt;=01/08/2020",'NC Qualité'!A:A,"&lt;=31/08/2020",'NC Qualité'!E:E,"Précontraint",'NC Qualité'!J:J,"Problème de chargement (sanglage, casse etc.)")</f>
        <v>0</v>
      </c>
      <c r="X29" s="29">
        <f>COUNTIFS('NC Qualité'!A:A,"&gt;=01/08/2020",'NC Qualité'!A:A,"&lt;=31/08/2020",'NC Qualité'!E:E,"Précontraint",'NC Qualité'!J:J,"Erreur de chargement ")</f>
        <v>0</v>
      </c>
      <c r="AA29" s="32">
        <f>COUNTIFS('NC Qualité'!A:A,"&gt;=01/08/2020",'NC Qualité'!A:A,"&lt;=31/08/2020",'NC Qualité'!E:E,"Précontraint",'NC Qualité'!T:T,1)</f>
        <v>0</v>
      </c>
      <c r="AB29" s="32">
        <f>COUNTIFS('NC Qualité'!A:A,"&gt;=01/08/2020",'NC Qualité'!A:A,"&lt;=31/08/2020",'NC Qualité'!E:E,"Précontraint",'NC Qualité'!R:R,"A")</f>
        <v>0</v>
      </c>
    </row>
    <row r="30" spans="1:33" ht="21">
      <c r="A30" s="64"/>
      <c r="B30" s="2" t="s">
        <v>2</v>
      </c>
      <c r="C30" s="24"/>
      <c r="D30" s="25">
        <f>COUNTIFS('NC Qualité'!A:A,"&gt;=01/08/2020",'NC Qualité'!A:A,"&lt;=31/08/2020",'NC Qualité'!E:E,"Parc",'NC Qualité'!J:J,"Problème d'étiquetage")</f>
        <v>0</v>
      </c>
      <c r="E30" s="26"/>
      <c r="F30" s="25">
        <f>COUNTIFS('NC Qualité'!A:A,"&gt;=01/08/2020",'NC Qualité'!A:A,"&lt;=31/08/2020",'NC Qualité'!E:E,"Parc",'NC Qualité'!J:J,"Aspect béton (tâches / nid d'abeilles / granuleux / Fissures etc.)")</f>
        <v>0</v>
      </c>
      <c r="G30" s="26"/>
      <c r="H30" s="25">
        <f>COUNTIFS('NC Qualité'!A:A,"&gt;=01/08/2020",'NC Qualité'!A:A,"&lt;=31/08/2020",'NC Qualité'!E:E,"Parc",'NC Qualité'!J:J,"Ancre de levage")</f>
        <v>0</v>
      </c>
      <c r="I30" s="26"/>
      <c r="J30" s="25">
        <f>COUNTIFS('NC Qualité'!A:A,"&gt;=01/08/2020",'NC Qualité'!A:A,"&lt;=31/08/2020",'NC Qualité'!E:E,"Parc",'NC Qualité'!J:J,"Armatures apparentes")</f>
        <v>0</v>
      </c>
      <c r="K30" s="26"/>
      <c r="L30" s="26"/>
      <c r="M30" s="26"/>
      <c r="N30" s="26"/>
      <c r="O30" s="25">
        <f>COUNTIFS('NC Qualité'!A:A,"&gt;=01/08/2020",'NC Qualité'!A:A,"&lt;=31/08/2020",'NC Qualité'!E:E,"Parc",'NC Qualité'!J:J,"Autres :")</f>
        <v>0</v>
      </c>
      <c r="P30" s="25">
        <f>COUNTIFS('NC Qualité'!A:A,"&gt;=01/08/2020",'NC Qualité'!A:A,"&lt;=31/08/2020",'NC Qualité'!E:E,"Parc",'NC Qualité'!J:J,"Accessoires (Mauvais positionnement , manquement, etc.)")</f>
        <v>0</v>
      </c>
      <c r="Q30" s="25">
        <f>COUNTIFS('NC Qualité'!A:A,"&gt;=01/08/2020",'NC Qualité'!A:A,"&lt;=31/08/2020",'NC Qualité'!E:E,"Parc",'NC Qualité'!J:J,"équerrisage")</f>
        <v>0</v>
      </c>
      <c r="R30" s="25">
        <f>COUNTIFS('NC Qualité'!A:A,"&gt;=01/08/2020",'NC Qualité'!A:A,"&lt;=31/08/2020",'NC Qualité'!E:E,"Parc",'NC Qualité'!J:J,"Seuil de porte (réservation)")</f>
        <v>0</v>
      </c>
      <c r="S30" s="25">
        <f>COUNTIFS('NC Qualité'!A:A,"&gt;=01/08/2020",'NC Qualité'!A:A,"&lt;=31/08/2020",'NC Qualité'!E:E,"Parc",'NC Qualité'!J:J,"épaisseur")</f>
        <v>0</v>
      </c>
      <c r="T30" s="25">
        <f>COUNTIFS('NC Qualité'!A:A,"&gt;=01/08/2020",'NC Qualité'!A:A,"&lt;=31/08/2020",'NC Qualité'!E:E,"Parc",'NC Qualité'!J:J,"Chanfrein")</f>
        <v>0</v>
      </c>
      <c r="U30" s="25">
        <f>COUNTIFS('NC Qualité'!A:A,"&gt;=01/08/2020",'NC Qualité'!A:A,"&lt;=31/08/2020",'NC Qualité'!E:E,"Parc",'NC Qualité'!J:J,"Dimensionnement (entraînant un rebut)")</f>
        <v>0</v>
      </c>
      <c r="V30" s="25">
        <f>COUNTIFS('NC Qualité'!A:A,"&gt;=01/08/2020",'NC Qualité'!A:A,"&lt;=31/08/2020",'NC Qualité'!E:E,"Parc",'NC Qualité'!J:J,"Cintrage")</f>
        <v>0</v>
      </c>
      <c r="W30" s="25">
        <f>COUNTIFS('NC Qualité'!A:A,"&gt;=01/08/2020",'NC Qualité'!A:A,"&lt;=31/08/2020",'NC Qualité'!E:E,"Parc",'NC Qualité'!J:J,"Problème de chargement (sanglage, casse etc.)")</f>
        <v>0</v>
      </c>
      <c r="X30" s="30">
        <f>COUNTIFS('NC Qualité'!A:A,"&gt;=01/08/2020",'NC Qualité'!A:A,"&lt;=31/08/2020",'NC Qualité'!E:E,"Parc",'NC Qualité'!J:J,"Erreur de chargement ")</f>
        <v>0</v>
      </c>
      <c r="AA30" s="32">
        <f>COUNTIFS('NC Qualité'!A:A,"&gt;=01/08/2020",'NC Qualité'!A:A,"&lt;=31/08/2020",'NC Qualité'!E:E,"Parc",'NC Qualité'!T:T,1)</f>
        <v>0</v>
      </c>
      <c r="AB30" s="32">
        <f>COUNTIFS('NC Qualité'!A:A,"&gt;=01/08/2020",'NC Qualité'!A:A,"&lt;=31/08/2020",'NC Qualité'!E:E,"Parc",'NC Qualité'!R:R,"A")</f>
        <v>0</v>
      </c>
    </row>
    <row r="31" spans="1:33" ht="23.25">
      <c r="AA31" s="35">
        <f>SUM(AA19:AA30)</f>
        <v>0</v>
      </c>
      <c r="AB31" s="35">
        <f>SUM(AB19:AB30)</f>
        <v>0</v>
      </c>
    </row>
    <row r="32" spans="1:33" ht="15.75" thickBot="1"/>
    <row r="33" spans="1:28" ht="15.75" thickBot="1">
      <c r="A33" s="43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5"/>
    </row>
    <row r="34" spans="1:28">
      <c r="B34" t="s">
        <v>73</v>
      </c>
    </row>
    <row r="35" spans="1:28" ht="105">
      <c r="B35" s="15" t="s">
        <v>34</v>
      </c>
      <c r="C35" s="22" t="s">
        <v>36</v>
      </c>
      <c r="D35" s="22" t="s">
        <v>5</v>
      </c>
      <c r="E35" s="22" t="s">
        <v>41</v>
      </c>
      <c r="F35" s="22" t="s">
        <v>31</v>
      </c>
      <c r="G35" s="22" t="s">
        <v>42</v>
      </c>
      <c r="H35" s="22" t="s">
        <v>43</v>
      </c>
      <c r="I35" s="22" t="s">
        <v>44</v>
      </c>
      <c r="J35" s="22" t="s">
        <v>45</v>
      </c>
      <c r="K35" s="22" t="s">
        <v>46</v>
      </c>
      <c r="L35" s="22" t="s">
        <v>47</v>
      </c>
      <c r="M35" s="22" t="s">
        <v>48</v>
      </c>
      <c r="N35" s="22" t="s">
        <v>49</v>
      </c>
      <c r="O35" s="22" t="s">
        <v>50</v>
      </c>
      <c r="P35" s="22" t="s">
        <v>29</v>
      </c>
      <c r="Q35" s="22" t="s">
        <v>53</v>
      </c>
      <c r="R35" s="22" t="s">
        <v>32</v>
      </c>
      <c r="S35" s="22" t="s">
        <v>54</v>
      </c>
      <c r="T35" s="22" t="s">
        <v>6</v>
      </c>
      <c r="U35" s="22" t="s">
        <v>30</v>
      </c>
      <c r="V35" s="22" t="s">
        <v>8</v>
      </c>
      <c r="W35" s="22" t="s">
        <v>33</v>
      </c>
      <c r="X35" s="22" t="s">
        <v>55</v>
      </c>
      <c r="AA35" s="34" t="s">
        <v>57</v>
      </c>
      <c r="AB35" s="33" t="s">
        <v>56</v>
      </c>
    </row>
    <row r="36" spans="1:28" ht="21">
      <c r="A36" s="64" t="s">
        <v>52</v>
      </c>
      <c r="B36" s="21" t="s">
        <v>27</v>
      </c>
      <c r="P36" s="23"/>
      <c r="Q36" s="23"/>
      <c r="R36" s="23"/>
      <c r="S36" s="23"/>
      <c r="T36" s="23"/>
      <c r="U36" s="23"/>
      <c r="V36" s="23"/>
      <c r="W36" s="23"/>
      <c r="X36" s="27"/>
      <c r="AA36" s="32"/>
      <c r="AB36" s="32"/>
    </row>
    <row r="37" spans="1:28" ht="21">
      <c r="A37" s="64"/>
      <c r="B37" s="2" t="s">
        <v>1</v>
      </c>
      <c r="P37" s="23"/>
      <c r="Q37" s="23"/>
      <c r="R37" s="23"/>
      <c r="S37" s="23"/>
      <c r="T37" s="23"/>
      <c r="U37" s="23"/>
      <c r="V37" s="23"/>
      <c r="W37" s="23"/>
      <c r="X37" s="28"/>
      <c r="AA37" s="32"/>
      <c r="AB37" s="32"/>
    </row>
    <row r="38" spans="1:28" ht="45">
      <c r="A38" s="64"/>
      <c r="B38" s="2" t="s">
        <v>28</v>
      </c>
      <c r="P38" s="23"/>
      <c r="Q38" s="23"/>
      <c r="R38" s="23"/>
      <c r="S38" s="23"/>
      <c r="T38" s="23"/>
      <c r="U38" s="23"/>
      <c r="V38" s="23"/>
      <c r="W38" s="23"/>
      <c r="X38" s="28"/>
      <c r="AA38" s="32"/>
      <c r="AB38" s="32"/>
    </row>
    <row r="39" spans="1:28" ht="30">
      <c r="A39" s="64"/>
      <c r="B39" s="16" t="s">
        <v>37</v>
      </c>
      <c r="P39" s="23"/>
      <c r="Q39" s="23"/>
      <c r="R39" s="23"/>
      <c r="S39" s="23"/>
      <c r="T39" s="23"/>
      <c r="U39" s="23"/>
      <c r="V39" s="23"/>
      <c r="W39" s="23"/>
      <c r="X39" s="28"/>
      <c r="AA39" s="32"/>
      <c r="AB39" s="32"/>
    </row>
    <row r="40" spans="1:28" ht="45">
      <c r="A40" s="64"/>
      <c r="B40" s="16" t="s">
        <v>38</v>
      </c>
      <c r="P40" s="23"/>
      <c r="Q40" s="23"/>
      <c r="R40" s="23"/>
      <c r="S40" s="23"/>
      <c r="T40" s="23"/>
      <c r="U40" s="23"/>
      <c r="V40" s="23"/>
      <c r="W40" s="23"/>
      <c r="X40" s="28"/>
      <c r="AA40" s="32"/>
      <c r="AB40" s="32"/>
    </row>
    <row r="41" spans="1:28" ht="45">
      <c r="A41" s="64"/>
      <c r="B41" s="16" t="s">
        <v>39</v>
      </c>
      <c r="P41" s="23"/>
      <c r="Q41" s="23"/>
      <c r="R41" s="23"/>
      <c r="S41" s="23"/>
      <c r="T41" s="23"/>
      <c r="U41" s="23"/>
      <c r="V41" s="23"/>
      <c r="W41" s="23"/>
      <c r="X41" s="28"/>
      <c r="AA41" s="32"/>
      <c r="AB41" s="32"/>
    </row>
    <row r="42" spans="1:28" ht="45">
      <c r="A42" s="64"/>
      <c r="B42" s="2" t="s">
        <v>40</v>
      </c>
      <c r="P42" s="23"/>
      <c r="Q42" s="23"/>
      <c r="R42" s="23"/>
      <c r="S42" s="23"/>
      <c r="T42" s="23"/>
      <c r="U42" s="23"/>
      <c r="V42" s="23"/>
      <c r="W42" s="23"/>
      <c r="X42" s="28"/>
      <c r="AA42" s="32"/>
      <c r="AB42" s="32"/>
    </row>
    <row r="43" spans="1:28" ht="30">
      <c r="A43" s="64" t="s">
        <v>51</v>
      </c>
      <c r="B43" s="2" t="s">
        <v>7</v>
      </c>
      <c r="C43" s="23"/>
      <c r="D43">
        <f>COUNTIFS('NC Qualité'!A:A,"&gt;=01/09/2020",'NC Qualité'!A:A,"&lt;=30/09/2020",'NC Qualité'!E:E,"Panneau coulé à plat",'NC Qualité'!J:J,"Problème d'étiquetage")</f>
        <v>0</v>
      </c>
      <c r="E43" s="23"/>
      <c r="F43">
        <f>COUNTIFS('NC Qualité'!A:A,"&gt;=01/09/2020",'NC Qualité'!A:A,"&lt;=30/09/2020",'NC Qualité'!E:E,"Panneau coulé à plat",'NC Qualité'!J:J,"Aspect béton (tâches / nid d'abeilles / granuleux / Fissures etc.)")</f>
        <v>0</v>
      </c>
      <c r="G43" s="23"/>
      <c r="H43">
        <f>COUNTIFS('NC Qualité'!A:A,"&gt;=01/09/2020",'NC Qualité'!A:A,"&lt;=30/09/2020",'NC Qualité'!E:E,"Panneau coulé à plat",'NC Qualité'!J:J,"Ancre de levage")</f>
        <v>0</v>
      </c>
      <c r="I43" s="23"/>
      <c r="J43">
        <f>COUNTIFS('NC Qualité'!A:A,"&gt;=01/09/2020",'NC Qualité'!A:A,"&lt;=30/09/2020",'NC Qualité'!E:E,"Modul : Tuyaux Dn 1800 à 2630",'NC Qualité'!J:J,"Armatures apparentes")</f>
        <v>0</v>
      </c>
      <c r="K43" s="23"/>
      <c r="L43" s="23"/>
      <c r="M43" s="23"/>
      <c r="N43" s="23"/>
      <c r="O43">
        <f>COUNTIFS('NC Qualité'!A:A,"&gt;=01/09/2020",'NC Qualité'!A:A,"&lt;=30/09/2020",'NC Qualité'!E:E,"Panneau coulé à plat",'NC Qualité'!J:J,"Autres :")</f>
        <v>0</v>
      </c>
      <c r="P43">
        <f>COUNTIFS('NC Qualité'!A:A,"&gt;=01/09/2020",'NC Qualité'!A:A,"&lt;=30/09/2020",'NC Qualité'!E:E,"Panneau coulé à plat",'NC Qualité'!J:J,"Accessoires (Mauvais positionnement , manquement, etc.)")</f>
        <v>0</v>
      </c>
      <c r="Q43">
        <f>COUNTIFS('NC Qualité'!A:A,"&gt;=01/09/2020",'NC Qualité'!A:A,"&lt;=30/09/2020",'NC Qualité'!E:E,"Panneau coulé à plat",'NC Qualité'!J:J,"équerrisage")</f>
        <v>0</v>
      </c>
      <c r="R43">
        <f>COUNTIFS('NC Qualité'!A:A,"&gt;=01/09/2020",'NC Qualité'!A:A,"&lt;=30/09/2020",'NC Qualité'!E:E,"Panneau coulé à plat",'NC Qualité'!J:J,"Seuil de porte (réservation)")</f>
        <v>0</v>
      </c>
      <c r="S43">
        <f>COUNTIFS('NC Qualité'!A:A,"&gt;=01/09/2020",'NC Qualité'!A:A,"&lt;=30/09/2020",'NC Qualité'!E:E,"Panneau coulé à plat",'NC Qualité'!J:J,"épaisseur")</f>
        <v>0</v>
      </c>
      <c r="T43">
        <f>COUNTIFS('NC Qualité'!A:A,"&gt;=01/09/2020",'NC Qualité'!A:A,"&lt;=30/09/2020",'NC Qualité'!E:E,"Panneau coulé à plat",'NC Qualité'!J:J,"Chanfrein")</f>
        <v>0</v>
      </c>
      <c r="U43">
        <f>COUNTIFS('NC Qualité'!A:A,"&gt;=01/09/2020",'NC Qualité'!A:A,"&lt;=30/09/2020",'NC Qualité'!E:E,"Panneau coulé à plat",'NC Qualité'!J:J,"Dimensionnement (entraînant un rebut)")</f>
        <v>0</v>
      </c>
      <c r="V43">
        <f>COUNTIFS('NC Qualité'!A:A,"&gt;=01/09/2020",'NC Qualité'!A:A,"&lt;=30/09/2020",'NC Qualité'!E:E,"Panneau coulé à plat",'NC Qualité'!J:J,"Cintrage")</f>
        <v>0</v>
      </c>
      <c r="W43">
        <f>COUNTIFS('NC Qualité'!A:A,"&gt;=01/09/2020",'NC Qualité'!A:A,"&lt;=30/09/2020",'NC Qualité'!E:E,"Panneau coulé à plat",'NC Qualité'!J:J,"Problème de chargement (sanglage, casse etc.)")</f>
        <v>0</v>
      </c>
      <c r="X43" s="29">
        <f>COUNTIFS('NC Qualité'!A:A,"&gt;=01/09/2020",'NC Qualité'!A:A,"&lt;=30/09/2020",'NC Qualité'!E:E,"Panneau coulé à plat",'NC Qualité'!J:J,"Erreur de chargement ")</f>
        <v>0</v>
      </c>
      <c r="AA43" s="32">
        <f>COUNTIFS('NC Qualité'!A:A,"&gt;=01/09/2020",'NC Qualité'!A:A,"&lt;=30/09/2020",'NC Qualité'!E:E,"Panneau coulé à plat",'NC Qualité'!T:T,1)</f>
        <v>0</v>
      </c>
      <c r="AB43" s="32">
        <f>COUNTIFS('NC Qualité'!A:A,"&gt;=01/09/2020",'NC Qualité'!A:A,"&lt;=30/09/2020",'NC Qualité'!E:E,"Panneau coulé à plat",'NC Qualité'!R:R,"A")</f>
        <v>0</v>
      </c>
    </row>
    <row r="44" spans="1:28" ht="21">
      <c r="A44" s="64"/>
      <c r="B44" s="2" t="s">
        <v>0</v>
      </c>
      <c r="C44" s="23"/>
      <c r="D44">
        <f>COUNTIFS('NC Qualité'!A:A,"&gt;=01/09/2020",'NC Qualité'!A:A,"&lt;=30/09/2020",'NC Qualité'!E:E,"Bianchi",'NC Qualité'!J:J,"Problème d'étiquetage")</f>
        <v>0</v>
      </c>
      <c r="E44" s="23"/>
      <c r="F44">
        <f>COUNTIFS('NC Qualité'!A:A,"&gt;=01/09/2020",'NC Qualité'!A:A,"&lt;=30/09/2020",'NC Qualité'!E:E,"Bianchi",'NC Qualité'!J:J,"Aspect béton (tâches / nid d'abeilles / granuleux / Fissures etc.)")</f>
        <v>0</v>
      </c>
      <c r="G44" s="23"/>
      <c r="H44">
        <f>COUNTIFS('NC Qualité'!A:A,"&gt;=01/09/2020",'NC Qualité'!A:A,"&lt;=30/09/2020",'NC Qualité'!E:E,"Bianchi",'NC Qualité'!J:J,"Ancre de levage")</f>
        <v>0</v>
      </c>
      <c r="I44" s="23"/>
      <c r="J44">
        <f>COUNTIFS('NC Qualité'!A:A,"&gt;=01/09/2020",'NC Qualité'!A:A,"&lt;=30/09/2020",'NC Qualité'!E:E,"Bianchi",'NC Qualité'!J:J,"Armatures apparentes")</f>
        <v>0</v>
      </c>
      <c r="K44" s="23"/>
      <c r="L44" s="23"/>
      <c r="M44" s="23"/>
      <c r="N44" s="23"/>
      <c r="O44">
        <f>COUNTIFS('NC Qualité'!A:A,"&gt;=01/09/2020",'NC Qualité'!A:A,"&lt;=30/09/2020",'NC Qualité'!E:E,"Bianchi",'NC Qualité'!J:J,"Autres :")</f>
        <v>0</v>
      </c>
      <c r="P44">
        <f>COUNTIFS('NC Qualité'!A:A,"&gt;=01/09/2020",'NC Qualité'!A:A,"&lt;=30/09/2020",'NC Qualité'!E:E,"Bianchi",'NC Qualité'!J:J,"Accessoires (Mauvais positionnement , manquement, etc.)")</f>
        <v>0</v>
      </c>
      <c r="Q44">
        <f>COUNTIFS('NC Qualité'!A:A,"&gt;=01/09/2020",'NC Qualité'!A:A,"&lt;=30/09/2020",'NC Qualité'!E:E,"Bianchi",'NC Qualité'!J:J,"équerrisage")</f>
        <v>0</v>
      </c>
      <c r="R44">
        <f>COUNTIFS('NC Qualité'!A:A,"&gt;=01/09/2020",'NC Qualité'!A:A,"&lt;=30/09/2020",'NC Qualité'!E:E,"Bianchi",'NC Qualité'!J:J,"Seuil de porte (réservation)")</f>
        <v>0</v>
      </c>
      <c r="S44">
        <f>COUNTIFS('NC Qualité'!A:A,"&gt;=01/09/2020",'NC Qualité'!A:A,"&lt;=30/09/2020",'NC Qualité'!E:E,"Bianchi",'NC Qualité'!J:J,"épaisseur")</f>
        <v>0</v>
      </c>
      <c r="T44">
        <f>COUNTIFS('NC Qualité'!A:A,"&gt;=01/09/2020",'NC Qualité'!A:A,"&lt;=30/09/2020",'NC Qualité'!E:E,"Bianchi",'NC Qualité'!J:J,"Chanfrein")</f>
        <v>0</v>
      </c>
      <c r="U44">
        <f>COUNTIFS('NC Qualité'!A:A,"&gt;=01/09/2020",'NC Qualité'!A:A,"&lt;=30/09/2020",'NC Qualité'!E:E,"Bianchi",'NC Qualité'!J:J,"Dimensionnement (entraînant un rebut)")</f>
        <v>0</v>
      </c>
      <c r="V44">
        <f>COUNTIFS('NC Qualité'!A:A,"&gt;=01/09/2020",'NC Qualité'!A:A,"&lt;=30/09/2020",'NC Qualité'!E:E,"Bianchi",'NC Qualité'!J:J,"Cintrage")</f>
        <v>0</v>
      </c>
      <c r="W44">
        <f>COUNTIFS('NC Qualité'!A:A,"&gt;=01/09/2020",'NC Qualité'!A:A,"&lt;=30/09/2020",'NC Qualité'!E:E,"Bianchi",'NC Qualité'!J:J,"Problème de chargement (sanglage, casse etc.)")</f>
        <v>0</v>
      </c>
      <c r="X44" s="29">
        <f>COUNTIFS('NC Qualité'!A:A,"&gt;=01/09/2020",'NC Qualité'!A:A,"&lt;=30/09/2020",'NC Qualité'!E:E,"Bianchi",'NC Qualité'!J:J,"Erreur de chargement ")</f>
        <v>0</v>
      </c>
      <c r="AA44" s="32">
        <f>COUNTIFS('NC Qualité'!A:A,"&gt;=01/09/2020",'NC Qualité'!A:A,"&lt;=30/09/2020",'NC Qualité'!E:E,"Bianchi",'NC Qualité'!T:T,1)</f>
        <v>0</v>
      </c>
      <c r="AB44" s="32">
        <f>COUNTIFS('NC Qualité'!A:A,"&gt;=01/09/2020",'NC Qualité'!A:A,"&lt;=30/09/2020",'NC Qualité'!E:E,"Bianchi",'NC Qualité'!R:R,"A")</f>
        <v>0</v>
      </c>
    </row>
    <row r="45" spans="1:28" ht="30">
      <c r="A45" s="64"/>
      <c r="B45" s="2" t="s">
        <v>4</v>
      </c>
      <c r="C45" s="23"/>
      <c r="D45">
        <f>COUNTIFS('NC Qualité'!A:A,"&gt;=01/09/2020",'NC Qualité'!A:A,"&lt;=30/09/2020",'NC Qualité'!E:E,"Préfabrication",'NC Qualité'!J:J,"Problème d'étiquetage")</f>
        <v>0</v>
      </c>
      <c r="E45" s="23"/>
      <c r="F45">
        <f>COUNTIFS('NC Qualité'!A:A,"&gt;=01/09/2020",'NC Qualité'!A:A,"&lt;=30/09/2020",'NC Qualité'!E:E,"Préfabrication",'NC Qualité'!J:J,"Aspect béton (tâches / nid d'abeilles / granuleux / Fissures etc.)")</f>
        <v>0</v>
      </c>
      <c r="G45" s="23"/>
      <c r="H45">
        <f>COUNTIFS('NC Qualité'!A:A,"&gt;=01/09/2020",'NC Qualité'!A:A,"&lt;=30/09/2020",'NC Qualité'!E:E,"Préfabrication",'NC Qualité'!J:J,"Ancre de levage")</f>
        <v>0</v>
      </c>
      <c r="I45" s="23"/>
      <c r="J45">
        <f>COUNTIFS('NC Qualité'!A:A,"&gt;=01/09/2020",'NC Qualité'!A:A,"&lt;=30/09/2020",'NC Qualité'!E:E,"Préfabrication",'NC Qualité'!J:J,"Armatures apparentes")</f>
        <v>0</v>
      </c>
      <c r="K45" s="23"/>
      <c r="L45" s="23"/>
      <c r="M45" s="23"/>
      <c r="N45" s="23"/>
      <c r="O45">
        <f>COUNTIFS('NC Qualité'!A:A,"&gt;=01/09/2020",'NC Qualité'!A:A,"&lt;=30/09/2020",'NC Qualité'!E:E,"Préfabrication",'NC Qualité'!J:J,"Autres :")</f>
        <v>0</v>
      </c>
      <c r="P45">
        <f>COUNTIFS('NC Qualité'!A:A,"&gt;=01/09/2020",'NC Qualité'!A:A,"&lt;=30/09/2020",'NC Qualité'!E:E,"Préfabrication",'NC Qualité'!J:J,"Accessoires (Mauvais positionnement , manquement, etc.)")</f>
        <v>0</v>
      </c>
      <c r="Q45">
        <f>COUNTIFS('NC Qualité'!A:A,"&gt;=01/09/2020",'NC Qualité'!A:A,"&lt;=30/09/2020",'NC Qualité'!E:E,"Préfabrication",'NC Qualité'!J:J,"équerrisage")</f>
        <v>0</v>
      </c>
      <c r="R45">
        <f>COUNTIFS('NC Qualité'!A:A,"&gt;=01/09/2020",'NC Qualité'!A:A,"&lt;=30/09/2020",'NC Qualité'!E:E,"Préfabrication",'NC Qualité'!J:J,"Seuil de porte (réservation)")</f>
        <v>0</v>
      </c>
      <c r="S45">
        <f>COUNTIFS('NC Qualité'!A:A,"&gt;=01/09/2020",'NC Qualité'!A:A,"&lt;=30/09/2020",'NC Qualité'!E:E,"Préfabrication",'NC Qualité'!J:J,"épaisseur")</f>
        <v>0</v>
      </c>
      <c r="T45">
        <f>COUNTIFS('NC Qualité'!A:A,"&gt;=01/09/2020",'NC Qualité'!A:A,"&lt;=30/09/2020",'NC Qualité'!E:E,"Préfabrication",'NC Qualité'!J:J,"Chanfrein")</f>
        <v>0</v>
      </c>
      <c r="U45">
        <f>COUNTIFS('NC Qualité'!A:A,"&gt;=01/09/2020",'NC Qualité'!A:A,"&lt;=30/09/2020",'NC Qualité'!E:E,"Préfabrication",'NC Qualité'!J:J,"Dimensionnement (entraînant un rebut)")</f>
        <v>0</v>
      </c>
      <c r="V45">
        <f>COUNTIFS('NC Qualité'!A:A,"&gt;=01/09/2020",'NC Qualité'!A:A,"&lt;=30/09/2020",'NC Qualité'!E:E,"Préfabrication",'NC Qualité'!J:J,"Cintrage")</f>
        <v>0</v>
      </c>
      <c r="W45">
        <f>COUNTIFS('NC Qualité'!A:A,"&gt;=01/09/2020",'NC Qualité'!A:A,"&lt;=30/09/2020",'NC Qualité'!E:E,"Préfabrication",'NC Qualité'!J:J,"Problème de chargement (sanglage, casse etc.)")</f>
        <v>0</v>
      </c>
      <c r="X45" s="29">
        <f>COUNTIFS('NC Qualité'!A:A,"&gt;=01/09/2020",'NC Qualité'!A:A,"&lt;=30/09/2020",'NC Qualité'!E:E,"Préfabrication",'NC Qualité'!J:J,"Erreur de chargement ")</f>
        <v>0</v>
      </c>
      <c r="AA45" s="32">
        <f>COUNTIFS('NC Qualité'!A:A,"&gt;=01/09/2020",'NC Qualité'!A:A,"&lt;=30/09/2020",'NC Qualité'!E:E,"Préfabrication",'NC Qualité'!T:T,1)</f>
        <v>0</v>
      </c>
      <c r="AB45" s="32">
        <f>COUNTIFS('NC Qualité'!A:A,"&gt;=01/09/2020",'NC Qualité'!A:A,"&lt;=30/09/2020",'NC Qualité'!E:E,"Préfabrication",'NC Qualité'!R:R,"A")</f>
        <v>0</v>
      </c>
    </row>
    <row r="46" spans="1:28" ht="30">
      <c r="A46" s="64"/>
      <c r="B46" s="17" t="s">
        <v>3</v>
      </c>
      <c r="C46" s="23"/>
      <c r="D46">
        <f>COUNTIFS('NC Qualité'!A:A,"&gt;=01/09/2020",'NC Qualité'!A:A,"&lt;=30/09/2020",'NC Qualité'!E:E,"Précontraint",'NC Qualité'!J:J,"Problème d'étiquetage")</f>
        <v>0</v>
      </c>
      <c r="E46" s="23"/>
      <c r="F46">
        <f>COUNTIFS('NC Qualité'!A:A,"&gt;=01/09/2020",'NC Qualité'!A:A,"&lt;=30/09/2020",'NC Qualité'!E:E,"Précontraint",'NC Qualité'!J:J,"Aspect béton (tâches / nid d'abeilles / granuleux / Fissures etc.)")</f>
        <v>0</v>
      </c>
      <c r="G46" s="23"/>
      <c r="H46">
        <f>COUNTIFS('NC Qualité'!A:A,"&gt;=01/09/2020",'NC Qualité'!A:A,"&lt;=30/09/2020",'NC Qualité'!E:E,"Précontraint",'NC Qualité'!J:J,"Ancre de levage")</f>
        <v>0</v>
      </c>
      <c r="I46" s="23"/>
      <c r="J46">
        <f>COUNTIFS('NC Qualité'!A:A,"&gt;=01/09/2020",'NC Qualité'!A:A,"&lt;=30/09/2020",'NC Qualité'!E:E,"Précontraint",'NC Qualité'!J:J,"Armatures apparentes")</f>
        <v>0</v>
      </c>
      <c r="K46" s="23"/>
      <c r="L46" s="23"/>
      <c r="M46" s="23"/>
      <c r="N46" s="23"/>
      <c r="O46">
        <f>COUNTIFS('NC Qualité'!A:A,"&gt;=01/09/2020",'NC Qualité'!A:A,"&lt;=30/09/2020",'NC Qualité'!E:E,"Précontraint",'NC Qualité'!J:J,"Autres :")</f>
        <v>0</v>
      </c>
      <c r="P46">
        <f>COUNTIFS('NC Qualité'!A:A,"&gt;=01/09/2020",'NC Qualité'!A:A,"&lt;=30/09/2020",'NC Qualité'!E:E,"Précontraint",'NC Qualité'!J:J,"Accessoires (Mauvais positionnement , manquement, etc.)")</f>
        <v>0</v>
      </c>
      <c r="Q46">
        <f>COUNTIFS('NC Qualité'!A:A,"&gt;=01/09/2020",'NC Qualité'!A:A,"&lt;=30/09/2020",'NC Qualité'!E:E,"Précontraint",'NC Qualité'!J:J,"équerrisage")</f>
        <v>0</v>
      </c>
      <c r="R46">
        <f>COUNTIFS('NC Qualité'!A:A,"&gt;=01/09/2020",'NC Qualité'!A:A,"&lt;=30/09/2020",'NC Qualité'!E:E,"Précontraint",'NC Qualité'!J:J,"Seuil de porte (réservation)")</f>
        <v>0</v>
      </c>
      <c r="S46">
        <f>COUNTIFS('NC Qualité'!A:A,"&gt;=01/09/2020",'NC Qualité'!A:A,"&lt;=30/09/2020",'NC Qualité'!E:E,"Précontraint",'NC Qualité'!J:J,"épaisseur")</f>
        <v>0</v>
      </c>
      <c r="T46">
        <f>COUNTIFS('NC Qualité'!A:A,"&gt;=01/09/2020",'NC Qualité'!A:A,"&lt;=30/09/2020",'NC Qualité'!E:E,"Précontraint",'NC Qualité'!J:J,"Chanfrein")</f>
        <v>0</v>
      </c>
      <c r="U46">
        <f>COUNTIFS('NC Qualité'!A:A,"&gt;=01/09/2020",'NC Qualité'!A:A,"&lt;=30/09/2020",'NC Qualité'!E:E,"Précontraint",'NC Qualité'!J:J,"Dimensionnement (entraînant un rebut)")</f>
        <v>0</v>
      </c>
      <c r="V46">
        <f>COUNTIFS('NC Qualité'!A:A,"&gt;=01/09/2020",'NC Qualité'!A:A,"&lt;=30/09/2020",'NC Qualité'!E:E,"Précontraint",'NC Qualité'!J:J,"Cintrage")</f>
        <v>0</v>
      </c>
      <c r="W46">
        <f>COUNTIFS('NC Qualité'!A:A,"&gt;=01/09/2020",'NC Qualité'!A:A,"&lt;=30/09/2020",'NC Qualité'!E:E,"Précontraint",'NC Qualité'!J:J,"Problème de chargement (sanglage, casse etc.)")</f>
        <v>0</v>
      </c>
      <c r="X46" s="29">
        <f>COUNTIFS('NC Qualité'!A:A,"&gt;=01/09/2020",'NC Qualité'!A:A,"&lt;=30/09/2020",'NC Qualité'!E:E,"Précontraint",'NC Qualité'!J:J,"Erreur de chargement ")</f>
        <v>0</v>
      </c>
      <c r="AA46" s="32">
        <f>COUNTIFS('NC Qualité'!A:A,"&gt;=01/09/2020",'NC Qualité'!A:A,"&lt;=30/09/2020",'NC Qualité'!E:E,"Précontraint",'NC Qualité'!T:T,1)</f>
        <v>0</v>
      </c>
      <c r="AB46" s="32">
        <f>COUNTIFS('NC Qualité'!A:A,"&gt;=01/09/2020",'NC Qualité'!A:A,"&lt;=30/09/2020",'NC Qualité'!E:E,"Précontraint",'NC Qualité'!R:R,"A")</f>
        <v>0</v>
      </c>
    </row>
    <row r="47" spans="1:28" ht="21">
      <c r="A47" s="64"/>
      <c r="B47" s="2" t="s">
        <v>2</v>
      </c>
      <c r="C47" s="24"/>
      <c r="D47" s="25">
        <f>COUNTIFS('NC Qualité'!A:A,"&gt;=01/09/2020",'NC Qualité'!A:A,"&lt;=30/09/2020",'NC Qualité'!E:E,"Parc",'NC Qualité'!J:J,"Problème d'étiquetage")</f>
        <v>0</v>
      </c>
      <c r="E47" s="26"/>
      <c r="F47" s="25">
        <f>COUNTIFS('NC Qualité'!A:A,"&gt;=01/09/2020",'NC Qualité'!A:A,"&lt;=30/09/2020",'NC Qualité'!E:E,"Parc",'NC Qualité'!J:J,"Aspect béton (tâches / nid d'abeilles / granuleux / Fissures etc.)")</f>
        <v>0</v>
      </c>
      <c r="G47" s="26"/>
      <c r="H47" s="25">
        <f>COUNTIFS('NC Qualité'!A:A,"&gt;=01/09/2020",'NC Qualité'!A:A,"&lt;=30/09/2020",'NC Qualité'!E:E,"Parc",'NC Qualité'!J:J,"Ancre de levage")</f>
        <v>0</v>
      </c>
      <c r="I47" s="26"/>
      <c r="J47" s="25">
        <f>COUNTIFS('NC Qualité'!A:A,"&gt;=01/09/2020",'NC Qualité'!A:A,"&lt;=30/09/2020",'NC Qualité'!E:E,"Parc",'NC Qualité'!J:J,"Armatures apparentes")</f>
        <v>0</v>
      </c>
      <c r="K47" s="26"/>
      <c r="L47" s="26"/>
      <c r="M47" s="26"/>
      <c r="N47" s="26"/>
      <c r="O47" s="25">
        <f>COUNTIFS('NC Qualité'!A:A,"&gt;=01/09/2020",'NC Qualité'!A:A,"&lt;=30/09/2020",'NC Qualité'!E:E,"Parc",'NC Qualité'!J:J,"Autres :")</f>
        <v>0</v>
      </c>
      <c r="P47" s="25">
        <f>COUNTIFS('NC Qualité'!A:A,"&gt;=01/09/2020",'NC Qualité'!A:A,"&lt;=30/09/2020",'NC Qualité'!E:E,"Parc",'NC Qualité'!J:J,"Accessoires (Mauvais positionnement , manquement, etc.)")</f>
        <v>0</v>
      </c>
      <c r="Q47" s="25">
        <f>COUNTIFS('NC Qualité'!A:A,"&gt;=01/09/2020",'NC Qualité'!A:A,"&lt;=30/09/2020",'NC Qualité'!E:E,"Parc",'NC Qualité'!J:J,"équerrisage")</f>
        <v>0</v>
      </c>
      <c r="R47" s="25">
        <f>COUNTIFS('NC Qualité'!A:A,"&gt;=01/09/2020",'NC Qualité'!A:A,"&lt;=30/09/2020",'NC Qualité'!E:E,"Parc",'NC Qualité'!J:J,"Seuil de porte (réservation)")</f>
        <v>0</v>
      </c>
      <c r="S47" s="25">
        <f>COUNTIFS('NC Qualité'!A:A,"&gt;=01/09/2020",'NC Qualité'!A:A,"&lt;=30/09/2020",'NC Qualité'!E:E,"Parc",'NC Qualité'!J:J,"épaisseur")</f>
        <v>0</v>
      </c>
      <c r="T47" s="25">
        <f>COUNTIFS('NC Qualité'!A:A,"&gt;=01/09/2020",'NC Qualité'!A:A,"&lt;=30/09/2020",'NC Qualité'!E:E,"Parc",'NC Qualité'!J:J,"Chanfrein")</f>
        <v>0</v>
      </c>
      <c r="U47" s="25">
        <f>COUNTIFS('NC Qualité'!A:A,"&gt;=01/09/2020",'NC Qualité'!A:A,"&lt;=30/09/2020",'NC Qualité'!E:E,"Parc",'NC Qualité'!J:J,"Dimensionnement (entraînant un rebut)")</f>
        <v>0</v>
      </c>
      <c r="V47" s="25">
        <f>COUNTIFS('NC Qualité'!A:A,"&gt;=01/09/2020",'NC Qualité'!A:A,"&lt;=30/09/2020",'NC Qualité'!E:E,"Parc",'NC Qualité'!J:J,"Cintrage")</f>
        <v>0</v>
      </c>
      <c r="W47" s="25">
        <f>COUNTIFS('NC Qualité'!A:A,"&gt;=01/09/2020",'NC Qualité'!A:A,"&lt;=30/09/2020",'NC Qualité'!E:E,"Parc",'NC Qualité'!J:J,"Problème de chargement (sanglage, casse etc.)")</f>
        <v>0</v>
      </c>
      <c r="X47" s="30">
        <f>COUNTIFS('NC Qualité'!A:A,"&gt;=01/09/2020",'NC Qualité'!A:A,"&lt;=30/09/2020",'NC Qualité'!E:E,"Parc",'NC Qualité'!J:J,"Erreur de chargement ")</f>
        <v>0</v>
      </c>
      <c r="AA47" s="32">
        <f>COUNTIFS('NC Qualité'!A:A,"&gt;=01/09/2020",'NC Qualité'!A:A,"&lt;=30/09/2020",'NC Qualité'!E:E,"Parc",'NC Qualité'!T:T,1)</f>
        <v>0</v>
      </c>
      <c r="AB47" s="32">
        <f>COUNTIFS('NC Qualité'!A:A,"&gt;=01/09/2020",'NC Qualité'!A:A,"&lt;=30/09/2020",'NC Qualité'!E:E,"Parc",'NC Qualité'!R:R,"A")</f>
        <v>0</v>
      </c>
    </row>
    <row r="48" spans="1:28" ht="23.25">
      <c r="AA48" s="35">
        <f>SUM(AA36:AA47)</f>
        <v>0</v>
      </c>
      <c r="AB48" s="35">
        <f>SUM(AB36:AB47)</f>
        <v>0</v>
      </c>
    </row>
    <row r="49" spans="1:28" ht="15.75" thickBot="1"/>
    <row r="50" spans="1:28" ht="15.75" thickBot="1">
      <c r="A50" s="43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5"/>
    </row>
    <row r="52" spans="1:28">
      <c r="B52" s="42" t="s">
        <v>75</v>
      </c>
    </row>
    <row r="53" spans="1:28" ht="105">
      <c r="B53" s="15" t="s">
        <v>34</v>
      </c>
      <c r="C53" s="22" t="s">
        <v>36</v>
      </c>
      <c r="D53" s="22" t="s">
        <v>5</v>
      </c>
      <c r="E53" s="22" t="s">
        <v>41</v>
      </c>
      <c r="F53" s="22" t="s">
        <v>31</v>
      </c>
      <c r="G53" s="22" t="s">
        <v>42</v>
      </c>
      <c r="H53" s="22" t="s">
        <v>43</v>
      </c>
      <c r="I53" s="22" t="s">
        <v>44</v>
      </c>
      <c r="J53" s="22" t="s">
        <v>45</v>
      </c>
      <c r="K53" s="22" t="s">
        <v>46</v>
      </c>
      <c r="L53" s="22" t="s">
        <v>47</v>
      </c>
      <c r="M53" s="22" t="s">
        <v>48</v>
      </c>
      <c r="N53" s="22" t="s">
        <v>49</v>
      </c>
      <c r="O53" s="22" t="s">
        <v>50</v>
      </c>
      <c r="P53" s="22" t="s">
        <v>29</v>
      </c>
      <c r="Q53" s="22" t="s">
        <v>53</v>
      </c>
      <c r="R53" s="22" t="s">
        <v>32</v>
      </c>
      <c r="S53" s="22" t="s">
        <v>54</v>
      </c>
      <c r="T53" s="22" t="s">
        <v>6</v>
      </c>
      <c r="U53" s="22" t="s">
        <v>30</v>
      </c>
      <c r="V53" s="22" t="s">
        <v>8</v>
      </c>
      <c r="W53" s="22" t="s">
        <v>33</v>
      </c>
      <c r="X53" s="22" t="s">
        <v>55</v>
      </c>
      <c r="AA53" s="34" t="s">
        <v>57</v>
      </c>
      <c r="AB53" s="33" t="s">
        <v>56</v>
      </c>
    </row>
    <row r="54" spans="1:28" ht="21">
      <c r="A54" s="64" t="s">
        <v>52</v>
      </c>
      <c r="B54" s="21" t="s">
        <v>27</v>
      </c>
      <c r="P54" s="23"/>
      <c r="Q54" s="23"/>
      <c r="R54" s="23"/>
      <c r="S54" s="23"/>
      <c r="T54" s="23"/>
      <c r="U54" s="23"/>
      <c r="V54" s="23"/>
      <c r="W54" s="23"/>
      <c r="X54" s="27"/>
      <c r="AA54" s="32"/>
      <c r="AB54" s="32"/>
    </row>
    <row r="55" spans="1:28" ht="21">
      <c r="A55" s="64"/>
      <c r="B55" s="2" t="s">
        <v>1</v>
      </c>
      <c r="P55" s="23"/>
      <c r="Q55" s="23"/>
      <c r="R55" s="23"/>
      <c r="S55" s="23"/>
      <c r="T55" s="23"/>
      <c r="U55" s="23"/>
      <c r="V55" s="23"/>
      <c r="W55" s="23"/>
      <c r="X55" s="28"/>
      <c r="AA55" s="32"/>
      <c r="AB55" s="32"/>
    </row>
    <row r="56" spans="1:28" ht="45">
      <c r="A56" s="64"/>
      <c r="B56" s="2" t="s">
        <v>28</v>
      </c>
      <c r="P56" s="23"/>
      <c r="Q56" s="23"/>
      <c r="R56" s="23"/>
      <c r="S56" s="23"/>
      <c r="T56" s="23"/>
      <c r="U56" s="23"/>
      <c r="V56" s="23"/>
      <c r="W56" s="23"/>
      <c r="X56" s="28"/>
      <c r="AA56" s="32"/>
      <c r="AB56" s="32"/>
    </row>
    <row r="57" spans="1:28" ht="30">
      <c r="A57" s="64"/>
      <c r="B57" s="16" t="s">
        <v>37</v>
      </c>
      <c r="P57" s="23"/>
      <c r="Q57" s="23"/>
      <c r="R57" s="23"/>
      <c r="S57" s="23"/>
      <c r="T57" s="23"/>
      <c r="U57" s="23"/>
      <c r="V57" s="23"/>
      <c r="W57" s="23"/>
      <c r="X57" s="28"/>
      <c r="AA57" s="32"/>
      <c r="AB57" s="32"/>
    </row>
    <row r="58" spans="1:28" ht="45">
      <c r="A58" s="64"/>
      <c r="B58" s="16" t="s">
        <v>38</v>
      </c>
      <c r="P58" s="23"/>
      <c r="Q58" s="23"/>
      <c r="R58" s="23"/>
      <c r="S58" s="23"/>
      <c r="T58" s="23"/>
      <c r="U58" s="23"/>
      <c r="V58" s="23"/>
      <c r="W58" s="23"/>
      <c r="X58" s="28"/>
      <c r="AA58" s="32"/>
      <c r="AB58" s="32"/>
    </row>
    <row r="59" spans="1:28" ht="45">
      <c r="A59" s="64"/>
      <c r="B59" s="16" t="s">
        <v>39</v>
      </c>
      <c r="P59" s="23"/>
      <c r="Q59" s="23"/>
      <c r="R59" s="23"/>
      <c r="S59" s="23"/>
      <c r="T59" s="23"/>
      <c r="U59" s="23"/>
      <c r="V59" s="23"/>
      <c r="W59" s="23"/>
      <c r="X59" s="28"/>
      <c r="AA59" s="32"/>
      <c r="AB59" s="32"/>
    </row>
    <row r="60" spans="1:28" ht="45">
      <c r="A60" s="64"/>
      <c r="B60" s="2" t="s">
        <v>40</v>
      </c>
      <c r="P60" s="23"/>
      <c r="Q60" s="23"/>
      <c r="R60" s="23"/>
      <c r="S60" s="23"/>
      <c r="T60" s="23"/>
      <c r="U60" s="23"/>
      <c r="V60" s="23"/>
      <c r="W60" s="23"/>
      <c r="X60" s="28"/>
      <c r="AA60" s="32"/>
      <c r="AB60" s="32"/>
    </row>
    <row r="61" spans="1:28" ht="30">
      <c r="A61" s="64" t="s">
        <v>51</v>
      </c>
      <c r="B61" s="2" t="s">
        <v>7</v>
      </c>
      <c r="C61" s="23"/>
      <c r="D61">
        <f>COUNTIFS('NC Qualité'!A:A,"&gt;=01/10/2020",'NC Qualité'!A:A,"&lt;=31/10/2020",'NC Qualité'!E:E,"Panneau coulé à plat",'NC Qualité'!J:J,"Problème d'étiquetage")</f>
        <v>0</v>
      </c>
      <c r="E61" s="23"/>
      <c r="F61">
        <f>COUNTIFS('NC Qualité'!A:A,"&gt;=01/10/2020",'NC Qualité'!A:A,"&lt;=31/10/2020",'NC Qualité'!E:E,"Panneau coulé à plat",'NC Qualité'!J:J,"Aspect béton (tâches / nid d'abeilles / granuleux / Fissures etc.)")</f>
        <v>0</v>
      </c>
      <c r="G61" s="23"/>
      <c r="H61">
        <f>COUNTIFS('NC Qualité'!A:A,"&gt;=01/10/2020",'NC Qualité'!A:A,"&lt;=31/10/2020",'NC Qualité'!E:E,"Panneau coulé à plat",'NC Qualité'!J:J,"Ancre de levage")</f>
        <v>0</v>
      </c>
      <c r="I61" s="23"/>
      <c r="J61">
        <f>COUNTIFS('NC Qualité'!A:A,"&gt;=01/10/2020",'NC Qualité'!A:A,"&lt;=31/10/2020",'NC Qualité'!E:E,"Modul : Tuyaux Dn 1800 à 2630",'NC Qualité'!J:J,"Armatures apparentes")</f>
        <v>0</v>
      </c>
      <c r="K61" s="23"/>
      <c r="L61" s="23"/>
      <c r="M61" s="23"/>
      <c r="N61" s="23"/>
      <c r="O61">
        <f>COUNTIFS('NC Qualité'!A:A,"&gt;=01/10/2020",'NC Qualité'!A:A,"&lt;=31/10/2020",'NC Qualité'!E:E,"Panneau coulé à plat",'NC Qualité'!J:J,"Autres :")</f>
        <v>0</v>
      </c>
      <c r="P61">
        <f>COUNTIFS('NC Qualité'!A:A,"&gt;=01/10/2020",'NC Qualité'!A:A,"&lt;=31/10/2020",'NC Qualité'!E:E,"Panneau coulé à plat",'NC Qualité'!J:J,"Accessoires (Mauvais positionnement , manquement, etc.)")</f>
        <v>0</v>
      </c>
      <c r="Q61">
        <f>COUNTIFS('NC Qualité'!A:A,"&gt;=01/10/2020",'NC Qualité'!A:A,"&lt;=31/10/2020",'NC Qualité'!E:E,"Panneau coulé à plat",'NC Qualité'!J:J,"équerrisage")</f>
        <v>0</v>
      </c>
      <c r="R61">
        <f>COUNTIFS('NC Qualité'!A:A,"&gt;=01/10/2020",'NC Qualité'!A:A,"&lt;=31/10/2020",'NC Qualité'!E:E,"Panneau coulé à plat",'NC Qualité'!J:J,"Seuil de porte (réservation)")</f>
        <v>0</v>
      </c>
      <c r="S61">
        <f>COUNTIFS('NC Qualité'!A:A,"&gt;=01/10/2020",'NC Qualité'!A:A,"&lt;=31/10/2020",'NC Qualité'!E:E,"Panneau coulé à plat",'NC Qualité'!J:J,"épaisseur")</f>
        <v>0</v>
      </c>
      <c r="T61">
        <f>COUNTIFS('NC Qualité'!A:A,"&gt;=01/10/2020",'NC Qualité'!A:A,"&lt;=31/10/2020",'NC Qualité'!E:E,"Panneau coulé à plat",'NC Qualité'!J:J,"Chanfrein")</f>
        <v>0</v>
      </c>
      <c r="U61">
        <f>COUNTIFS('NC Qualité'!A:A,"&gt;=01/10/2020",'NC Qualité'!A:A,"&lt;=31/10/2020",'NC Qualité'!E:E,"Panneau coulé à plat",'NC Qualité'!J:J,"Dimensionnement (entraînant un rebut)")</f>
        <v>0</v>
      </c>
      <c r="V61">
        <f>COUNTIFS('NC Qualité'!A:A,"&gt;=01/10/2020",'NC Qualité'!A:A,"&lt;=31/10/2020",'NC Qualité'!E:E,"Panneau coulé à plat",'NC Qualité'!J:J,"Cintrage")</f>
        <v>0</v>
      </c>
      <c r="W61">
        <f>COUNTIFS('NC Qualité'!A:A,"&gt;=01/10/2020",'NC Qualité'!A:A,"&lt;=31/10/2020",'NC Qualité'!E:E,"Panneau coulé à plat",'NC Qualité'!J:J,"Problème de chargement (sanglage, casse etc.)")</f>
        <v>0</v>
      </c>
      <c r="X61" s="29">
        <f>COUNTIFS('NC Qualité'!A:A,"&gt;=01/10/2020",'NC Qualité'!A:A,"&lt;=31/10/2020",'NC Qualité'!E:E,"Panneau coulé à plat",'NC Qualité'!J:J,"Erreur de chargement ")</f>
        <v>0</v>
      </c>
      <c r="AA61" s="32">
        <f>COUNTIFS('NC Qualité'!A:A,"&gt;=01/10/2020",'NC Qualité'!A:A,"&lt;=31/10/2020",'NC Qualité'!E:E,"Panneau coulé à plat",'NC Qualité'!T:T,1)</f>
        <v>0</v>
      </c>
      <c r="AB61" s="32">
        <f>COUNTIFS('NC Qualité'!A:A,"&gt;=01/10/2020",'NC Qualité'!A:A,"&lt;=31/10/2020",'NC Qualité'!E:E,"Panneau coulé à plat",'NC Qualité'!R:R,"A")</f>
        <v>0</v>
      </c>
    </row>
    <row r="62" spans="1:28" ht="21">
      <c r="A62" s="64"/>
      <c r="B62" s="2" t="s">
        <v>0</v>
      </c>
      <c r="C62" s="23"/>
      <c r="D62">
        <f>COUNTIFS('NC Qualité'!A:A,"&gt;=01/10/2020",'NC Qualité'!A:A,"&lt;=31/10/2020",'NC Qualité'!E:E,"Bianchi",'NC Qualité'!J:J,"Problème d'étiquetage")</f>
        <v>0</v>
      </c>
      <c r="E62" s="23"/>
      <c r="F62">
        <f>COUNTIFS('NC Qualité'!A:A,"&gt;=01/10/2020",'NC Qualité'!A:A,"&lt;=31/10/2020",'NC Qualité'!E:E,"Bianchi",'NC Qualité'!J:J,"Aspect béton (tâches / nid d'abeilles / granuleux / Fissures etc.)")</f>
        <v>0</v>
      </c>
      <c r="G62" s="23"/>
      <c r="H62">
        <f>COUNTIFS('NC Qualité'!A:A,"&gt;=01/10/2020",'NC Qualité'!A:A,"&lt;=31/10/2020",'NC Qualité'!E:E,"Bianchi",'NC Qualité'!J:J,"Ancre de levage")</f>
        <v>0</v>
      </c>
      <c r="I62" s="23"/>
      <c r="J62">
        <f>COUNTIFS('NC Qualité'!A:A,"&gt;=01/10/2020",'NC Qualité'!A:A,"&lt;=31/10/2020",'NC Qualité'!E:E,"Bianchi",'NC Qualité'!J:J,"Armatures apparentes")</f>
        <v>0</v>
      </c>
      <c r="K62" s="23"/>
      <c r="L62" s="23"/>
      <c r="M62" s="23"/>
      <c r="N62" s="23"/>
      <c r="O62">
        <f>COUNTIFS('NC Qualité'!A:A,"&gt;=01/10/2020",'NC Qualité'!A:A,"&lt;=31/10/2020",'NC Qualité'!E:E,"Bianchi",'NC Qualité'!J:J,"Autres :")</f>
        <v>0</v>
      </c>
      <c r="P62">
        <f>COUNTIFS('NC Qualité'!A:A,"&gt;=01/10/2020",'NC Qualité'!A:A,"&lt;=31/10/2020",'NC Qualité'!E:E,"Bianchi",'NC Qualité'!J:J,"Accessoires (Mauvais positionnement , manquement, etc.)")</f>
        <v>0</v>
      </c>
      <c r="Q62">
        <f>COUNTIFS('NC Qualité'!A:A,"&gt;=01/10/2020",'NC Qualité'!A:A,"&lt;=31/10/2020",'NC Qualité'!E:E,"Bianchi",'NC Qualité'!J:J,"équerrisage")</f>
        <v>0</v>
      </c>
      <c r="R62">
        <f>COUNTIFS('NC Qualité'!A:A,"&gt;=01/10/2020",'NC Qualité'!A:A,"&lt;=31/10/2020",'NC Qualité'!E:E,"Bianchi",'NC Qualité'!J:J,"Seuil de porte (réservation)")</f>
        <v>0</v>
      </c>
      <c r="S62">
        <f>COUNTIFS('NC Qualité'!A:A,"&gt;=01/10/2020",'NC Qualité'!A:A,"&lt;=31/10/2020",'NC Qualité'!E:E,"Bianchi",'NC Qualité'!J:J,"épaisseur")</f>
        <v>0</v>
      </c>
      <c r="T62">
        <f>COUNTIFS('NC Qualité'!A:A,"&gt;=01/10/2020",'NC Qualité'!A:A,"&lt;=31/10/2020",'NC Qualité'!E:E,"Bianchi",'NC Qualité'!J:J,"Chanfrein")</f>
        <v>0</v>
      </c>
      <c r="U62">
        <f>COUNTIFS('NC Qualité'!A:A,"&gt;=01/10/2020",'NC Qualité'!A:A,"&lt;=31/10/2020",'NC Qualité'!E:E,"Bianchi",'NC Qualité'!J:J,"Dimensionnement (entraînant un rebut)")</f>
        <v>0</v>
      </c>
      <c r="V62">
        <f>COUNTIFS('NC Qualité'!A:A,"&gt;=01/10/2020",'NC Qualité'!A:A,"&lt;=31/10/2020",'NC Qualité'!E:E,"Bianchi",'NC Qualité'!J:J,"Cintrage")</f>
        <v>0</v>
      </c>
      <c r="W62">
        <f>COUNTIFS('NC Qualité'!A:A,"&gt;=01/10/2020",'NC Qualité'!A:A,"&lt;=31/10/2020",'NC Qualité'!E:E,"Bianchi",'NC Qualité'!J:J,"Problème de chargement (sanglage, casse etc.)")</f>
        <v>0</v>
      </c>
      <c r="X62" s="29">
        <f>COUNTIFS('NC Qualité'!A:A,"&gt;=01/10/2020",'NC Qualité'!A:A,"&lt;=31/10/2020",'NC Qualité'!E:E,"Bianchi",'NC Qualité'!J:J,"Erreur de chargement ")</f>
        <v>0</v>
      </c>
      <c r="AA62" s="32">
        <f>COUNTIFS('NC Qualité'!A:A,"&gt;=01/10/2020",'NC Qualité'!A:A,"&lt;=31/10/2020",'NC Qualité'!E:E,"Bianchi",'NC Qualité'!T:T,1)</f>
        <v>0</v>
      </c>
      <c r="AB62" s="32">
        <f>COUNTIFS('NC Qualité'!A:A,"&gt;=01/10/2020",'NC Qualité'!A:A,"&lt;=31/10/2020",'NC Qualité'!E:E,"Bianchi",'NC Qualité'!R:R,"A")</f>
        <v>0</v>
      </c>
    </row>
    <row r="63" spans="1:28" ht="30">
      <c r="A63" s="64"/>
      <c r="B63" s="2" t="s">
        <v>4</v>
      </c>
      <c r="C63" s="23"/>
      <c r="D63">
        <f>COUNTIFS('NC Qualité'!A:A,"&gt;=01/10/2020",'NC Qualité'!A:A,"&lt;=31/10/2020",'NC Qualité'!E:E,"Préfabrication",'NC Qualité'!J:J,"Problème d'étiquetage")</f>
        <v>0</v>
      </c>
      <c r="E63" s="23"/>
      <c r="F63">
        <f>COUNTIFS('NC Qualité'!A:A,"&gt;=01/10/2020",'NC Qualité'!A:A,"&lt;=31/10/2020",'NC Qualité'!E:E,"Préfabrication",'NC Qualité'!J:J,"Aspect béton (tâches / nid d'abeilles / granuleux / Fissures etc.)")</f>
        <v>0</v>
      </c>
      <c r="G63" s="23"/>
      <c r="H63">
        <f>COUNTIFS('NC Qualité'!A:A,"&gt;=01/10/2020",'NC Qualité'!A:A,"&lt;=31/10/2020",'NC Qualité'!E:E,"Préfabrication",'NC Qualité'!J:J,"Ancre de levage")</f>
        <v>0</v>
      </c>
      <c r="I63" s="23"/>
      <c r="J63">
        <f>COUNTIFS('NC Qualité'!A:A,"&gt;=01/10/2020",'NC Qualité'!A:A,"&lt;=31/10/2020",'NC Qualité'!E:E,"Préfabrication",'NC Qualité'!J:J,"Armatures apparentes")</f>
        <v>0</v>
      </c>
      <c r="K63" s="23"/>
      <c r="L63" s="23"/>
      <c r="M63" s="23"/>
      <c r="N63" s="23"/>
      <c r="O63">
        <f>COUNTIFS('NC Qualité'!A:A,"&gt;=01/10/2020",'NC Qualité'!A:A,"&lt;=31/10/2020",'NC Qualité'!E:E,"Préfabrication",'NC Qualité'!J:J,"Autres :")</f>
        <v>0</v>
      </c>
      <c r="P63">
        <f>COUNTIFS('NC Qualité'!A:A,"&gt;=01/10/2020",'NC Qualité'!A:A,"&lt;=31/10/2020",'NC Qualité'!E:E,"Préfabrication",'NC Qualité'!J:J,"Accessoires (Mauvais positionnement , manquement, etc.)")</f>
        <v>0</v>
      </c>
      <c r="Q63">
        <f>COUNTIFS('NC Qualité'!A:A,"&gt;=01/10/2020",'NC Qualité'!A:A,"&lt;=31/10/2020",'NC Qualité'!E:E,"Préfabrication",'NC Qualité'!J:J,"équerrisage")</f>
        <v>0</v>
      </c>
      <c r="R63">
        <f>COUNTIFS('NC Qualité'!A:A,"&gt;=01/10/2020",'NC Qualité'!A:A,"&lt;=31/10/2020",'NC Qualité'!E:E,"Préfabrication",'NC Qualité'!J:J,"Seuil de porte (réservation)")</f>
        <v>0</v>
      </c>
      <c r="S63">
        <f>COUNTIFS('NC Qualité'!A:A,"&gt;=01/10/2020",'NC Qualité'!A:A,"&lt;=31/10/2020",'NC Qualité'!E:E,"Préfabrication",'NC Qualité'!J:J,"épaisseur")</f>
        <v>0</v>
      </c>
      <c r="T63">
        <f>COUNTIFS('NC Qualité'!A:A,"&gt;=01/10/2020",'NC Qualité'!A:A,"&lt;=31/10/2020",'NC Qualité'!E:E,"Préfabrication",'NC Qualité'!J:J,"Chanfrein")</f>
        <v>0</v>
      </c>
      <c r="U63">
        <f>COUNTIFS('NC Qualité'!A:A,"&gt;=01/10/2020",'NC Qualité'!A:A,"&lt;=31/10/2020",'NC Qualité'!E:E,"Préfabrication",'NC Qualité'!J:J,"Dimensionnement (entraînant un rebut)")</f>
        <v>0</v>
      </c>
      <c r="V63">
        <f>COUNTIFS('NC Qualité'!A:A,"&gt;=01/10/2020",'NC Qualité'!A:A,"&lt;=31/10/2020",'NC Qualité'!E:E,"Préfabrication",'NC Qualité'!J:J,"Cintrage")</f>
        <v>0</v>
      </c>
      <c r="W63">
        <f>COUNTIFS('NC Qualité'!A:A,"&gt;=01/10/2020",'NC Qualité'!A:A,"&lt;=31/10/2020",'NC Qualité'!E:E,"Préfabrication",'NC Qualité'!J:J,"Problème de chargement (sanglage, casse etc.)")</f>
        <v>0</v>
      </c>
      <c r="X63" s="29">
        <f>COUNTIFS('NC Qualité'!A:A,"&gt;=01/10/2020",'NC Qualité'!A:A,"&lt;=31/10/2020",'NC Qualité'!E:E,"Préfabrication",'NC Qualité'!J:J,"Erreur de chargement ")</f>
        <v>0</v>
      </c>
      <c r="AA63" s="32">
        <f>COUNTIFS('NC Qualité'!A:A,"&gt;=01/10/2020",'NC Qualité'!A:A,"&lt;=31/10/2020",'NC Qualité'!E:E,"Préfabrication",'NC Qualité'!T:T,1)</f>
        <v>0</v>
      </c>
      <c r="AB63" s="32">
        <f>COUNTIFS('NC Qualité'!A:A,"&gt;=01/10/2020",'NC Qualité'!A:A,"&lt;=31/10/2020",'NC Qualité'!E:E,"Préfabrication",'NC Qualité'!R:R,"A")</f>
        <v>0</v>
      </c>
    </row>
    <row r="64" spans="1:28" ht="30">
      <c r="A64" s="64"/>
      <c r="B64" s="17" t="s">
        <v>3</v>
      </c>
      <c r="C64" s="23"/>
      <c r="D64">
        <f>COUNTIFS('NC Qualité'!A:A,"&gt;=01/10/2020",'NC Qualité'!A:A,"&lt;=31/10/2020",'NC Qualité'!E:E,"Précontraint",'NC Qualité'!J:J,"Problème d'étiquetage")</f>
        <v>0</v>
      </c>
      <c r="E64" s="23"/>
      <c r="F64">
        <f>COUNTIFS('NC Qualité'!A:A,"&gt;=01/10/2020",'NC Qualité'!A:A,"&lt;=31/10/2020",'NC Qualité'!E:E,"Précontraint",'NC Qualité'!J:J,"Aspect béton (tâches / nid d'abeilles / granuleux / Fissures etc.)")</f>
        <v>0</v>
      </c>
      <c r="G64" s="23"/>
      <c r="H64">
        <f>COUNTIFS('NC Qualité'!A:A,"&gt;=01/10/2020",'NC Qualité'!A:A,"&lt;=31/10/2020",'NC Qualité'!E:E,"Précontraint",'NC Qualité'!J:J,"Ancre de levage")</f>
        <v>0</v>
      </c>
      <c r="I64" s="23"/>
      <c r="J64">
        <f>COUNTIFS('NC Qualité'!A:A,"&gt;=01/10/2020",'NC Qualité'!A:A,"&lt;=31/10/2020",'NC Qualité'!E:E,"Précontraint",'NC Qualité'!J:J,"Armatures apparentes")</f>
        <v>0</v>
      </c>
      <c r="K64" s="23"/>
      <c r="L64" s="23"/>
      <c r="M64" s="23"/>
      <c r="N64" s="23"/>
      <c r="O64">
        <f>COUNTIFS('NC Qualité'!A:A,"&gt;=01/10/2020",'NC Qualité'!A:A,"&lt;=31/10/2020",'NC Qualité'!E:E,"Précontraint",'NC Qualité'!J:J,"Autres :")</f>
        <v>0</v>
      </c>
      <c r="P64">
        <f>COUNTIFS('NC Qualité'!A:A,"&gt;=01/10/2020",'NC Qualité'!A:A,"&lt;=31/10/2020",'NC Qualité'!E:E,"Précontraint",'NC Qualité'!J:J,"Accessoires (Mauvais positionnement , manquement, etc.)")</f>
        <v>0</v>
      </c>
      <c r="Q64">
        <f>COUNTIFS('NC Qualité'!A:A,"&gt;=01/10/2020",'NC Qualité'!A:A,"&lt;=31/10/2020",'NC Qualité'!E:E,"Précontraint",'NC Qualité'!J:J,"équerrisage")</f>
        <v>0</v>
      </c>
      <c r="R64">
        <f>COUNTIFS('NC Qualité'!A:A,"&gt;=01/10/2020",'NC Qualité'!A:A,"&lt;=31/10/2020",'NC Qualité'!E:E,"Précontraint",'NC Qualité'!J:J,"Seuil de porte (réservation)")</f>
        <v>0</v>
      </c>
      <c r="S64">
        <f>COUNTIFS('NC Qualité'!A:A,"&gt;=01/10/2020",'NC Qualité'!A:A,"&lt;=31/10/2020",'NC Qualité'!E:E,"Précontraint",'NC Qualité'!J:J,"épaisseur")</f>
        <v>0</v>
      </c>
      <c r="T64">
        <f>COUNTIFS('NC Qualité'!A:A,"&gt;=01/10/2020",'NC Qualité'!A:A,"&lt;=31/10/2020",'NC Qualité'!E:E,"Précontraint",'NC Qualité'!J:J,"Chanfrein")</f>
        <v>0</v>
      </c>
      <c r="U64">
        <f>COUNTIFS('NC Qualité'!A:A,"&gt;=01/10/2020",'NC Qualité'!A:A,"&lt;=31/10/2020",'NC Qualité'!E:E,"Précontraint",'NC Qualité'!J:J,"Dimensionnement (entraînant un rebut)")</f>
        <v>0</v>
      </c>
      <c r="V64">
        <f>COUNTIFS('NC Qualité'!A:A,"&gt;=01/10/2020",'NC Qualité'!A:A,"&lt;=31/10/2020",'NC Qualité'!E:E,"Précontraint",'NC Qualité'!J:J,"Cintrage")</f>
        <v>0</v>
      </c>
      <c r="W64">
        <f>COUNTIFS('NC Qualité'!A:A,"&gt;=01/10/2020",'NC Qualité'!A:A,"&lt;=31/10/2020",'NC Qualité'!E:E,"Précontraint",'NC Qualité'!J:J,"Problème de chargement (sanglage, casse etc.)")</f>
        <v>0</v>
      </c>
      <c r="X64" s="29">
        <f>COUNTIFS('NC Qualité'!A:A,"&gt;=01/10/2020",'NC Qualité'!A:A,"&lt;=31/10/2020",'NC Qualité'!E:E,"Précontraint",'NC Qualité'!J:J,"Erreur de chargement ")</f>
        <v>0</v>
      </c>
      <c r="AA64" s="32">
        <f>COUNTIFS('NC Qualité'!A:A,"&gt;=01/10/2020",'NC Qualité'!A:A,"&lt;=31/10/2020",'NC Qualité'!E:E,"Précontraint",'NC Qualité'!T:T,1)</f>
        <v>0</v>
      </c>
      <c r="AB64" s="32">
        <f>COUNTIFS('NC Qualité'!A:A,"&gt;=01/10/2020",'NC Qualité'!A:A,"&lt;=31/10/2020",'NC Qualité'!E:E,"Précontraint",'NC Qualité'!R:R,"A")</f>
        <v>0</v>
      </c>
    </row>
    <row r="65" spans="1:28" ht="21">
      <c r="A65" s="64"/>
      <c r="B65" s="2" t="s">
        <v>2</v>
      </c>
      <c r="C65" s="24"/>
      <c r="D65" s="25">
        <f>COUNTIFS('NC Qualité'!A:A,"&gt;=01/10/2020",'NC Qualité'!A:A,"&lt;=31/10/2020",'NC Qualité'!E:E,"Parc",'NC Qualité'!J:J,"Problème d'étiquetage")</f>
        <v>0</v>
      </c>
      <c r="E65" s="26"/>
      <c r="F65" s="25">
        <f>COUNTIFS('NC Qualité'!A:A,"&gt;=01/10/2020",'NC Qualité'!A:A,"&lt;=31/10/2020",'NC Qualité'!E:E,"Parc",'NC Qualité'!J:J,"Aspect béton (tâches / nid d'abeilles / granuleux / Fissures etc.)")</f>
        <v>0</v>
      </c>
      <c r="G65" s="26"/>
      <c r="H65" s="25">
        <f>COUNTIFS('NC Qualité'!A:A,"&gt;=01/10/2020",'NC Qualité'!A:A,"&lt;=31/10/2020",'NC Qualité'!E:E,"Parc",'NC Qualité'!J:J,"Ancre de levage")</f>
        <v>0</v>
      </c>
      <c r="I65" s="26"/>
      <c r="J65" s="25">
        <f>COUNTIFS('NC Qualité'!A:A,"&gt;=01/10/2020",'NC Qualité'!A:A,"&lt;=31/10/2020",'NC Qualité'!E:E,"Parc",'NC Qualité'!J:J,"Armatures apparentes")</f>
        <v>0</v>
      </c>
      <c r="K65" s="26"/>
      <c r="L65" s="26"/>
      <c r="M65" s="26"/>
      <c r="N65" s="26"/>
      <c r="O65" s="25">
        <f>COUNTIFS('NC Qualité'!A:A,"&gt;=01/10/2020",'NC Qualité'!A:A,"&lt;=31/10/2020",'NC Qualité'!E:E,"Parc",'NC Qualité'!J:J,"Autres :")</f>
        <v>0</v>
      </c>
      <c r="P65" s="25">
        <f>COUNTIFS('NC Qualité'!A:A,"&gt;=01/10/2020",'NC Qualité'!A:A,"&lt;=31/10/2020",'NC Qualité'!E:E,"Parc",'NC Qualité'!J:J,"Accessoires (Mauvais positionnement , manquement, etc.)")</f>
        <v>0</v>
      </c>
      <c r="Q65" s="25">
        <f>COUNTIFS('NC Qualité'!A:A,"&gt;=01/10/2020",'NC Qualité'!A:A,"&lt;=31/10/2020",'NC Qualité'!E:E,"Parc",'NC Qualité'!J:J,"équerrisage")</f>
        <v>0</v>
      </c>
      <c r="R65" s="25">
        <f>COUNTIFS('NC Qualité'!A:A,"&gt;=01/10/2020",'NC Qualité'!A:A,"&lt;=31/10/2020",'NC Qualité'!E:E,"Parc",'NC Qualité'!J:J,"Seuil de porte (réservation)")</f>
        <v>0</v>
      </c>
      <c r="S65" s="25">
        <f>COUNTIFS('NC Qualité'!A:A,"&gt;=01/10/2020",'NC Qualité'!A:A,"&lt;=31/10/2020",'NC Qualité'!E:E,"Parc",'NC Qualité'!J:J,"épaisseur")</f>
        <v>0</v>
      </c>
      <c r="T65" s="25">
        <f>COUNTIFS('NC Qualité'!A:A,"&gt;=01/10/2020",'NC Qualité'!A:A,"&lt;=31/10/2020",'NC Qualité'!E:E,"Parc",'NC Qualité'!J:J,"Chanfrein")</f>
        <v>0</v>
      </c>
      <c r="U65" s="25">
        <f>COUNTIFS('NC Qualité'!A:A,"&gt;=01/10/2020",'NC Qualité'!A:A,"&lt;=31/10/2020",'NC Qualité'!E:E,"Parc",'NC Qualité'!J:J,"Dimensionnement (entraînant un rebut)")</f>
        <v>0</v>
      </c>
      <c r="V65" s="25">
        <f>COUNTIFS('NC Qualité'!A:A,"&gt;=01/10/2020",'NC Qualité'!A:A,"&lt;=31/10/2020",'NC Qualité'!E:E,"Parc",'NC Qualité'!J:J,"Cintrage")</f>
        <v>0</v>
      </c>
      <c r="W65" s="25">
        <f>COUNTIFS('NC Qualité'!A:A,"&gt;=01/10/2020",'NC Qualité'!A:A,"&lt;=31/10/2020",'NC Qualité'!E:E,"Parc",'NC Qualité'!J:J,"Problème de chargement (sanglage, casse etc.)")</f>
        <v>0</v>
      </c>
      <c r="X65" s="30">
        <f>COUNTIFS('NC Qualité'!A:A,"&gt;=01/10/2020",'NC Qualité'!A:A,"&lt;=31/10/2020",'NC Qualité'!E:E,"Parc",'NC Qualité'!J:J,"Erreur de chargement ")</f>
        <v>0</v>
      </c>
      <c r="AA65" s="32">
        <f>COUNTIFS('NC Qualité'!A:A,"&gt;=01/10/2020",'NC Qualité'!A:A,"&lt;=31/10/2020",'NC Qualité'!E:E,"Parc",'NC Qualité'!T:T,1)</f>
        <v>0</v>
      </c>
      <c r="AB65" s="32">
        <f>COUNTIFS('NC Qualité'!A:A,"&gt;=01/10/2020",'NC Qualité'!A:A,"&lt;=31/10/2020",'NC Qualité'!E:E,"Parc",'NC Qualité'!R:R,"A")</f>
        <v>0</v>
      </c>
    </row>
    <row r="66" spans="1:28" ht="23.25">
      <c r="AA66" s="35">
        <f>SUM(AA54:AA65)</f>
        <v>0</v>
      </c>
      <c r="AB66" s="35">
        <f>SUM(AB54:AB65)</f>
        <v>0</v>
      </c>
    </row>
    <row r="67" spans="1:28" ht="15.75" thickBot="1"/>
    <row r="68" spans="1:28" ht="15.75" thickBot="1">
      <c r="A68" s="43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5"/>
    </row>
    <row r="70" spans="1:28">
      <c r="B70" t="s">
        <v>61</v>
      </c>
    </row>
    <row r="73" spans="1:28" ht="105">
      <c r="B73" s="15" t="s">
        <v>34</v>
      </c>
      <c r="C73" s="22" t="s">
        <v>36</v>
      </c>
      <c r="D73" s="22" t="s">
        <v>5</v>
      </c>
      <c r="E73" s="22" t="s">
        <v>41</v>
      </c>
      <c r="F73" s="22" t="s">
        <v>31</v>
      </c>
      <c r="G73" s="22" t="s">
        <v>42</v>
      </c>
      <c r="H73" s="22" t="s">
        <v>43</v>
      </c>
      <c r="I73" s="22" t="s">
        <v>44</v>
      </c>
      <c r="J73" s="22" t="s">
        <v>45</v>
      </c>
      <c r="K73" s="22" t="s">
        <v>46</v>
      </c>
      <c r="L73" s="22" t="s">
        <v>47</v>
      </c>
      <c r="M73" s="22" t="s">
        <v>48</v>
      </c>
      <c r="N73" s="22" t="s">
        <v>49</v>
      </c>
      <c r="O73" s="22" t="s">
        <v>50</v>
      </c>
      <c r="P73" s="22" t="s">
        <v>29</v>
      </c>
      <c r="Q73" s="22" t="s">
        <v>53</v>
      </c>
      <c r="R73" s="22" t="s">
        <v>32</v>
      </c>
      <c r="S73" s="22" t="s">
        <v>54</v>
      </c>
      <c r="T73" s="22" t="s">
        <v>6</v>
      </c>
      <c r="U73" s="22" t="s">
        <v>30</v>
      </c>
      <c r="V73" s="22" t="s">
        <v>8</v>
      </c>
      <c r="W73" s="22" t="s">
        <v>33</v>
      </c>
      <c r="X73" s="22" t="s">
        <v>55</v>
      </c>
      <c r="AA73" s="34" t="s">
        <v>57</v>
      </c>
      <c r="AB73" s="33" t="s">
        <v>56</v>
      </c>
    </row>
    <row r="74" spans="1:28" ht="21">
      <c r="A74" s="64" t="s">
        <v>52</v>
      </c>
      <c r="B74" s="21" t="s">
        <v>27</v>
      </c>
      <c r="P74" s="23"/>
      <c r="Q74" s="23"/>
      <c r="R74" s="23"/>
      <c r="S74" s="23"/>
      <c r="T74" s="23"/>
      <c r="U74" s="23"/>
      <c r="V74" s="23"/>
      <c r="W74" s="23"/>
      <c r="X74" s="27"/>
      <c r="AA74" s="32"/>
      <c r="AB74" s="32"/>
    </row>
    <row r="75" spans="1:28" ht="21">
      <c r="A75" s="64"/>
      <c r="B75" s="2" t="s">
        <v>1</v>
      </c>
      <c r="P75" s="23"/>
      <c r="Q75" s="23"/>
      <c r="R75" s="23"/>
      <c r="S75" s="23"/>
      <c r="T75" s="23"/>
      <c r="U75" s="23"/>
      <c r="V75" s="23"/>
      <c r="W75" s="23"/>
      <c r="X75" s="28"/>
      <c r="AA75" s="32"/>
      <c r="AB75" s="32"/>
    </row>
    <row r="76" spans="1:28" ht="45">
      <c r="A76" s="64"/>
      <c r="B76" s="2" t="s">
        <v>28</v>
      </c>
      <c r="P76" s="23"/>
      <c r="Q76" s="23"/>
      <c r="R76" s="23"/>
      <c r="S76" s="23"/>
      <c r="T76" s="23"/>
      <c r="U76" s="23"/>
      <c r="V76" s="23"/>
      <c r="W76" s="23"/>
      <c r="X76" s="28"/>
      <c r="AA76" s="32"/>
      <c r="AB76" s="32"/>
    </row>
    <row r="77" spans="1:28" ht="30">
      <c r="A77" s="64"/>
      <c r="B77" s="16" t="s">
        <v>37</v>
      </c>
      <c r="P77" s="23"/>
      <c r="Q77" s="23"/>
      <c r="R77" s="23"/>
      <c r="S77" s="23"/>
      <c r="T77" s="23"/>
      <c r="U77" s="23"/>
      <c r="V77" s="23"/>
      <c r="W77" s="23"/>
      <c r="X77" s="28"/>
      <c r="AA77" s="32"/>
      <c r="AB77" s="32"/>
    </row>
    <row r="78" spans="1:28" ht="45">
      <c r="A78" s="64"/>
      <c r="B78" s="16" t="s">
        <v>38</v>
      </c>
      <c r="P78" s="23"/>
      <c r="Q78" s="23"/>
      <c r="R78" s="23"/>
      <c r="S78" s="23"/>
      <c r="T78" s="23"/>
      <c r="U78" s="23"/>
      <c r="V78" s="23"/>
      <c r="W78" s="23"/>
      <c r="X78" s="28"/>
      <c r="AA78" s="32"/>
      <c r="AB78" s="32"/>
    </row>
    <row r="79" spans="1:28" ht="45">
      <c r="A79" s="64"/>
      <c r="B79" s="16" t="s">
        <v>39</v>
      </c>
      <c r="P79" s="23"/>
      <c r="Q79" s="23"/>
      <c r="R79" s="23"/>
      <c r="S79" s="23"/>
      <c r="T79" s="23"/>
      <c r="U79" s="23"/>
      <c r="V79" s="23"/>
      <c r="W79" s="23"/>
      <c r="X79" s="28"/>
      <c r="AA79" s="32"/>
      <c r="AB79" s="32"/>
    </row>
    <row r="80" spans="1:28" ht="45">
      <c r="A80" s="64"/>
      <c r="B80" s="2" t="s">
        <v>40</v>
      </c>
      <c r="P80" s="23"/>
      <c r="Q80" s="23"/>
      <c r="R80" s="23"/>
      <c r="S80" s="23"/>
      <c r="T80" s="23"/>
      <c r="U80" s="23"/>
      <c r="V80" s="23"/>
      <c r="W80" s="23"/>
      <c r="X80" s="28"/>
      <c r="AA80" s="32"/>
      <c r="AB80" s="32"/>
    </row>
    <row r="81" spans="1:28" ht="30">
      <c r="A81" s="64" t="s">
        <v>51</v>
      </c>
      <c r="B81" s="2" t="s">
        <v>7</v>
      </c>
      <c r="C81" s="23"/>
      <c r="D81">
        <f>COUNTIFS('NC Qualité'!A:A,"&gt;=01/11/2020",'NC Qualité'!A:A,"&lt;=30/11/2020",'NC Qualité'!E:E,"Panneau coulé à plat",'NC Qualité'!J:J,"Problème d'étiquetage")</f>
        <v>0</v>
      </c>
      <c r="E81" s="23"/>
      <c r="F81">
        <f>COUNTIFS('NC Qualité'!A:A,"&gt;=01/11/2020",'NC Qualité'!A:A,"&lt;=30/11/2020",'NC Qualité'!E:E,"Panneau coulé à plat",'NC Qualité'!J:J,"Aspect béton (tâches / nid d'abeilles / granuleux / Fissures etc.)")</f>
        <v>0</v>
      </c>
      <c r="G81" s="23"/>
      <c r="H81">
        <f>COUNTIFS('NC Qualité'!A:A,"&gt;=01/11/2020",'NC Qualité'!A:A,"&lt;=30/11/2020",'NC Qualité'!E:E,"Panneau coulé à plat",'NC Qualité'!J:J,"Ancre de levage")</f>
        <v>0</v>
      </c>
      <c r="I81" s="23"/>
      <c r="J81">
        <f>COUNTIFS('NC Qualité'!A:A,"&gt;=01/11/2020",'NC Qualité'!A:A,"&lt;=30/11/2020",'NC Qualité'!E:E,"Modul : Tuyaux Dn 1800 à 2630",'NC Qualité'!J:J,"Armatures apparentes")</f>
        <v>0</v>
      </c>
      <c r="K81" s="23"/>
      <c r="L81" s="23"/>
      <c r="M81" s="23"/>
      <c r="N81" s="23"/>
      <c r="O81">
        <f>COUNTIFS('NC Qualité'!A:A,"&gt;=01/11/2020",'NC Qualité'!A:A,"&lt;=30/11/2020",'NC Qualité'!E:E,"Panneau coulé à plat",'NC Qualité'!J:J,"Autres :")</f>
        <v>0</v>
      </c>
      <c r="P81">
        <f>COUNTIFS('NC Qualité'!A:A,"&gt;=01/11/2020",'NC Qualité'!A:A,"&lt;=30/11/2020",'NC Qualité'!E:E,"Panneau coulé à plat",'NC Qualité'!J:J,"Accessoires (Mauvais positionnement , manquement, etc.)")</f>
        <v>0</v>
      </c>
      <c r="Q81">
        <f>COUNTIFS('NC Qualité'!A:A,"&gt;=01/11/2020",'NC Qualité'!A:A,"&lt;=30/11/2020",'NC Qualité'!E:E,"Panneau coulé à plat",'NC Qualité'!J:J,"équerrisage")</f>
        <v>0</v>
      </c>
      <c r="R81">
        <f>COUNTIFS('NC Qualité'!A:A,"&gt;=01/11/2020",'NC Qualité'!A:A,"&lt;=30/11/2020",'NC Qualité'!E:E,"Panneau coulé à plat",'NC Qualité'!J:J,"Seuil de porte (réservation)")</f>
        <v>0</v>
      </c>
      <c r="S81">
        <f>COUNTIFS('NC Qualité'!A:A,"&gt;=01/11/2020",'NC Qualité'!A:A,"&lt;=30/11/2020",'NC Qualité'!E:E,"Panneau coulé à plat",'NC Qualité'!J:J,"épaisseur")</f>
        <v>0</v>
      </c>
      <c r="T81">
        <f>COUNTIFS('NC Qualité'!A:A,"&gt;=01/11/2020",'NC Qualité'!A:A,"&lt;=30/11/2020",'NC Qualité'!E:E,"Panneau coulé à plat",'NC Qualité'!J:J,"Chanfrein")</f>
        <v>0</v>
      </c>
      <c r="U81">
        <f>COUNTIFS('NC Qualité'!A:A,"&gt;=01/11/2020",'NC Qualité'!A:A,"&lt;=30/11/2020",'NC Qualité'!E:E,"Panneau coulé à plat",'NC Qualité'!J:J,"Dimensionnement (entraînant un rebut)")</f>
        <v>0</v>
      </c>
      <c r="V81">
        <f>COUNTIFS('NC Qualité'!A:A,"&gt;=01/11/2020",'NC Qualité'!A:A,"&lt;=30/11/2020",'NC Qualité'!E:E,"Panneau coulé à plat",'NC Qualité'!J:J,"Cintrage")</f>
        <v>0</v>
      </c>
      <c r="W81">
        <f>COUNTIFS('NC Qualité'!A:A,"&gt;=01/11/2020",'NC Qualité'!A:A,"&lt;=30/11/2020",'NC Qualité'!E:E,"Panneau coulé à plat",'NC Qualité'!J:J,"Problème de chargement (sanglage, casse etc.)")</f>
        <v>0</v>
      </c>
      <c r="X81" s="29">
        <f>COUNTIFS('NC Qualité'!A:A,"&gt;=01/11/2020",'NC Qualité'!A:A,"&lt;=30/11/2020",'NC Qualité'!E:E,"Panneau coulé à plat",'NC Qualité'!J:J,"Erreur de chargement ")</f>
        <v>0</v>
      </c>
      <c r="AA81" s="32">
        <f>COUNTIFS('NC Qualité'!A:A,"&gt;=01/11/2020",'NC Qualité'!A:A,"&lt;=30/11/2020",'NC Qualité'!E:E,"Panneau coulé à plat",'NC Qualité'!T:T,1)</f>
        <v>0</v>
      </c>
      <c r="AB81" s="32">
        <f>COUNTIFS('NC Qualité'!A:A,"&gt;=01/11/2020",'NC Qualité'!A:A,"&lt;=30/11/2020",'NC Qualité'!E:E,"Panneau coulé à plat",'NC Qualité'!R:R,"A")</f>
        <v>0</v>
      </c>
    </row>
    <row r="82" spans="1:28" ht="21">
      <c r="A82" s="64"/>
      <c r="B82" s="2" t="s">
        <v>0</v>
      </c>
      <c r="C82" s="23"/>
      <c r="D82">
        <f>COUNTIFS('NC Qualité'!A:A,"&gt;=01/11/2020",'NC Qualité'!A:A,"&lt;=30/11/2020",'NC Qualité'!E:E,"Bianchi",'NC Qualité'!J:J,"Problème d'étiquetage")</f>
        <v>0</v>
      </c>
      <c r="E82" s="23"/>
      <c r="F82">
        <f>COUNTIFS('NC Qualité'!A:A,"&gt;=01/11/2020",'NC Qualité'!A:A,"&lt;=30/11/2020",'NC Qualité'!E:E,"Bianchi",'NC Qualité'!J:J,"Aspect béton (tâches / nid d'abeilles / granuleux / Fissures etc.)")</f>
        <v>0</v>
      </c>
      <c r="G82" s="23"/>
      <c r="H82">
        <f>COUNTIFS('NC Qualité'!A:A,"&gt;=01/11/2020",'NC Qualité'!A:A,"&lt;=30/11/2020",'NC Qualité'!E:E,"Bianchi",'NC Qualité'!J:J,"Ancre de levage")</f>
        <v>0</v>
      </c>
      <c r="I82" s="23"/>
      <c r="J82">
        <f>COUNTIFS('NC Qualité'!A:A,"&gt;=01/11/2020",'NC Qualité'!A:A,"&lt;=30/11/2020",'NC Qualité'!E:E,"Bianchi",'NC Qualité'!J:J,"Armatures apparentes")</f>
        <v>0</v>
      </c>
      <c r="K82" s="23"/>
      <c r="L82" s="23"/>
      <c r="M82" s="23"/>
      <c r="N82" s="23"/>
      <c r="O82">
        <f>COUNTIFS('NC Qualité'!A:A,"&gt;=01/11/2020",'NC Qualité'!A:A,"&lt;=30/11/2020",'NC Qualité'!E:E,"Bianchi",'NC Qualité'!J:J,"Autres :")</f>
        <v>0</v>
      </c>
      <c r="P82">
        <f>COUNTIFS('NC Qualité'!A:A,"&gt;=01/11/2020",'NC Qualité'!A:A,"&lt;=30/11/2020",'NC Qualité'!E:E,"Bianchi",'NC Qualité'!J:J,"Accessoires (Mauvais positionnement , manquement, etc.)")</f>
        <v>0</v>
      </c>
      <c r="Q82">
        <f>COUNTIFS('NC Qualité'!A:A,"&gt;=01/11/2020",'NC Qualité'!A:A,"&lt;=30/11/2020",'NC Qualité'!E:E,"Bianchi",'NC Qualité'!J:J,"équerrisage")</f>
        <v>0</v>
      </c>
      <c r="R82">
        <f>COUNTIFS('NC Qualité'!A:A,"&gt;=01/11/2020",'NC Qualité'!A:A,"&lt;=30/11/2020",'NC Qualité'!E:E,"Bianchi",'NC Qualité'!J:J,"Seuil de porte (réservation)")</f>
        <v>0</v>
      </c>
      <c r="S82">
        <f>COUNTIFS('NC Qualité'!A:A,"&gt;=01/11/2020",'NC Qualité'!A:A,"&lt;=30/11/2020",'NC Qualité'!E:E,"Bianchi",'NC Qualité'!J:J,"épaisseur")</f>
        <v>0</v>
      </c>
      <c r="T82">
        <f>COUNTIFS('NC Qualité'!A:A,"&gt;=01/11/2020",'NC Qualité'!A:A,"&lt;=30/11/2020",'NC Qualité'!E:E,"Bianchi",'NC Qualité'!J:J,"Chanfrein")</f>
        <v>0</v>
      </c>
      <c r="U82">
        <f>COUNTIFS('NC Qualité'!A:A,"&gt;=01/11/2020",'NC Qualité'!A:A,"&lt;=30/11/2020",'NC Qualité'!E:E,"Bianchi",'NC Qualité'!J:J,"Dimensionnement (entraînant un rebut)")</f>
        <v>0</v>
      </c>
      <c r="V82">
        <f>COUNTIFS('NC Qualité'!A:A,"&gt;=01/11/2020",'NC Qualité'!A:A,"&lt;=30/11/2020",'NC Qualité'!E:E,"Bianchi",'NC Qualité'!J:J,"Cintrage")</f>
        <v>0</v>
      </c>
      <c r="W82">
        <f>COUNTIFS('NC Qualité'!A:A,"&gt;=01/11/2020",'NC Qualité'!A:A,"&lt;=30/11/2020",'NC Qualité'!E:E,"Bianchi",'NC Qualité'!J:J,"Problème de chargement (sanglage, casse etc.)")</f>
        <v>0</v>
      </c>
      <c r="X82" s="29">
        <f>COUNTIFS('NC Qualité'!A:A,"&gt;=01/11/2020",'NC Qualité'!A:A,"&lt;=30/11/2020",'NC Qualité'!E:E,"Bianchi",'NC Qualité'!J:J,"Erreur de chargement ")</f>
        <v>0</v>
      </c>
      <c r="AA82" s="32">
        <f>COUNTIFS('NC Qualité'!A:A,"&gt;=01/11/2020",'NC Qualité'!A:A,"&lt;=30/11/2020",'NC Qualité'!E:E,"Bianchi",'NC Qualité'!T:T,1)</f>
        <v>0</v>
      </c>
      <c r="AB82" s="32">
        <f>COUNTIFS('NC Qualité'!A:A,"&gt;=01/11/2020",'NC Qualité'!A:A,"&lt;=30/11/2020",'NC Qualité'!E:E,"Bianchi",'NC Qualité'!R:R,"A")</f>
        <v>0</v>
      </c>
    </row>
    <row r="83" spans="1:28" ht="30">
      <c r="A83" s="64"/>
      <c r="B83" s="2" t="s">
        <v>4</v>
      </c>
      <c r="C83" s="23"/>
      <c r="D83">
        <f>COUNTIFS('NC Qualité'!A:A,"&gt;=01/11/2020",'NC Qualité'!A:A,"&lt;=30/11/2020",'NC Qualité'!E:E,"Préfabrication",'NC Qualité'!J:J,"Problème d'étiquetage")</f>
        <v>0</v>
      </c>
      <c r="E83" s="23"/>
      <c r="F83">
        <f>COUNTIFS('NC Qualité'!A:A,"&gt;=01/11/2020",'NC Qualité'!A:A,"&lt;=30/11/2020",'NC Qualité'!E:E,"Préfabrication",'NC Qualité'!J:J,"Aspect béton (tâches / nid d'abeilles / granuleux / Fissures etc.)")</f>
        <v>0</v>
      </c>
      <c r="G83" s="23"/>
      <c r="H83">
        <f>COUNTIFS('NC Qualité'!A:A,"&gt;=01/11/2020",'NC Qualité'!A:A,"&lt;=30/11/2020",'NC Qualité'!E:E,"Préfabrication",'NC Qualité'!J:J,"Ancre de levage")</f>
        <v>0</v>
      </c>
      <c r="I83" s="23"/>
      <c r="J83">
        <f>COUNTIFS('NC Qualité'!A:A,"&gt;=01/11/2020",'NC Qualité'!A:A,"&lt;=30/11/2020",'NC Qualité'!E:E,"Préfabrication",'NC Qualité'!J:J,"Armatures apparentes")</f>
        <v>0</v>
      </c>
      <c r="K83" s="23"/>
      <c r="L83" s="23"/>
      <c r="M83" s="23"/>
      <c r="N83" s="23"/>
      <c r="O83">
        <f>COUNTIFS('NC Qualité'!A:A,"&gt;=01/11/2020",'NC Qualité'!A:A,"&lt;=30/11/2020",'NC Qualité'!E:E,"Préfabrication",'NC Qualité'!J:J,"Autres :")</f>
        <v>0</v>
      </c>
      <c r="P83">
        <f>COUNTIFS('NC Qualité'!A:A,"&gt;=01/11/2020",'NC Qualité'!A:A,"&lt;=30/11/2020",'NC Qualité'!E:E,"Préfabrication",'NC Qualité'!J:J,"Accessoires (Mauvais positionnement , manquement, etc.)")</f>
        <v>0</v>
      </c>
      <c r="Q83">
        <f>COUNTIFS('NC Qualité'!A:A,"&gt;=01/11/2020",'NC Qualité'!A:A,"&lt;=30/11/2020",'NC Qualité'!E:E,"Préfabrication",'NC Qualité'!J:J,"équerrisage")</f>
        <v>0</v>
      </c>
      <c r="R83">
        <f>COUNTIFS('NC Qualité'!A:A,"&gt;=01/11/2020",'NC Qualité'!A:A,"&lt;=30/11/2020",'NC Qualité'!E:E,"Préfabrication",'NC Qualité'!J:J,"Seuil de porte (réservation)")</f>
        <v>0</v>
      </c>
      <c r="S83">
        <f>COUNTIFS('NC Qualité'!A:A,"&gt;=01/11/2020",'NC Qualité'!A:A,"&lt;=30/11/2020",'NC Qualité'!E:E,"Préfabrication",'NC Qualité'!J:J,"épaisseur")</f>
        <v>0</v>
      </c>
      <c r="T83">
        <f>COUNTIFS('NC Qualité'!A:A,"&gt;=01/11/2020",'NC Qualité'!A:A,"&lt;=30/11/2020",'NC Qualité'!E:E,"Préfabrication",'NC Qualité'!J:J,"Chanfrein")</f>
        <v>0</v>
      </c>
      <c r="U83">
        <f>COUNTIFS('NC Qualité'!A:A,"&gt;=01/11/2020",'NC Qualité'!A:A,"&lt;=30/11/2020",'NC Qualité'!E:E,"Préfabrication",'NC Qualité'!J:J,"Dimensionnement (entraînant un rebut)")</f>
        <v>0</v>
      </c>
      <c r="V83">
        <f>COUNTIFS('NC Qualité'!A:A,"&gt;=01/11/2020",'NC Qualité'!A:A,"&lt;=30/11/2020",'NC Qualité'!E:E,"Préfabrication",'NC Qualité'!J:J,"Cintrage")</f>
        <v>0</v>
      </c>
      <c r="W83">
        <f>COUNTIFS('NC Qualité'!A:A,"&gt;=01/11/2020",'NC Qualité'!A:A,"&lt;=30/11/2020",'NC Qualité'!E:E,"Préfabrication",'NC Qualité'!J:J,"Problème de chargement (sanglage, casse etc.)")</f>
        <v>0</v>
      </c>
      <c r="X83" s="29">
        <f>COUNTIFS('NC Qualité'!A:A,"&gt;=01/11/2020",'NC Qualité'!A:A,"&lt;=30/11/2020",'NC Qualité'!E:E,"Préfabrication",'NC Qualité'!J:J,"Erreur de chargement ")</f>
        <v>0</v>
      </c>
      <c r="AA83" s="32">
        <f>COUNTIFS('NC Qualité'!A:A,"&gt;=01/11/2020",'NC Qualité'!A:A,"&lt;=30/11/2020",'NC Qualité'!E:E,"Préfabrication",'NC Qualité'!T:T,1)</f>
        <v>0</v>
      </c>
      <c r="AB83" s="32">
        <f>COUNTIFS('NC Qualité'!A:A,"&gt;=01/11/2020",'NC Qualité'!A:A,"&lt;=30/11/2020",'NC Qualité'!E:E,"Préfabrication",'NC Qualité'!R:R,"A")</f>
        <v>0</v>
      </c>
    </row>
    <row r="84" spans="1:28" ht="30">
      <c r="A84" s="64"/>
      <c r="B84" s="17" t="s">
        <v>3</v>
      </c>
      <c r="C84" s="23"/>
      <c r="D84">
        <f>COUNTIFS('NC Qualité'!A:A,"&gt;=01/11/2020",'NC Qualité'!A:A,"&lt;=30/11/2020",'NC Qualité'!E:E,"Précontraint",'NC Qualité'!J:J,"Problème d'étiquetage")</f>
        <v>0</v>
      </c>
      <c r="E84" s="23"/>
      <c r="F84">
        <f>COUNTIFS('NC Qualité'!A:A,"&gt;=01/11/2020",'NC Qualité'!A:A,"&lt;=30/11/2020",'NC Qualité'!E:E,"Précontraint",'NC Qualité'!J:J,"Aspect béton (tâches / nid d'abeilles / granuleux / Fissures etc.)")</f>
        <v>0</v>
      </c>
      <c r="G84" s="23"/>
      <c r="H84">
        <f>COUNTIFS('NC Qualité'!A:A,"&gt;=01/11/2020",'NC Qualité'!A:A,"&lt;=30/11/2020",'NC Qualité'!E:E,"Précontraint",'NC Qualité'!J:J,"Ancre de levage")</f>
        <v>0</v>
      </c>
      <c r="I84" s="23"/>
      <c r="J84">
        <f>COUNTIFS('NC Qualité'!A:A,"&gt;=01/11/2020",'NC Qualité'!A:A,"&lt;=30/11/2020",'NC Qualité'!E:E,"Précontraint",'NC Qualité'!J:J,"Armatures apparentes")</f>
        <v>0</v>
      </c>
      <c r="K84" s="23"/>
      <c r="L84" s="23"/>
      <c r="M84" s="23"/>
      <c r="N84" s="23"/>
      <c r="O84">
        <f>COUNTIFS('NC Qualité'!A:A,"&gt;=01/11/2020",'NC Qualité'!A:A,"&lt;=30/11/2020",'NC Qualité'!E:E,"Précontraint",'NC Qualité'!J:J,"Autres :")</f>
        <v>0</v>
      </c>
      <c r="P84">
        <f>COUNTIFS('NC Qualité'!A:A,"&gt;=01/11/2020",'NC Qualité'!A:A,"&lt;=30/11/2020",'NC Qualité'!E:E,"Précontraint",'NC Qualité'!J:J,"Accessoires (Mauvais positionnement , manquement, etc.)")</f>
        <v>0</v>
      </c>
      <c r="Q84">
        <f>COUNTIFS('NC Qualité'!A:A,"&gt;=01/11/2020",'NC Qualité'!A:A,"&lt;=30/11/2020",'NC Qualité'!E:E,"Précontraint",'NC Qualité'!J:J,"équerrisage")</f>
        <v>0</v>
      </c>
      <c r="R84">
        <f>COUNTIFS('NC Qualité'!A:A,"&gt;=01/11/2020",'NC Qualité'!A:A,"&lt;=30/11/2020",'NC Qualité'!E:E,"Précontraint",'NC Qualité'!J:J,"Seuil de porte (réservation)")</f>
        <v>0</v>
      </c>
      <c r="S84">
        <f>COUNTIFS('NC Qualité'!A:A,"&gt;=01/11/2020",'NC Qualité'!A:A,"&lt;=30/11/2020",'NC Qualité'!E:E,"Précontraint",'NC Qualité'!J:J,"épaisseur")</f>
        <v>0</v>
      </c>
      <c r="T84">
        <f>COUNTIFS('NC Qualité'!A:A,"&gt;=01/11/2020",'NC Qualité'!A:A,"&lt;=30/11/2020",'NC Qualité'!E:E,"Précontraint",'NC Qualité'!J:J,"Chanfrein")</f>
        <v>0</v>
      </c>
      <c r="U84">
        <f>COUNTIFS('NC Qualité'!A:A,"&gt;=01/11/2020",'NC Qualité'!A:A,"&lt;=30/11/2020",'NC Qualité'!E:E,"Précontraint",'NC Qualité'!J:J,"Dimensionnement (entraînant un rebut)")</f>
        <v>0</v>
      </c>
      <c r="V84">
        <f>COUNTIFS('NC Qualité'!A:A,"&gt;=01/11/2020",'NC Qualité'!A:A,"&lt;=30/11/2020",'NC Qualité'!E:E,"Précontraint",'NC Qualité'!J:J,"Cintrage")</f>
        <v>0</v>
      </c>
      <c r="W84">
        <f>COUNTIFS('NC Qualité'!A:A,"&gt;=01/11/2020",'NC Qualité'!A:A,"&lt;=30/11/2020",'NC Qualité'!E:E,"Précontraint",'NC Qualité'!J:J,"Problème de chargement (sanglage, casse etc.)")</f>
        <v>0</v>
      </c>
      <c r="X84" s="29">
        <f>COUNTIFS('NC Qualité'!A:A,"&gt;=01/11/2020",'NC Qualité'!A:A,"&lt;=30/11/2020",'NC Qualité'!E:E,"Précontraint",'NC Qualité'!J:J,"Erreur de chargement ")</f>
        <v>0</v>
      </c>
      <c r="AA84" s="32">
        <f>COUNTIFS('NC Qualité'!A:A,"&gt;=01/11/2020",'NC Qualité'!A:A,"&lt;=30/11/2020",'NC Qualité'!E:E,"Précontraint",'NC Qualité'!T:T,1)</f>
        <v>0</v>
      </c>
      <c r="AB84" s="32">
        <f>COUNTIFS('NC Qualité'!A:A,"&gt;=01/11/2020",'NC Qualité'!A:A,"&lt;=30/11/2020",'NC Qualité'!E:E,"Précontraint",'NC Qualité'!R:R,"A")</f>
        <v>0</v>
      </c>
    </row>
    <row r="85" spans="1:28" ht="21">
      <c r="A85" s="64"/>
      <c r="B85" s="2" t="s">
        <v>2</v>
      </c>
      <c r="C85" s="24"/>
      <c r="D85" s="25">
        <f>COUNTIFS('NC Qualité'!A:A,"&gt;=01/11/2020",'NC Qualité'!A:A,"&lt;=30/11/2020",'NC Qualité'!E:E,"Parc",'NC Qualité'!J:J,"Problème d'étiquetage")</f>
        <v>0</v>
      </c>
      <c r="E85" s="26"/>
      <c r="F85" s="25">
        <f>COUNTIFS('NC Qualité'!A:A,"&gt;=01/11/2020",'NC Qualité'!A:A,"&lt;=30/11/2020",'NC Qualité'!E:E,"Parc",'NC Qualité'!J:J,"Aspect béton (tâches / nid d'abeilles / granuleux / Fissures etc.)")</f>
        <v>0</v>
      </c>
      <c r="G85" s="26"/>
      <c r="H85" s="25">
        <f>COUNTIFS('NC Qualité'!A:A,"&gt;=01/11/2020",'NC Qualité'!A:A,"&lt;=30/11/2020",'NC Qualité'!E:E,"Parc",'NC Qualité'!J:J,"Ancre de levage")</f>
        <v>0</v>
      </c>
      <c r="I85" s="26"/>
      <c r="J85" s="25">
        <f>COUNTIFS('NC Qualité'!A:A,"&gt;=01/11/2020",'NC Qualité'!A:A,"&lt;=30/11/2020",'NC Qualité'!E:E,"Parc",'NC Qualité'!J:J,"Armatures apparentes")</f>
        <v>0</v>
      </c>
      <c r="K85" s="26"/>
      <c r="L85" s="26"/>
      <c r="M85" s="26"/>
      <c r="N85" s="26"/>
      <c r="O85" s="25">
        <f>COUNTIFS('NC Qualité'!A:A,"&gt;=01/11/2020",'NC Qualité'!A:A,"&lt;=30/11/2020",'NC Qualité'!E:E,"Parc",'NC Qualité'!J:J,"Autres :")</f>
        <v>0</v>
      </c>
      <c r="P85" s="25">
        <f>COUNTIFS('NC Qualité'!A:A,"&gt;=01/11/2020",'NC Qualité'!A:A,"&lt;=30/11/2020",'NC Qualité'!E:E,"Parc",'NC Qualité'!J:J,"Accessoires (Mauvais positionnement , manquement, etc.)")</f>
        <v>0</v>
      </c>
      <c r="Q85" s="25">
        <f>COUNTIFS('NC Qualité'!A:A,"&gt;=01/11/2020",'NC Qualité'!A:A,"&lt;=30/11/2020",'NC Qualité'!E:E,"Parc",'NC Qualité'!J:J,"équerrisage")</f>
        <v>0</v>
      </c>
      <c r="R85" s="25">
        <f>COUNTIFS('NC Qualité'!A:A,"&gt;=01/11/2020",'NC Qualité'!A:A,"&lt;=30/11/2020",'NC Qualité'!E:E,"Parc",'NC Qualité'!J:J,"Seuil de porte (réservation)")</f>
        <v>0</v>
      </c>
      <c r="S85" s="25">
        <f>COUNTIFS('NC Qualité'!A:A,"&gt;=01/11/2020",'NC Qualité'!A:A,"&lt;=30/11/2020",'NC Qualité'!E:E,"Parc",'NC Qualité'!J:J,"épaisseur")</f>
        <v>0</v>
      </c>
      <c r="T85" s="25">
        <f>COUNTIFS('NC Qualité'!A:A,"&gt;=01/11/2020",'NC Qualité'!A:A,"&lt;=30/11/2020",'NC Qualité'!E:E,"Parc",'NC Qualité'!J:J,"Chanfrein")</f>
        <v>0</v>
      </c>
      <c r="U85" s="25">
        <f>COUNTIFS('NC Qualité'!A:A,"&gt;=01/11/2020",'NC Qualité'!A:A,"&lt;=30/11/2020",'NC Qualité'!E:E,"Parc",'NC Qualité'!J:J,"Dimensionnement (entraînant un rebut)")</f>
        <v>0</v>
      </c>
      <c r="V85" s="25">
        <f>COUNTIFS('NC Qualité'!A:A,"&gt;=01/11/2020",'NC Qualité'!A:A,"&lt;=30/11/2020",'NC Qualité'!E:E,"Parc",'NC Qualité'!J:J,"Cintrage")</f>
        <v>0</v>
      </c>
      <c r="W85" s="25">
        <f>COUNTIFS('NC Qualité'!A:A,"&gt;=01/11/2020",'NC Qualité'!A:A,"&lt;=30/11/2020",'NC Qualité'!E:E,"Parc",'NC Qualité'!J:J,"Problème de chargement (sanglage, casse etc.)")</f>
        <v>0</v>
      </c>
      <c r="X85" s="30">
        <f>COUNTIFS('NC Qualité'!A:A,"&gt;=01/11/2020",'NC Qualité'!A:A,"&lt;=30/11/2020",'NC Qualité'!E:E,"Parc",'NC Qualité'!J:J,"Erreur de chargement ")</f>
        <v>0</v>
      </c>
      <c r="AA85" s="32">
        <f>COUNTIFS('NC Qualité'!A:A,"&gt;=01/11/2020",'NC Qualité'!A:A,"&lt;=30/11/2020",'NC Qualité'!E:E,"Parc",'NC Qualité'!T:T,1)</f>
        <v>0</v>
      </c>
      <c r="AB85" s="32">
        <f>COUNTIFS('NC Qualité'!A:A,"&gt;=01/11/2020",'NC Qualité'!A:A,"&lt;=30/11/2020",'NC Qualité'!E:E,"Parc",'NC Qualité'!R:R,"A")</f>
        <v>0</v>
      </c>
    </row>
    <row r="86" spans="1:28" ht="23.25">
      <c r="AA86" s="35">
        <f>SUM(AA74:AA85)</f>
        <v>0</v>
      </c>
      <c r="AB86" s="35">
        <f>SUM(AB74:AB85)</f>
        <v>0</v>
      </c>
    </row>
    <row r="87" spans="1:28" ht="15.75" thickBot="1"/>
    <row r="88" spans="1:28" ht="15.75" thickBot="1">
      <c r="A88" s="43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5"/>
    </row>
    <row r="90" spans="1:28">
      <c r="B90" t="s">
        <v>62</v>
      </c>
    </row>
    <row r="92" spans="1:28" ht="105">
      <c r="B92" s="15" t="s">
        <v>34</v>
      </c>
      <c r="C92" s="22" t="s">
        <v>36</v>
      </c>
      <c r="D92" s="22" t="s">
        <v>5</v>
      </c>
      <c r="E92" s="22" t="s">
        <v>41</v>
      </c>
      <c r="F92" s="22" t="s">
        <v>31</v>
      </c>
      <c r="G92" s="22" t="s">
        <v>42</v>
      </c>
      <c r="H92" s="22" t="s">
        <v>43</v>
      </c>
      <c r="I92" s="22" t="s">
        <v>44</v>
      </c>
      <c r="J92" s="22" t="s">
        <v>45</v>
      </c>
      <c r="K92" s="22" t="s">
        <v>46</v>
      </c>
      <c r="L92" s="22" t="s">
        <v>47</v>
      </c>
      <c r="M92" s="22" t="s">
        <v>48</v>
      </c>
      <c r="N92" s="22" t="s">
        <v>49</v>
      </c>
      <c r="O92" s="22" t="s">
        <v>50</v>
      </c>
      <c r="P92" s="22" t="s">
        <v>29</v>
      </c>
      <c r="Q92" s="22" t="s">
        <v>53</v>
      </c>
      <c r="R92" s="22" t="s">
        <v>32</v>
      </c>
      <c r="S92" s="22" t="s">
        <v>54</v>
      </c>
      <c r="T92" s="22" t="s">
        <v>6</v>
      </c>
      <c r="U92" s="22" t="s">
        <v>30</v>
      </c>
      <c r="V92" s="22" t="s">
        <v>8</v>
      </c>
      <c r="W92" s="22" t="s">
        <v>33</v>
      </c>
      <c r="X92" s="22" t="s">
        <v>55</v>
      </c>
      <c r="AA92" s="34" t="s">
        <v>57</v>
      </c>
      <c r="AB92" s="33" t="s">
        <v>56</v>
      </c>
    </row>
    <row r="93" spans="1:28" ht="21">
      <c r="A93" s="64" t="s">
        <v>52</v>
      </c>
      <c r="B93" s="21" t="s">
        <v>27</v>
      </c>
      <c r="P93" s="23"/>
      <c r="Q93" s="23"/>
      <c r="R93" s="23"/>
      <c r="S93" s="23"/>
      <c r="T93" s="23"/>
      <c r="U93" s="23"/>
      <c r="V93" s="23"/>
      <c r="W93" s="23"/>
      <c r="X93" s="27"/>
      <c r="AA93" s="32"/>
      <c r="AB93" s="32"/>
    </row>
    <row r="94" spans="1:28" ht="21">
      <c r="A94" s="64"/>
      <c r="B94" s="2" t="s">
        <v>1</v>
      </c>
      <c r="P94" s="23"/>
      <c r="Q94" s="23"/>
      <c r="R94" s="23"/>
      <c r="S94" s="23"/>
      <c r="T94" s="23"/>
      <c r="U94" s="23"/>
      <c r="V94" s="23"/>
      <c r="W94" s="23"/>
      <c r="X94" s="28"/>
      <c r="AA94" s="32"/>
      <c r="AB94" s="32"/>
    </row>
    <row r="95" spans="1:28" ht="45">
      <c r="A95" s="64"/>
      <c r="B95" s="2" t="s">
        <v>28</v>
      </c>
      <c r="P95" s="23"/>
      <c r="Q95" s="23"/>
      <c r="R95" s="23"/>
      <c r="S95" s="23"/>
      <c r="T95" s="23"/>
      <c r="U95" s="23"/>
      <c r="V95" s="23"/>
      <c r="W95" s="23"/>
      <c r="X95" s="28"/>
      <c r="AA95" s="32"/>
      <c r="AB95" s="32"/>
    </row>
    <row r="96" spans="1:28" ht="30">
      <c r="A96" s="64"/>
      <c r="B96" s="16" t="s">
        <v>37</v>
      </c>
      <c r="P96" s="23"/>
      <c r="Q96" s="23"/>
      <c r="R96" s="23"/>
      <c r="S96" s="23"/>
      <c r="T96" s="23"/>
      <c r="U96" s="23"/>
      <c r="V96" s="23"/>
      <c r="W96" s="23"/>
      <c r="X96" s="28"/>
      <c r="AA96" s="32"/>
      <c r="AB96" s="32"/>
    </row>
    <row r="97" spans="1:28" ht="45">
      <c r="A97" s="64"/>
      <c r="B97" s="16" t="s">
        <v>38</v>
      </c>
      <c r="P97" s="23"/>
      <c r="Q97" s="23"/>
      <c r="R97" s="23"/>
      <c r="S97" s="23"/>
      <c r="T97" s="23"/>
      <c r="U97" s="23"/>
      <c r="V97" s="23"/>
      <c r="W97" s="23"/>
      <c r="X97" s="28"/>
      <c r="AA97" s="32"/>
      <c r="AB97" s="32"/>
    </row>
    <row r="98" spans="1:28" ht="45">
      <c r="A98" s="64"/>
      <c r="B98" s="16" t="s">
        <v>39</v>
      </c>
      <c r="P98" s="23"/>
      <c r="Q98" s="23"/>
      <c r="R98" s="23"/>
      <c r="S98" s="23"/>
      <c r="T98" s="23"/>
      <c r="U98" s="23"/>
      <c r="V98" s="23"/>
      <c r="W98" s="23"/>
      <c r="X98" s="28"/>
      <c r="AA98" s="32"/>
      <c r="AB98" s="32"/>
    </row>
    <row r="99" spans="1:28" ht="45">
      <c r="A99" s="64"/>
      <c r="B99" s="2" t="s">
        <v>40</v>
      </c>
      <c r="P99" s="23"/>
      <c r="Q99" s="23"/>
      <c r="R99" s="23"/>
      <c r="S99" s="23"/>
      <c r="T99" s="23"/>
      <c r="U99" s="23"/>
      <c r="V99" s="23"/>
      <c r="W99" s="23"/>
      <c r="X99" s="28"/>
      <c r="AA99" s="32"/>
      <c r="AB99" s="32"/>
    </row>
    <row r="100" spans="1:28" ht="30">
      <c r="A100" s="64" t="s">
        <v>51</v>
      </c>
      <c r="B100" s="2" t="s">
        <v>7</v>
      </c>
      <c r="C100" s="23"/>
      <c r="D100">
        <f>COUNTIFS('NC Qualité'!A:A,"&gt;=01/12/2020",'NC Qualité'!A:A,"&lt;=31/12/2020",'NC Qualité'!E:E,"Panneau coulé à plat",'NC Qualité'!J:J,"Problème d'étiquetage")</f>
        <v>0</v>
      </c>
      <c r="E100" s="23"/>
      <c r="F100">
        <f>COUNTIFS('NC Qualité'!A:A,"&gt;=01/12/2020",'NC Qualité'!A:A,"&lt;=31/12/2020",'NC Qualité'!E:E,"Panneau coulé à plat",'NC Qualité'!J:J,"Aspect béton (tâches / nid d'abeilles / granuleux / Fissures etc.)")</f>
        <v>0</v>
      </c>
      <c r="G100" s="23"/>
      <c r="H100">
        <f>COUNTIFS('NC Qualité'!A:A,"&gt;=01/12/2020",'NC Qualité'!A:A,"&lt;=31/12/2020",'NC Qualité'!E:E,"Panneau coulé à plat",'NC Qualité'!J:J,"Ancre de levage")</f>
        <v>0</v>
      </c>
      <c r="I100" s="23"/>
      <c r="J100">
        <f>COUNTIFS('NC Qualité'!A:A,"&gt;=01/12/2020",'NC Qualité'!A:A,"&lt;=31/12/2020",'NC Qualité'!E:E,"Modul : Tuyaux Dn 1800 à 2630",'NC Qualité'!J:J,"Armatures apparentes")</f>
        <v>0</v>
      </c>
      <c r="K100" s="23"/>
      <c r="L100" s="23"/>
      <c r="M100" s="23"/>
      <c r="N100" s="23"/>
      <c r="O100">
        <f>COUNTIFS('NC Qualité'!A:A,"&gt;=01/12/2020",'NC Qualité'!A:A,"&lt;=31/12/2020",'NC Qualité'!E:E,"Panneau coulé à plat",'NC Qualité'!J:J,"Autres :")</f>
        <v>0</v>
      </c>
      <c r="P100">
        <f>COUNTIFS('NC Qualité'!A:A,"&gt;=01/12/2020",'NC Qualité'!A:A,"&lt;=31/12/2020",'NC Qualité'!E:E,"Panneau coulé à plat",'NC Qualité'!J:J,"Accessoires (Mauvais positionnement , manquement, etc.)")</f>
        <v>0</v>
      </c>
      <c r="Q100">
        <f>COUNTIFS('NC Qualité'!A:A,"&gt;=01/12/2020",'NC Qualité'!A:A,"&lt;=31/12/2020",'NC Qualité'!E:E,"Panneau coulé à plat",'NC Qualité'!J:J,"équerrisage")</f>
        <v>0</v>
      </c>
      <c r="R100">
        <f>COUNTIFS('NC Qualité'!A:A,"&gt;=01/12/2020",'NC Qualité'!A:A,"&lt;=31/12/2020",'NC Qualité'!E:E,"Panneau coulé à plat",'NC Qualité'!J:J,"Seuil de porte (réservation)")</f>
        <v>0</v>
      </c>
      <c r="S100">
        <f>COUNTIFS('NC Qualité'!A:A,"&gt;=01/12/2020",'NC Qualité'!A:A,"&lt;=31/12/2020",'NC Qualité'!E:E,"Panneau coulé à plat",'NC Qualité'!J:J,"épaisseur")</f>
        <v>0</v>
      </c>
      <c r="T100">
        <f>COUNTIFS('NC Qualité'!A:A,"&gt;=01/12/2020",'NC Qualité'!A:A,"&lt;=31/12/2020",'NC Qualité'!E:E,"Panneau coulé à plat",'NC Qualité'!J:J,"Chanfrein")</f>
        <v>0</v>
      </c>
      <c r="U100">
        <f>COUNTIFS('NC Qualité'!A:A,"&gt;=01/12/2020",'NC Qualité'!A:A,"&lt;=31/12/2020",'NC Qualité'!E:E,"Panneau coulé à plat",'NC Qualité'!J:J,"Dimensionnement (entraînant un rebut)")</f>
        <v>0</v>
      </c>
      <c r="V100">
        <f>COUNTIFS('NC Qualité'!A:A,"&gt;=01/12/2020",'NC Qualité'!A:A,"&lt;=31/12/2020",'NC Qualité'!E:E,"Panneau coulé à plat",'NC Qualité'!J:J,"Cintrage")</f>
        <v>0</v>
      </c>
      <c r="W100">
        <f>COUNTIFS('NC Qualité'!A:A,"&gt;=01/12/2020",'NC Qualité'!A:A,"&lt;=31/12/2020",'NC Qualité'!E:E,"Panneau coulé à plat",'NC Qualité'!J:J,"Problème de chargement (sanglage, casse etc.)")</f>
        <v>0</v>
      </c>
      <c r="X100" s="29">
        <f>COUNTIFS('NC Qualité'!A:A,"&gt;=01/12/2020",'NC Qualité'!A:A,"&lt;=31/12/2020",'NC Qualité'!E:E,"Panneau coulé à plat",'NC Qualité'!J:J,"Erreur de chargement ")</f>
        <v>0</v>
      </c>
      <c r="AA100" s="32">
        <f>COUNTIFS('NC Qualité'!A:A,"&gt;=01/12/2020",'NC Qualité'!A:A,"&lt;=31/12/2020",'NC Qualité'!E:E,"Panneau coulé à plat",'NC Qualité'!T:T,1)</f>
        <v>0</v>
      </c>
      <c r="AB100" s="32">
        <f>COUNTIFS('NC Qualité'!A:A,"&gt;=01/12/2020",'NC Qualité'!A:A,"&lt;=31/12/2020",'NC Qualité'!E:E,"Panneau coulé à plat",'NC Qualité'!R:R,"A")</f>
        <v>0</v>
      </c>
    </row>
    <row r="101" spans="1:28" ht="21">
      <c r="A101" s="64"/>
      <c r="B101" s="2" t="s">
        <v>0</v>
      </c>
      <c r="C101" s="23"/>
      <c r="D101">
        <f>COUNTIFS('NC Qualité'!A:A,"&gt;=01/12/2020",'NC Qualité'!A:A,"&lt;=31/12/2020",'NC Qualité'!E:E,"Bianchi",'NC Qualité'!J:J,"Problème d'étiquetage")</f>
        <v>0</v>
      </c>
      <c r="E101" s="23"/>
      <c r="F101">
        <f>COUNTIFS('NC Qualité'!A:A,"&gt;=01/12/2020",'NC Qualité'!A:A,"&lt;=31/12/2020",'NC Qualité'!E:E,"Bianchi",'NC Qualité'!J:J,"Aspect béton (tâches / nid d'abeilles / granuleux / Fissures etc.)")</f>
        <v>0</v>
      </c>
      <c r="G101" s="23"/>
      <c r="H101">
        <f>COUNTIFS('NC Qualité'!A:A,"&gt;=01/12/2020",'NC Qualité'!A:A,"&lt;=31/12/2020",'NC Qualité'!E:E,"Bianchi",'NC Qualité'!J:J,"Ancre de levage")</f>
        <v>0</v>
      </c>
      <c r="I101" s="23"/>
      <c r="J101">
        <f>COUNTIFS('NC Qualité'!A:A,"&gt;=01/12/2020",'NC Qualité'!A:A,"&lt;=31/12/2020",'NC Qualité'!E:E,"Bianchi",'NC Qualité'!J:J,"Armatures apparentes")</f>
        <v>0</v>
      </c>
      <c r="K101" s="23"/>
      <c r="L101" s="23"/>
      <c r="M101" s="23"/>
      <c r="N101" s="23"/>
      <c r="O101">
        <f>COUNTIFS('NC Qualité'!A:A,"&gt;=01/12/2020",'NC Qualité'!A:A,"&lt;=31/12/2020",'NC Qualité'!E:E,"Bianchi",'NC Qualité'!J:J,"Autres :")</f>
        <v>0</v>
      </c>
      <c r="P101">
        <f>COUNTIFS('NC Qualité'!A:A,"&gt;=01/12/2020",'NC Qualité'!A:A,"&lt;=31/12/2020",'NC Qualité'!E:E,"Bianchi",'NC Qualité'!J:J,"Accessoires (Mauvais positionnement , manquement, etc.)")</f>
        <v>0</v>
      </c>
      <c r="Q101">
        <f>COUNTIFS('NC Qualité'!A:A,"&gt;=01/12/2020",'NC Qualité'!A:A,"&lt;=31/12/2020",'NC Qualité'!E:E,"Bianchi",'NC Qualité'!J:J,"équerrisage")</f>
        <v>0</v>
      </c>
      <c r="R101">
        <f>COUNTIFS('NC Qualité'!A:A,"&gt;=01/12/2020",'NC Qualité'!A:A,"&lt;=31/12/2020",'NC Qualité'!E:E,"Bianchi",'NC Qualité'!J:J,"Seuil de porte (réservation)")</f>
        <v>0</v>
      </c>
      <c r="S101">
        <f>COUNTIFS('NC Qualité'!A:A,"&gt;=01/12/2020",'NC Qualité'!A:A,"&lt;=31/12/2020",'NC Qualité'!E:E,"Bianchi",'NC Qualité'!J:J,"épaisseur")</f>
        <v>0</v>
      </c>
      <c r="T101">
        <f>COUNTIFS('NC Qualité'!A:A,"&gt;=01/12/2020",'NC Qualité'!A:A,"&lt;=31/12/2020",'NC Qualité'!E:E,"Bianchi",'NC Qualité'!J:J,"Chanfrein")</f>
        <v>0</v>
      </c>
      <c r="U101">
        <f>COUNTIFS('NC Qualité'!A:A,"&gt;=01/12/2020",'NC Qualité'!A:A,"&lt;=31/12/2020",'NC Qualité'!E:E,"Bianchi",'NC Qualité'!J:J,"Dimensionnement (entraînant un rebut)")</f>
        <v>0</v>
      </c>
      <c r="V101">
        <f>COUNTIFS('NC Qualité'!A:A,"&gt;=01/12/2020",'NC Qualité'!A:A,"&lt;=31/12/2020",'NC Qualité'!E:E,"Bianchi",'NC Qualité'!J:J,"Cintrage")</f>
        <v>0</v>
      </c>
      <c r="W101">
        <f>COUNTIFS('NC Qualité'!A:A,"&gt;=01/12/2020",'NC Qualité'!A:A,"&lt;=31/12/2020",'NC Qualité'!E:E,"Bianchi",'NC Qualité'!J:J,"Problème de chargement (sanglage, casse etc.)")</f>
        <v>0</v>
      </c>
      <c r="X101" s="29">
        <f>COUNTIFS('NC Qualité'!A:A,"&gt;=01/12/2020",'NC Qualité'!A:A,"&lt;=31/12/2020",'NC Qualité'!E:E,"Bianchi",'NC Qualité'!J:J,"Erreur de chargement ")</f>
        <v>0</v>
      </c>
      <c r="AA101" s="32">
        <f>COUNTIFS('NC Qualité'!A:A,"&gt;=01/12/2020",'NC Qualité'!A:A,"&lt;=31/12/2020",'NC Qualité'!E:E,"Bianchi",'NC Qualité'!T:T,1)</f>
        <v>0</v>
      </c>
      <c r="AB101" s="32">
        <f>COUNTIFS('NC Qualité'!A:A,"&gt;=01/12/2020",'NC Qualité'!A:A,"&lt;=31/12/2020",'NC Qualité'!E:E,"Bianchi",'NC Qualité'!R:R,"A")</f>
        <v>0</v>
      </c>
    </row>
    <row r="102" spans="1:28" ht="30">
      <c r="A102" s="64"/>
      <c r="B102" s="2" t="s">
        <v>4</v>
      </c>
      <c r="C102" s="23"/>
      <c r="D102">
        <f>COUNTIFS('NC Qualité'!A:A,"&gt;=01/12/2020",'NC Qualité'!A:A,"&lt;=31/12/2020",'NC Qualité'!E:E,"Préfabrication",'NC Qualité'!J:J,"Problème d'étiquetage")</f>
        <v>0</v>
      </c>
      <c r="E102" s="23"/>
      <c r="F102">
        <f>COUNTIFS('NC Qualité'!A:A,"&gt;=01/12/2020",'NC Qualité'!A:A,"&lt;=31/12/2020",'NC Qualité'!E:E,"Préfabrication",'NC Qualité'!J:J,"Aspect béton (tâches / nid d'abeilles / granuleux / Fissures etc.)")</f>
        <v>0</v>
      </c>
      <c r="G102" s="23"/>
      <c r="H102">
        <f>COUNTIFS('NC Qualité'!A:A,"&gt;=01/12/2020",'NC Qualité'!A:A,"&lt;=31/12/2020",'NC Qualité'!E:E,"Préfabrication",'NC Qualité'!J:J,"Ancre de levage")</f>
        <v>0</v>
      </c>
      <c r="I102" s="23"/>
      <c r="J102">
        <f>COUNTIFS('NC Qualité'!A:A,"&gt;=01/12/2020",'NC Qualité'!A:A,"&lt;=31/12/2020",'NC Qualité'!E:E,"Préfabrication",'NC Qualité'!J:J,"Armatures apparentes")</f>
        <v>0</v>
      </c>
      <c r="K102" s="23"/>
      <c r="L102" s="23"/>
      <c r="M102" s="23"/>
      <c r="N102" s="23"/>
      <c r="O102">
        <f>COUNTIFS('NC Qualité'!A:A,"&gt;=01/12/2020",'NC Qualité'!A:A,"&lt;=31/12/2020",'NC Qualité'!E:E,"Préfabrication",'NC Qualité'!J:J,"Autres :")</f>
        <v>0</v>
      </c>
      <c r="P102">
        <f>COUNTIFS('NC Qualité'!A:A,"&gt;=01/12/2020",'NC Qualité'!A:A,"&lt;=31/12/2020",'NC Qualité'!E:E,"Préfabrication",'NC Qualité'!J:J,"Accessoires (Mauvais positionnement , manquement, etc.)")</f>
        <v>0</v>
      </c>
      <c r="Q102">
        <f>COUNTIFS('NC Qualité'!A:A,"&gt;=01/12/2020",'NC Qualité'!A:A,"&lt;=31/12/2020",'NC Qualité'!E:E,"Préfabrication",'NC Qualité'!J:J,"équerrisage")</f>
        <v>0</v>
      </c>
      <c r="R102">
        <f>COUNTIFS('NC Qualité'!A:A,"&gt;=01/12/2020",'NC Qualité'!A:A,"&lt;=31/12/2020",'NC Qualité'!E:E,"Préfabrication",'NC Qualité'!J:J,"Seuil de porte (réservation)")</f>
        <v>0</v>
      </c>
      <c r="S102">
        <f>COUNTIFS('NC Qualité'!A:A,"&gt;=01/12/2020",'NC Qualité'!A:A,"&lt;=31/12/2020",'NC Qualité'!E:E,"Préfabrication",'NC Qualité'!J:J,"épaisseur")</f>
        <v>0</v>
      </c>
      <c r="T102">
        <f>COUNTIFS('NC Qualité'!A:A,"&gt;=01/12/2020",'NC Qualité'!A:A,"&lt;=31/12/2020",'NC Qualité'!E:E,"Préfabrication",'NC Qualité'!J:J,"Chanfrein")</f>
        <v>0</v>
      </c>
      <c r="U102">
        <f>COUNTIFS('NC Qualité'!A:A,"&gt;=01/12/2020",'NC Qualité'!A:A,"&lt;=31/12/2020",'NC Qualité'!E:E,"Préfabrication",'NC Qualité'!J:J,"Dimensionnement (entraînant un rebut)")</f>
        <v>0</v>
      </c>
      <c r="V102">
        <f>COUNTIFS('NC Qualité'!A:A,"&gt;=01/12/2020",'NC Qualité'!A:A,"&lt;=31/12/2020",'NC Qualité'!E:E,"Préfabrication",'NC Qualité'!J:J,"Cintrage")</f>
        <v>0</v>
      </c>
      <c r="W102">
        <f>COUNTIFS('NC Qualité'!A:A,"&gt;=01/12/2020",'NC Qualité'!A:A,"&lt;=31/12/2020",'NC Qualité'!E:E,"Préfabrication",'NC Qualité'!J:J,"Problème de chargement (sanglage, casse etc.)")</f>
        <v>0</v>
      </c>
      <c r="X102" s="29">
        <f>COUNTIFS('NC Qualité'!A:A,"&gt;=01/12/2020",'NC Qualité'!A:A,"&lt;=31/12/2020",'NC Qualité'!E:E,"Préfabrication",'NC Qualité'!J:J,"Erreur de chargement ")</f>
        <v>0</v>
      </c>
      <c r="AA102" s="32">
        <f>COUNTIFS('NC Qualité'!A:A,"&gt;=01/12/2020",'NC Qualité'!A:A,"&lt;=31/12/2020",'NC Qualité'!E:E,"Préfabrication",'NC Qualité'!T:T,1)</f>
        <v>0</v>
      </c>
      <c r="AB102" s="32">
        <f>COUNTIFS('NC Qualité'!A:A,"&gt;=01/12/2020",'NC Qualité'!A:A,"&lt;=31/12/2020",'NC Qualité'!E:E,"Préfabrication",'NC Qualité'!R:R,"A")</f>
        <v>0</v>
      </c>
    </row>
    <row r="103" spans="1:28" ht="30">
      <c r="A103" s="64"/>
      <c r="B103" s="17" t="s">
        <v>3</v>
      </c>
      <c r="C103" s="23"/>
      <c r="D103">
        <f>COUNTIFS('NC Qualité'!A:A,"&gt;=01/12/2020",'NC Qualité'!A:A,"&lt;=31/12/2020",'NC Qualité'!E:E,"Précontraint",'NC Qualité'!J:J,"Problème d'étiquetage")</f>
        <v>0</v>
      </c>
      <c r="E103" s="23"/>
      <c r="F103">
        <f>COUNTIFS('NC Qualité'!A:A,"&gt;=01/12/2020",'NC Qualité'!A:A,"&lt;=31/12/2020",'NC Qualité'!E:E,"Précontraint",'NC Qualité'!J:J,"Aspect béton (tâches / nid d'abeilles / granuleux / Fissures etc.)")</f>
        <v>0</v>
      </c>
      <c r="G103" s="23"/>
      <c r="H103">
        <f>COUNTIFS('NC Qualité'!A:A,"&gt;=01/12/2020",'NC Qualité'!A:A,"&lt;=31/12/2020",'NC Qualité'!E:E,"Précontraint",'NC Qualité'!J:J,"Ancre de levage")</f>
        <v>0</v>
      </c>
      <c r="I103" s="23"/>
      <c r="J103">
        <f>COUNTIFS('NC Qualité'!A:A,"&gt;=01/12/2020",'NC Qualité'!A:A,"&lt;=31/12/2020",'NC Qualité'!E:E,"Précontraint",'NC Qualité'!J:J,"Armatures apparentes")</f>
        <v>0</v>
      </c>
      <c r="K103" s="23"/>
      <c r="L103" s="23"/>
      <c r="M103" s="23"/>
      <c r="N103" s="23"/>
      <c r="O103">
        <f>COUNTIFS('NC Qualité'!A:A,"&gt;=01/12/2020",'NC Qualité'!A:A,"&lt;=31/12/2020",'NC Qualité'!E:E,"Précontraint",'NC Qualité'!J:J,"Autres :")</f>
        <v>0</v>
      </c>
      <c r="P103">
        <f>COUNTIFS('NC Qualité'!A:A,"&gt;=01/12/2020",'NC Qualité'!A:A,"&lt;=31/12/2020",'NC Qualité'!E:E,"Précontraint",'NC Qualité'!J:J,"Accessoires (Mauvais positionnement , manquement, etc.)")</f>
        <v>0</v>
      </c>
      <c r="Q103">
        <f>COUNTIFS('NC Qualité'!A:A,"&gt;=01/12/2020",'NC Qualité'!A:A,"&lt;=31/12/2020",'NC Qualité'!E:E,"Précontraint",'NC Qualité'!J:J,"équerrisage")</f>
        <v>0</v>
      </c>
      <c r="R103">
        <f>COUNTIFS('NC Qualité'!A:A,"&gt;=01/12/2020",'NC Qualité'!A:A,"&lt;=31/12/2020",'NC Qualité'!E:E,"Précontraint",'NC Qualité'!J:J,"Seuil de porte (réservation)")</f>
        <v>0</v>
      </c>
      <c r="S103">
        <f>COUNTIFS('NC Qualité'!A:A,"&gt;=01/12/2020",'NC Qualité'!A:A,"&lt;=31/12/2020",'NC Qualité'!E:E,"Précontraint",'NC Qualité'!J:J,"épaisseur")</f>
        <v>0</v>
      </c>
      <c r="T103">
        <f>COUNTIFS('NC Qualité'!A:A,"&gt;=01/12/2020",'NC Qualité'!A:A,"&lt;=31/12/2020",'NC Qualité'!E:E,"Précontraint",'NC Qualité'!J:J,"Chanfrein")</f>
        <v>0</v>
      </c>
      <c r="U103">
        <f>COUNTIFS('NC Qualité'!A:A,"&gt;=01/12/2020",'NC Qualité'!A:A,"&lt;=31/12/2020",'NC Qualité'!E:E,"Précontraint",'NC Qualité'!J:J,"Dimensionnement (entraînant un rebut)")</f>
        <v>0</v>
      </c>
      <c r="V103">
        <f>COUNTIFS('NC Qualité'!A:A,"&gt;=01/12/2020",'NC Qualité'!A:A,"&lt;=31/12/2020",'NC Qualité'!E:E,"Précontraint",'NC Qualité'!J:J,"Cintrage")</f>
        <v>0</v>
      </c>
      <c r="W103">
        <f>COUNTIFS('NC Qualité'!A:A,"&gt;=01/12/2020",'NC Qualité'!A:A,"&lt;=31/12/2020",'NC Qualité'!E:E,"Précontraint",'NC Qualité'!J:J,"Problème de chargement (sanglage, casse etc.)")</f>
        <v>0</v>
      </c>
      <c r="X103" s="29">
        <f>COUNTIFS('NC Qualité'!A:A,"&gt;=01/12/2020",'NC Qualité'!A:A,"&lt;=31/12/2020",'NC Qualité'!E:E,"Précontraint",'NC Qualité'!J:J,"Erreur de chargement ")</f>
        <v>0</v>
      </c>
      <c r="AA103" s="32">
        <f>COUNTIFS('NC Qualité'!A:A,"&gt;=01/12/2020",'NC Qualité'!A:A,"&lt;=31/12/2020",'NC Qualité'!E:E,"Précontraint",'NC Qualité'!T:T,1)</f>
        <v>0</v>
      </c>
      <c r="AB103" s="32">
        <f>COUNTIFS('NC Qualité'!A:A,"&gt;=01/12/2020",'NC Qualité'!A:A,"&lt;=31/12/2020",'NC Qualité'!E:E,"Précontraint",'NC Qualité'!R:R,"A")</f>
        <v>0</v>
      </c>
    </row>
    <row r="104" spans="1:28" ht="21">
      <c r="A104" s="64"/>
      <c r="B104" s="2" t="s">
        <v>2</v>
      </c>
      <c r="C104" s="24"/>
      <c r="D104" s="25">
        <f>COUNTIFS('NC Qualité'!A:A,"&gt;=01/12/2020",'NC Qualité'!A:A,"&lt;=31/12/2020",'NC Qualité'!E:E,"Parc",'NC Qualité'!J:J,"Problème d'étiquetage")</f>
        <v>0</v>
      </c>
      <c r="E104" s="26"/>
      <c r="F104" s="25">
        <f>COUNTIFS('NC Qualité'!A:A,"&gt;=01/12/2020",'NC Qualité'!A:A,"&lt;=31/12/2020",'NC Qualité'!E:E,"Parc",'NC Qualité'!J:J,"Aspect béton (tâches / nid d'abeilles / granuleux / Fissures etc.)")</f>
        <v>0</v>
      </c>
      <c r="G104" s="26"/>
      <c r="H104" s="25">
        <f>COUNTIFS('NC Qualité'!A:A,"&gt;=01/12/2020",'NC Qualité'!A:A,"&lt;=31/12/2020",'NC Qualité'!E:E,"Parc",'NC Qualité'!J:J,"Ancre de levage")</f>
        <v>0</v>
      </c>
      <c r="I104" s="26"/>
      <c r="J104" s="25">
        <f>COUNTIFS('NC Qualité'!A:A,"&gt;=01/12/2020",'NC Qualité'!A:A,"&lt;=31/12/2020",'NC Qualité'!E:E,"Parc",'NC Qualité'!J:J,"Armatures apparentes")</f>
        <v>0</v>
      </c>
      <c r="K104" s="26"/>
      <c r="L104" s="26"/>
      <c r="M104" s="26"/>
      <c r="N104" s="26"/>
      <c r="O104" s="25">
        <f>COUNTIFS('NC Qualité'!A:A,"&gt;=01/12/2020",'NC Qualité'!A:A,"&lt;=31/12/2020",'NC Qualité'!E:E,"Parc",'NC Qualité'!J:J,"Autres :")</f>
        <v>0</v>
      </c>
      <c r="P104" s="25">
        <f>COUNTIFS('NC Qualité'!A:A,"&gt;=01/12/2020",'NC Qualité'!A:A,"&lt;=31/12/2020",'NC Qualité'!E:E,"Parc",'NC Qualité'!J:J,"Accessoires (Mauvais positionnement , manquement, etc.)")</f>
        <v>0</v>
      </c>
      <c r="Q104" s="25">
        <f>COUNTIFS('NC Qualité'!A:A,"&gt;=01/12/2020",'NC Qualité'!A:A,"&lt;=31/12/2020",'NC Qualité'!E:E,"Parc",'NC Qualité'!J:J,"équerrisage")</f>
        <v>0</v>
      </c>
      <c r="R104" s="25">
        <f>COUNTIFS('NC Qualité'!A:A,"&gt;=01/12/2020",'NC Qualité'!A:A,"&lt;=31/12/2020",'NC Qualité'!E:E,"Parc",'NC Qualité'!J:J,"Seuil de porte (réservation)")</f>
        <v>0</v>
      </c>
      <c r="S104" s="25">
        <f>COUNTIFS('NC Qualité'!A:A,"&gt;=01/12/2020",'NC Qualité'!A:A,"&lt;=31/12/2020",'NC Qualité'!E:E,"Parc",'NC Qualité'!J:J,"épaisseur")</f>
        <v>0</v>
      </c>
      <c r="T104" s="25">
        <f>COUNTIFS('NC Qualité'!A:A,"&gt;=01/12/2020",'NC Qualité'!A:A,"&lt;=31/12/2020",'NC Qualité'!E:E,"Parc",'NC Qualité'!J:J,"Chanfrein")</f>
        <v>0</v>
      </c>
      <c r="U104" s="25">
        <f>COUNTIFS('NC Qualité'!A:A,"&gt;=01/12/2020",'NC Qualité'!A:A,"&lt;=31/12/2020",'NC Qualité'!E:E,"Parc",'NC Qualité'!J:J,"Dimensionnement (entraînant un rebut)")</f>
        <v>0</v>
      </c>
      <c r="V104" s="25">
        <f>COUNTIFS('NC Qualité'!A:A,"&gt;=01/12/2020",'NC Qualité'!A:A,"&lt;=31/12/2020",'NC Qualité'!E:E,"Parc",'NC Qualité'!J:J,"Cintrage")</f>
        <v>0</v>
      </c>
      <c r="W104" s="25">
        <f>COUNTIFS('NC Qualité'!A:A,"&gt;=01/12/2020",'NC Qualité'!A:A,"&lt;=31/12/2020",'NC Qualité'!E:E,"Parc",'NC Qualité'!J:J,"Problème de chargement (sanglage, casse etc.)")</f>
        <v>0</v>
      </c>
      <c r="X104" s="30">
        <f>COUNTIFS('NC Qualité'!A:A,"&gt;=01/12/2020",'NC Qualité'!A:A,"&lt;=31/12/2020",'NC Qualité'!E:E,"Parc",'NC Qualité'!J:J,"Erreur de chargement ")</f>
        <v>0</v>
      </c>
      <c r="AA104" s="32">
        <f>COUNTIFS('NC Qualité'!A:A,"&gt;=01/12/2020",'NC Qualité'!A:A,"&lt;=31/12/2020",'NC Qualité'!E:E,"Parc",'NC Qualité'!T:T,1)</f>
        <v>0</v>
      </c>
      <c r="AB104" s="32">
        <f>COUNTIFS('NC Qualité'!A:A,"&gt;=01/12/2020",'NC Qualité'!A:A,"&lt;=31/12/2020",'NC Qualité'!E:E,"Parc",'NC Qualité'!R:R,"A")</f>
        <v>0</v>
      </c>
    </row>
    <row r="105" spans="1:28" ht="23.25">
      <c r="AA105" s="35">
        <f>SUM(AA93:AA104)</f>
        <v>0</v>
      </c>
      <c r="AB105" s="35">
        <f>SUM(AB93:AB104)</f>
        <v>0</v>
      </c>
    </row>
    <row r="106" spans="1:28" ht="15.75" thickBot="1"/>
    <row r="107" spans="1:28" ht="15.75" thickBot="1">
      <c r="A107" s="43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5"/>
    </row>
    <row r="109" spans="1:28">
      <c r="B109" t="s">
        <v>63</v>
      </c>
    </row>
    <row r="111" spans="1:28" ht="105">
      <c r="B111" s="15" t="s">
        <v>34</v>
      </c>
      <c r="C111" s="22" t="s">
        <v>36</v>
      </c>
      <c r="D111" s="22" t="s">
        <v>5</v>
      </c>
      <c r="E111" s="22" t="s">
        <v>41</v>
      </c>
      <c r="F111" s="22" t="s">
        <v>31</v>
      </c>
      <c r="G111" s="22" t="s">
        <v>42</v>
      </c>
      <c r="H111" s="22" t="s">
        <v>43</v>
      </c>
      <c r="I111" s="22" t="s">
        <v>44</v>
      </c>
      <c r="J111" s="22" t="s">
        <v>45</v>
      </c>
      <c r="K111" s="22" t="s">
        <v>46</v>
      </c>
      <c r="L111" s="22" t="s">
        <v>47</v>
      </c>
      <c r="M111" s="22" t="s">
        <v>48</v>
      </c>
      <c r="N111" s="22" t="s">
        <v>49</v>
      </c>
      <c r="O111" s="22" t="s">
        <v>50</v>
      </c>
      <c r="P111" s="22" t="s">
        <v>29</v>
      </c>
      <c r="Q111" s="22" t="s">
        <v>53</v>
      </c>
      <c r="R111" s="22" t="s">
        <v>32</v>
      </c>
      <c r="S111" s="22" t="s">
        <v>54</v>
      </c>
      <c r="T111" s="22" t="s">
        <v>6</v>
      </c>
      <c r="U111" s="22" t="s">
        <v>30</v>
      </c>
      <c r="V111" s="22" t="s">
        <v>8</v>
      </c>
      <c r="W111" s="22" t="s">
        <v>33</v>
      </c>
      <c r="X111" s="22" t="s">
        <v>55</v>
      </c>
      <c r="AA111" s="34" t="s">
        <v>57</v>
      </c>
      <c r="AB111" s="33" t="s">
        <v>56</v>
      </c>
    </row>
    <row r="112" spans="1:28" ht="21">
      <c r="A112" s="64" t="s">
        <v>52</v>
      </c>
      <c r="B112" s="21" t="s">
        <v>27</v>
      </c>
      <c r="P112" s="23"/>
      <c r="Q112" s="23"/>
      <c r="R112" s="23"/>
      <c r="S112" s="23"/>
      <c r="T112" s="23"/>
      <c r="U112" s="23"/>
      <c r="V112" s="23"/>
      <c r="W112" s="23"/>
      <c r="X112" s="27"/>
      <c r="AA112" s="32"/>
      <c r="AB112" s="32"/>
    </row>
    <row r="113" spans="1:28" ht="21">
      <c r="A113" s="64"/>
      <c r="B113" s="2" t="s">
        <v>1</v>
      </c>
      <c r="P113" s="23"/>
      <c r="Q113" s="23"/>
      <c r="R113" s="23"/>
      <c r="S113" s="23"/>
      <c r="T113" s="23"/>
      <c r="U113" s="23"/>
      <c r="V113" s="23"/>
      <c r="W113" s="23"/>
      <c r="X113" s="28"/>
      <c r="AA113" s="32"/>
      <c r="AB113" s="32"/>
    </row>
    <row r="114" spans="1:28" ht="45">
      <c r="A114" s="64"/>
      <c r="B114" s="2" t="s">
        <v>28</v>
      </c>
      <c r="P114" s="23"/>
      <c r="Q114" s="23"/>
      <c r="R114" s="23"/>
      <c r="S114" s="23"/>
      <c r="T114" s="23"/>
      <c r="U114" s="23"/>
      <c r="V114" s="23"/>
      <c r="W114" s="23"/>
      <c r="X114" s="28"/>
      <c r="AA114" s="32"/>
      <c r="AB114" s="32"/>
    </row>
    <row r="115" spans="1:28" ht="30">
      <c r="A115" s="64"/>
      <c r="B115" s="16" t="s">
        <v>37</v>
      </c>
      <c r="P115" s="23"/>
      <c r="Q115" s="23"/>
      <c r="R115" s="23"/>
      <c r="S115" s="23"/>
      <c r="T115" s="23"/>
      <c r="U115" s="23"/>
      <c r="V115" s="23"/>
      <c r="W115" s="23"/>
      <c r="X115" s="28"/>
      <c r="AA115" s="32"/>
      <c r="AB115" s="32"/>
    </row>
    <row r="116" spans="1:28" ht="45">
      <c r="A116" s="64"/>
      <c r="B116" s="16" t="s">
        <v>38</v>
      </c>
      <c r="P116" s="23"/>
      <c r="Q116" s="23"/>
      <c r="R116" s="23"/>
      <c r="S116" s="23"/>
      <c r="T116" s="23"/>
      <c r="U116" s="23"/>
      <c r="V116" s="23"/>
      <c r="W116" s="23"/>
      <c r="X116" s="28"/>
      <c r="AA116" s="32"/>
      <c r="AB116" s="32"/>
    </row>
    <row r="117" spans="1:28" ht="45">
      <c r="A117" s="64"/>
      <c r="B117" s="16" t="s">
        <v>39</v>
      </c>
      <c r="P117" s="23"/>
      <c r="Q117" s="23"/>
      <c r="R117" s="23"/>
      <c r="S117" s="23"/>
      <c r="T117" s="23"/>
      <c r="U117" s="23"/>
      <c r="V117" s="23"/>
      <c r="W117" s="23"/>
      <c r="X117" s="28"/>
      <c r="AA117" s="32"/>
      <c r="AB117" s="32"/>
    </row>
    <row r="118" spans="1:28" ht="45">
      <c r="A118" s="64"/>
      <c r="B118" s="2" t="s">
        <v>40</v>
      </c>
      <c r="P118" s="23"/>
      <c r="Q118" s="23"/>
      <c r="R118" s="23"/>
      <c r="S118" s="23"/>
      <c r="T118" s="23"/>
      <c r="U118" s="23"/>
      <c r="V118" s="23"/>
      <c r="W118" s="23"/>
      <c r="X118" s="28"/>
      <c r="AA118" s="32"/>
      <c r="AB118" s="32"/>
    </row>
    <row r="119" spans="1:28" ht="30">
      <c r="A119" s="64" t="s">
        <v>51</v>
      </c>
      <c r="B119" s="2" t="s">
        <v>7</v>
      </c>
      <c r="C119" s="23"/>
      <c r="D119">
        <f>COUNTIFS('NC Qualité'!A:A,"&gt;=01/01/2020",'NC Qualité'!A:A,"&lt;=31/01/2020",'NC Qualité'!E:E,"Panneau coulé à plat",'NC Qualité'!J:J,"Problème d'étiquetage")</f>
        <v>0</v>
      </c>
      <c r="E119" s="23"/>
      <c r="F119">
        <f>COUNTIFS('NC Qualité'!A:A,"&gt;=01/01/2020",'NC Qualité'!A:A,"&lt;=31/01/2020",'NC Qualité'!E:E,"Panneau coulé à plat",'NC Qualité'!J:J,"Aspect béton (tâches / nid d'abeilles / granuleux / Fissures etc.)")</f>
        <v>0</v>
      </c>
      <c r="G119" s="23"/>
      <c r="H119">
        <f>COUNTIFS('NC Qualité'!A:A,"&gt;=01/01/2020",'NC Qualité'!A:A,"&lt;=31/01/2020",'NC Qualité'!E:E,"Panneau coulé à plat",'NC Qualité'!J:J,"Ancre de levage")</f>
        <v>0</v>
      </c>
      <c r="I119" s="23"/>
      <c r="J119">
        <f>COUNTIFS('NC Qualité'!A:A,"&gt;=01/01/2020",'NC Qualité'!A:A,"&lt;=31/01/2020",'NC Qualité'!E:E,"Modul : Tuyaux Dn 1800 à 2630",'NC Qualité'!J:J,"Armatures apparentes")</f>
        <v>0</v>
      </c>
      <c r="K119" s="23"/>
      <c r="L119" s="23"/>
      <c r="M119" s="23"/>
      <c r="N119" s="23"/>
      <c r="O119">
        <f>COUNTIFS('NC Qualité'!A:A,"&gt;=01/01/2020",'NC Qualité'!A:A,"&lt;=31/01/2020",'NC Qualité'!E:E,"Panneau coulé à plat",'NC Qualité'!J:J,"Autres :")</f>
        <v>0</v>
      </c>
      <c r="P119">
        <f>COUNTIFS('NC Qualité'!A:A,"&gt;=01/01/2020",'NC Qualité'!A:A,"&lt;=31/01/2020",'NC Qualité'!E:E,"Panneau coulé à plat",'NC Qualité'!J:J,"Accessoires (Mauvais positionnement , manquement, etc.)")</f>
        <v>0</v>
      </c>
      <c r="Q119">
        <f>COUNTIFS('NC Qualité'!A:A,"&gt;=01/01/2020",'NC Qualité'!A:A,"&lt;=31/01/2020",'NC Qualité'!E:E,"Panneau coulé à plat",'NC Qualité'!J:J,"équerrisage")</f>
        <v>0</v>
      </c>
      <c r="R119">
        <f>COUNTIFS('NC Qualité'!A:A,"&gt;=01/01/2020",'NC Qualité'!A:A,"&lt;=31/01/2020",'NC Qualité'!E:E,"Panneau coulé à plat",'NC Qualité'!J:J,"Seuil de porte (réservation)")</f>
        <v>0</v>
      </c>
      <c r="S119">
        <f>COUNTIFS('NC Qualité'!A:A,"&gt;=01/01/2020",'NC Qualité'!A:A,"&lt;=31/01/2020",'NC Qualité'!E:E,"Panneau coulé à plat",'NC Qualité'!J:J,"épaisseur")</f>
        <v>0</v>
      </c>
      <c r="T119">
        <f>COUNTIFS('NC Qualité'!A:A,"&gt;=01/01/2020",'NC Qualité'!A:A,"&lt;=31/01/2020",'NC Qualité'!E:E,"Panneau coulé à plat",'NC Qualité'!J:J,"Chanfrein")</f>
        <v>0</v>
      </c>
      <c r="U119">
        <f>COUNTIFS('NC Qualité'!A:A,"&gt;=01/01/2020",'NC Qualité'!A:A,"&lt;=31/01/2020",'NC Qualité'!E:E,"Panneau coulé à plat",'NC Qualité'!J:J,"Dimensionnement (entraînant un rebut)")</f>
        <v>0</v>
      </c>
      <c r="V119">
        <f>COUNTIFS('NC Qualité'!A:A,"&gt;=01/01/2020",'NC Qualité'!A:A,"&lt;=31/01/2020",'NC Qualité'!E:E,"Panneau coulé à plat",'NC Qualité'!J:J,"Cintrage")</f>
        <v>0</v>
      </c>
      <c r="W119">
        <f>COUNTIFS('NC Qualité'!A:A,"&gt;=01/01/2020",'NC Qualité'!A:A,"&lt;=31/01/2020",'NC Qualité'!E:E,"Panneau coulé à plat",'NC Qualité'!J:J,"Problème de chargement (sanglage, casse etc.)")</f>
        <v>0</v>
      </c>
      <c r="X119" s="29">
        <f>COUNTIFS('NC Qualité'!A:A,"&gt;=01/01/2020",'NC Qualité'!A:A,"&lt;=31/01/2020",'NC Qualité'!E:E,"Panneau coulé à plat",'NC Qualité'!J:J,"Erreur de chargement ")</f>
        <v>0</v>
      </c>
      <c r="AA119" s="32">
        <f>COUNTIFS('NC Qualité'!A:A,"&gt;=01/01/2020",'NC Qualité'!A:A,"&lt;=31/01/2020",'NC Qualité'!E:E,"Panneau coulé à plat",'NC Qualité'!T:T,1)</f>
        <v>0</v>
      </c>
      <c r="AB119" s="32">
        <f>COUNTIFS('NC Qualité'!A:A,"&gt;=01/01/2020",'NC Qualité'!A:A,"&lt;=31/01/2020",'NC Qualité'!E:E,"Panneau coulé à plat",'NC Qualité'!R:R,"A")</f>
        <v>0</v>
      </c>
    </row>
    <row r="120" spans="1:28" ht="21">
      <c r="A120" s="64"/>
      <c r="B120" s="2" t="s">
        <v>0</v>
      </c>
      <c r="C120" s="23"/>
      <c r="D120">
        <f>COUNTIFS('NC Qualité'!A:A,"&gt;=01/01/2020",'NC Qualité'!A:A,"&lt;=31/01/2020",'NC Qualité'!E:E,"Bianchi",'NC Qualité'!J:J,"Problème d'étiquetage")</f>
        <v>0</v>
      </c>
      <c r="E120" s="23"/>
      <c r="F120">
        <f>COUNTIFS('NC Qualité'!A:A,"&gt;=01/01/2020",'NC Qualité'!A:A,"&lt;=31/01/2020",'NC Qualité'!E:E,"Bianchi",'NC Qualité'!J:J,"Aspect béton (tâches / nid d'abeilles / granuleux / Fissures etc.)")</f>
        <v>0</v>
      </c>
      <c r="G120" s="23"/>
      <c r="H120">
        <f>COUNTIFS('NC Qualité'!A:A,"&gt;=01/01/2020",'NC Qualité'!A:A,"&lt;=31/01/2020",'NC Qualité'!E:E,"Bianchi",'NC Qualité'!J:J,"Ancre de levage")</f>
        <v>0</v>
      </c>
      <c r="I120" s="23"/>
      <c r="J120">
        <f>COUNTIFS('NC Qualité'!A:A,"&gt;=01/01/2020",'NC Qualité'!A:A,"&lt;=31/01/2020",'NC Qualité'!E:E,"Bianchi",'NC Qualité'!J:J,"Armatures apparentes")</f>
        <v>0</v>
      </c>
      <c r="K120" s="23"/>
      <c r="L120" s="23"/>
      <c r="M120" s="23"/>
      <c r="N120" s="23"/>
      <c r="O120">
        <f>COUNTIFS('NC Qualité'!A:A,"&gt;=01/01/2020",'NC Qualité'!A:A,"&lt;=31/01/2020",'NC Qualité'!E:E,"Bianchi",'NC Qualité'!J:J,"Autres :")</f>
        <v>0</v>
      </c>
      <c r="P120">
        <f>COUNTIFS('NC Qualité'!A:A,"&gt;=01/01/2020",'NC Qualité'!A:A,"&lt;=31/01/2020",'NC Qualité'!E:E,"Bianchi",'NC Qualité'!J:J,"Accessoires (Mauvais positionnement , manquement, etc.)")</f>
        <v>0</v>
      </c>
      <c r="Q120">
        <f>COUNTIFS('NC Qualité'!A:A,"&gt;=01/01/2020",'NC Qualité'!A:A,"&lt;=31/01/2020",'NC Qualité'!E:E,"Bianchi",'NC Qualité'!J:J,"équerrisage")</f>
        <v>0</v>
      </c>
      <c r="R120">
        <f>COUNTIFS('NC Qualité'!A:A,"&gt;=01/01/2020",'NC Qualité'!A:A,"&lt;=31/01/2020",'NC Qualité'!E:E,"Bianchi",'NC Qualité'!J:J,"Seuil de porte (réservation)")</f>
        <v>0</v>
      </c>
      <c r="S120">
        <f>COUNTIFS('NC Qualité'!A:A,"&gt;=01/01/2020",'NC Qualité'!A:A,"&lt;=31/01/2020",'NC Qualité'!E:E,"Bianchi",'NC Qualité'!J:J,"épaisseur")</f>
        <v>0</v>
      </c>
      <c r="T120">
        <f>COUNTIFS('NC Qualité'!A:A,"&gt;=01/01/2020",'NC Qualité'!A:A,"&lt;=31/01/2020",'NC Qualité'!E:E,"Bianchi",'NC Qualité'!J:J,"Chanfrein")</f>
        <v>0</v>
      </c>
      <c r="U120">
        <f>COUNTIFS('NC Qualité'!A:A,"&gt;=01/01/2020",'NC Qualité'!A:A,"&lt;=31/01/2020",'NC Qualité'!E:E,"Bianchi",'NC Qualité'!J:J,"Dimensionnement (entraînant un rebut)")</f>
        <v>0</v>
      </c>
      <c r="V120">
        <f>COUNTIFS('NC Qualité'!A:A,"&gt;=01/01/2020",'NC Qualité'!A:A,"&lt;=31/01/2020",'NC Qualité'!E:E,"Bianchi",'NC Qualité'!J:J,"Cintrage")</f>
        <v>0</v>
      </c>
      <c r="W120">
        <f>COUNTIFS('NC Qualité'!A:A,"&gt;=01/01/2020",'NC Qualité'!A:A,"&lt;=31/01/2020",'NC Qualité'!E:E,"Bianchi",'NC Qualité'!J:J,"Problème de chargement (sanglage, casse etc.)")</f>
        <v>0</v>
      </c>
      <c r="X120" s="29">
        <f>COUNTIFS('NC Qualité'!A:A,"&gt;=01/01/2020",'NC Qualité'!A:A,"&lt;=31/01/2020",'NC Qualité'!E:E,"Bianchi",'NC Qualité'!J:J,"Erreur de chargement ")</f>
        <v>0</v>
      </c>
      <c r="AA120" s="32">
        <f>COUNTIFS('NC Qualité'!A:A,"&gt;=01/01/2020",'NC Qualité'!A:A,"&lt;=31/01/2020",'NC Qualité'!E:E,"Bianchi",'NC Qualité'!T:T,1)</f>
        <v>0</v>
      </c>
      <c r="AB120" s="32">
        <f>COUNTIFS('NC Qualité'!A:A,"&gt;=01/01/2020",'NC Qualité'!A:A,"&lt;=31/01/2020",'NC Qualité'!E:E,"Bianchi",'NC Qualité'!R:R,"A")</f>
        <v>0</v>
      </c>
    </row>
    <row r="121" spans="1:28" ht="30">
      <c r="A121" s="64"/>
      <c r="B121" s="2" t="s">
        <v>4</v>
      </c>
      <c r="C121" s="23"/>
      <c r="D121">
        <f>COUNTIFS('NC Qualité'!A:A,"&gt;=01/01/2020",'NC Qualité'!A:A,"&lt;=31/01/2020",'NC Qualité'!E:E,"Préfabrication",'NC Qualité'!J:J,"Problème d'étiquetage")</f>
        <v>0</v>
      </c>
      <c r="E121" s="23"/>
      <c r="F121">
        <f>COUNTIFS('NC Qualité'!A:A,"&gt;=01/01/2020",'NC Qualité'!A:A,"&lt;=31/01/2020",'NC Qualité'!E:E,"Préfabrication",'NC Qualité'!J:J,"Aspect béton (tâches / nid d'abeilles / granuleux / Fissures etc.)")</f>
        <v>0</v>
      </c>
      <c r="G121" s="23"/>
      <c r="H121">
        <f>COUNTIFS('NC Qualité'!A:A,"&gt;=01/01/2020",'NC Qualité'!A:A,"&lt;=31/01/2020",'NC Qualité'!E:E,"Préfabrication",'NC Qualité'!J:J,"Ancre de levage")</f>
        <v>0</v>
      </c>
      <c r="I121" s="23"/>
      <c r="J121">
        <f>COUNTIFS('NC Qualité'!A:A,"&gt;=01/01/2020",'NC Qualité'!A:A,"&lt;=31/01/2020",'NC Qualité'!E:E,"Préfabrication",'NC Qualité'!J:J,"Armatures apparentes")</f>
        <v>0</v>
      </c>
      <c r="K121" s="23"/>
      <c r="L121" s="23"/>
      <c r="M121" s="23"/>
      <c r="N121" s="23"/>
      <c r="O121">
        <f>COUNTIFS('NC Qualité'!A:A,"&gt;=01/01/2020",'NC Qualité'!A:A,"&lt;=31/01/2020",'NC Qualité'!E:E,"Préfabrication",'NC Qualité'!J:J,"Autres :")</f>
        <v>0</v>
      </c>
      <c r="P121">
        <f>COUNTIFS('NC Qualité'!A:A,"&gt;=01/01/2020",'NC Qualité'!A:A,"&lt;=31/01/2020",'NC Qualité'!E:E,"Préfabrication",'NC Qualité'!J:J,"Accessoires (Mauvais positionnement , manquement, etc.)")</f>
        <v>0</v>
      </c>
      <c r="Q121">
        <f>COUNTIFS('NC Qualité'!A:A,"&gt;=01/01/2020",'NC Qualité'!A:A,"&lt;=31/01/2020",'NC Qualité'!E:E,"Préfabrication",'NC Qualité'!J:J,"équerrisage")</f>
        <v>0</v>
      </c>
      <c r="R121">
        <f>COUNTIFS('NC Qualité'!A:A,"&gt;=01/01/2020",'NC Qualité'!A:A,"&lt;=31/01/2020",'NC Qualité'!E:E,"Préfabrication",'NC Qualité'!J:J,"Seuil de porte (réservation)")</f>
        <v>0</v>
      </c>
      <c r="S121">
        <f>COUNTIFS('NC Qualité'!A:A,"&gt;=01/01/2020",'NC Qualité'!A:A,"&lt;=31/01/2020",'NC Qualité'!E:E,"Préfabrication",'NC Qualité'!J:J,"épaisseur")</f>
        <v>0</v>
      </c>
      <c r="T121">
        <f>COUNTIFS('NC Qualité'!A:A,"&gt;=01/01/2020",'NC Qualité'!A:A,"&lt;=31/01/2020",'NC Qualité'!E:E,"Préfabrication",'NC Qualité'!J:J,"Chanfrein")</f>
        <v>0</v>
      </c>
      <c r="U121">
        <f>COUNTIFS('NC Qualité'!A:A,"&gt;=01/01/2020",'NC Qualité'!A:A,"&lt;=31/01/2020",'NC Qualité'!E:E,"Préfabrication",'NC Qualité'!J:J,"Dimensionnement (entraînant un rebut)")</f>
        <v>0</v>
      </c>
      <c r="V121">
        <f>COUNTIFS('NC Qualité'!A:A,"&gt;=01/01/2020",'NC Qualité'!A:A,"&lt;=31/01/2020",'NC Qualité'!E:E,"Préfabrication",'NC Qualité'!J:J,"Cintrage")</f>
        <v>0</v>
      </c>
      <c r="W121">
        <f>COUNTIFS('NC Qualité'!A:A,"&gt;=01/01/2020",'NC Qualité'!A:A,"&lt;=31/01/2020",'NC Qualité'!E:E,"Préfabrication",'NC Qualité'!J:J,"Problème de chargement (sanglage, casse etc.)")</f>
        <v>0</v>
      </c>
      <c r="X121" s="29">
        <f>COUNTIFS('NC Qualité'!A:A,"&gt;=01/01/2020",'NC Qualité'!A:A,"&lt;=31/01/2020",'NC Qualité'!E:E,"Préfabrication",'NC Qualité'!J:J,"Erreur de chargement ")</f>
        <v>0</v>
      </c>
      <c r="AA121" s="32">
        <f>COUNTIFS('NC Qualité'!A:A,"&gt;=01/01/2020",'NC Qualité'!A:A,"&lt;=31/01/2020",'NC Qualité'!E:E,"Préfabrication",'NC Qualité'!T:T,1)</f>
        <v>0</v>
      </c>
      <c r="AB121" s="32">
        <f>COUNTIFS('NC Qualité'!A:A,"&gt;=01/01/2020",'NC Qualité'!A:A,"&lt;=31/01/2020",'NC Qualité'!E:E,"Préfabrication",'NC Qualité'!R:R,"A")</f>
        <v>0</v>
      </c>
    </row>
    <row r="122" spans="1:28" ht="30">
      <c r="A122" s="64"/>
      <c r="B122" s="17" t="s">
        <v>3</v>
      </c>
      <c r="C122" s="23"/>
      <c r="D122">
        <f>COUNTIFS('NC Qualité'!A:A,"&gt;=01/01/2020",'NC Qualité'!A:A,"&lt;=31/01/2020",'NC Qualité'!E:E,"Précontraint",'NC Qualité'!J:J,"Problème d'étiquetage")</f>
        <v>0</v>
      </c>
      <c r="E122" s="23"/>
      <c r="F122">
        <f>COUNTIFS('NC Qualité'!A:A,"&gt;=01/01/2020",'NC Qualité'!A:A,"&lt;=31/01/2020",'NC Qualité'!E:E,"Précontraint",'NC Qualité'!J:J,"Aspect béton (tâches / nid d'abeilles / granuleux / Fissures etc.)")</f>
        <v>0</v>
      </c>
      <c r="G122" s="23"/>
      <c r="H122">
        <f>COUNTIFS('NC Qualité'!A:A,"&gt;=01/01/2020",'NC Qualité'!A:A,"&lt;=31/01/2020",'NC Qualité'!E:E,"Précontraint",'NC Qualité'!J:J,"Ancre de levage")</f>
        <v>0</v>
      </c>
      <c r="I122" s="23"/>
      <c r="J122">
        <f>COUNTIFS('NC Qualité'!A:A,"&gt;=01/01/2020",'NC Qualité'!A:A,"&lt;=31/01/2020",'NC Qualité'!E:E,"Précontraint",'NC Qualité'!J:J,"Armatures apparentes")</f>
        <v>0</v>
      </c>
      <c r="K122" s="23"/>
      <c r="L122" s="23"/>
      <c r="M122" s="23"/>
      <c r="N122" s="23"/>
      <c r="O122">
        <f>COUNTIFS('NC Qualité'!A:A,"&gt;=01/01/2020",'NC Qualité'!A:A,"&lt;=31/01/2020",'NC Qualité'!E:E,"Précontraint",'NC Qualité'!J:J,"Autres :")</f>
        <v>0</v>
      </c>
      <c r="P122">
        <f>COUNTIFS('NC Qualité'!A:A,"&gt;=01/01/2020",'NC Qualité'!A:A,"&lt;=31/01/2020",'NC Qualité'!E:E,"Précontraint",'NC Qualité'!J:J,"Accessoires (Mauvais positionnement , manquement, etc.)")</f>
        <v>0</v>
      </c>
      <c r="Q122">
        <f>COUNTIFS('NC Qualité'!A:A,"&gt;=01/01/2020",'NC Qualité'!A:A,"&lt;=31/01/2020",'NC Qualité'!E:E,"Précontraint",'NC Qualité'!J:J,"équerrisage")</f>
        <v>0</v>
      </c>
      <c r="R122">
        <f>COUNTIFS('NC Qualité'!A:A,"&gt;=01/01/2020",'NC Qualité'!A:A,"&lt;=31/01/2020",'NC Qualité'!E:E,"Précontraint",'NC Qualité'!J:J,"Seuil de porte (réservation)")</f>
        <v>0</v>
      </c>
      <c r="S122">
        <f>COUNTIFS('NC Qualité'!A:A,"&gt;=01/01/2020",'NC Qualité'!A:A,"&lt;=31/01/2020",'NC Qualité'!E:E,"Précontraint",'NC Qualité'!J:J,"épaisseur")</f>
        <v>0</v>
      </c>
      <c r="T122">
        <f>COUNTIFS('NC Qualité'!A:A,"&gt;=01/01/2020",'NC Qualité'!A:A,"&lt;=31/01/2020",'NC Qualité'!E:E,"Précontraint",'NC Qualité'!J:J,"Chanfrein")</f>
        <v>0</v>
      </c>
      <c r="U122">
        <f>COUNTIFS('NC Qualité'!A:A,"&gt;=01/01/2020",'NC Qualité'!A:A,"&lt;=31/01/2020",'NC Qualité'!E:E,"Précontraint",'NC Qualité'!J:J,"Dimensionnement (entraînant un rebut)")</f>
        <v>0</v>
      </c>
      <c r="V122">
        <f>COUNTIFS('NC Qualité'!A:A,"&gt;=01/01/2020",'NC Qualité'!A:A,"&lt;=31/01/2020",'NC Qualité'!E:E,"Précontraint",'NC Qualité'!J:J,"Cintrage")</f>
        <v>0</v>
      </c>
      <c r="W122">
        <f>COUNTIFS('NC Qualité'!A:A,"&gt;=01/01/2020",'NC Qualité'!A:A,"&lt;=31/01/2020",'NC Qualité'!E:E,"Précontraint",'NC Qualité'!J:J,"Problème de chargement (sanglage, casse etc.)")</f>
        <v>0</v>
      </c>
      <c r="X122" s="29">
        <f>COUNTIFS('NC Qualité'!A:A,"&gt;=01/01/2020",'NC Qualité'!A:A,"&lt;=31/01/2020",'NC Qualité'!E:E,"Précontraint",'NC Qualité'!J:J,"Erreur de chargement ")</f>
        <v>0</v>
      </c>
      <c r="AA122" s="32">
        <f>COUNTIFS('NC Qualité'!A:A,"&gt;=01/01/2020",'NC Qualité'!A:A,"&lt;=31/01/2020",'NC Qualité'!E:E,"Précontraint",'NC Qualité'!T:T,1)</f>
        <v>0</v>
      </c>
      <c r="AB122" s="32">
        <f>COUNTIFS('NC Qualité'!A:A,"&gt;=01/01/2020",'NC Qualité'!A:A,"&lt;=31/01/2020",'NC Qualité'!E:E,"Précontraint",'NC Qualité'!R:R,"A")</f>
        <v>0</v>
      </c>
    </row>
    <row r="123" spans="1:28" ht="21">
      <c r="A123" s="64"/>
      <c r="B123" s="2" t="s">
        <v>2</v>
      </c>
      <c r="C123" s="24"/>
      <c r="D123" s="25">
        <f>COUNTIFS('NC Qualité'!A:A,"&gt;=01/01/2020",'NC Qualité'!A:A,"&lt;=31/01/2020",'NC Qualité'!E:E,"Parc",'NC Qualité'!J:J,"Problème d'étiquetage")</f>
        <v>0</v>
      </c>
      <c r="E123" s="26"/>
      <c r="F123" s="25">
        <f>COUNTIFS('NC Qualité'!A:A,"&gt;=01/01/2020",'NC Qualité'!A:A,"&lt;=31/01/2020",'NC Qualité'!E:E,"Parc",'NC Qualité'!J:J,"Aspect béton (tâches / nid d'abeilles / granuleux / Fissures etc.)")</f>
        <v>0</v>
      </c>
      <c r="G123" s="26"/>
      <c r="H123" s="25">
        <f>COUNTIFS('NC Qualité'!A:A,"&gt;=01/01/2020",'NC Qualité'!A:A,"&lt;=31/01/2020",'NC Qualité'!E:E,"Parc",'NC Qualité'!J:J,"Ancre de levage")</f>
        <v>0</v>
      </c>
      <c r="I123" s="26"/>
      <c r="J123" s="25">
        <f>COUNTIFS('NC Qualité'!A:A,"&gt;=01/01/2020",'NC Qualité'!A:A,"&lt;=31/01/2020",'NC Qualité'!E:E,"Parc",'NC Qualité'!J:J,"Armatures apparentes")</f>
        <v>0</v>
      </c>
      <c r="K123" s="26"/>
      <c r="L123" s="26"/>
      <c r="M123" s="26"/>
      <c r="N123" s="26"/>
      <c r="O123" s="25">
        <f>COUNTIFS('NC Qualité'!A:A,"&gt;=01/01/2020",'NC Qualité'!A:A,"&lt;=31/01/2020",'NC Qualité'!E:E,"Parc",'NC Qualité'!J:J,"Autres :")</f>
        <v>0</v>
      </c>
      <c r="P123" s="25">
        <f>COUNTIFS('NC Qualité'!A:A,"&gt;=01/01/2020",'NC Qualité'!A:A,"&lt;=31/01/2020",'NC Qualité'!E:E,"Parc",'NC Qualité'!J:J,"Accessoires (Mauvais positionnement , manquement, etc.)")</f>
        <v>0</v>
      </c>
      <c r="Q123" s="25">
        <f>COUNTIFS('NC Qualité'!A:A,"&gt;=01/01/2020",'NC Qualité'!A:A,"&lt;=31/01/2020",'NC Qualité'!E:E,"Parc",'NC Qualité'!J:J,"équerrisage")</f>
        <v>0</v>
      </c>
      <c r="R123" s="25">
        <f>COUNTIFS('NC Qualité'!A:A,"&gt;=01/01/2020",'NC Qualité'!A:A,"&lt;=31/01/2020",'NC Qualité'!E:E,"Parc",'NC Qualité'!J:J,"Seuil de porte (réservation)")</f>
        <v>0</v>
      </c>
      <c r="S123" s="25">
        <f>COUNTIFS('NC Qualité'!A:A,"&gt;=01/01/2020",'NC Qualité'!A:A,"&lt;=31/01/2020",'NC Qualité'!E:E,"Parc",'NC Qualité'!J:J,"épaisseur")</f>
        <v>0</v>
      </c>
      <c r="T123" s="25">
        <f>COUNTIFS('NC Qualité'!A:A,"&gt;=01/01/2020",'NC Qualité'!A:A,"&lt;=31/01/2020",'NC Qualité'!E:E,"Parc",'NC Qualité'!J:J,"Chanfrein")</f>
        <v>0</v>
      </c>
      <c r="U123" s="25">
        <f>COUNTIFS('NC Qualité'!A:A,"&gt;=01/01/2020",'NC Qualité'!A:A,"&lt;=31/01/2020",'NC Qualité'!E:E,"Parc",'NC Qualité'!J:J,"Dimensionnement (entraînant un rebut)")</f>
        <v>0</v>
      </c>
      <c r="V123" s="25">
        <f>COUNTIFS('NC Qualité'!A:A,"&gt;=01/01/2020",'NC Qualité'!A:A,"&lt;=31/01/2020",'NC Qualité'!E:E,"Parc",'NC Qualité'!J:J,"Cintrage")</f>
        <v>0</v>
      </c>
      <c r="W123" s="25">
        <f>COUNTIFS('NC Qualité'!A:A,"&gt;=01/01/2020",'NC Qualité'!A:A,"&lt;=31/01/2020",'NC Qualité'!E:E,"Parc",'NC Qualité'!J:J,"Problème de chargement (sanglage, casse etc.)")</f>
        <v>0</v>
      </c>
      <c r="X123" s="30">
        <f>COUNTIFS('NC Qualité'!A:A,"&gt;=01/01/2020",'NC Qualité'!A:A,"&lt;=31/01/2020",'NC Qualité'!E:E,"Parc",'NC Qualité'!J:J,"Erreur de chargement ")</f>
        <v>0</v>
      </c>
      <c r="AA123" s="32">
        <f>COUNTIFS('NC Qualité'!A:A,"&gt;=01/01/2020",'NC Qualité'!A:A,"&lt;=31/01/2020",'NC Qualité'!E:E,"Parc",'NC Qualité'!T:T,1)</f>
        <v>0</v>
      </c>
      <c r="AB123" s="32">
        <f>COUNTIFS('NC Qualité'!A:A,"&gt;=01/01/2020",'NC Qualité'!A:A,"&lt;=31/01/2020",'NC Qualité'!E:E,"Parc",'NC Qualité'!R:R,"A")</f>
        <v>0</v>
      </c>
    </row>
    <row r="124" spans="1:28" ht="23.25">
      <c r="AA124" s="35">
        <f>SUM(AA112:AA123)</f>
        <v>0</v>
      </c>
      <c r="AB124" s="35">
        <f>SUM(AB112:AB123)</f>
        <v>0</v>
      </c>
    </row>
    <row r="125" spans="1:28" ht="15.75" thickBot="1"/>
    <row r="126" spans="1:28" ht="15.75" thickBot="1">
      <c r="A126" s="43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5"/>
    </row>
    <row r="128" spans="1:28">
      <c r="B128" t="s">
        <v>64</v>
      </c>
    </row>
    <row r="130" spans="1:28" ht="105">
      <c r="B130" s="15" t="s">
        <v>34</v>
      </c>
      <c r="C130" s="22" t="s">
        <v>36</v>
      </c>
      <c r="D130" s="22" t="s">
        <v>5</v>
      </c>
      <c r="E130" s="22" t="s">
        <v>41</v>
      </c>
      <c r="F130" s="22" t="s">
        <v>31</v>
      </c>
      <c r="G130" s="22" t="s">
        <v>42</v>
      </c>
      <c r="H130" s="22" t="s">
        <v>43</v>
      </c>
      <c r="I130" s="22" t="s">
        <v>44</v>
      </c>
      <c r="J130" s="22" t="s">
        <v>45</v>
      </c>
      <c r="K130" s="22" t="s">
        <v>46</v>
      </c>
      <c r="L130" s="22" t="s">
        <v>47</v>
      </c>
      <c r="M130" s="22" t="s">
        <v>48</v>
      </c>
      <c r="N130" s="22" t="s">
        <v>49</v>
      </c>
      <c r="O130" s="22" t="s">
        <v>50</v>
      </c>
      <c r="P130" s="22" t="s">
        <v>29</v>
      </c>
      <c r="Q130" s="22" t="s">
        <v>53</v>
      </c>
      <c r="R130" s="22" t="s">
        <v>32</v>
      </c>
      <c r="S130" s="22" t="s">
        <v>54</v>
      </c>
      <c r="T130" s="22" t="s">
        <v>6</v>
      </c>
      <c r="U130" s="22" t="s">
        <v>30</v>
      </c>
      <c r="V130" s="22" t="s">
        <v>8</v>
      </c>
      <c r="W130" s="22" t="s">
        <v>33</v>
      </c>
      <c r="X130" s="22" t="s">
        <v>55</v>
      </c>
      <c r="AA130" s="34" t="s">
        <v>57</v>
      </c>
      <c r="AB130" s="33" t="s">
        <v>56</v>
      </c>
    </row>
    <row r="131" spans="1:28" ht="21">
      <c r="A131" s="64" t="s">
        <v>52</v>
      </c>
      <c r="B131" s="21" t="s">
        <v>27</v>
      </c>
      <c r="P131" s="23"/>
      <c r="Q131" s="23"/>
      <c r="R131" s="23"/>
      <c r="S131" s="23"/>
      <c r="T131" s="23"/>
      <c r="U131" s="23"/>
      <c r="V131" s="23"/>
      <c r="W131" s="23"/>
      <c r="X131" s="27"/>
      <c r="AA131" s="32"/>
      <c r="AB131" s="32"/>
    </row>
    <row r="132" spans="1:28" ht="21">
      <c r="A132" s="64"/>
      <c r="B132" s="2" t="s">
        <v>1</v>
      </c>
      <c r="P132" s="23"/>
      <c r="Q132" s="23"/>
      <c r="R132" s="23"/>
      <c r="S132" s="23"/>
      <c r="T132" s="23"/>
      <c r="U132" s="23"/>
      <c r="V132" s="23"/>
      <c r="W132" s="23"/>
      <c r="X132" s="28"/>
      <c r="AA132" s="32"/>
      <c r="AB132" s="32"/>
    </row>
    <row r="133" spans="1:28" ht="45">
      <c r="A133" s="64"/>
      <c r="B133" s="2" t="s">
        <v>28</v>
      </c>
      <c r="P133" s="23"/>
      <c r="Q133" s="23"/>
      <c r="R133" s="23"/>
      <c r="S133" s="23"/>
      <c r="T133" s="23"/>
      <c r="U133" s="23"/>
      <c r="V133" s="23"/>
      <c r="W133" s="23"/>
      <c r="X133" s="28"/>
      <c r="AA133" s="32"/>
      <c r="AB133" s="32"/>
    </row>
    <row r="134" spans="1:28" ht="30">
      <c r="A134" s="64"/>
      <c r="B134" s="16" t="s">
        <v>37</v>
      </c>
      <c r="P134" s="23"/>
      <c r="Q134" s="23"/>
      <c r="R134" s="23"/>
      <c r="S134" s="23"/>
      <c r="T134" s="23"/>
      <c r="U134" s="23"/>
      <c r="V134" s="23"/>
      <c r="W134" s="23"/>
      <c r="X134" s="28"/>
      <c r="AA134" s="32"/>
      <c r="AB134" s="32"/>
    </row>
    <row r="135" spans="1:28" ht="45">
      <c r="A135" s="64"/>
      <c r="B135" s="16" t="s">
        <v>38</v>
      </c>
      <c r="P135" s="23"/>
      <c r="Q135" s="23"/>
      <c r="R135" s="23"/>
      <c r="S135" s="23"/>
      <c r="T135" s="23"/>
      <c r="U135" s="23"/>
      <c r="V135" s="23"/>
      <c r="W135" s="23"/>
      <c r="X135" s="28"/>
      <c r="AA135" s="32"/>
      <c r="AB135" s="32"/>
    </row>
    <row r="136" spans="1:28" ht="45">
      <c r="A136" s="64"/>
      <c r="B136" s="16" t="s">
        <v>39</v>
      </c>
      <c r="P136" s="23"/>
      <c r="Q136" s="23"/>
      <c r="R136" s="23"/>
      <c r="S136" s="23"/>
      <c r="T136" s="23"/>
      <c r="U136" s="23"/>
      <c r="V136" s="23"/>
      <c r="W136" s="23"/>
      <c r="X136" s="28"/>
      <c r="AA136" s="32"/>
      <c r="AB136" s="32"/>
    </row>
    <row r="137" spans="1:28" ht="45">
      <c r="A137" s="64"/>
      <c r="B137" s="2" t="s">
        <v>40</v>
      </c>
      <c r="P137" s="23"/>
      <c r="Q137" s="23"/>
      <c r="R137" s="23"/>
      <c r="S137" s="23"/>
      <c r="T137" s="23"/>
      <c r="U137" s="23"/>
      <c r="V137" s="23"/>
      <c r="W137" s="23"/>
      <c r="X137" s="28"/>
      <c r="AA137" s="32"/>
      <c r="AB137" s="32"/>
    </row>
    <row r="138" spans="1:28" ht="30">
      <c r="A138" s="64" t="s">
        <v>51</v>
      </c>
      <c r="B138" s="2" t="s">
        <v>7</v>
      </c>
      <c r="C138" s="23"/>
      <c r="D138">
        <f>COUNTIFS('NC Qualité'!A:A,"&gt;=01/02/2020",'NC Qualité'!A:A,"&lt;=29/02/2020",'NC Qualité'!E:E,"Panneau coulé à plat",'NC Qualité'!J:J,"Problème d'étiquetage")</f>
        <v>0</v>
      </c>
      <c r="E138" s="23"/>
      <c r="F138">
        <f>COUNTIFS('NC Qualité'!A:A,"&gt;=01/02/2020",'NC Qualité'!A:A,"&lt;=29/02/2020",'NC Qualité'!E:E,"Panneau coulé à plat",'NC Qualité'!J:J,"Aspect béton (tâches / nid d'abeilles / granuleux / Fissures etc.)")</f>
        <v>0</v>
      </c>
      <c r="G138" s="23"/>
      <c r="H138">
        <f>COUNTIFS('NC Qualité'!A:A,"&gt;=01/02/2020",'NC Qualité'!A:A,"&lt;=29/02/2020",'NC Qualité'!E:E,"Panneau coulé à plat",'NC Qualité'!J:J,"Ancre de levage")</f>
        <v>0</v>
      </c>
      <c r="I138" s="23"/>
      <c r="J138">
        <f>COUNTIFS('NC Qualité'!A:A,"&gt;=01/02/2020",'NC Qualité'!A:A,"&lt;=29/02/2020",'NC Qualité'!E:E,"Modul : Tuyaux Dn 1800 à 2630",'NC Qualité'!J:J,"Armatures apparentes")</f>
        <v>0</v>
      </c>
      <c r="K138" s="23"/>
      <c r="L138" s="23"/>
      <c r="M138" s="23"/>
      <c r="N138" s="23"/>
      <c r="O138">
        <f>COUNTIFS('NC Qualité'!A:A,"&gt;=01/02/2020",'NC Qualité'!A:A,"&lt;=29/02/2020",'NC Qualité'!E:E,"Panneau coulé à plat",'NC Qualité'!J:J,"Autres :")</f>
        <v>0</v>
      </c>
      <c r="P138">
        <f>COUNTIFS('NC Qualité'!A:A,"&gt;=01/02/2020",'NC Qualité'!A:A,"&lt;=29/02/2020",'NC Qualité'!E:E,"Panneau coulé à plat",'NC Qualité'!J:J,"Accessoires (Mauvais positionnement , manquement, etc.)")</f>
        <v>0</v>
      </c>
      <c r="Q138">
        <f>COUNTIFS('NC Qualité'!A:A,"&gt;=01/02/2020",'NC Qualité'!A:A,"&lt;=29/02/2020",'NC Qualité'!E:E,"Panneau coulé à plat",'NC Qualité'!J:J,"équerrisage")</f>
        <v>0</v>
      </c>
      <c r="R138">
        <f>COUNTIFS('NC Qualité'!A:A,"&gt;=01/02/2020",'NC Qualité'!A:A,"&lt;=29/02/2020",'NC Qualité'!E:E,"Panneau coulé à plat",'NC Qualité'!J:J,"Seuil de porte (réservation)")</f>
        <v>0</v>
      </c>
      <c r="S138">
        <f>COUNTIFS('NC Qualité'!A:A,"&gt;=01/02/2020",'NC Qualité'!A:A,"&lt;=29/02/2020",'NC Qualité'!E:E,"Panneau coulé à plat",'NC Qualité'!J:J,"épaisseur")</f>
        <v>0</v>
      </c>
      <c r="T138">
        <f>COUNTIFS('NC Qualité'!A:A,"&gt;=01/02/2020",'NC Qualité'!A:A,"&lt;=29/02/2020",'NC Qualité'!E:E,"Panneau coulé à plat",'NC Qualité'!J:J,"Chanfrein")</f>
        <v>0</v>
      </c>
      <c r="U138">
        <f>COUNTIFS('NC Qualité'!A:A,"&gt;=01/02/2020",'NC Qualité'!A:A,"&lt;=29/02/2020",'NC Qualité'!E:E,"Panneau coulé à plat",'NC Qualité'!J:J,"Dimensionnement (entraînant un rebut)")</f>
        <v>0</v>
      </c>
      <c r="V138">
        <f>COUNTIFS('NC Qualité'!A:A,"&gt;=01/02/2020",'NC Qualité'!A:A,"&lt;=29/02/2020",'NC Qualité'!E:E,"Panneau coulé à plat",'NC Qualité'!J:J,"Cintrage")</f>
        <v>0</v>
      </c>
      <c r="W138">
        <f>COUNTIFS('NC Qualité'!A:A,"&gt;=01/02/2020",'NC Qualité'!A:A,"&lt;=29/02/2020",'NC Qualité'!E:E,"Panneau coulé à plat",'NC Qualité'!J:J,"Problème de chargement (sanglage, casse etc.)")</f>
        <v>0</v>
      </c>
      <c r="X138" s="29">
        <f>COUNTIFS('NC Qualité'!A:A,"&gt;=01/02/2020",'NC Qualité'!A:A,"&lt;=29/02/2020",'NC Qualité'!E:E,"Panneau coulé à plat",'NC Qualité'!J:J,"Erreur de chargement ")</f>
        <v>0</v>
      </c>
      <c r="AA138" s="32">
        <f>COUNTIFS('NC Qualité'!A:A,"&gt;=01/02/2020",'NC Qualité'!A:A,"&lt;=29/02/2020",'NC Qualité'!E:E,"Panneau coulé à plat",'NC Qualité'!T:T,1)</f>
        <v>0</v>
      </c>
      <c r="AB138" s="32">
        <f>COUNTIFS('NC Qualité'!A:A,"&gt;=01/02/2020",'NC Qualité'!A:A,"&lt;=29/02/2020",'NC Qualité'!E:E,"Panneau coulé à plat",'NC Qualité'!R:R,"A")</f>
        <v>0</v>
      </c>
    </row>
    <row r="139" spans="1:28" ht="21">
      <c r="A139" s="64"/>
      <c r="B139" s="2" t="s">
        <v>0</v>
      </c>
      <c r="C139" s="23"/>
      <c r="D139">
        <f>COUNTIFS('NC Qualité'!A:A,"&gt;=01/02/2020",'NC Qualité'!A:A,"&lt;=29/02/2020",'NC Qualité'!E:E,"Bianchi",'NC Qualité'!J:J,"Problème d'étiquetage")</f>
        <v>0</v>
      </c>
      <c r="E139" s="23"/>
      <c r="F139">
        <f>COUNTIFS('NC Qualité'!A:A,"&gt;=01/02/2020",'NC Qualité'!A:A,"&lt;=29/02/2020",'NC Qualité'!E:E,"Bianchi",'NC Qualité'!J:J,"Aspect béton (tâches / nid d'abeilles / granuleux / Fissures etc.)")</f>
        <v>0</v>
      </c>
      <c r="G139" s="23"/>
      <c r="H139">
        <f>COUNTIFS('NC Qualité'!A:A,"&gt;=01/02/2020",'NC Qualité'!A:A,"&lt;=29/02/2020",'NC Qualité'!E:E,"Bianchi",'NC Qualité'!J:J,"Ancre de levage")</f>
        <v>0</v>
      </c>
      <c r="I139" s="23"/>
      <c r="J139">
        <f>COUNTIFS('NC Qualité'!A:A,"&gt;=01/02/2020",'NC Qualité'!A:A,"&lt;=29/02/2020",'NC Qualité'!E:E,"Bianchi",'NC Qualité'!J:J,"Armatures apparentes")</f>
        <v>0</v>
      </c>
      <c r="K139" s="23"/>
      <c r="L139" s="23"/>
      <c r="M139" s="23"/>
      <c r="N139" s="23"/>
      <c r="O139">
        <f>COUNTIFS('NC Qualité'!A:A,"&gt;=01/02/2020",'NC Qualité'!A:A,"&lt;=29/02/2020",'NC Qualité'!E:E,"Bianchi",'NC Qualité'!J:J,"Autres :")</f>
        <v>0</v>
      </c>
      <c r="P139">
        <f>COUNTIFS('NC Qualité'!A:A,"&gt;=01/02/2020",'NC Qualité'!A:A,"&lt;=29/02/2020",'NC Qualité'!E:E,"Bianchi",'NC Qualité'!J:J,"Accessoires (Mauvais positionnement , manquement, etc.)")</f>
        <v>0</v>
      </c>
      <c r="Q139">
        <f>COUNTIFS('NC Qualité'!A:A,"&gt;=01/02/2020",'NC Qualité'!A:A,"&lt;=29/02/2020",'NC Qualité'!E:E,"Bianchi",'NC Qualité'!J:J,"équerrisage")</f>
        <v>0</v>
      </c>
      <c r="R139">
        <f>COUNTIFS('NC Qualité'!A:A,"&gt;=01/02/2020",'NC Qualité'!A:A,"&lt;=29/02/2020",'NC Qualité'!E:E,"Bianchi",'NC Qualité'!J:J,"Seuil de porte (réservation)")</f>
        <v>0</v>
      </c>
      <c r="S139">
        <f>COUNTIFS('NC Qualité'!A:A,"&gt;=01/02/2020",'NC Qualité'!A:A,"&lt;=29/02/2020",'NC Qualité'!E:E,"Bianchi",'NC Qualité'!J:J,"épaisseur")</f>
        <v>0</v>
      </c>
      <c r="T139">
        <f>COUNTIFS('NC Qualité'!A:A,"&gt;=01/02/2020",'NC Qualité'!A:A,"&lt;=29/02/2020",'NC Qualité'!E:E,"Bianchi",'NC Qualité'!J:J,"Chanfrein")</f>
        <v>0</v>
      </c>
      <c r="U139">
        <f>COUNTIFS('NC Qualité'!A:A,"&gt;=01/02/2020",'NC Qualité'!A:A,"&lt;=29/02/2020",'NC Qualité'!E:E,"Bianchi",'NC Qualité'!J:J,"Dimensionnement (entraînant un rebut)")</f>
        <v>0</v>
      </c>
      <c r="V139">
        <f>COUNTIFS('NC Qualité'!A:A,"&gt;=01/02/2020",'NC Qualité'!A:A,"&lt;=29/02/2020",'NC Qualité'!E:E,"Bianchi",'NC Qualité'!J:J,"Cintrage")</f>
        <v>0</v>
      </c>
      <c r="W139">
        <f>COUNTIFS('NC Qualité'!A:A,"&gt;=01/02/2020",'NC Qualité'!A:A,"&lt;=29/02/2020",'NC Qualité'!E:E,"Bianchi",'NC Qualité'!J:J,"Problème de chargement (sanglage, casse etc.)")</f>
        <v>0</v>
      </c>
      <c r="X139" s="29">
        <f>COUNTIFS('NC Qualité'!A:A,"&gt;=01/02/2020",'NC Qualité'!A:A,"&lt;=29/02/2020",'NC Qualité'!E:E,"Bianchi",'NC Qualité'!J:J,"Erreur de chargement ")</f>
        <v>0</v>
      </c>
      <c r="AA139" s="32">
        <f>COUNTIFS('NC Qualité'!A:A,"&gt;=01/02/2020",'NC Qualité'!A:A,"&lt;=29/02/2020",'NC Qualité'!E:E,"Bianchi",'NC Qualité'!T:T,1)</f>
        <v>0</v>
      </c>
      <c r="AB139" s="32">
        <f>COUNTIFS('NC Qualité'!A:A,"&gt;=01/02/2020",'NC Qualité'!A:A,"&lt;=29/02/2020",'NC Qualité'!E:E,"Bianchi",'NC Qualité'!R:R,"A")</f>
        <v>0</v>
      </c>
    </row>
    <row r="140" spans="1:28" ht="30">
      <c r="A140" s="64"/>
      <c r="B140" s="2" t="s">
        <v>4</v>
      </c>
      <c r="C140" s="23"/>
      <c r="D140">
        <f>COUNTIFS('NC Qualité'!A:A,"&gt;=01/02/2020",'NC Qualité'!A:A,"&lt;=29/02/2020",'NC Qualité'!E:E,"Préfabrication",'NC Qualité'!J:J,"Problème d'étiquetage")</f>
        <v>0</v>
      </c>
      <c r="E140" s="23"/>
      <c r="F140">
        <f>COUNTIFS('NC Qualité'!A:A,"&gt;=01/02/2020",'NC Qualité'!A:A,"&lt;=29/02/2020",'NC Qualité'!E:E,"Préfabrication",'NC Qualité'!J:J,"Aspect béton (tâches / nid d'abeilles / granuleux / Fissures etc.)")</f>
        <v>0</v>
      </c>
      <c r="G140" s="23"/>
      <c r="H140">
        <f>COUNTIFS('NC Qualité'!A:A,"&gt;=01/02/2020",'NC Qualité'!A:A,"&lt;=29/02/2020",'NC Qualité'!E:E,"Préfabrication",'NC Qualité'!J:J,"Ancre de levage")</f>
        <v>0</v>
      </c>
      <c r="I140" s="23"/>
      <c r="J140">
        <f>COUNTIFS('NC Qualité'!A:A,"&gt;=01/02/2020",'NC Qualité'!A:A,"&lt;=29/02/2020",'NC Qualité'!E:E,"Préfabrication",'NC Qualité'!J:J,"Armatures apparentes")</f>
        <v>0</v>
      </c>
      <c r="K140" s="23"/>
      <c r="L140" s="23"/>
      <c r="M140" s="23"/>
      <c r="N140" s="23"/>
      <c r="O140">
        <f>COUNTIFS('NC Qualité'!A:A,"&gt;=01/02/2020",'NC Qualité'!A:A,"&lt;=29/02/2020",'NC Qualité'!E:E,"Préfabrication",'NC Qualité'!J:J,"Autres :")</f>
        <v>0</v>
      </c>
      <c r="P140">
        <f>COUNTIFS('NC Qualité'!A:A,"&gt;=01/02/2020",'NC Qualité'!A:A,"&lt;=29/02/2020",'NC Qualité'!E:E,"Préfabrication",'NC Qualité'!J:J,"Accessoires (Mauvais positionnement , manquement, etc.)")</f>
        <v>0</v>
      </c>
      <c r="Q140">
        <f>COUNTIFS('NC Qualité'!A:A,"&gt;=01/02/2020",'NC Qualité'!A:A,"&lt;=29/02/2020",'NC Qualité'!E:E,"Préfabrication",'NC Qualité'!J:J,"équerrisage")</f>
        <v>0</v>
      </c>
      <c r="R140">
        <f>COUNTIFS('NC Qualité'!A:A,"&gt;=01/02/2020",'NC Qualité'!A:A,"&lt;=29/02/2020",'NC Qualité'!E:E,"Préfabrication",'NC Qualité'!J:J,"Seuil de porte (réservation)")</f>
        <v>0</v>
      </c>
      <c r="S140">
        <f>COUNTIFS('NC Qualité'!A:A,"&gt;=01/02/2020",'NC Qualité'!A:A,"&lt;=29/02/2020",'NC Qualité'!E:E,"Préfabrication",'NC Qualité'!J:J,"épaisseur")</f>
        <v>0</v>
      </c>
      <c r="T140">
        <f>COUNTIFS('NC Qualité'!A:A,"&gt;=01/02/2020",'NC Qualité'!A:A,"&lt;=29/02/2020",'NC Qualité'!E:E,"Préfabrication",'NC Qualité'!J:J,"Chanfrein")</f>
        <v>0</v>
      </c>
      <c r="U140">
        <f>COUNTIFS('NC Qualité'!A:A,"&gt;=01/02/2020",'NC Qualité'!A:A,"&lt;=29/02/2020",'NC Qualité'!E:E,"Préfabrication",'NC Qualité'!J:J,"Dimensionnement (entraînant un rebut)")</f>
        <v>0</v>
      </c>
      <c r="V140">
        <f>COUNTIFS('NC Qualité'!A:A,"&gt;=01/02/2020",'NC Qualité'!A:A,"&lt;=29/02/2020",'NC Qualité'!E:E,"Préfabrication",'NC Qualité'!J:J,"Cintrage")</f>
        <v>0</v>
      </c>
      <c r="W140">
        <f>COUNTIFS('NC Qualité'!A:A,"&gt;=01/02/2020",'NC Qualité'!A:A,"&lt;=29/02/2020",'NC Qualité'!E:E,"Préfabrication",'NC Qualité'!J:J,"Problème de chargement (sanglage, casse etc.)")</f>
        <v>0</v>
      </c>
      <c r="X140" s="29">
        <f>COUNTIFS('NC Qualité'!A:A,"&gt;=01/02/2020",'NC Qualité'!A:A,"&lt;=29/02/2020",'NC Qualité'!E:E,"Préfabrication",'NC Qualité'!J:J,"Erreur de chargement ")</f>
        <v>0</v>
      </c>
      <c r="AA140" s="32">
        <f>COUNTIFS('NC Qualité'!A:A,"&gt;=01/02/2020",'NC Qualité'!A:A,"&lt;=29/02/2020",'NC Qualité'!E:E,"Préfabrication",'NC Qualité'!T:T,1)</f>
        <v>0</v>
      </c>
      <c r="AB140" s="32">
        <f>COUNTIFS('NC Qualité'!A:A,"&gt;=01/02/2020",'NC Qualité'!A:A,"&lt;=29/02/2020",'NC Qualité'!E:E,"Préfabrication",'NC Qualité'!R:R,"A")</f>
        <v>0</v>
      </c>
    </row>
    <row r="141" spans="1:28" ht="30">
      <c r="A141" s="64"/>
      <c r="B141" s="17" t="s">
        <v>3</v>
      </c>
      <c r="C141" s="23"/>
      <c r="D141">
        <f>COUNTIFS('NC Qualité'!A:A,"&gt;=01/02/2020",'NC Qualité'!A:A,"&lt;=29/02/2020",'NC Qualité'!E:E,"Précontraint",'NC Qualité'!J:J,"Problème d'étiquetage")</f>
        <v>0</v>
      </c>
      <c r="E141" s="23"/>
      <c r="F141">
        <f>COUNTIFS('NC Qualité'!A:A,"&gt;=01/02/2020",'NC Qualité'!A:A,"&lt;=29/02/2020",'NC Qualité'!E:E,"Précontraint",'NC Qualité'!J:J,"Aspect béton (tâches / nid d'abeilles / granuleux / Fissures etc.)")</f>
        <v>0</v>
      </c>
      <c r="G141" s="23"/>
      <c r="H141">
        <f>COUNTIFS('NC Qualité'!A:A,"&gt;=01/02/2020",'NC Qualité'!A:A,"&lt;=29/02/2020",'NC Qualité'!E:E,"Précontraint",'NC Qualité'!J:J,"Ancre de levage")</f>
        <v>0</v>
      </c>
      <c r="I141" s="23"/>
      <c r="J141">
        <f>COUNTIFS('NC Qualité'!A:A,"&gt;=01/02/2020",'NC Qualité'!A:A,"&lt;=29/02/2020",'NC Qualité'!E:E,"Précontraint",'NC Qualité'!J:J,"Armatures apparentes")</f>
        <v>0</v>
      </c>
      <c r="K141" s="23"/>
      <c r="L141" s="23"/>
      <c r="M141" s="23"/>
      <c r="N141" s="23"/>
      <c r="O141">
        <f>COUNTIFS('NC Qualité'!A:A,"&gt;=01/02/2020",'NC Qualité'!A:A,"&lt;=29/02/2020",'NC Qualité'!E:E,"Précontraint",'NC Qualité'!J:J,"Autres :")</f>
        <v>0</v>
      </c>
      <c r="P141">
        <f>COUNTIFS('NC Qualité'!A:A,"&gt;=01/02/2020",'NC Qualité'!A:A,"&lt;=29/02/2020",'NC Qualité'!E:E,"Précontraint",'NC Qualité'!J:J,"Accessoires (Mauvais positionnement , manquement, etc.)")</f>
        <v>0</v>
      </c>
      <c r="Q141">
        <f>COUNTIFS('NC Qualité'!A:A,"&gt;=01/02/2020",'NC Qualité'!A:A,"&lt;=29/02/2020",'NC Qualité'!E:E,"Précontraint",'NC Qualité'!J:J,"équerrisage")</f>
        <v>0</v>
      </c>
      <c r="R141">
        <f>COUNTIFS('NC Qualité'!A:A,"&gt;=01/02/2020",'NC Qualité'!A:A,"&lt;=29/02/2020",'NC Qualité'!E:E,"Précontraint",'NC Qualité'!J:J,"Seuil de porte (réservation)")</f>
        <v>0</v>
      </c>
      <c r="S141">
        <f>COUNTIFS('NC Qualité'!A:A,"&gt;=01/02/2020",'NC Qualité'!A:A,"&lt;=29/02/2020",'NC Qualité'!E:E,"Précontraint",'NC Qualité'!J:J,"épaisseur")</f>
        <v>0</v>
      </c>
      <c r="T141">
        <f>COUNTIFS('NC Qualité'!A:A,"&gt;=01/02/2020",'NC Qualité'!A:A,"&lt;=29/02/2020",'NC Qualité'!E:E,"Précontraint",'NC Qualité'!J:J,"Chanfrein")</f>
        <v>0</v>
      </c>
      <c r="U141">
        <f>COUNTIFS('NC Qualité'!A:A,"&gt;=01/02/2020",'NC Qualité'!A:A,"&lt;=29/02/2020",'NC Qualité'!E:E,"Précontraint",'NC Qualité'!J:J,"Dimensionnement (entraînant un rebut)")</f>
        <v>0</v>
      </c>
      <c r="V141">
        <f>COUNTIFS('NC Qualité'!A:A,"&gt;=01/02/2020",'NC Qualité'!A:A,"&lt;=29/02/2020",'NC Qualité'!E:E,"Précontraint",'NC Qualité'!J:J,"Cintrage")</f>
        <v>0</v>
      </c>
      <c r="W141">
        <f>COUNTIFS('NC Qualité'!A:A,"&gt;=01/02/2020",'NC Qualité'!A:A,"&lt;=29/02/2020",'NC Qualité'!E:E,"Précontraint",'NC Qualité'!J:J,"Problème de chargement (sanglage, casse etc.)")</f>
        <v>0</v>
      </c>
      <c r="X141" s="29">
        <f>COUNTIFS('NC Qualité'!A:A,"&gt;=01/02/2020",'NC Qualité'!A:A,"&lt;=29/02/2020",'NC Qualité'!E:E,"Précontraint",'NC Qualité'!J:J,"Erreur de chargement ")</f>
        <v>0</v>
      </c>
      <c r="AA141" s="32">
        <f>COUNTIFS('NC Qualité'!A:A,"&gt;=01/02/2020",'NC Qualité'!A:A,"&lt;=29/02/2020",'NC Qualité'!E:E,"Précontraint",'NC Qualité'!T:T,1)</f>
        <v>0</v>
      </c>
      <c r="AB141" s="32">
        <f>COUNTIFS('NC Qualité'!A:A,"&gt;=01/02/2020",'NC Qualité'!A:A,"&lt;=29/02/2020",'NC Qualité'!E:E,"Précontraint",'NC Qualité'!R:R,"A")</f>
        <v>0</v>
      </c>
    </row>
    <row r="142" spans="1:28" ht="21">
      <c r="A142" s="64"/>
      <c r="B142" s="2" t="s">
        <v>2</v>
      </c>
      <c r="C142" s="24"/>
      <c r="D142" s="25">
        <f>COUNTIFS('NC Qualité'!A:A,"&gt;=01/02/2020",'NC Qualité'!A:A,"&lt;=29/02/2020",'NC Qualité'!E:E,"Parc",'NC Qualité'!J:J,"Problème d'étiquetage")</f>
        <v>0</v>
      </c>
      <c r="E142" s="26"/>
      <c r="F142" s="25">
        <f>COUNTIFS('NC Qualité'!A:A,"&gt;=01/02/2020",'NC Qualité'!A:A,"&lt;=29/02/2020",'NC Qualité'!E:E,"Parc",'NC Qualité'!J:J,"Aspect béton (tâches / nid d'abeilles / granuleux / Fissures etc.)")</f>
        <v>0</v>
      </c>
      <c r="G142" s="26"/>
      <c r="H142" s="25">
        <f>COUNTIFS('NC Qualité'!A:A,"&gt;=01/02/2020",'NC Qualité'!A:A,"&lt;=29/02/2020",'NC Qualité'!E:E,"Parc",'NC Qualité'!J:J,"Ancre de levage")</f>
        <v>0</v>
      </c>
      <c r="I142" s="26"/>
      <c r="J142" s="25">
        <f>COUNTIFS('NC Qualité'!A:A,"&gt;=01/02/2020",'NC Qualité'!A:A,"&lt;=29/02/2020",'NC Qualité'!E:E,"Parc",'NC Qualité'!J:J,"Armatures apparentes")</f>
        <v>0</v>
      </c>
      <c r="K142" s="26"/>
      <c r="L142" s="26"/>
      <c r="M142" s="26"/>
      <c r="N142" s="26"/>
      <c r="O142" s="25">
        <f>COUNTIFS('NC Qualité'!A:A,"&gt;=01/02/2020",'NC Qualité'!A:A,"&lt;=29/02/2020",'NC Qualité'!E:E,"Parc",'NC Qualité'!J:J,"Autres :")</f>
        <v>0</v>
      </c>
      <c r="P142" s="25">
        <f>COUNTIFS('NC Qualité'!A:A,"&gt;=01/02/2020",'NC Qualité'!A:A,"&lt;=29/02/2020",'NC Qualité'!E:E,"Parc",'NC Qualité'!J:J,"Accessoires (Mauvais positionnement , manquement, etc.)")</f>
        <v>0</v>
      </c>
      <c r="Q142" s="25">
        <f>COUNTIFS('NC Qualité'!A:A,"&gt;=01/02/2020",'NC Qualité'!A:A,"&lt;=29/02/2020",'NC Qualité'!E:E,"Parc",'NC Qualité'!J:J,"équerrisage")</f>
        <v>0</v>
      </c>
      <c r="R142" s="25">
        <f>COUNTIFS('NC Qualité'!A:A,"&gt;=01/02/2020",'NC Qualité'!A:A,"&lt;=29/02/2020",'NC Qualité'!E:E,"Parc",'NC Qualité'!J:J,"Seuil de porte (réservation)")</f>
        <v>0</v>
      </c>
      <c r="S142" s="25">
        <f>COUNTIFS('NC Qualité'!A:A,"&gt;=01/02/2020",'NC Qualité'!A:A,"&lt;=29/02/2020",'NC Qualité'!E:E,"Parc",'NC Qualité'!J:J,"épaisseur")</f>
        <v>0</v>
      </c>
      <c r="T142" s="25">
        <f>COUNTIFS('NC Qualité'!A:A,"&gt;=01/02/2020",'NC Qualité'!A:A,"&lt;=29/02/2020",'NC Qualité'!E:E,"Parc",'NC Qualité'!J:J,"Chanfrein")</f>
        <v>0</v>
      </c>
      <c r="U142" s="25">
        <f>COUNTIFS('NC Qualité'!A:A,"&gt;=01/02/2020",'NC Qualité'!A:A,"&lt;=29/02/2020",'NC Qualité'!E:E,"Parc",'NC Qualité'!J:J,"Dimensionnement (entraînant un rebut)")</f>
        <v>0</v>
      </c>
      <c r="V142" s="25">
        <f>COUNTIFS('NC Qualité'!A:A,"&gt;=01/02/2020",'NC Qualité'!A:A,"&lt;=29/02/2020",'NC Qualité'!E:E,"Parc",'NC Qualité'!J:J,"Cintrage")</f>
        <v>0</v>
      </c>
      <c r="W142" s="25">
        <f>COUNTIFS('NC Qualité'!A:A,"&gt;=01/02/2020",'NC Qualité'!A:A,"&lt;=29/02/2020",'NC Qualité'!E:E,"Parc",'NC Qualité'!J:J,"Problème de chargement (sanglage, casse etc.)")</f>
        <v>0</v>
      </c>
      <c r="X142" s="30">
        <f>COUNTIFS('NC Qualité'!A:A,"&gt;=01/02/2020",'NC Qualité'!A:A,"&lt;=29/02/2020",'NC Qualité'!E:E,"Parc",'NC Qualité'!J:J,"Erreur de chargement ")</f>
        <v>0</v>
      </c>
      <c r="AA142" s="32">
        <f>COUNTIFS('NC Qualité'!A:A,"&gt;=01/02/2020",'NC Qualité'!A:A,"&lt;=29/02/2020",'NC Qualité'!E:E,"Parc",'NC Qualité'!T:T,1)</f>
        <v>0</v>
      </c>
      <c r="AB142" s="32">
        <f>COUNTIFS('NC Qualité'!A:A,"&gt;=01/02/2020",'NC Qualité'!A:A,"&lt;=29/02/2020",'NC Qualité'!E:E,"Parc",'NC Qualité'!R:R,"A")</f>
        <v>0</v>
      </c>
    </row>
    <row r="143" spans="1:28" ht="23.25">
      <c r="AA143" s="35">
        <f>SUM(AA131:AA142)</f>
        <v>0</v>
      </c>
      <c r="AB143" s="35">
        <f>SUM(AB131:AB142)</f>
        <v>0</v>
      </c>
    </row>
    <row r="144" spans="1:28" ht="15.75" thickBot="1"/>
    <row r="145" spans="1:28" ht="15.75" thickBot="1">
      <c r="A145" s="43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5"/>
    </row>
    <row r="147" spans="1:28">
      <c r="B147" t="s">
        <v>76</v>
      </c>
    </row>
    <row r="149" spans="1:28" ht="105">
      <c r="B149" s="15" t="s">
        <v>34</v>
      </c>
      <c r="C149" s="22" t="s">
        <v>36</v>
      </c>
      <c r="D149" s="22" t="s">
        <v>5</v>
      </c>
      <c r="E149" s="22" t="s">
        <v>41</v>
      </c>
      <c r="F149" s="22" t="s">
        <v>31</v>
      </c>
      <c r="G149" s="22" t="s">
        <v>42</v>
      </c>
      <c r="H149" s="22" t="s">
        <v>43</v>
      </c>
      <c r="I149" s="22" t="s">
        <v>44</v>
      </c>
      <c r="J149" s="22" t="s">
        <v>45</v>
      </c>
      <c r="K149" s="22" t="s">
        <v>46</v>
      </c>
      <c r="L149" s="22" t="s">
        <v>47</v>
      </c>
      <c r="M149" s="22" t="s">
        <v>48</v>
      </c>
      <c r="N149" s="22" t="s">
        <v>49</v>
      </c>
      <c r="O149" s="22" t="s">
        <v>50</v>
      </c>
      <c r="P149" s="22" t="s">
        <v>29</v>
      </c>
      <c r="Q149" s="22" t="s">
        <v>53</v>
      </c>
      <c r="R149" s="22" t="s">
        <v>32</v>
      </c>
      <c r="S149" s="22" t="s">
        <v>54</v>
      </c>
      <c r="T149" s="22" t="s">
        <v>6</v>
      </c>
      <c r="U149" s="22" t="s">
        <v>30</v>
      </c>
      <c r="V149" s="22" t="s">
        <v>8</v>
      </c>
      <c r="W149" s="22" t="s">
        <v>33</v>
      </c>
      <c r="X149" s="22" t="s">
        <v>55</v>
      </c>
      <c r="AA149" s="34" t="s">
        <v>57</v>
      </c>
      <c r="AB149" s="33" t="s">
        <v>56</v>
      </c>
    </row>
    <row r="150" spans="1:28" ht="21">
      <c r="A150" s="64" t="s">
        <v>52</v>
      </c>
      <c r="B150" s="21" t="s">
        <v>27</v>
      </c>
      <c r="P150" s="23"/>
      <c r="Q150" s="23"/>
      <c r="R150" s="23"/>
      <c r="S150" s="23"/>
      <c r="T150" s="23"/>
      <c r="U150" s="23"/>
      <c r="V150" s="23"/>
      <c r="W150" s="23"/>
      <c r="X150" s="27"/>
      <c r="AA150" s="32"/>
      <c r="AB150" s="32"/>
    </row>
    <row r="151" spans="1:28" ht="21">
      <c r="A151" s="64"/>
      <c r="B151" s="2" t="s">
        <v>1</v>
      </c>
      <c r="P151" s="23"/>
      <c r="Q151" s="23"/>
      <c r="R151" s="23"/>
      <c r="S151" s="23"/>
      <c r="T151" s="23"/>
      <c r="U151" s="23"/>
      <c r="V151" s="23"/>
      <c r="W151" s="23"/>
      <c r="X151" s="28"/>
      <c r="AA151" s="32"/>
      <c r="AB151" s="32"/>
    </row>
    <row r="152" spans="1:28" ht="45">
      <c r="A152" s="64"/>
      <c r="B152" s="2" t="s">
        <v>28</v>
      </c>
      <c r="P152" s="23"/>
      <c r="Q152" s="23"/>
      <c r="R152" s="23"/>
      <c r="S152" s="23"/>
      <c r="T152" s="23"/>
      <c r="U152" s="23"/>
      <c r="V152" s="23"/>
      <c r="W152" s="23"/>
      <c r="X152" s="28"/>
      <c r="AA152" s="32"/>
      <c r="AB152" s="32"/>
    </row>
    <row r="153" spans="1:28" ht="30">
      <c r="A153" s="64"/>
      <c r="B153" s="16" t="s">
        <v>37</v>
      </c>
      <c r="P153" s="23"/>
      <c r="Q153" s="23"/>
      <c r="R153" s="23"/>
      <c r="S153" s="23"/>
      <c r="T153" s="23"/>
      <c r="U153" s="23"/>
      <c r="V153" s="23"/>
      <c r="W153" s="23"/>
      <c r="X153" s="28"/>
      <c r="AA153" s="32"/>
      <c r="AB153" s="32"/>
    </row>
    <row r="154" spans="1:28" ht="45">
      <c r="A154" s="64"/>
      <c r="B154" s="16" t="s">
        <v>38</v>
      </c>
      <c r="P154" s="23"/>
      <c r="Q154" s="23"/>
      <c r="R154" s="23"/>
      <c r="S154" s="23"/>
      <c r="T154" s="23"/>
      <c r="U154" s="23"/>
      <c r="V154" s="23"/>
      <c r="W154" s="23"/>
      <c r="X154" s="28"/>
      <c r="AA154" s="32"/>
      <c r="AB154" s="32"/>
    </row>
    <row r="155" spans="1:28" ht="45">
      <c r="A155" s="64"/>
      <c r="B155" s="16" t="s">
        <v>39</v>
      </c>
      <c r="P155" s="23"/>
      <c r="Q155" s="23"/>
      <c r="R155" s="23"/>
      <c r="S155" s="23"/>
      <c r="T155" s="23"/>
      <c r="U155" s="23"/>
      <c r="V155" s="23"/>
      <c r="W155" s="23"/>
      <c r="X155" s="28"/>
      <c r="AA155" s="32"/>
      <c r="AB155" s="32"/>
    </row>
    <row r="156" spans="1:28" ht="45">
      <c r="A156" s="64"/>
      <c r="B156" s="2" t="s">
        <v>40</v>
      </c>
      <c r="P156" s="23"/>
      <c r="Q156" s="23"/>
      <c r="R156" s="23"/>
      <c r="S156" s="23"/>
      <c r="T156" s="23"/>
      <c r="U156" s="23"/>
      <c r="V156" s="23"/>
      <c r="W156" s="23"/>
      <c r="X156" s="28"/>
      <c r="AA156" s="32"/>
      <c r="AB156" s="32"/>
    </row>
    <row r="157" spans="1:28" ht="30">
      <c r="A157" s="64" t="s">
        <v>51</v>
      </c>
      <c r="B157" s="2" t="s">
        <v>7</v>
      </c>
      <c r="C157" s="23"/>
      <c r="D157">
        <f>COUNTIFS('NC Qualité'!A:A,"&gt;=01/03/2020",'NC Qualité'!A:A,"&lt;=31/03/2020",'NC Qualité'!E:E,"Panneau coulé à plat",'NC Qualité'!J:J,"Problème d'étiquetage")</f>
        <v>0</v>
      </c>
      <c r="E157" s="23"/>
      <c r="F157">
        <f>COUNTIFS('NC Qualité'!A:A,"&gt;=01/03/2020",'NC Qualité'!A:A,"&lt;=31/03/2020",'NC Qualité'!E:E,"Panneau coulé à plat",'NC Qualité'!J:J,"Aspect béton (tâches / nid d'abeilles / granuleux / Fissures etc.)")</f>
        <v>0</v>
      </c>
      <c r="G157" s="23"/>
      <c r="H157">
        <f>COUNTIFS('NC Qualité'!A:A,"&gt;=01/03/2020",'NC Qualité'!A:A,"&lt;=31/03/2020",'NC Qualité'!E:E,"Panneau coulé à plat",'NC Qualité'!J:J,"Ancre de levage")</f>
        <v>0</v>
      </c>
      <c r="I157" s="23"/>
      <c r="J157">
        <f>COUNTIFS('NC Qualité'!A:A,"&gt;=01/03/2020",'NC Qualité'!A:A,"&lt;=31/03/2020",'NC Qualité'!E:E,"Modul : Tuyaux Dn 1800 à 2630",'NC Qualité'!J:J,"Armatures apparentes")</f>
        <v>0</v>
      </c>
      <c r="K157" s="23"/>
      <c r="L157" s="23"/>
      <c r="M157" s="23"/>
      <c r="N157" s="23"/>
      <c r="O157">
        <f>COUNTIFS('NC Qualité'!A:A,"&gt;=01/03/2020",'NC Qualité'!A:A,"&lt;=31/03/2020",'NC Qualité'!E:E,"Panneau coulé à plat",'NC Qualité'!J:J,"Autres :")</f>
        <v>0</v>
      </c>
      <c r="P157">
        <f>COUNTIFS('NC Qualité'!A:A,"&gt;=01/03/2020",'NC Qualité'!A:A,"&lt;=31/03/2020",'NC Qualité'!E:E,"Panneau coulé à plat",'NC Qualité'!J:J,"Accessoires (Mauvais positionnement , manquement, etc.)")</f>
        <v>0</v>
      </c>
      <c r="Q157">
        <f>COUNTIFS('NC Qualité'!A:A,"&gt;=01/03/2020",'NC Qualité'!A:A,"&lt;=31/03/2020",'NC Qualité'!E:E,"Panneau coulé à plat",'NC Qualité'!J:J,"équerrisage")</f>
        <v>0</v>
      </c>
      <c r="R157">
        <f>COUNTIFS('NC Qualité'!A:A,"&gt;=01/03/2020",'NC Qualité'!A:A,"&lt;=31/03/2020",'NC Qualité'!E:E,"Panneau coulé à plat",'NC Qualité'!J:J,"Seuil de porte (réservation)")</f>
        <v>0</v>
      </c>
      <c r="S157">
        <f>COUNTIFS('NC Qualité'!A:A,"&gt;=01/03/2020",'NC Qualité'!A:A,"&lt;=31/03/2020",'NC Qualité'!E:E,"Panneau coulé à plat",'NC Qualité'!J:J,"épaisseur")</f>
        <v>0</v>
      </c>
      <c r="T157">
        <f>COUNTIFS('NC Qualité'!A:A,"&gt;=01/03/2020",'NC Qualité'!A:A,"&lt;=31/03/2020",'NC Qualité'!E:E,"Panneau coulé à plat",'NC Qualité'!J:J,"Chanfrein")</f>
        <v>0</v>
      </c>
      <c r="U157">
        <f>COUNTIFS('NC Qualité'!A:A,"&gt;=01/03/2020",'NC Qualité'!A:A,"&lt;=31/03/2020",'NC Qualité'!E:E,"Panneau coulé à plat",'NC Qualité'!J:J,"Dimensionnement (entraînant un rebut)")</f>
        <v>0</v>
      </c>
      <c r="V157">
        <f>COUNTIFS('NC Qualité'!A:A,"&gt;=01/03/2020",'NC Qualité'!A:A,"&lt;=31/03/2020",'NC Qualité'!E:E,"Panneau coulé à plat",'NC Qualité'!J:J,"Cintrage")</f>
        <v>0</v>
      </c>
      <c r="W157">
        <f>COUNTIFS('NC Qualité'!A:A,"&gt;=01/03/2020",'NC Qualité'!A:A,"&lt;=31/03/2020",'NC Qualité'!E:E,"Panneau coulé à plat",'NC Qualité'!J:J,"Problème de chargement (sanglage, casse etc.)")</f>
        <v>0</v>
      </c>
      <c r="X157" s="29">
        <f>COUNTIFS('NC Qualité'!A:A,"&gt;=01/03/2020",'NC Qualité'!A:A,"&lt;=31/03/2020",'NC Qualité'!E:E,"Panneau coulé à plat",'NC Qualité'!J:J,"Erreur de chargement ")</f>
        <v>0</v>
      </c>
      <c r="AA157" s="32">
        <f>COUNTIFS('NC Qualité'!A:A,"&gt;=01/03/2020",'NC Qualité'!A:A,"&lt;=31/03/2020",'NC Qualité'!E:E,"Panneau coulé à plat",'NC Qualité'!T:T,1)</f>
        <v>0</v>
      </c>
      <c r="AB157" s="32">
        <f>COUNTIFS('NC Qualité'!A:A,"&gt;=01/03/2020",'NC Qualité'!A:A,"&lt;=31/03/2020",'NC Qualité'!E:E,"Panneau coulé à plat",'NC Qualité'!R:R,"A")</f>
        <v>0</v>
      </c>
    </row>
    <row r="158" spans="1:28" ht="21">
      <c r="A158" s="64"/>
      <c r="B158" s="2" t="s">
        <v>0</v>
      </c>
      <c r="C158" s="23"/>
      <c r="D158">
        <f>COUNTIFS('NC Qualité'!A:A,"&gt;=01/03/2020",'NC Qualité'!A:A,"&lt;=31/03/2020",'NC Qualité'!E:E,"Bianchi",'NC Qualité'!J:J,"Problème d'étiquetage")</f>
        <v>0</v>
      </c>
      <c r="E158" s="23"/>
      <c r="F158">
        <f>COUNTIFS('NC Qualité'!A:A,"&gt;=01/03/2020",'NC Qualité'!A:A,"&lt;=31/03/2020",'NC Qualité'!E:E,"Bianchi",'NC Qualité'!J:J,"Aspect béton (tâches / nid d'abeilles / granuleux / Fissures etc.)")</f>
        <v>0</v>
      </c>
      <c r="G158" s="23"/>
      <c r="H158">
        <f>COUNTIFS('NC Qualité'!A:A,"&gt;=01/03/2020",'NC Qualité'!A:A,"&lt;=31/03/2020",'NC Qualité'!E:E,"Bianchi",'NC Qualité'!J:J,"Ancre de levage")</f>
        <v>0</v>
      </c>
      <c r="I158" s="23"/>
      <c r="J158">
        <f>COUNTIFS('NC Qualité'!A:A,"&gt;=01/03/2020",'NC Qualité'!A:A,"&lt;=31/03/2020",'NC Qualité'!E:E,"Bianchi",'NC Qualité'!J:J,"Armatures apparentes")</f>
        <v>0</v>
      </c>
      <c r="K158" s="23"/>
      <c r="L158" s="23"/>
      <c r="M158" s="23"/>
      <c r="N158" s="23"/>
      <c r="O158">
        <f>COUNTIFS('NC Qualité'!A:A,"&gt;=01/03/2020",'NC Qualité'!A:A,"&lt;=31/03/2020",'NC Qualité'!E:E,"Bianchi",'NC Qualité'!J:J,"Autres :")</f>
        <v>0</v>
      </c>
      <c r="P158">
        <f>COUNTIFS('NC Qualité'!A:A,"&gt;=01/03/2020",'NC Qualité'!A:A,"&lt;=31/03/2020",'NC Qualité'!E:E,"Bianchi",'NC Qualité'!J:J,"Accessoires (Mauvais positionnement , manquement, etc.)")</f>
        <v>0</v>
      </c>
      <c r="Q158">
        <f>COUNTIFS('NC Qualité'!A:A,"&gt;=01/03/2020",'NC Qualité'!A:A,"&lt;=31/03/2020",'NC Qualité'!E:E,"Bianchi",'NC Qualité'!J:J,"équerrisage")</f>
        <v>0</v>
      </c>
      <c r="R158">
        <f>COUNTIFS('NC Qualité'!A:A,"&gt;=01/03/2020",'NC Qualité'!A:A,"&lt;=31/03/2020",'NC Qualité'!E:E,"Bianchi",'NC Qualité'!J:J,"Seuil de porte (réservation)")</f>
        <v>0</v>
      </c>
      <c r="S158">
        <f>COUNTIFS('NC Qualité'!A:A,"&gt;=01/03/2020",'NC Qualité'!A:A,"&lt;=31/03/2020",'NC Qualité'!E:E,"Bianchi",'NC Qualité'!J:J,"épaisseur")</f>
        <v>0</v>
      </c>
      <c r="T158">
        <f>COUNTIFS('NC Qualité'!A:A,"&gt;=01/03/2020",'NC Qualité'!A:A,"&lt;=31/03/2020",'NC Qualité'!E:E,"Bianchi",'NC Qualité'!J:J,"Chanfrein")</f>
        <v>0</v>
      </c>
      <c r="U158">
        <f>COUNTIFS('NC Qualité'!A:A,"&gt;=01/03/2020",'NC Qualité'!A:A,"&lt;=31/03/2020",'NC Qualité'!E:E,"Bianchi",'NC Qualité'!J:J,"Dimensionnement (entraînant un rebut)")</f>
        <v>0</v>
      </c>
      <c r="V158">
        <f>COUNTIFS('NC Qualité'!A:A,"&gt;=01/03/2020",'NC Qualité'!A:A,"&lt;=31/03/2020",'NC Qualité'!E:E,"Bianchi",'NC Qualité'!J:J,"Cintrage")</f>
        <v>0</v>
      </c>
      <c r="W158">
        <f>COUNTIFS('NC Qualité'!A:A,"&gt;=01/03/2020",'NC Qualité'!A:A,"&lt;=31/03/2020",'NC Qualité'!E:E,"Bianchi",'NC Qualité'!J:J,"Problème de chargement (sanglage, casse etc.)")</f>
        <v>0</v>
      </c>
      <c r="X158" s="29">
        <f>COUNTIFS('NC Qualité'!A:A,"&gt;=01/03/2020",'NC Qualité'!A:A,"&lt;=31/03/2020",'NC Qualité'!E:E,"Bianchi",'NC Qualité'!J:J,"Erreur de chargement ")</f>
        <v>0</v>
      </c>
      <c r="AA158" s="32">
        <f>COUNTIFS('NC Qualité'!A:A,"&gt;=01/03/2020",'NC Qualité'!A:A,"&lt;=31/03/2020",'NC Qualité'!E:E,"Bianchi",'NC Qualité'!T:T,1)</f>
        <v>0</v>
      </c>
      <c r="AB158" s="32">
        <f>COUNTIFS('NC Qualité'!A:A,"&gt;=01/03/2020",'NC Qualité'!A:A,"&lt;=31/03/2020",'NC Qualité'!E:E,"Bianchi",'NC Qualité'!R:R,"A")</f>
        <v>0</v>
      </c>
    </row>
    <row r="159" spans="1:28" ht="30">
      <c r="A159" s="64"/>
      <c r="B159" s="2" t="s">
        <v>4</v>
      </c>
      <c r="C159" s="23"/>
      <c r="D159">
        <f>COUNTIFS('NC Qualité'!A:A,"&gt;=01/03/2020",'NC Qualité'!A:A,"&lt;=31/03/2020",'NC Qualité'!E:E,"Préfabrication",'NC Qualité'!J:J,"Problème d'étiquetage")</f>
        <v>0</v>
      </c>
      <c r="E159" s="23"/>
      <c r="F159">
        <f>COUNTIFS('NC Qualité'!A:A,"&gt;=01/03/2020",'NC Qualité'!A:A,"&lt;=31/03/2020",'NC Qualité'!E:E,"Préfabrication",'NC Qualité'!J:J,"Aspect béton (tâches / nid d'abeilles / granuleux / Fissures etc.)")</f>
        <v>0</v>
      </c>
      <c r="G159" s="23"/>
      <c r="H159">
        <f>COUNTIFS('NC Qualité'!A:A,"&gt;=01/03/2020",'NC Qualité'!A:A,"&lt;=31/03/2020",'NC Qualité'!E:E,"Préfabrication",'NC Qualité'!J:J,"Ancre de levage")</f>
        <v>0</v>
      </c>
      <c r="I159" s="23"/>
      <c r="J159">
        <f>COUNTIFS('NC Qualité'!A:A,"&gt;=01/03/2020",'NC Qualité'!A:A,"&lt;=31/03/2020",'NC Qualité'!E:E,"Préfabrication",'NC Qualité'!J:J,"Armatures apparentes")</f>
        <v>0</v>
      </c>
      <c r="K159" s="23"/>
      <c r="L159" s="23"/>
      <c r="M159" s="23"/>
      <c r="N159" s="23"/>
      <c r="O159">
        <f>COUNTIFS('NC Qualité'!A:A,"&gt;=01/03/2020",'NC Qualité'!A:A,"&lt;=31/03/2020",'NC Qualité'!E:E,"Préfabrication",'NC Qualité'!J:J,"Autres :")</f>
        <v>0</v>
      </c>
      <c r="P159">
        <f>COUNTIFS('NC Qualité'!A:A,"&gt;=01/03/2020",'NC Qualité'!A:A,"&lt;=31/03/2020",'NC Qualité'!E:E,"Préfabrication",'NC Qualité'!J:J,"Accessoires (Mauvais positionnement , manquement, etc.)")</f>
        <v>0</v>
      </c>
      <c r="Q159">
        <f>COUNTIFS('NC Qualité'!A:A,"&gt;=01/03/2020",'NC Qualité'!A:A,"&lt;=31/03/2020",'NC Qualité'!E:E,"Préfabrication",'NC Qualité'!J:J,"équerrisage")</f>
        <v>0</v>
      </c>
      <c r="R159">
        <f>COUNTIFS('NC Qualité'!A:A,"&gt;=01/03/2020",'NC Qualité'!A:A,"&lt;=31/03/2020",'NC Qualité'!E:E,"Préfabrication",'NC Qualité'!J:J,"Seuil de porte (réservation)")</f>
        <v>0</v>
      </c>
      <c r="S159">
        <f>COUNTIFS('NC Qualité'!A:A,"&gt;=01/03/2020",'NC Qualité'!A:A,"&lt;=31/03/2020",'NC Qualité'!E:E,"Préfabrication",'NC Qualité'!J:J,"épaisseur")</f>
        <v>0</v>
      </c>
      <c r="T159">
        <f>COUNTIFS('NC Qualité'!A:A,"&gt;=01/03/2020",'NC Qualité'!A:A,"&lt;=31/03/2020",'NC Qualité'!E:E,"Préfabrication",'NC Qualité'!J:J,"Chanfrein")</f>
        <v>0</v>
      </c>
      <c r="U159">
        <f>COUNTIFS('NC Qualité'!A:A,"&gt;=01/03/2020",'NC Qualité'!A:A,"&lt;=31/03/2020",'NC Qualité'!E:E,"Préfabrication",'NC Qualité'!J:J,"Dimensionnement (entraînant un rebut)")</f>
        <v>0</v>
      </c>
      <c r="V159">
        <f>COUNTIFS('NC Qualité'!A:A,"&gt;=01/03/2020",'NC Qualité'!A:A,"&lt;=31/03/2020",'NC Qualité'!E:E,"Préfabrication",'NC Qualité'!J:J,"Cintrage")</f>
        <v>0</v>
      </c>
      <c r="W159">
        <f>COUNTIFS('NC Qualité'!A:A,"&gt;=01/03/2020",'NC Qualité'!A:A,"&lt;=31/03/2020",'NC Qualité'!E:E,"Préfabrication",'NC Qualité'!J:J,"Problème de chargement (sanglage, casse etc.)")</f>
        <v>0</v>
      </c>
      <c r="X159" s="29">
        <f>COUNTIFS('NC Qualité'!A:A,"&gt;=01/03/2020",'NC Qualité'!A:A,"&lt;=31/03/2020",'NC Qualité'!E:E,"Préfabrication",'NC Qualité'!J:J,"Erreur de chargement ")</f>
        <v>0</v>
      </c>
      <c r="AA159" s="32">
        <f>COUNTIFS('NC Qualité'!A:A,"&gt;=01/03/2020",'NC Qualité'!A:A,"&lt;=31/03/2020",'NC Qualité'!E:E,"Préfabrication",'NC Qualité'!T:T,1)</f>
        <v>0</v>
      </c>
      <c r="AB159" s="32">
        <f>COUNTIFS('NC Qualité'!A:A,"&gt;=01/03/2020",'NC Qualité'!A:A,"&lt;=31/03/2020",'NC Qualité'!E:E,"Préfabrication",'NC Qualité'!R:R,"A")</f>
        <v>0</v>
      </c>
    </row>
    <row r="160" spans="1:28" ht="30">
      <c r="A160" s="64"/>
      <c r="B160" s="17" t="s">
        <v>3</v>
      </c>
      <c r="C160" s="23"/>
      <c r="D160">
        <f>COUNTIFS('NC Qualité'!A:A,"&gt;=01/03/2020",'NC Qualité'!A:A,"&lt;=31/03/2020",'NC Qualité'!E:E,"Précontraint",'NC Qualité'!J:J,"Problème d'étiquetage")</f>
        <v>0</v>
      </c>
      <c r="E160" s="23"/>
      <c r="F160">
        <f>COUNTIFS('NC Qualité'!A:A,"&gt;=01/03/2020",'NC Qualité'!A:A,"&lt;=31/03/2020",'NC Qualité'!E:E,"Précontraint",'NC Qualité'!J:J,"Aspect béton (tâches / nid d'abeilles / granuleux / Fissures etc.)")</f>
        <v>0</v>
      </c>
      <c r="G160" s="23"/>
      <c r="H160">
        <f>COUNTIFS('NC Qualité'!A:A,"&gt;=01/03/2020",'NC Qualité'!A:A,"&lt;=31/03/2020",'NC Qualité'!E:E,"Précontraint",'NC Qualité'!J:J,"Ancre de levage")</f>
        <v>0</v>
      </c>
      <c r="I160" s="23"/>
      <c r="J160">
        <f>COUNTIFS('NC Qualité'!A:A,"&gt;=01/03/2020",'NC Qualité'!A:A,"&lt;=31/03/2020",'NC Qualité'!E:E,"Précontraint",'NC Qualité'!J:J,"Armatures apparentes")</f>
        <v>0</v>
      </c>
      <c r="K160" s="23"/>
      <c r="L160" s="23"/>
      <c r="M160" s="23"/>
      <c r="N160" s="23"/>
      <c r="O160">
        <f>COUNTIFS('NC Qualité'!A:A,"&gt;=01/03/2020",'NC Qualité'!A:A,"&lt;=31/03/2020",'NC Qualité'!E:E,"Précontraint",'NC Qualité'!J:J,"Autres :")</f>
        <v>0</v>
      </c>
      <c r="P160">
        <f>COUNTIFS('NC Qualité'!A:A,"&gt;=01/03/2020",'NC Qualité'!A:A,"&lt;=31/03/2020",'NC Qualité'!E:E,"Précontraint",'NC Qualité'!J:J,"Accessoires (Mauvais positionnement , manquement, etc.)")</f>
        <v>0</v>
      </c>
      <c r="Q160">
        <f>COUNTIFS('NC Qualité'!A:A,"&gt;=01/03/2020",'NC Qualité'!A:A,"&lt;=31/03/2020",'NC Qualité'!E:E,"Précontraint",'NC Qualité'!J:J,"équerrisage")</f>
        <v>0</v>
      </c>
      <c r="R160">
        <f>COUNTIFS('NC Qualité'!A:A,"&gt;=01/03/2020",'NC Qualité'!A:A,"&lt;=31/03/2020",'NC Qualité'!E:E,"Précontraint",'NC Qualité'!J:J,"Seuil de porte (réservation)")</f>
        <v>0</v>
      </c>
      <c r="S160">
        <f>COUNTIFS('NC Qualité'!A:A,"&gt;=01/03/2020",'NC Qualité'!A:A,"&lt;=31/03/2020",'NC Qualité'!E:E,"Précontraint",'NC Qualité'!J:J,"épaisseur")</f>
        <v>0</v>
      </c>
      <c r="T160">
        <f>COUNTIFS('NC Qualité'!A:A,"&gt;=01/03/2020",'NC Qualité'!A:A,"&lt;=31/03/2020",'NC Qualité'!E:E,"Précontraint",'NC Qualité'!J:J,"Chanfrein")</f>
        <v>0</v>
      </c>
      <c r="U160">
        <f>COUNTIFS('NC Qualité'!A:A,"&gt;=01/03/2020",'NC Qualité'!A:A,"&lt;=31/03/2020",'NC Qualité'!E:E,"Précontraint",'NC Qualité'!J:J,"Dimensionnement (entraînant un rebut)")</f>
        <v>0</v>
      </c>
      <c r="V160">
        <f>COUNTIFS('NC Qualité'!A:A,"&gt;=01/03/2020",'NC Qualité'!A:A,"&lt;=31/03/2020",'NC Qualité'!E:E,"Précontraint",'NC Qualité'!J:J,"Cintrage")</f>
        <v>0</v>
      </c>
      <c r="W160">
        <f>COUNTIFS('NC Qualité'!A:A,"&gt;=01/03/2020",'NC Qualité'!A:A,"&lt;=31/03/2020",'NC Qualité'!E:E,"Précontraint",'NC Qualité'!J:J,"Problème de chargement (sanglage, casse etc.)")</f>
        <v>0</v>
      </c>
      <c r="X160" s="29">
        <f>COUNTIFS('NC Qualité'!A:A,"&gt;=01/03/2020",'NC Qualité'!A:A,"&lt;=31/03/2020",'NC Qualité'!E:E,"Précontraint",'NC Qualité'!J:J,"Erreur de chargement ")</f>
        <v>0</v>
      </c>
      <c r="AA160" s="32">
        <f>COUNTIFS('NC Qualité'!A:A,"&gt;=01/03/2020",'NC Qualité'!A:A,"&lt;=31/03/2020",'NC Qualité'!E:E,"Précontraint",'NC Qualité'!T:T,1)</f>
        <v>0</v>
      </c>
      <c r="AB160" s="32">
        <f>COUNTIFS('NC Qualité'!A:A,"&gt;=01/03/2020",'NC Qualité'!A:A,"&lt;=31/03/2020",'NC Qualité'!E:E,"Précontraint",'NC Qualité'!R:R,"A")</f>
        <v>0</v>
      </c>
    </row>
    <row r="161" spans="1:28" ht="21">
      <c r="A161" s="64"/>
      <c r="B161" s="2" t="s">
        <v>2</v>
      </c>
      <c r="C161" s="24"/>
      <c r="D161" s="25">
        <f>COUNTIFS('NC Qualité'!A:A,"&gt;=01/03/2020",'NC Qualité'!A:A,"&lt;=31/03/2020",'NC Qualité'!E:E,"Parc",'NC Qualité'!J:J,"Problème d'étiquetage")</f>
        <v>0</v>
      </c>
      <c r="E161" s="26"/>
      <c r="F161" s="25">
        <f>COUNTIFS('NC Qualité'!A:A,"&gt;=01/03/2020",'NC Qualité'!A:A,"&lt;=31/03/2020",'NC Qualité'!E:E,"Parc",'NC Qualité'!J:J,"Aspect béton (tâches / nid d'abeilles / granuleux / Fissures etc.)")</f>
        <v>0</v>
      </c>
      <c r="G161" s="26"/>
      <c r="H161" s="25">
        <f>COUNTIFS('NC Qualité'!A:A,"&gt;=01/03/2020",'NC Qualité'!A:A,"&lt;=31/03/2020",'NC Qualité'!E:E,"Parc",'NC Qualité'!J:J,"Ancre de levage")</f>
        <v>0</v>
      </c>
      <c r="I161" s="26"/>
      <c r="J161" s="25">
        <f>COUNTIFS('NC Qualité'!A:A,"&gt;=01/03/2020",'NC Qualité'!A:A,"&lt;=31/03/2020",'NC Qualité'!E:E,"Parc",'NC Qualité'!J:J,"Armatures apparentes")</f>
        <v>0</v>
      </c>
      <c r="K161" s="26"/>
      <c r="L161" s="26"/>
      <c r="M161" s="26"/>
      <c r="N161" s="26"/>
      <c r="O161" s="25">
        <f>COUNTIFS('NC Qualité'!A:A,"&gt;=01/03/2020",'NC Qualité'!A:A,"&lt;=31/03/2020",'NC Qualité'!E:E,"Parc",'NC Qualité'!J:J,"Autres :")</f>
        <v>0</v>
      </c>
      <c r="P161" s="25">
        <f>COUNTIFS('NC Qualité'!A:A,"&gt;=01/03/2020",'NC Qualité'!A:A,"&lt;=31/03/2020",'NC Qualité'!E:E,"Parc",'NC Qualité'!J:J,"Accessoires (Mauvais positionnement , manquement, etc.)")</f>
        <v>0</v>
      </c>
      <c r="Q161" s="25">
        <f>COUNTIFS('NC Qualité'!A:A,"&gt;=01/03/2020",'NC Qualité'!A:A,"&lt;=31/03/2020",'NC Qualité'!E:E,"Parc",'NC Qualité'!J:J,"équerrisage")</f>
        <v>0</v>
      </c>
      <c r="R161" s="25">
        <f>COUNTIFS('NC Qualité'!A:A,"&gt;=01/03/2020",'NC Qualité'!A:A,"&lt;=31/03/2020",'NC Qualité'!E:E,"Parc",'NC Qualité'!J:J,"Seuil de porte (réservation)")</f>
        <v>0</v>
      </c>
      <c r="S161" s="25">
        <f>COUNTIFS('NC Qualité'!A:A,"&gt;=01/03/2020",'NC Qualité'!A:A,"&lt;=31/03/2020",'NC Qualité'!E:E,"Parc",'NC Qualité'!J:J,"épaisseur")</f>
        <v>0</v>
      </c>
      <c r="T161" s="25">
        <f>COUNTIFS('NC Qualité'!A:A,"&gt;=01/03/2020",'NC Qualité'!A:A,"&lt;=31/03/2020",'NC Qualité'!E:E,"Parc",'NC Qualité'!J:J,"Chanfrein")</f>
        <v>0</v>
      </c>
      <c r="U161" s="25">
        <f>COUNTIFS('NC Qualité'!A:A,"&gt;=01/03/2020",'NC Qualité'!A:A,"&lt;=31/03/2020",'NC Qualité'!E:E,"Parc",'NC Qualité'!J:J,"Dimensionnement (entraînant un rebut)")</f>
        <v>0</v>
      </c>
      <c r="V161" s="25">
        <f>COUNTIFS('NC Qualité'!A:A,"&gt;=01/03/2020",'NC Qualité'!A:A,"&lt;=31/03/2020",'NC Qualité'!E:E,"Parc",'NC Qualité'!J:J,"Cintrage")</f>
        <v>0</v>
      </c>
      <c r="W161" s="25">
        <f>COUNTIFS('NC Qualité'!A:A,"&gt;=01/03/2020",'NC Qualité'!A:A,"&lt;=31/03/2020",'NC Qualité'!E:E,"Parc",'NC Qualité'!J:J,"Problème de chargement (sanglage, casse etc.)")</f>
        <v>0</v>
      </c>
      <c r="X161" s="30">
        <f>COUNTIFS('NC Qualité'!A:A,"&gt;=01/03/2020",'NC Qualité'!A:A,"&lt;=31/03/2020",'NC Qualité'!E:E,"Parc",'NC Qualité'!J:J,"Erreur de chargement ")</f>
        <v>0</v>
      </c>
      <c r="AA161" s="32">
        <f>COUNTIFS('NC Qualité'!A:A,"&gt;=01/03/2020",'NC Qualité'!A:A,"&lt;=31/03/2020",'NC Qualité'!E:E,"Parc",'NC Qualité'!T:T,1)</f>
        <v>0</v>
      </c>
      <c r="AB161" s="32">
        <f>COUNTIFS('NC Qualité'!A:A,"&gt;=01/03/2020",'NC Qualité'!A:A,"&lt;=31/03/2020",'NC Qualité'!E:E,"Parc",'NC Qualité'!R:R,"A")</f>
        <v>0</v>
      </c>
    </row>
    <row r="162" spans="1:28" ht="23.25">
      <c r="AA162" s="35">
        <f>SUM(AA150:AA161)</f>
        <v>0</v>
      </c>
      <c r="AB162" s="35">
        <f>SUM(AB150:AB161)</f>
        <v>0</v>
      </c>
    </row>
    <row r="163" spans="1:28" ht="15.75" thickBot="1"/>
    <row r="164" spans="1:28" ht="15.75" thickBot="1">
      <c r="A164" s="43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5"/>
    </row>
    <row r="166" spans="1:28">
      <c r="B166" t="s">
        <v>66</v>
      </c>
    </row>
    <row r="168" spans="1:28" ht="105">
      <c r="B168" s="15" t="s">
        <v>34</v>
      </c>
      <c r="C168" s="22" t="s">
        <v>36</v>
      </c>
      <c r="D168" s="22" t="s">
        <v>5</v>
      </c>
      <c r="E168" s="22" t="s">
        <v>41</v>
      </c>
      <c r="F168" s="22" t="s">
        <v>31</v>
      </c>
      <c r="G168" s="22" t="s">
        <v>42</v>
      </c>
      <c r="H168" s="22" t="s">
        <v>43</v>
      </c>
      <c r="I168" s="22" t="s">
        <v>44</v>
      </c>
      <c r="J168" s="22" t="s">
        <v>45</v>
      </c>
      <c r="K168" s="22" t="s">
        <v>46</v>
      </c>
      <c r="L168" s="22" t="s">
        <v>47</v>
      </c>
      <c r="M168" s="22" t="s">
        <v>48</v>
      </c>
      <c r="N168" s="22" t="s">
        <v>49</v>
      </c>
      <c r="O168" s="22" t="s">
        <v>50</v>
      </c>
      <c r="P168" s="22" t="s">
        <v>29</v>
      </c>
      <c r="Q168" s="22" t="s">
        <v>53</v>
      </c>
      <c r="R168" s="22" t="s">
        <v>32</v>
      </c>
      <c r="S168" s="22" t="s">
        <v>54</v>
      </c>
      <c r="T168" s="22" t="s">
        <v>6</v>
      </c>
      <c r="U168" s="22" t="s">
        <v>30</v>
      </c>
      <c r="V168" s="22" t="s">
        <v>8</v>
      </c>
      <c r="W168" s="22" t="s">
        <v>33</v>
      </c>
      <c r="X168" s="22" t="s">
        <v>55</v>
      </c>
      <c r="AA168" s="34" t="s">
        <v>57</v>
      </c>
      <c r="AB168" s="33" t="s">
        <v>56</v>
      </c>
    </row>
    <row r="169" spans="1:28" ht="21">
      <c r="A169" s="64" t="s">
        <v>52</v>
      </c>
      <c r="B169" s="21" t="s">
        <v>27</v>
      </c>
      <c r="P169" s="23"/>
      <c r="Q169" s="23"/>
      <c r="R169" s="23"/>
      <c r="S169" s="23"/>
      <c r="T169" s="23"/>
      <c r="U169" s="23"/>
      <c r="V169" s="23"/>
      <c r="W169" s="23"/>
      <c r="X169" s="27"/>
      <c r="AA169" s="32"/>
      <c r="AB169" s="32"/>
    </row>
    <row r="170" spans="1:28" ht="21">
      <c r="A170" s="64"/>
      <c r="B170" s="2" t="s">
        <v>1</v>
      </c>
      <c r="P170" s="23"/>
      <c r="Q170" s="23"/>
      <c r="R170" s="23"/>
      <c r="S170" s="23"/>
      <c r="T170" s="23"/>
      <c r="U170" s="23"/>
      <c r="V170" s="23"/>
      <c r="W170" s="23"/>
      <c r="X170" s="28"/>
      <c r="AA170" s="32"/>
      <c r="AB170" s="32"/>
    </row>
    <row r="171" spans="1:28" ht="45">
      <c r="A171" s="64"/>
      <c r="B171" s="2" t="s">
        <v>28</v>
      </c>
      <c r="P171" s="23"/>
      <c r="Q171" s="23"/>
      <c r="R171" s="23"/>
      <c r="S171" s="23"/>
      <c r="T171" s="23"/>
      <c r="U171" s="23"/>
      <c r="V171" s="23"/>
      <c r="W171" s="23"/>
      <c r="X171" s="28"/>
      <c r="AA171" s="32"/>
      <c r="AB171" s="32"/>
    </row>
    <row r="172" spans="1:28" ht="30">
      <c r="A172" s="64"/>
      <c r="B172" s="16" t="s">
        <v>37</v>
      </c>
      <c r="P172" s="23"/>
      <c r="Q172" s="23"/>
      <c r="R172" s="23"/>
      <c r="S172" s="23"/>
      <c r="T172" s="23"/>
      <c r="U172" s="23"/>
      <c r="V172" s="23"/>
      <c r="W172" s="23"/>
      <c r="X172" s="28"/>
      <c r="AA172" s="32"/>
      <c r="AB172" s="32"/>
    </row>
    <row r="173" spans="1:28" ht="45">
      <c r="A173" s="64"/>
      <c r="B173" s="16" t="s">
        <v>38</v>
      </c>
      <c r="P173" s="23"/>
      <c r="Q173" s="23"/>
      <c r="R173" s="23"/>
      <c r="S173" s="23"/>
      <c r="T173" s="23"/>
      <c r="U173" s="23"/>
      <c r="V173" s="23"/>
      <c r="W173" s="23"/>
      <c r="X173" s="28"/>
      <c r="AA173" s="32"/>
      <c r="AB173" s="32"/>
    </row>
    <row r="174" spans="1:28" ht="45">
      <c r="A174" s="64"/>
      <c r="B174" s="16" t="s">
        <v>39</v>
      </c>
      <c r="P174" s="23"/>
      <c r="Q174" s="23"/>
      <c r="R174" s="23"/>
      <c r="S174" s="23"/>
      <c r="T174" s="23"/>
      <c r="U174" s="23"/>
      <c r="V174" s="23"/>
      <c r="W174" s="23"/>
      <c r="X174" s="28"/>
      <c r="AA174" s="32"/>
      <c r="AB174" s="32"/>
    </row>
    <row r="175" spans="1:28" ht="45">
      <c r="A175" s="64"/>
      <c r="B175" s="2" t="s">
        <v>40</v>
      </c>
      <c r="P175" s="23"/>
      <c r="Q175" s="23"/>
      <c r="R175" s="23"/>
      <c r="S175" s="23"/>
      <c r="T175" s="23"/>
      <c r="U175" s="23"/>
      <c r="V175" s="23"/>
      <c r="W175" s="23"/>
      <c r="X175" s="28"/>
      <c r="AA175" s="32"/>
      <c r="AB175" s="32"/>
    </row>
    <row r="176" spans="1:28" ht="30">
      <c r="A176" s="64" t="s">
        <v>51</v>
      </c>
      <c r="B176" s="2" t="s">
        <v>7</v>
      </c>
      <c r="C176" s="23"/>
      <c r="D176">
        <f>COUNTIFS('NC Qualité'!A:A,"&gt;=01/04/2020",'NC Qualité'!A:A,"&lt;=30/04/2020",'NC Qualité'!E:E,"Panneau coulé à plat",'NC Qualité'!J:J,"Problème d'étiquetage")</f>
        <v>0</v>
      </c>
      <c r="E176" s="23"/>
      <c r="F176">
        <f>COUNTIFS('NC Qualité'!A:A,"&gt;=01/04/2020",'NC Qualité'!A:A,"&lt;=30/04/2020",'NC Qualité'!E:E,"Panneau coulé à plat",'NC Qualité'!J:J,"Aspect béton (tâches / nid d'abeilles / granuleux / Fissures etc.)")</f>
        <v>0</v>
      </c>
      <c r="G176" s="23"/>
      <c r="H176">
        <f>COUNTIFS('NC Qualité'!A:A,"&gt;=01/04/2020",'NC Qualité'!A:A,"&lt;=30/04/2020",'NC Qualité'!E:E,"Panneau coulé à plat",'NC Qualité'!J:J,"Ancre de levage")</f>
        <v>0</v>
      </c>
      <c r="I176" s="23"/>
      <c r="J176">
        <f>COUNTIFS('NC Qualité'!A:A,"&gt;=01/04/2020",'NC Qualité'!A:A,"&lt;=30/04/2020",'NC Qualité'!E:E,"Modul : Tuyaux Dn 1800 à 2630",'NC Qualité'!J:J,"Armatures apparentes")</f>
        <v>0</v>
      </c>
      <c r="K176" s="23"/>
      <c r="L176" s="23"/>
      <c r="M176" s="23"/>
      <c r="N176" s="23"/>
      <c r="O176">
        <f>COUNTIFS('NC Qualité'!A:A,"&gt;=01/04/2020",'NC Qualité'!A:A,"&lt;=30/04/2020",'NC Qualité'!E:E,"Panneau coulé à plat",'NC Qualité'!J:J,"Autres :")</f>
        <v>0</v>
      </c>
      <c r="P176">
        <f>COUNTIFS('NC Qualité'!A:A,"&gt;=01/04/2020",'NC Qualité'!A:A,"&lt;=30/04/2020",'NC Qualité'!E:E,"Panneau coulé à plat",'NC Qualité'!J:J,"Accessoires (Mauvais positionnement , manquement, etc.)")</f>
        <v>0</v>
      </c>
      <c r="Q176">
        <f>COUNTIFS('NC Qualité'!A:A,"&gt;=01/04/2020",'NC Qualité'!A:A,"&lt;=30/04/2020",'NC Qualité'!E:E,"Panneau coulé à plat",'NC Qualité'!J:J,"équerrisage")</f>
        <v>0</v>
      </c>
      <c r="R176">
        <f>COUNTIFS('NC Qualité'!A:A,"&gt;=01/04/2020",'NC Qualité'!A:A,"&lt;=30/04/2020",'NC Qualité'!E:E,"Panneau coulé à plat",'NC Qualité'!J:J,"Seuil de porte (réservation)")</f>
        <v>0</v>
      </c>
      <c r="S176">
        <f>COUNTIFS('NC Qualité'!A:A,"&gt;=01/04/2020",'NC Qualité'!A:A,"&lt;=30/04/2020",'NC Qualité'!E:E,"Panneau coulé à plat",'NC Qualité'!J:J,"épaisseur")</f>
        <v>0</v>
      </c>
      <c r="T176">
        <f>COUNTIFS('NC Qualité'!A:A,"&gt;=01/04/2020",'NC Qualité'!A:A,"&lt;=30/04/2020",'NC Qualité'!E:E,"Panneau coulé à plat",'NC Qualité'!J:J,"Chanfrein")</f>
        <v>0</v>
      </c>
      <c r="U176">
        <f>COUNTIFS('NC Qualité'!A:A,"&gt;=01/04/2020",'NC Qualité'!A:A,"&lt;=30/04/2020",'NC Qualité'!E:E,"Panneau coulé à plat",'NC Qualité'!J:J,"Dimensionnement (entraînant un rebut)")</f>
        <v>0</v>
      </c>
      <c r="V176">
        <f>COUNTIFS('NC Qualité'!A:A,"&gt;=01/04/2020",'NC Qualité'!A:A,"&lt;=30/04/2020",'NC Qualité'!E:E,"Panneau coulé à plat",'NC Qualité'!J:J,"Cintrage")</f>
        <v>0</v>
      </c>
      <c r="W176">
        <f>COUNTIFS('NC Qualité'!A:A,"&gt;=01/04/2020",'NC Qualité'!A:A,"&lt;=30/04/2020",'NC Qualité'!E:E,"Panneau coulé à plat",'NC Qualité'!J:J,"Problème de chargement (sanglage, casse etc.)")</f>
        <v>0</v>
      </c>
      <c r="X176" s="29">
        <f>COUNTIFS('NC Qualité'!A:A,"&gt;=01/04/2020",'NC Qualité'!A:A,"&lt;=30/04/2020",'NC Qualité'!E:E,"Panneau coulé à plat",'NC Qualité'!J:J,"Erreur de chargement ")</f>
        <v>0</v>
      </c>
      <c r="AA176" s="32">
        <f>COUNTIFS('NC Qualité'!A:A,"&gt;=01/04/2020",'NC Qualité'!A:A,"&lt;=30/04/2020",'NC Qualité'!E:E,"Panneau coulé à plat",'NC Qualité'!T:T,1)</f>
        <v>0</v>
      </c>
      <c r="AB176" s="32">
        <f>COUNTIFS('NC Qualité'!A:A,"&gt;=01/04/2020",'NC Qualité'!A:A,"&lt;=30/04/2020",'NC Qualité'!E:E,"Panneau coulé à plat",'NC Qualité'!R:R,"A")</f>
        <v>0</v>
      </c>
    </row>
    <row r="177" spans="1:28" ht="21">
      <c r="A177" s="64"/>
      <c r="B177" s="2" t="s">
        <v>0</v>
      </c>
      <c r="C177" s="23"/>
      <c r="D177">
        <f>COUNTIFS('NC Qualité'!A:A,"&gt;=01/04/2020",'NC Qualité'!A:A,"&lt;=30/04/2020",'NC Qualité'!E:E,"Bianchi",'NC Qualité'!J:J,"Problème d'étiquetage")</f>
        <v>0</v>
      </c>
      <c r="E177" s="23"/>
      <c r="F177">
        <f>COUNTIFS('NC Qualité'!A:A,"&gt;=01/04/2020",'NC Qualité'!A:A,"&lt;=30/04/2020",'NC Qualité'!E:E,"Bianchi",'NC Qualité'!J:J,"Aspect béton (tâches / nid d'abeilles / granuleux / Fissures etc.)")</f>
        <v>0</v>
      </c>
      <c r="G177" s="23"/>
      <c r="H177">
        <f>COUNTIFS('NC Qualité'!A:A,"&gt;=01/04/2020",'NC Qualité'!A:A,"&lt;=30/04/2020",'NC Qualité'!E:E,"Bianchi",'NC Qualité'!J:J,"Ancre de levage")</f>
        <v>0</v>
      </c>
      <c r="I177" s="23"/>
      <c r="J177">
        <f>COUNTIFS('NC Qualité'!A:A,"&gt;=01/04/2020",'NC Qualité'!A:A,"&lt;=30/04/2020",'NC Qualité'!E:E,"Bianchi",'NC Qualité'!J:J,"Armatures apparentes")</f>
        <v>0</v>
      </c>
      <c r="K177" s="23"/>
      <c r="L177" s="23"/>
      <c r="M177" s="23"/>
      <c r="N177" s="23"/>
      <c r="O177">
        <f>COUNTIFS('NC Qualité'!A:A,"&gt;=01/04/2020",'NC Qualité'!A:A,"&lt;=30/04/2020",'NC Qualité'!E:E,"Bianchi",'NC Qualité'!J:J,"Autres :")</f>
        <v>0</v>
      </c>
      <c r="P177">
        <f>COUNTIFS('NC Qualité'!A:A,"&gt;=01/04/2020",'NC Qualité'!A:A,"&lt;=30/04/2020",'NC Qualité'!E:E,"Bianchi",'NC Qualité'!J:J,"Accessoires (Mauvais positionnement , manquement, etc.)")</f>
        <v>0</v>
      </c>
      <c r="Q177">
        <f>COUNTIFS('NC Qualité'!A:A,"&gt;=01/04/2020",'NC Qualité'!A:A,"&lt;=30/04/2020",'NC Qualité'!E:E,"Bianchi",'NC Qualité'!J:J,"équerrisage")</f>
        <v>0</v>
      </c>
      <c r="R177">
        <f>COUNTIFS('NC Qualité'!A:A,"&gt;=01/04/2020",'NC Qualité'!A:A,"&lt;=30/04/2020",'NC Qualité'!E:E,"Bianchi",'NC Qualité'!J:J,"Seuil de porte (réservation)")</f>
        <v>0</v>
      </c>
      <c r="S177">
        <f>COUNTIFS('NC Qualité'!A:A,"&gt;=01/04/2020",'NC Qualité'!A:A,"&lt;=30/04/2020",'NC Qualité'!E:E,"Bianchi",'NC Qualité'!J:J,"épaisseur")</f>
        <v>0</v>
      </c>
      <c r="T177">
        <f>COUNTIFS('NC Qualité'!A:A,"&gt;=01/04/2020",'NC Qualité'!A:A,"&lt;=30/04/2020",'NC Qualité'!E:E,"Bianchi",'NC Qualité'!J:J,"Chanfrein")</f>
        <v>0</v>
      </c>
      <c r="U177">
        <f>COUNTIFS('NC Qualité'!A:A,"&gt;=01/04/2020",'NC Qualité'!A:A,"&lt;=30/04/2020",'NC Qualité'!E:E,"Bianchi",'NC Qualité'!J:J,"Dimensionnement (entraînant un rebut)")</f>
        <v>0</v>
      </c>
      <c r="V177">
        <f>COUNTIFS('NC Qualité'!A:A,"&gt;=01/04/2020",'NC Qualité'!A:A,"&lt;=30/04/2020",'NC Qualité'!E:E,"Bianchi",'NC Qualité'!J:J,"Cintrage")</f>
        <v>0</v>
      </c>
      <c r="W177">
        <f>COUNTIFS('NC Qualité'!A:A,"&gt;=01/04/2020",'NC Qualité'!A:A,"&lt;=30/04/2020",'NC Qualité'!E:E,"Bianchi",'NC Qualité'!J:J,"Problème de chargement (sanglage, casse etc.)")</f>
        <v>0</v>
      </c>
      <c r="X177" s="29">
        <f>COUNTIFS('NC Qualité'!A:A,"&gt;=01/04/2020",'NC Qualité'!A:A,"&lt;=30/04/2020",'NC Qualité'!E:E,"Bianchi",'NC Qualité'!J:J,"Erreur de chargement ")</f>
        <v>0</v>
      </c>
      <c r="AA177" s="32">
        <f>COUNTIFS('NC Qualité'!A:A,"&gt;=01/04/2020",'NC Qualité'!A:A,"&lt;=30/04/2020",'NC Qualité'!E:E,"Bianchi",'NC Qualité'!T:T,1)</f>
        <v>0</v>
      </c>
      <c r="AB177" s="32">
        <f>COUNTIFS('NC Qualité'!A:A,"&gt;=01/04/2020",'NC Qualité'!A:A,"&lt;=30/04/2020",'NC Qualité'!E:E,"Bianchi",'NC Qualité'!R:R,"A")</f>
        <v>0</v>
      </c>
    </row>
    <row r="178" spans="1:28" ht="30">
      <c r="A178" s="64"/>
      <c r="B178" s="2" t="s">
        <v>4</v>
      </c>
      <c r="C178" s="23"/>
      <c r="D178">
        <f>COUNTIFS('NC Qualité'!A:A,"&gt;=01/04/2020",'NC Qualité'!A:A,"&lt;=30/04/2020",'NC Qualité'!E:E,"Préfabrication",'NC Qualité'!J:J,"Problème d'étiquetage")</f>
        <v>0</v>
      </c>
      <c r="E178" s="23"/>
      <c r="F178">
        <f>COUNTIFS('NC Qualité'!A:A,"&gt;=01/04/2020",'NC Qualité'!A:A,"&lt;=30/04/2020",'NC Qualité'!E:E,"Préfabrication",'NC Qualité'!J:J,"Aspect béton (tâches / nid d'abeilles / granuleux / Fissures etc.)")</f>
        <v>0</v>
      </c>
      <c r="G178" s="23"/>
      <c r="H178">
        <f>COUNTIFS('NC Qualité'!A:A,"&gt;=01/04/2020",'NC Qualité'!A:A,"&lt;=30/04/2020",'NC Qualité'!E:E,"Préfabrication",'NC Qualité'!J:J,"Ancre de levage")</f>
        <v>0</v>
      </c>
      <c r="I178" s="23"/>
      <c r="J178">
        <f>COUNTIFS('NC Qualité'!A:A,"&gt;=01/04/2020",'NC Qualité'!A:A,"&lt;=30/04/2020",'NC Qualité'!E:E,"Préfabrication",'NC Qualité'!J:J,"Armatures apparentes")</f>
        <v>0</v>
      </c>
      <c r="K178" s="23"/>
      <c r="L178" s="23"/>
      <c r="M178" s="23"/>
      <c r="N178" s="23"/>
      <c r="O178">
        <f>COUNTIFS('NC Qualité'!A:A,"&gt;=01/04/2020",'NC Qualité'!A:A,"&lt;=30/04/2020",'NC Qualité'!E:E,"Préfabrication",'NC Qualité'!J:J,"Autres :")</f>
        <v>0</v>
      </c>
      <c r="P178">
        <f>COUNTIFS('NC Qualité'!A:A,"&gt;=01/04/2020",'NC Qualité'!A:A,"&lt;=30/04/2020",'NC Qualité'!E:E,"Préfabrication",'NC Qualité'!J:J,"Accessoires (Mauvais positionnement , manquement, etc.)")</f>
        <v>0</v>
      </c>
      <c r="Q178">
        <f>COUNTIFS('NC Qualité'!A:A,"&gt;=01/04/2020",'NC Qualité'!A:A,"&lt;=30/04/2020",'NC Qualité'!E:E,"Préfabrication",'NC Qualité'!J:J,"équerrisage")</f>
        <v>0</v>
      </c>
      <c r="R178">
        <f>COUNTIFS('NC Qualité'!A:A,"&gt;=01/04/2020",'NC Qualité'!A:A,"&lt;=30/04/2020",'NC Qualité'!E:E,"Préfabrication",'NC Qualité'!J:J,"Seuil de porte (réservation)")</f>
        <v>0</v>
      </c>
      <c r="S178">
        <f>COUNTIFS('NC Qualité'!A:A,"&gt;=01/04/2020",'NC Qualité'!A:A,"&lt;=30/04/2020",'NC Qualité'!E:E,"Préfabrication",'NC Qualité'!J:J,"épaisseur")</f>
        <v>0</v>
      </c>
      <c r="T178">
        <f>COUNTIFS('NC Qualité'!A:A,"&gt;=01/04/2020",'NC Qualité'!A:A,"&lt;=30/04/2020",'NC Qualité'!E:E,"Préfabrication",'NC Qualité'!J:J,"Chanfrein")</f>
        <v>0</v>
      </c>
      <c r="U178">
        <f>COUNTIFS('NC Qualité'!A:A,"&gt;=01/04/2020",'NC Qualité'!A:A,"&lt;=30/04/2020",'NC Qualité'!E:E,"Préfabrication",'NC Qualité'!J:J,"Dimensionnement (entraînant un rebut)")</f>
        <v>0</v>
      </c>
      <c r="V178">
        <f>COUNTIFS('NC Qualité'!A:A,"&gt;=01/04/2020",'NC Qualité'!A:A,"&lt;=30/04/2020",'NC Qualité'!E:E,"Préfabrication",'NC Qualité'!J:J,"Cintrage")</f>
        <v>0</v>
      </c>
      <c r="W178">
        <f>COUNTIFS('NC Qualité'!A:A,"&gt;=01/04/2020",'NC Qualité'!A:A,"&lt;=30/04/2020",'NC Qualité'!E:E,"Préfabrication",'NC Qualité'!J:J,"Problème de chargement (sanglage, casse etc.)")</f>
        <v>0</v>
      </c>
      <c r="X178" s="29">
        <f>COUNTIFS('NC Qualité'!A:A,"&gt;=01/04/2020",'NC Qualité'!A:A,"&lt;=30/04/2020",'NC Qualité'!E:E,"Préfabrication",'NC Qualité'!J:J,"Erreur de chargement ")</f>
        <v>0</v>
      </c>
      <c r="AA178" s="32">
        <f>COUNTIFS('NC Qualité'!A:A,"&gt;=01/04/2020",'NC Qualité'!A:A,"&lt;=30/04/2020",'NC Qualité'!E:E,"Préfabrication",'NC Qualité'!T:T,1)</f>
        <v>0</v>
      </c>
      <c r="AB178" s="32">
        <f>COUNTIFS('NC Qualité'!A:A,"&gt;=01/04/2020",'NC Qualité'!A:A,"&lt;=30/04/2020",'NC Qualité'!E:E,"Préfabrication",'NC Qualité'!R:R,"A")</f>
        <v>0</v>
      </c>
    </row>
    <row r="179" spans="1:28" ht="30">
      <c r="A179" s="64"/>
      <c r="B179" s="17" t="s">
        <v>3</v>
      </c>
      <c r="C179" s="23"/>
      <c r="D179">
        <f>COUNTIFS('NC Qualité'!A:A,"&gt;=01/04/2020",'NC Qualité'!A:A,"&lt;=30/04/2020",'NC Qualité'!E:E,"Précontraint",'NC Qualité'!J:J,"Problème d'étiquetage")</f>
        <v>0</v>
      </c>
      <c r="E179" s="23"/>
      <c r="F179">
        <f>COUNTIFS('NC Qualité'!A:A,"&gt;=01/04/2020",'NC Qualité'!A:A,"&lt;=30/04/2020",'NC Qualité'!E:E,"Précontraint",'NC Qualité'!J:J,"Aspect béton (tâches / nid d'abeilles / granuleux / Fissures etc.)")</f>
        <v>0</v>
      </c>
      <c r="G179" s="23"/>
      <c r="H179">
        <f>COUNTIFS('NC Qualité'!A:A,"&gt;=01/04/2020",'NC Qualité'!A:A,"&lt;=30/04/2020",'NC Qualité'!E:E,"Précontraint",'NC Qualité'!J:J,"Ancre de levage")</f>
        <v>0</v>
      </c>
      <c r="I179" s="23"/>
      <c r="J179">
        <f>COUNTIFS('NC Qualité'!A:A,"&gt;=01/04/2020",'NC Qualité'!A:A,"&lt;=30/04/2020",'NC Qualité'!E:E,"Précontraint",'NC Qualité'!J:J,"Armatures apparentes")</f>
        <v>0</v>
      </c>
      <c r="K179" s="23"/>
      <c r="L179" s="23"/>
      <c r="M179" s="23"/>
      <c r="N179" s="23"/>
      <c r="O179">
        <f>COUNTIFS('NC Qualité'!A:A,"&gt;=01/04/2020",'NC Qualité'!A:A,"&lt;=30/04/2020",'NC Qualité'!E:E,"Précontraint",'NC Qualité'!J:J,"Autres :")</f>
        <v>0</v>
      </c>
      <c r="P179">
        <f>COUNTIFS('NC Qualité'!A:A,"&gt;=01/04/2020",'NC Qualité'!A:A,"&lt;=30/04/2020",'NC Qualité'!E:E,"Précontraint",'NC Qualité'!J:J,"Accessoires (Mauvais positionnement , manquement, etc.)")</f>
        <v>0</v>
      </c>
      <c r="Q179">
        <f>COUNTIFS('NC Qualité'!A:A,"&gt;=01/04/2020",'NC Qualité'!A:A,"&lt;=30/04/2020",'NC Qualité'!E:E,"Précontraint",'NC Qualité'!J:J,"équerrisage")</f>
        <v>0</v>
      </c>
      <c r="R179">
        <f>COUNTIFS('NC Qualité'!A:A,"&gt;=01/04/2020",'NC Qualité'!A:A,"&lt;=30/04/2020",'NC Qualité'!E:E,"Précontraint",'NC Qualité'!J:J,"Seuil de porte (réservation)")</f>
        <v>0</v>
      </c>
      <c r="S179">
        <f>COUNTIFS('NC Qualité'!A:A,"&gt;=01/04/2020",'NC Qualité'!A:A,"&lt;=30/04/2020",'NC Qualité'!E:E,"Précontraint",'NC Qualité'!J:J,"épaisseur")</f>
        <v>0</v>
      </c>
      <c r="T179">
        <f>COUNTIFS('NC Qualité'!A:A,"&gt;=01/04/2020",'NC Qualité'!A:A,"&lt;=30/04/2020",'NC Qualité'!E:E,"Précontraint",'NC Qualité'!J:J,"Chanfrein")</f>
        <v>0</v>
      </c>
      <c r="U179">
        <f>COUNTIFS('NC Qualité'!A:A,"&gt;=01/04/2020",'NC Qualité'!A:A,"&lt;=30/04/2020",'NC Qualité'!E:E,"Précontraint",'NC Qualité'!J:J,"Dimensionnement (entraînant un rebut)")</f>
        <v>0</v>
      </c>
      <c r="V179">
        <f>COUNTIFS('NC Qualité'!A:A,"&gt;=01/04/2020",'NC Qualité'!A:A,"&lt;=30/04/2020",'NC Qualité'!E:E,"Précontraint",'NC Qualité'!J:J,"Cintrage")</f>
        <v>0</v>
      </c>
      <c r="W179">
        <f>COUNTIFS('NC Qualité'!A:A,"&gt;=01/04/2020",'NC Qualité'!A:A,"&lt;=30/04/2020",'NC Qualité'!E:E,"Précontraint",'NC Qualité'!J:J,"Problème de chargement (sanglage, casse etc.)")</f>
        <v>0</v>
      </c>
      <c r="X179" s="29">
        <f>COUNTIFS('NC Qualité'!A:A,"&gt;=01/04/2020",'NC Qualité'!A:A,"&lt;=30/04/2020",'NC Qualité'!E:E,"Précontraint",'NC Qualité'!J:J,"Erreur de chargement ")</f>
        <v>0</v>
      </c>
      <c r="AA179" s="32">
        <f>COUNTIFS('NC Qualité'!A:A,"&gt;=01/04/2020",'NC Qualité'!A:A,"&lt;=30/04/2020",'NC Qualité'!E:E,"Précontraint",'NC Qualité'!T:T,1)</f>
        <v>0</v>
      </c>
      <c r="AB179" s="32">
        <f>COUNTIFS('NC Qualité'!A:A,"&gt;=01/04/2020",'NC Qualité'!A:A,"&lt;=30/04/2020",'NC Qualité'!E:E,"Précontraint",'NC Qualité'!R:R,"A")</f>
        <v>0</v>
      </c>
    </row>
    <row r="180" spans="1:28" ht="21">
      <c r="A180" s="64"/>
      <c r="B180" s="2" t="s">
        <v>2</v>
      </c>
      <c r="C180" s="24"/>
      <c r="D180" s="25">
        <f>COUNTIFS('NC Qualité'!A:A,"&gt;=01/04/2020",'NC Qualité'!A:A,"&lt;=30/04/2020",'NC Qualité'!E:E,"Parc",'NC Qualité'!J:J,"Problème d'étiquetage")</f>
        <v>0</v>
      </c>
      <c r="E180" s="26"/>
      <c r="F180" s="25">
        <f>COUNTIFS('NC Qualité'!A:A,"&gt;=01/04/2020",'NC Qualité'!A:A,"&lt;=30/04/2020",'NC Qualité'!E:E,"Parc",'NC Qualité'!J:J,"Aspect béton (tâches / nid d'abeilles / granuleux / Fissures etc.)")</f>
        <v>0</v>
      </c>
      <c r="G180" s="26"/>
      <c r="H180" s="25">
        <f>COUNTIFS('NC Qualité'!A:A,"&gt;=01/04/2020",'NC Qualité'!A:A,"&lt;=30/04/2020",'NC Qualité'!E:E,"Parc",'NC Qualité'!J:J,"Ancre de levage")</f>
        <v>0</v>
      </c>
      <c r="I180" s="26"/>
      <c r="J180" s="25">
        <f>COUNTIFS('NC Qualité'!A:A,"&gt;=01/04/2020",'NC Qualité'!A:A,"&lt;=30/04/2020",'NC Qualité'!E:E,"Parc",'NC Qualité'!J:J,"Armatures apparentes")</f>
        <v>0</v>
      </c>
      <c r="K180" s="26"/>
      <c r="L180" s="26"/>
      <c r="M180" s="26"/>
      <c r="N180" s="26"/>
      <c r="O180" s="25">
        <f>COUNTIFS('NC Qualité'!A:A,"&gt;=01/04/2020",'NC Qualité'!A:A,"&lt;=30/04/2020",'NC Qualité'!E:E,"Parc",'NC Qualité'!J:J,"Autres :")</f>
        <v>0</v>
      </c>
      <c r="P180" s="25">
        <f>COUNTIFS('NC Qualité'!A:A,"&gt;=01/04/2020",'NC Qualité'!A:A,"&lt;=30/04/2020",'NC Qualité'!E:E,"Parc",'NC Qualité'!J:J,"Accessoires (Mauvais positionnement , manquement, etc.)")</f>
        <v>0</v>
      </c>
      <c r="Q180" s="25">
        <f>COUNTIFS('NC Qualité'!A:A,"&gt;=01/04/2020",'NC Qualité'!A:A,"&lt;=30/04/2020",'NC Qualité'!E:E,"Parc",'NC Qualité'!J:J,"équerrisage")</f>
        <v>0</v>
      </c>
      <c r="R180" s="25">
        <f>COUNTIFS('NC Qualité'!A:A,"&gt;=01/04/2020",'NC Qualité'!A:A,"&lt;=30/04/2020",'NC Qualité'!E:E,"Parc",'NC Qualité'!J:J,"Seuil de porte (réservation)")</f>
        <v>0</v>
      </c>
      <c r="S180" s="25">
        <f>COUNTIFS('NC Qualité'!A:A,"&gt;=01/04/2020",'NC Qualité'!A:A,"&lt;=30/04/2020",'NC Qualité'!E:E,"Parc",'NC Qualité'!J:J,"épaisseur")</f>
        <v>0</v>
      </c>
      <c r="T180" s="25">
        <f>COUNTIFS('NC Qualité'!A:A,"&gt;=01/04/2020",'NC Qualité'!A:A,"&lt;=30/04/2020",'NC Qualité'!E:E,"Parc",'NC Qualité'!J:J,"Chanfrein")</f>
        <v>0</v>
      </c>
      <c r="U180" s="25">
        <f>COUNTIFS('NC Qualité'!A:A,"&gt;=01/04/2020",'NC Qualité'!A:A,"&lt;=30/04/2020",'NC Qualité'!E:E,"Parc",'NC Qualité'!J:J,"Dimensionnement (entraînant un rebut)")</f>
        <v>0</v>
      </c>
      <c r="V180" s="25">
        <f>COUNTIFS('NC Qualité'!A:A,"&gt;=01/04/2020",'NC Qualité'!A:A,"&lt;=30/04/2020",'NC Qualité'!E:E,"Parc",'NC Qualité'!J:J,"Cintrage")</f>
        <v>0</v>
      </c>
      <c r="W180" s="25">
        <f>COUNTIFS('NC Qualité'!A:A,"&gt;=01/04/2020",'NC Qualité'!A:A,"&lt;=30/04/2020",'NC Qualité'!E:E,"Parc",'NC Qualité'!J:J,"Problème de chargement (sanglage, casse etc.)")</f>
        <v>0</v>
      </c>
      <c r="X180" s="30">
        <f>COUNTIFS('NC Qualité'!A:A,"&gt;=01/04/2020",'NC Qualité'!A:A,"&lt;=30/04/2020",'NC Qualité'!E:E,"Parc",'NC Qualité'!J:J,"Erreur de chargement ")</f>
        <v>0</v>
      </c>
      <c r="AA180" s="32">
        <f>COUNTIFS('NC Qualité'!A:A,"&gt;=01/04/2020",'NC Qualité'!A:A,"&lt;=30/04/2020",'NC Qualité'!E:E,"Parc",'NC Qualité'!T:T,1)</f>
        <v>0</v>
      </c>
      <c r="AB180" s="32">
        <f>COUNTIFS('NC Qualité'!A:A,"&gt;=01/04/2020",'NC Qualité'!A:A,"&lt;=30/04/2020",'NC Qualité'!E:E,"Parc",'NC Qualité'!R:R,"A")</f>
        <v>0</v>
      </c>
    </row>
    <row r="181" spans="1:28" ht="23.25">
      <c r="AA181" s="35">
        <f>SUM(AA169:AA180)</f>
        <v>0</v>
      </c>
      <c r="AB181" s="35">
        <f>SUM(AB169:AB180)</f>
        <v>0</v>
      </c>
    </row>
    <row r="182" spans="1:28" ht="15.75" thickBot="1"/>
    <row r="183" spans="1:28" ht="15.75" thickBot="1">
      <c r="A183" s="43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5"/>
    </row>
    <row r="185" spans="1:28">
      <c r="B185" t="s">
        <v>77</v>
      </c>
    </row>
    <row r="187" spans="1:28" ht="105">
      <c r="B187" s="15" t="s">
        <v>34</v>
      </c>
      <c r="C187" s="22" t="s">
        <v>36</v>
      </c>
      <c r="D187" s="22" t="s">
        <v>5</v>
      </c>
      <c r="E187" s="22" t="s">
        <v>41</v>
      </c>
      <c r="F187" s="22" t="s">
        <v>31</v>
      </c>
      <c r="G187" s="22" t="s">
        <v>42</v>
      </c>
      <c r="H187" s="22" t="s">
        <v>43</v>
      </c>
      <c r="I187" s="22" t="s">
        <v>44</v>
      </c>
      <c r="J187" s="22" t="s">
        <v>45</v>
      </c>
      <c r="K187" s="22" t="s">
        <v>46</v>
      </c>
      <c r="L187" s="22" t="s">
        <v>47</v>
      </c>
      <c r="M187" s="22" t="s">
        <v>48</v>
      </c>
      <c r="N187" s="22" t="s">
        <v>49</v>
      </c>
      <c r="O187" s="22" t="s">
        <v>50</v>
      </c>
      <c r="P187" s="22" t="s">
        <v>29</v>
      </c>
      <c r="Q187" s="22" t="s">
        <v>53</v>
      </c>
      <c r="R187" s="22" t="s">
        <v>32</v>
      </c>
      <c r="S187" s="22" t="s">
        <v>54</v>
      </c>
      <c r="T187" s="22" t="s">
        <v>6</v>
      </c>
      <c r="U187" s="22" t="s">
        <v>30</v>
      </c>
      <c r="V187" s="22" t="s">
        <v>8</v>
      </c>
      <c r="W187" s="22" t="s">
        <v>33</v>
      </c>
      <c r="X187" s="22" t="s">
        <v>55</v>
      </c>
      <c r="AA187" s="34" t="s">
        <v>57</v>
      </c>
      <c r="AB187" s="33" t="s">
        <v>56</v>
      </c>
    </row>
    <row r="188" spans="1:28" ht="21">
      <c r="A188" s="64" t="s">
        <v>52</v>
      </c>
      <c r="B188" s="21" t="s">
        <v>27</v>
      </c>
      <c r="P188" s="23"/>
      <c r="Q188" s="23"/>
      <c r="R188" s="23"/>
      <c r="S188" s="23"/>
      <c r="T188" s="23"/>
      <c r="U188" s="23"/>
      <c r="V188" s="23"/>
      <c r="W188" s="23"/>
      <c r="X188" s="27"/>
      <c r="AA188" s="32"/>
      <c r="AB188" s="32"/>
    </row>
    <row r="189" spans="1:28" ht="21">
      <c r="A189" s="64"/>
      <c r="B189" s="2" t="s">
        <v>1</v>
      </c>
      <c r="P189" s="23"/>
      <c r="Q189" s="23"/>
      <c r="R189" s="23"/>
      <c r="S189" s="23"/>
      <c r="T189" s="23"/>
      <c r="U189" s="23"/>
      <c r="V189" s="23"/>
      <c r="W189" s="23"/>
      <c r="X189" s="28"/>
      <c r="AA189" s="32"/>
      <c r="AB189" s="32"/>
    </row>
    <row r="190" spans="1:28" ht="45">
      <c r="A190" s="64"/>
      <c r="B190" s="2" t="s">
        <v>28</v>
      </c>
      <c r="P190" s="23"/>
      <c r="Q190" s="23"/>
      <c r="R190" s="23"/>
      <c r="S190" s="23"/>
      <c r="T190" s="23"/>
      <c r="U190" s="23"/>
      <c r="V190" s="23"/>
      <c r="W190" s="23"/>
      <c r="X190" s="28"/>
      <c r="AA190" s="32"/>
      <c r="AB190" s="32"/>
    </row>
    <row r="191" spans="1:28" ht="30">
      <c r="A191" s="64"/>
      <c r="B191" s="16" t="s">
        <v>37</v>
      </c>
      <c r="P191" s="23"/>
      <c r="Q191" s="23"/>
      <c r="R191" s="23"/>
      <c r="S191" s="23"/>
      <c r="T191" s="23"/>
      <c r="U191" s="23"/>
      <c r="V191" s="23"/>
      <c r="W191" s="23"/>
      <c r="X191" s="28"/>
      <c r="AA191" s="32"/>
      <c r="AB191" s="32"/>
    </row>
    <row r="192" spans="1:28" ht="45">
      <c r="A192" s="64"/>
      <c r="B192" s="16" t="s">
        <v>38</v>
      </c>
      <c r="P192" s="23"/>
      <c r="Q192" s="23"/>
      <c r="R192" s="23"/>
      <c r="S192" s="23"/>
      <c r="T192" s="23"/>
      <c r="U192" s="23"/>
      <c r="V192" s="23"/>
      <c r="W192" s="23"/>
      <c r="X192" s="28"/>
      <c r="AA192" s="32"/>
      <c r="AB192" s="32"/>
    </row>
    <row r="193" spans="1:28" ht="45">
      <c r="A193" s="64"/>
      <c r="B193" s="16" t="s">
        <v>39</v>
      </c>
      <c r="P193" s="23"/>
      <c r="Q193" s="23"/>
      <c r="R193" s="23"/>
      <c r="S193" s="23"/>
      <c r="T193" s="23"/>
      <c r="U193" s="23"/>
      <c r="V193" s="23"/>
      <c r="W193" s="23"/>
      <c r="X193" s="28"/>
      <c r="AA193" s="32"/>
      <c r="AB193" s="32"/>
    </row>
    <row r="194" spans="1:28" ht="45">
      <c r="A194" s="64"/>
      <c r="B194" s="2" t="s">
        <v>40</v>
      </c>
      <c r="P194" s="23"/>
      <c r="Q194" s="23"/>
      <c r="R194" s="23"/>
      <c r="S194" s="23"/>
      <c r="T194" s="23"/>
      <c r="U194" s="23"/>
      <c r="V194" s="23"/>
      <c r="W194" s="23"/>
      <c r="X194" s="28"/>
      <c r="AA194" s="32"/>
      <c r="AB194" s="32"/>
    </row>
    <row r="195" spans="1:28" ht="30">
      <c r="A195" s="64" t="s">
        <v>51</v>
      </c>
      <c r="B195" s="2" t="s">
        <v>7</v>
      </c>
      <c r="C195" s="23"/>
      <c r="D195">
        <f>COUNTIFS('NC Qualité'!A:A,"&gt;=01/05/2020",'NC Qualité'!A:A,"&lt;=31/05/2020",'NC Qualité'!E:E,"Panneau coulé à plat",'NC Qualité'!J:J,"Problème d'étiquetage")</f>
        <v>0</v>
      </c>
      <c r="E195" s="23"/>
      <c r="F195">
        <f>COUNTIFS('NC Qualité'!A:A,"&gt;=01/05/2020",'NC Qualité'!A:A,"&lt;=31/05/2020",'NC Qualité'!E:E,"Panneau coulé à plat",'NC Qualité'!J:J,"Aspect béton (tâches / nid d'abeilles / granuleux / Fissures etc.)")</f>
        <v>0</v>
      </c>
      <c r="G195" s="23"/>
      <c r="H195">
        <f>COUNTIFS('NC Qualité'!A:A,"&gt;=01/05/2020",'NC Qualité'!A:A,"&lt;=31/05/2020",'NC Qualité'!E:E,"Panneau coulé à plat",'NC Qualité'!J:J,"Ancre de levage")</f>
        <v>0</v>
      </c>
      <c r="I195" s="23"/>
      <c r="J195">
        <f>COUNTIFS('NC Qualité'!A:A,"&gt;=01/05/2020",'NC Qualité'!A:A,"&lt;=31/05/2020",'NC Qualité'!E:E,"Modul : Tuyaux Dn 1800 à 2630",'NC Qualité'!J:J,"Armatures apparentes")</f>
        <v>0</v>
      </c>
      <c r="K195" s="23"/>
      <c r="L195" s="23"/>
      <c r="M195" s="23"/>
      <c r="N195" s="23"/>
      <c r="O195">
        <f>COUNTIFS('NC Qualité'!A:A,"&gt;=01/05/2020",'NC Qualité'!A:A,"&lt;=31/05/2020",'NC Qualité'!E:E,"Panneau coulé à plat",'NC Qualité'!J:J,"Autres :")</f>
        <v>0</v>
      </c>
      <c r="P195">
        <f>COUNTIFS('NC Qualité'!A:A,"&gt;=01/05/2020",'NC Qualité'!A:A,"&lt;=31/05/2020",'NC Qualité'!E:E,"Panneau coulé à plat",'NC Qualité'!J:J,"Accessoires (Mauvais positionnement , manquement, etc.)")</f>
        <v>0</v>
      </c>
      <c r="Q195">
        <f>COUNTIFS('NC Qualité'!A:A,"&gt;=01/05/2020",'NC Qualité'!A:A,"&lt;=31/05/2020",'NC Qualité'!E:E,"Panneau coulé à plat",'NC Qualité'!J:J,"équerrisage")</f>
        <v>0</v>
      </c>
      <c r="R195">
        <f>COUNTIFS('NC Qualité'!A:A,"&gt;=01/05/2020",'NC Qualité'!A:A,"&lt;=31/05/2020",'NC Qualité'!E:E,"Panneau coulé à plat",'NC Qualité'!J:J,"Seuil de porte (réservation)")</f>
        <v>0</v>
      </c>
      <c r="S195">
        <f>COUNTIFS('NC Qualité'!A:A,"&gt;=01/05/2020",'NC Qualité'!A:A,"&lt;=31/05/2020",'NC Qualité'!E:E,"Panneau coulé à plat",'NC Qualité'!J:J,"épaisseur")</f>
        <v>0</v>
      </c>
      <c r="T195">
        <f>COUNTIFS('NC Qualité'!A:A,"&gt;=01/05/2020",'NC Qualité'!A:A,"&lt;=31/05/2020",'NC Qualité'!E:E,"Panneau coulé à plat",'NC Qualité'!J:J,"Chanfrein")</f>
        <v>0</v>
      </c>
      <c r="U195">
        <f>COUNTIFS('NC Qualité'!A:A,"&gt;=01/05/2020",'NC Qualité'!A:A,"&lt;=31/05/2020",'NC Qualité'!E:E,"Panneau coulé à plat",'NC Qualité'!J:J,"Dimensionnement (entraînant un rebut)")</f>
        <v>0</v>
      </c>
      <c r="V195">
        <f>COUNTIFS('NC Qualité'!A:A,"&gt;=01/05/2020",'NC Qualité'!A:A,"&lt;=31/05/2020",'NC Qualité'!E:E,"Panneau coulé à plat",'NC Qualité'!J:J,"Cintrage")</f>
        <v>0</v>
      </c>
      <c r="W195">
        <f>COUNTIFS('NC Qualité'!A:A,"&gt;=01/05/2020",'NC Qualité'!A:A,"&lt;=31/05/2020",'NC Qualité'!E:E,"Panneau coulé à plat",'NC Qualité'!J:J,"Problème de chargement (sanglage, casse etc.)")</f>
        <v>0</v>
      </c>
      <c r="X195" s="29">
        <f>COUNTIFS('NC Qualité'!A:A,"&gt;=01/05/2020",'NC Qualité'!A:A,"&lt;=31/05/2020",'NC Qualité'!E:E,"Panneau coulé à plat",'NC Qualité'!J:J,"Erreur de chargement ")</f>
        <v>0</v>
      </c>
      <c r="AA195" s="32">
        <f>COUNTIFS('NC Qualité'!A:A,"&gt;=01/05/2020",'NC Qualité'!A:A,"&lt;=31/05/2020",'NC Qualité'!E:E,"Panneau coulé à plat",'NC Qualité'!T:T,1)</f>
        <v>0</v>
      </c>
      <c r="AB195" s="32">
        <f>COUNTIFS('NC Qualité'!A:A,"&gt;=01/05/2020",'NC Qualité'!A:A,"&lt;=31/05/2020",'NC Qualité'!E:E,"Panneau coulé à plat",'NC Qualité'!R:R,"A")</f>
        <v>0</v>
      </c>
    </row>
    <row r="196" spans="1:28" ht="21">
      <c r="A196" s="64"/>
      <c r="B196" s="2" t="s">
        <v>0</v>
      </c>
      <c r="C196" s="23"/>
      <c r="D196">
        <f>COUNTIFS('NC Qualité'!A:A,"&gt;=01/05/2020",'NC Qualité'!A:A,"&lt;=31/05/2020",'NC Qualité'!E:E,"Bianchi",'NC Qualité'!J:J,"Problème d'étiquetage")</f>
        <v>0</v>
      </c>
      <c r="E196" s="23"/>
      <c r="F196">
        <f>COUNTIFS('NC Qualité'!A:A,"&gt;=01/05/2020",'NC Qualité'!A:A,"&lt;=31/05/2020",'NC Qualité'!E:E,"Bianchi",'NC Qualité'!J:J,"Aspect béton (tâches / nid d'abeilles / granuleux / Fissures etc.)")</f>
        <v>0</v>
      </c>
      <c r="G196" s="23"/>
      <c r="H196">
        <f>COUNTIFS('NC Qualité'!A:A,"&gt;=01/05/2020",'NC Qualité'!A:A,"&lt;=31/05/2020",'NC Qualité'!E:E,"Bianchi",'NC Qualité'!J:J,"Ancre de levage")</f>
        <v>0</v>
      </c>
      <c r="I196" s="23"/>
      <c r="J196">
        <f>COUNTIFS('NC Qualité'!A:A,"&gt;=01/05/2020",'NC Qualité'!A:A,"&lt;=31/05/2020",'NC Qualité'!E:E,"Bianchi",'NC Qualité'!J:J,"Armatures apparentes")</f>
        <v>0</v>
      </c>
      <c r="K196" s="23"/>
      <c r="L196" s="23"/>
      <c r="M196" s="23"/>
      <c r="N196" s="23"/>
      <c r="O196">
        <f>COUNTIFS('NC Qualité'!A:A,"&gt;=01/05/2020",'NC Qualité'!A:A,"&lt;=31/05/2020",'NC Qualité'!E:E,"Bianchi",'NC Qualité'!J:J,"Autres :")</f>
        <v>0</v>
      </c>
      <c r="P196">
        <f>COUNTIFS('NC Qualité'!A:A,"&gt;=01/05/2020",'NC Qualité'!A:A,"&lt;=31/05/2020",'NC Qualité'!E:E,"Bianchi",'NC Qualité'!J:J,"Accessoires (Mauvais positionnement , manquement, etc.)")</f>
        <v>0</v>
      </c>
      <c r="Q196">
        <f>COUNTIFS('NC Qualité'!A:A,"&gt;=01/05/2020",'NC Qualité'!A:A,"&lt;=31/05/2020",'NC Qualité'!E:E,"Bianchi",'NC Qualité'!J:J,"équerrisage")</f>
        <v>0</v>
      </c>
      <c r="R196">
        <f>COUNTIFS('NC Qualité'!A:A,"&gt;=01/05/2020",'NC Qualité'!A:A,"&lt;=31/05/2020",'NC Qualité'!E:E,"Bianchi",'NC Qualité'!J:J,"Seuil de porte (réservation)")</f>
        <v>0</v>
      </c>
      <c r="S196">
        <f>COUNTIFS('NC Qualité'!A:A,"&gt;=01/05/2020",'NC Qualité'!A:A,"&lt;=31/05/2020",'NC Qualité'!E:E,"Bianchi",'NC Qualité'!J:J,"épaisseur")</f>
        <v>0</v>
      </c>
      <c r="T196">
        <f>COUNTIFS('NC Qualité'!A:A,"&gt;=01/05/2020",'NC Qualité'!A:A,"&lt;=31/05/2020",'NC Qualité'!E:E,"Bianchi",'NC Qualité'!J:J,"Chanfrein")</f>
        <v>0</v>
      </c>
      <c r="U196">
        <f>COUNTIFS('NC Qualité'!A:A,"&gt;=01/05/2020",'NC Qualité'!A:A,"&lt;=31/05/2020",'NC Qualité'!E:E,"Bianchi",'NC Qualité'!J:J,"Dimensionnement (entraînant un rebut)")</f>
        <v>0</v>
      </c>
      <c r="V196">
        <f>COUNTIFS('NC Qualité'!A:A,"&gt;=01/05/2020",'NC Qualité'!A:A,"&lt;=31/05/2020",'NC Qualité'!E:E,"Bianchi",'NC Qualité'!J:J,"Cintrage")</f>
        <v>0</v>
      </c>
      <c r="W196">
        <f>COUNTIFS('NC Qualité'!A:A,"&gt;=01/05/2020",'NC Qualité'!A:A,"&lt;=31/05/2020",'NC Qualité'!E:E,"Bianchi",'NC Qualité'!J:J,"Problème de chargement (sanglage, casse etc.)")</f>
        <v>0</v>
      </c>
      <c r="X196" s="29">
        <f>COUNTIFS('NC Qualité'!A:A,"&gt;=01/05/2020",'NC Qualité'!A:A,"&lt;=31/05/2020",'NC Qualité'!E:E,"Bianchi",'NC Qualité'!J:J,"Erreur de chargement ")</f>
        <v>0</v>
      </c>
      <c r="AA196" s="32">
        <f>COUNTIFS('NC Qualité'!A:A,"&gt;=01/05/2020",'NC Qualité'!A:A,"&lt;=31/05/2020",'NC Qualité'!E:E,"Bianchi",'NC Qualité'!T:T,1)</f>
        <v>0</v>
      </c>
      <c r="AB196" s="32">
        <f>COUNTIFS('NC Qualité'!A:A,"&gt;=01/05/2020",'NC Qualité'!A:A,"&lt;=31/05/2020",'NC Qualité'!E:E,"Bianchi",'NC Qualité'!R:R,"A")</f>
        <v>0</v>
      </c>
    </row>
    <row r="197" spans="1:28" ht="30">
      <c r="A197" s="64"/>
      <c r="B197" s="2" t="s">
        <v>4</v>
      </c>
      <c r="C197" s="23"/>
      <c r="D197">
        <f>COUNTIFS('NC Qualité'!A:A,"&gt;=01/05/2020",'NC Qualité'!A:A,"&lt;=31/05/2020",'NC Qualité'!E:E,"Préfabrication",'NC Qualité'!J:J,"Problème d'étiquetage")</f>
        <v>0</v>
      </c>
      <c r="E197" s="23"/>
      <c r="F197">
        <f>COUNTIFS('NC Qualité'!A:A,"&gt;=01/05/2020",'NC Qualité'!A:A,"&lt;=31/05/2020",'NC Qualité'!E:E,"Préfabrication",'NC Qualité'!J:J,"Aspect béton (tâches / nid d'abeilles / granuleux / Fissures etc.)")</f>
        <v>0</v>
      </c>
      <c r="G197" s="23"/>
      <c r="H197">
        <f>COUNTIFS('NC Qualité'!A:A,"&gt;=01/05/2020",'NC Qualité'!A:A,"&lt;=31/05/2020",'NC Qualité'!E:E,"Préfabrication",'NC Qualité'!J:J,"Ancre de levage")</f>
        <v>0</v>
      </c>
      <c r="I197" s="23"/>
      <c r="J197">
        <f>COUNTIFS('NC Qualité'!A:A,"&gt;=01/05/2020",'NC Qualité'!A:A,"&lt;=31/05/2020",'NC Qualité'!E:E,"Préfabrication",'NC Qualité'!J:J,"Armatures apparentes")</f>
        <v>0</v>
      </c>
      <c r="K197" s="23"/>
      <c r="L197" s="23"/>
      <c r="M197" s="23"/>
      <c r="N197" s="23"/>
      <c r="O197">
        <f>COUNTIFS('NC Qualité'!A:A,"&gt;=01/05/2020",'NC Qualité'!A:A,"&lt;=31/05/2020",'NC Qualité'!E:E,"Préfabrication",'NC Qualité'!J:J,"Autres :")</f>
        <v>0</v>
      </c>
      <c r="P197">
        <f>COUNTIFS('NC Qualité'!A:A,"&gt;=01/05/2020",'NC Qualité'!A:A,"&lt;=31/05/2020",'NC Qualité'!E:E,"Préfabrication",'NC Qualité'!J:J,"Accessoires (Mauvais positionnement , manquement, etc.)")</f>
        <v>0</v>
      </c>
      <c r="Q197">
        <f>COUNTIFS('NC Qualité'!A:A,"&gt;=01/05/2020",'NC Qualité'!A:A,"&lt;=31/05/2020",'NC Qualité'!E:E,"Préfabrication",'NC Qualité'!J:J,"équerrisage")</f>
        <v>0</v>
      </c>
      <c r="R197">
        <f>COUNTIFS('NC Qualité'!A:A,"&gt;=01/05/2020",'NC Qualité'!A:A,"&lt;=31/05/2020",'NC Qualité'!E:E,"Préfabrication",'NC Qualité'!J:J,"Seuil de porte (réservation)")</f>
        <v>0</v>
      </c>
      <c r="S197">
        <f>COUNTIFS('NC Qualité'!A:A,"&gt;=01/05/2020",'NC Qualité'!A:A,"&lt;=31/05/2020",'NC Qualité'!E:E,"Préfabrication",'NC Qualité'!J:J,"épaisseur")</f>
        <v>0</v>
      </c>
      <c r="T197">
        <f>COUNTIFS('NC Qualité'!A:A,"&gt;=01/05/2020",'NC Qualité'!A:A,"&lt;=31/05/2020",'NC Qualité'!E:E,"Préfabrication",'NC Qualité'!J:J,"Chanfrein")</f>
        <v>0</v>
      </c>
      <c r="U197">
        <f>COUNTIFS('NC Qualité'!A:A,"&gt;=01/05/2020",'NC Qualité'!A:A,"&lt;=31/05/2020",'NC Qualité'!E:E,"Préfabrication",'NC Qualité'!J:J,"Dimensionnement (entraînant un rebut)")</f>
        <v>0</v>
      </c>
      <c r="V197">
        <f>COUNTIFS('NC Qualité'!A:A,"&gt;=01/05/2020",'NC Qualité'!A:A,"&lt;=31/05/2020",'NC Qualité'!E:E,"Préfabrication",'NC Qualité'!J:J,"Cintrage")</f>
        <v>0</v>
      </c>
      <c r="W197">
        <f>COUNTIFS('NC Qualité'!A:A,"&gt;=01/05/2020",'NC Qualité'!A:A,"&lt;=31/05/2020",'NC Qualité'!E:E,"Préfabrication",'NC Qualité'!J:J,"Problème de chargement (sanglage, casse etc.)")</f>
        <v>0</v>
      </c>
      <c r="X197" s="29">
        <f>COUNTIFS('NC Qualité'!A:A,"&gt;=01/05/2020",'NC Qualité'!A:A,"&lt;=31/05/2020",'NC Qualité'!E:E,"Préfabrication",'NC Qualité'!J:J,"Erreur de chargement ")</f>
        <v>0</v>
      </c>
      <c r="AA197" s="32">
        <f>COUNTIFS('NC Qualité'!A:A,"&gt;=01/05/2020",'NC Qualité'!A:A,"&lt;=31/05/2020",'NC Qualité'!E:E,"Préfabrication",'NC Qualité'!T:T,1)</f>
        <v>0</v>
      </c>
      <c r="AB197" s="32">
        <f>COUNTIFS('NC Qualité'!A:A,"&gt;=01/05/2020",'NC Qualité'!A:A,"&lt;=31/05/2020",'NC Qualité'!E:E,"Préfabrication",'NC Qualité'!R:R,"A")</f>
        <v>0</v>
      </c>
    </row>
    <row r="198" spans="1:28" ht="30">
      <c r="A198" s="64"/>
      <c r="B198" s="17" t="s">
        <v>3</v>
      </c>
      <c r="C198" s="23"/>
      <c r="D198">
        <f>COUNTIFS('NC Qualité'!A:A,"&gt;=01/05/2020",'NC Qualité'!A:A,"&lt;=31/05/2020",'NC Qualité'!E:E,"Précontraint",'NC Qualité'!J:J,"Problème d'étiquetage")</f>
        <v>0</v>
      </c>
      <c r="E198" s="23"/>
      <c r="F198">
        <f>COUNTIFS('NC Qualité'!A:A,"&gt;=01/05/2020",'NC Qualité'!A:A,"&lt;=31/05/2020",'NC Qualité'!E:E,"Précontraint",'NC Qualité'!J:J,"Aspect béton (tâches / nid d'abeilles / granuleux / Fissures etc.)")</f>
        <v>0</v>
      </c>
      <c r="G198" s="23"/>
      <c r="H198">
        <f>COUNTIFS('NC Qualité'!A:A,"&gt;=01/05/2020",'NC Qualité'!A:A,"&lt;=31/05/2020",'NC Qualité'!E:E,"Précontraint",'NC Qualité'!J:J,"Ancre de levage")</f>
        <v>0</v>
      </c>
      <c r="I198" s="23"/>
      <c r="J198">
        <f>COUNTIFS('NC Qualité'!A:A,"&gt;=01/05/2020",'NC Qualité'!A:A,"&lt;=31/05/2020",'NC Qualité'!E:E,"Précontraint",'NC Qualité'!J:J,"Armatures apparentes")</f>
        <v>0</v>
      </c>
      <c r="K198" s="23"/>
      <c r="L198" s="23"/>
      <c r="M198" s="23"/>
      <c r="N198" s="23"/>
      <c r="O198">
        <f>COUNTIFS('NC Qualité'!A:A,"&gt;=01/05/2020",'NC Qualité'!A:A,"&lt;=31/05/2020",'NC Qualité'!E:E,"Précontraint",'NC Qualité'!J:J,"Autres :")</f>
        <v>0</v>
      </c>
      <c r="P198">
        <f>COUNTIFS('NC Qualité'!A:A,"&gt;=01/05/2020",'NC Qualité'!A:A,"&lt;=31/05/2020",'NC Qualité'!E:E,"Précontraint",'NC Qualité'!J:J,"Accessoires (Mauvais positionnement , manquement, etc.)")</f>
        <v>0</v>
      </c>
      <c r="Q198">
        <f>COUNTIFS('NC Qualité'!A:A,"&gt;=01/05/2020",'NC Qualité'!A:A,"&lt;=31/05/2020",'NC Qualité'!E:E,"Précontraint",'NC Qualité'!J:J,"équerrisage")</f>
        <v>0</v>
      </c>
      <c r="R198">
        <f>COUNTIFS('NC Qualité'!A:A,"&gt;=01/05/2020",'NC Qualité'!A:A,"&lt;=31/05/2020",'NC Qualité'!E:E,"Précontraint",'NC Qualité'!J:J,"Seuil de porte (réservation)")</f>
        <v>0</v>
      </c>
      <c r="S198">
        <f>COUNTIFS('NC Qualité'!A:A,"&gt;=01/05/2020",'NC Qualité'!A:A,"&lt;=31/05/2020",'NC Qualité'!E:E,"Précontraint",'NC Qualité'!J:J,"épaisseur")</f>
        <v>0</v>
      </c>
      <c r="T198">
        <f>COUNTIFS('NC Qualité'!A:A,"&gt;=01/05/2020",'NC Qualité'!A:A,"&lt;=31/05/2020",'NC Qualité'!E:E,"Précontraint",'NC Qualité'!J:J,"Chanfrein")</f>
        <v>0</v>
      </c>
      <c r="U198">
        <f>COUNTIFS('NC Qualité'!A:A,"&gt;=01/05/2020",'NC Qualité'!A:A,"&lt;=31/05/2020",'NC Qualité'!E:E,"Précontraint",'NC Qualité'!J:J,"Dimensionnement (entraînant un rebut)")</f>
        <v>0</v>
      </c>
      <c r="V198">
        <f>COUNTIFS('NC Qualité'!A:A,"&gt;=01/05/2020",'NC Qualité'!A:A,"&lt;=31/05/2020",'NC Qualité'!E:E,"Précontraint",'NC Qualité'!J:J,"Cintrage")</f>
        <v>0</v>
      </c>
      <c r="W198">
        <f>COUNTIFS('NC Qualité'!A:A,"&gt;=01/05/2020",'NC Qualité'!A:A,"&lt;=31/05/2020",'NC Qualité'!E:E,"Précontraint",'NC Qualité'!J:J,"Problème de chargement (sanglage, casse etc.)")</f>
        <v>0</v>
      </c>
      <c r="X198" s="29">
        <f>COUNTIFS('NC Qualité'!A:A,"&gt;=01/05/2020",'NC Qualité'!A:A,"&lt;=31/05/2020",'NC Qualité'!E:E,"Précontraint",'NC Qualité'!J:J,"Erreur de chargement ")</f>
        <v>0</v>
      </c>
      <c r="AA198" s="32">
        <f>COUNTIFS('NC Qualité'!A:A,"&gt;=01/05/2020",'NC Qualité'!A:A,"&lt;=31/05/2020",'NC Qualité'!E:E,"Précontraint",'NC Qualité'!T:T,1)</f>
        <v>0</v>
      </c>
      <c r="AB198" s="32">
        <f>COUNTIFS('NC Qualité'!A:A,"&gt;=01/05/2020",'NC Qualité'!A:A,"&lt;=31/05/2020",'NC Qualité'!E:E,"Précontraint",'NC Qualité'!R:R,"A")</f>
        <v>0</v>
      </c>
    </row>
    <row r="199" spans="1:28" ht="21">
      <c r="A199" s="64"/>
      <c r="B199" s="2" t="s">
        <v>2</v>
      </c>
      <c r="C199" s="24"/>
      <c r="D199" s="25">
        <f>COUNTIFS('NC Qualité'!A:A,"&gt;=01/05/2020",'NC Qualité'!A:A,"&lt;=31/05/2020",'NC Qualité'!E:E,"Parc",'NC Qualité'!J:J,"Problème d'étiquetage")</f>
        <v>0</v>
      </c>
      <c r="E199" s="26"/>
      <c r="F199" s="25">
        <f>COUNTIFS('NC Qualité'!A:A,"&gt;=01/05/2020",'NC Qualité'!A:A,"&lt;=31/05/2020",'NC Qualité'!E:E,"Parc",'NC Qualité'!J:J,"Aspect béton (tâches / nid d'abeilles / granuleux / Fissures etc.)")</f>
        <v>0</v>
      </c>
      <c r="G199" s="26"/>
      <c r="H199" s="25">
        <f>COUNTIFS('NC Qualité'!A:A,"&gt;=01/05/2020",'NC Qualité'!A:A,"&lt;=31/05/2020",'NC Qualité'!E:E,"Parc",'NC Qualité'!J:J,"Ancre de levage")</f>
        <v>0</v>
      </c>
      <c r="I199" s="26"/>
      <c r="J199" s="25">
        <f>COUNTIFS('NC Qualité'!A:A,"&gt;=01/05/2020",'NC Qualité'!A:A,"&lt;=31/05/2020",'NC Qualité'!E:E,"Parc",'NC Qualité'!J:J,"Armatures apparentes")</f>
        <v>0</v>
      </c>
      <c r="K199" s="26"/>
      <c r="L199" s="26"/>
      <c r="M199" s="26"/>
      <c r="N199" s="26"/>
      <c r="O199" s="25">
        <f>COUNTIFS('NC Qualité'!A:A,"&gt;=01/05/2020",'NC Qualité'!A:A,"&lt;=31/05/2020",'NC Qualité'!E:E,"Parc",'NC Qualité'!J:J,"Autres :")</f>
        <v>0</v>
      </c>
      <c r="P199" s="25">
        <f>COUNTIFS('NC Qualité'!A:A,"&gt;=01/05/2020",'NC Qualité'!A:A,"&lt;=31/05/2020",'NC Qualité'!E:E,"Parc",'NC Qualité'!J:J,"Accessoires (Mauvais positionnement , manquement, etc.)")</f>
        <v>0</v>
      </c>
      <c r="Q199" s="25">
        <f>COUNTIFS('NC Qualité'!A:A,"&gt;=01/05/2020",'NC Qualité'!A:A,"&lt;=31/05/2020",'NC Qualité'!E:E,"Parc",'NC Qualité'!J:J,"équerrisage")</f>
        <v>0</v>
      </c>
      <c r="R199" s="25">
        <f>COUNTIFS('NC Qualité'!A:A,"&gt;=01/05/2020",'NC Qualité'!A:A,"&lt;=31/05/2020",'NC Qualité'!E:E,"Parc",'NC Qualité'!J:J,"Seuil de porte (réservation)")</f>
        <v>0</v>
      </c>
      <c r="S199" s="25">
        <f>COUNTIFS('NC Qualité'!A:A,"&gt;=01/05/2020",'NC Qualité'!A:A,"&lt;=31/05/2020",'NC Qualité'!E:E,"Parc",'NC Qualité'!J:J,"épaisseur")</f>
        <v>0</v>
      </c>
      <c r="T199" s="25">
        <f>COUNTIFS('NC Qualité'!A:A,"&gt;=01/05/2020",'NC Qualité'!A:A,"&lt;=31/05/2020",'NC Qualité'!E:E,"Parc",'NC Qualité'!J:J,"Chanfrein")</f>
        <v>0</v>
      </c>
      <c r="U199" s="25">
        <f>COUNTIFS('NC Qualité'!A:A,"&gt;=01/05/2020",'NC Qualité'!A:A,"&lt;=31/05/2020",'NC Qualité'!E:E,"Parc",'NC Qualité'!J:J,"Dimensionnement (entraînant un rebut)")</f>
        <v>0</v>
      </c>
      <c r="V199" s="25">
        <f>COUNTIFS('NC Qualité'!A:A,"&gt;=01/05/2020",'NC Qualité'!A:A,"&lt;=31/05/2020",'NC Qualité'!E:E,"Parc",'NC Qualité'!J:J,"Cintrage")</f>
        <v>0</v>
      </c>
      <c r="W199" s="25">
        <f>COUNTIFS('NC Qualité'!A:A,"&gt;=01/05/2020",'NC Qualité'!A:A,"&lt;=31/05/2020",'NC Qualité'!E:E,"Parc",'NC Qualité'!J:J,"Problème de chargement (sanglage, casse etc.)")</f>
        <v>0</v>
      </c>
      <c r="X199" s="30">
        <f>COUNTIFS('NC Qualité'!A:A,"&gt;=01/05/2020",'NC Qualité'!A:A,"&lt;=31/05/2020",'NC Qualité'!E:E,"Parc",'NC Qualité'!J:J,"Erreur de chargement ")</f>
        <v>0</v>
      </c>
      <c r="AA199" s="32">
        <f>COUNTIFS('NC Qualité'!A:A,"&gt;=01/05/2020",'NC Qualité'!A:A,"&lt;=31/05/2020",'NC Qualité'!E:E,"Parc",'NC Qualité'!T:T,1)</f>
        <v>0</v>
      </c>
      <c r="AB199" s="32">
        <f>COUNTIFS('NC Qualité'!A:A,"&gt;=01/05/2020",'NC Qualité'!A:A,"&lt;=31/05/2020",'NC Qualité'!E:E,"Parc",'NC Qualité'!R:R,"A")</f>
        <v>0</v>
      </c>
    </row>
    <row r="200" spans="1:28" ht="23.25">
      <c r="AA200" s="35">
        <f>SUM(AA188:AA199)</f>
        <v>0</v>
      </c>
      <c r="AB200" s="35">
        <f>SUM(AB188:AB199)</f>
        <v>0</v>
      </c>
    </row>
    <row r="201" spans="1:28" ht="15.75" thickBot="1"/>
    <row r="202" spans="1:28" ht="15.75" thickBot="1">
      <c r="A202" s="43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5"/>
    </row>
    <row r="204" spans="1:28">
      <c r="B204" t="s">
        <v>78</v>
      </c>
    </row>
    <row r="206" spans="1:28" ht="105">
      <c r="B206" s="15" t="s">
        <v>34</v>
      </c>
      <c r="C206" s="22" t="s">
        <v>36</v>
      </c>
      <c r="D206" s="22" t="s">
        <v>5</v>
      </c>
      <c r="E206" s="22" t="s">
        <v>41</v>
      </c>
      <c r="F206" s="22" t="s">
        <v>31</v>
      </c>
      <c r="G206" s="22" t="s">
        <v>42</v>
      </c>
      <c r="H206" s="22" t="s">
        <v>43</v>
      </c>
      <c r="I206" s="22" t="s">
        <v>44</v>
      </c>
      <c r="J206" s="22" t="s">
        <v>45</v>
      </c>
      <c r="K206" s="22" t="s">
        <v>46</v>
      </c>
      <c r="L206" s="22" t="s">
        <v>47</v>
      </c>
      <c r="M206" s="22" t="s">
        <v>48</v>
      </c>
      <c r="N206" s="22" t="s">
        <v>49</v>
      </c>
      <c r="O206" s="22" t="s">
        <v>50</v>
      </c>
      <c r="P206" s="22" t="s">
        <v>29</v>
      </c>
      <c r="Q206" s="22" t="s">
        <v>53</v>
      </c>
      <c r="R206" s="22" t="s">
        <v>32</v>
      </c>
      <c r="S206" s="22" t="s">
        <v>54</v>
      </c>
      <c r="T206" s="22" t="s">
        <v>6</v>
      </c>
      <c r="U206" s="22" t="s">
        <v>30</v>
      </c>
      <c r="V206" s="22" t="s">
        <v>8</v>
      </c>
      <c r="W206" s="22" t="s">
        <v>33</v>
      </c>
      <c r="X206" s="22" t="s">
        <v>55</v>
      </c>
      <c r="AA206" s="34" t="s">
        <v>57</v>
      </c>
      <c r="AB206" s="33" t="s">
        <v>56</v>
      </c>
    </row>
    <row r="207" spans="1:28" ht="21">
      <c r="A207" s="64" t="s">
        <v>52</v>
      </c>
      <c r="B207" s="21" t="s">
        <v>27</v>
      </c>
      <c r="P207" s="23"/>
      <c r="Q207" s="23"/>
      <c r="R207" s="23"/>
      <c r="S207" s="23"/>
      <c r="T207" s="23"/>
      <c r="U207" s="23"/>
      <c r="V207" s="23"/>
      <c r="W207" s="23"/>
      <c r="X207" s="27"/>
      <c r="AA207" s="32"/>
      <c r="AB207" s="32"/>
    </row>
    <row r="208" spans="1:28" ht="21">
      <c r="A208" s="64"/>
      <c r="B208" s="2" t="s">
        <v>1</v>
      </c>
      <c r="P208" s="23"/>
      <c r="Q208" s="23"/>
      <c r="R208" s="23"/>
      <c r="S208" s="23"/>
      <c r="T208" s="23"/>
      <c r="U208" s="23"/>
      <c r="V208" s="23"/>
      <c r="W208" s="23"/>
      <c r="X208" s="28"/>
      <c r="AA208" s="32"/>
      <c r="AB208" s="32"/>
    </row>
    <row r="209" spans="1:28" ht="45">
      <c r="A209" s="64"/>
      <c r="B209" s="2" t="s">
        <v>28</v>
      </c>
      <c r="P209" s="23"/>
      <c r="Q209" s="23"/>
      <c r="R209" s="23"/>
      <c r="S209" s="23"/>
      <c r="T209" s="23"/>
      <c r="U209" s="23"/>
      <c r="V209" s="23"/>
      <c r="W209" s="23"/>
      <c r="X209" s="28"/>
      <c r="AA209" s="32"/>
      <c r="AB209" s="32"/>
    </row>
    <row r="210" spans="1:28" ht="30">
      <c r="A210" s="64"/>
      <c r="B210" s="16" t="s">
        <v>37</v>
      </c>
      <c r="P210" s="23"/>
      <c r="Q210" s="23"/>
      <c r="R210" s="23"/>
      <c r="S210" s="23"/>
      <c r="T210" s="23"/>
      <c r="U210" s="23"/>
      <c r="V210" s="23"/>
      <c r="W210" s="23"/>
      <c r="X210" s="28"/>
      <c r="AA210" s="32"/>
      <c r="AB210" s="32"/>
    </row>
    <row r="211" spans="1:28" ht="45">
      <c r="A211" s="64"/>
      <c r="B211" s="16" t="s">
        <v>38</v>
      </c>
      <c r="P211" s="23"/>
      <c r="Q211" s="23"/>
      <c r="R211" s="23"/>
      <c r="S211" s="23"/>
      <c r="T211" s="23"/>
      <c r="U211" s="23"/>
      <c r="V211" s="23"/>
      <c r="W211" s="23"/>
      <c r="X211" s="28"/>
      <c r="AA211" s="32"/>
      <c r="AB211" s="32"/>
    </row>
    <row r="212" spans="1:28" ht="45">
      <c r="A212" s="64"/>
      <c r="B212" s="16" t="s">
        <v>39</v>
      </c>
      <c r="P212" s="23"/>
      <c r="Q212" s="23"/>
      <c r="R212" s="23"/>
      <c r="S212" s="23"/>
      <c r="T212" s="23"/>
      <c r="U212" s="23"/>
      <c r="V212" s="23"/>
      <c r="W212" s="23"/>
      <c r="X212" s="28"/>
      <c r="AA212" s="32"/>
      <c r="AB212" s="32"/>
    </row>
    <row r="213" spans="1:28" ht="45">
      <c r="A213" s="64"/>
      <c r="B213" s="2" t="s">
        <v>40</v>
      </c>
      <c r="P213" s="23"/>
      <c r="Q213" s="23"/>
      <c r="R213" s="23"/>
      <c r="S213" s="23"/>
      <c r="T213" s="23"/>
      <c r="U213" s="23"/>
      <c r="V213" s="23"/>
      <c r="W213" s="23"/>
      <c r="X213" s="28"/>
      <c r="AA213" s="32"/>
      <c r="AB213" s="32"/>
    </row>
    <row r="214" spans="1:28" ht="30">
      <c r="A214" s="64" t="s">
        <v>51</v>
      </c>
      <c r="B214" s="2" t="s">
        <v>7</v>
      </c>
      <c r="C214" s="23"/>
      <c r="D214">
        <f>COUNTIFS('NC Qualité'!A:A,"&gt;=01/06/2020",'NC Qualité'!A:A,"&lt;=30/06/2020",'NC Qualité'!E:E,"Panneau coulé à plat",'NC Qualité'!J:J,"Problème d'étiquetage")</f>
        <v>0</v>
      </c>
      <c r="E214" s="23"/>
      <c r="F214">
        <f>COUNTIFS('NC Qualité'!A:A,"&gt;=01/06/2020",'NC Qualité'!A:A,"&lt;=30/06/2020",'NC Qualité'!E:E,"Panneau coulé à plat",'NC Qualité'!J:J,"Aspect béton (tâches / nid d'abeilles / granuleux / Fissures etc.)")</f>
        <v>0</v>
      </c>
      <c r="G214" s="23"/>
      <c r="H214">
        <f>COUNTIFS('NC Qualité'!A:A,"&gt;=01/06/2020",'NC Qualité'!A:A,"&lt;=30/06/2020",'NC Qualité'!E:E,"Panneau coulé à plat",'NC Qualité'!J:J,"Ancre de levage")</f>
        <v>0</v>
      </c>
      <c r="I214" s="23"/>
      <c r="J214">
        <f>COUNTIFS('NC Qualité'!A:A,"&gt;=01/06/2020",'NC Qualité'!A:A,"&lt;=30/06/2020",'NC Qualité'!E:E,"Modul : Tuyaux Dn 1800 à 2630",'NC Qualité'!J:J,"Armatures apparentes")</f>
        <v>0</v>
      </c>
      <c r="K214" s="23"/>
      <c r="L214" s="23"/>
      <c r="M214" s="23"/>
      <c r="N214" s="23"/>
      <c r="O214">
        <f>COUNTIFS('NC Qualité'!A:A,"&gt;=01/06/2020",'NC Qualité'!A:A,"&lt;=30/06/2020",'NC Qualité'!E:E,"Panneau coulé à plat",'NC Qualité'!J:J,"Autres :")</f>
        <v>0</v>
      </c>
      <c r="P214">
        <f>COUNTIFS('NC Qualité'!A:A,"&gt;=01/06/2020",'NC Qualité'!A:A,"&lt;=30/06/2020",'NC Qualité'!E:E,"Panneau coulé à plat",'NC Qualité'!J:J,"Accessoires (Mauvais positionnement , manquement, etc.)")</f>
        <v>0</v>
      </c>
      <c r="Q214">
        <f>COUNTIFS('NC Qualité'!A:A,"&gt;=01/06/2020",'NC Qualité'!A:A,"&lt;=30/06/2020",'NC Qualité'!E:E,"Panneau coulé à plat",'NC Qualité'!J:J,"équerrisage")</f>
        <v>0</v>
      </c>
      <c r="R214">
        <f>COUNTIFS('NC Qualité'!A:A,"&gt;=01/06/2020",'NC Qualité'!A:A,"&lt;=30/06/2020",'NC Qualité'!E:E,"Panneau coulé à plat",'NC Qualité'!J:J,"Seuil de porte (réservation)")</f>
        <v>0</v>
      </c>
      <c r="S214">
        <f>COUNTIFS('NC Qualité'!A:A,"&gt;=01/06/2020",'NC Qualité'!A:A,"&lt;=30/06/2020",'NC Qualité'!E:E,"Panneau coulé à plat",'NC Qualité'!J:J,"épaisseur")</f>
        <v>0</v>
      </c>
      <c r="T214">
        <f>COUNTIFS('NC Qualité'!A:A,"&gt;=01/06/2020",'NC Qualité'!A:A,"&lt;=30/06/2020",'NC Qualité'!E:E,"Panneau coulé à plat",'NC Qualité'!J:J,"Chanfrein")</f>
        <v>0</v>
      </c>
      <c r="U214">
        <f>COUNTIFS('NC Qualité'!A:A,"&gt;=01/06/2020",'NC Qualité'!A:A,"&lt;=30/06/2020",'NC Qualité'!E:E,"Panneau coulé à plat",'NC Qualité'!J:J,"Dimensionnement (entraînant un rebut)")</f>
        <v>0</v>
      </c>
      <c r="V214">
        <f>COUNTIFS('NC Qualité'!A:A,"&gt;=01/06/2020",'NC Qualité'!A:A,"&lt;=30/06/2020",'NC Qualité'!E:E,"Panneau coulé à plat",'NC Qualité'!J:J,"Cintrage")</f>
        <v>0</v>
      </c>
      <c r="W214">
        <f>COUNTIFS('NC Qualité'!A:A,"&gt;=01/06/2020",'NC Qualité'!A:A,"&lt;=30/06/2020",'NC Qualité'!E:E,"Panneau coulé à plat",'NC Qualité'!J:J,"Problème de chargement (sanglage, casse etc.)")</f>
        <v>0</v>
      </c>
      <c r="X214" s="29">
        <f>COUNTIFS('NC Qualité'!A:A,"&gt;=01/06/2020",'NC Qualité'!A:A,"&lt;=30/06/2020",'NC Qualité'!E:E,"Panneau coulé à plat",'NC Qualité'!J:J,"Erreur de chargement ")</f>
        <v>0</v>
      </c>
      <c r="AA214" s="32">
        <f>COUNTIFS('NC Qualité'!A:A,"&gt;=01/06/2020",'NC Qualité'!A:A,"&lt;=30/06/2020",'NC Qualité'!E:E,"Panneau coulé à plat",'NC Qualité'!T:T,1)</f>
        <v>0</v>
      </c>
      <c r="AB214" s="32">
        <f>COUNTIFS('NC Qualité'!A:A,"&gt;=01/06/2020",'NC Qualité'!A:A,"&lt;=30/06/2020",'NC Qualité'!E:E,"Panneau coulé à plat",'NC Qualité'!R:R,"A")</f>
        <v>0</v>
      </c>
    </row>
    <row r="215" spans="1:28" ht="21">
      <c r="A215" s="64"/>
      <c r="B215" s="2" t="s">
        <v>0</v>
      </c>
      <c r="C215" s="23"/>
      <c r="D215">
        <f>COUNTIFS('NC Qualité'!A:A,"&gt;=01/06/2020",'NC Qualité'!A:A,"&lt;=30/06/2020",'NC Qualité'!E:E,"Bianchi",'NC Qualité'!J:J,"Problème d'étiquetage")</f>
        <v>0</v>
      </c>
      <c r="E215" s="23"/>
      <c r="F215">
        <f>COUNTIFS('NC Qualité'!A:A,"&gt;=01/06/2020",'NC Qualité'!A:A,"&lt;=30/06/2020",'NC Qualité'!E:E,"Bianchi",'NC Qualité'!J:J,"Aspect béton (tâches / nid d'abeilles / granuleux / Fissures etc.)")</f>
        <v>0</v>
      </c>
      <c r="G215" s="23"/>
      <c r="H215">
        <f>COUNTIFS('NC Qualité'!A:A,"&gt;=01/06/2020",'NC Qualité'!A:A,"&lt;=30/06/2020",'NC Qualité'!E:E,"Bianchi",'NC Qualité'!J:J,"Ancre de levage")</f>
        <v>0</v>
      </c>
      <c r="I215" s="23"/>
      <c r="J215">
        <f>COUNTIFS('NC Qualité'!A:A,"&gt;=01/06/2020",'NC Qualité'!A:A,"&lt;=30/06/2020",'NC Qualité'!E:E,"Bianchi",'NC Qualité'!J:J,"Armatures apparentes")</f>
        <v>0</v>
      </c>
      <c r="K215" s="23"/>
      <c r="L215" s="23"/>
      <c r="M215" s="23"/>
      <c r="N215" s="23"/>
      <c r="O215">
        <f>COUNTIFS('NC Qualité'!A:A,"&gt;=01/06/2020",'NC Qualité'!A:A,"&lt;=30/06/2020",'NC Qualité'!E:E,"Bianchi",'NC Qualité'!J:J,"Autres :")</f>
        <v>0</v>
      </c>
      <c r="P215">
        <f>COUNTIFS('NC Qualité'!A:A,"&gt;=01/06/2020",'NC Qualité'!A:A,"&lt;=30/06/2020",'NC Qualité'!E:E,"Bianchi",'NC Qualité'!J:J,"Accessoires (Mauvais positionnement , manquement, etc.)")</f>
        <v>0</v>
      </c>
      <c r="Q215">
        <f>COUNTIFS('NC Qualité'!A:A,"&gt;=01/06/2020",'NC Qualité'!A:A,"&lt;=30/06/2020",'NC Qualité'!E:E,"Bianchi",'NC Qualité'!J:J,"équerrisage")</f>
        <v>0</v>
      </c>
      <c r="R215">
        <f>COUNTIFS('NC Qualité'!A:A,"&gt;=01/06/2020",'NC Qualité'!A:A,"&lt;=30/06/2020",'NC Qualité'!E:E,"Bianchi",'NC Qualité'!J:J,"Seuil de porte (réservation)")</f>
        <v>0</v>
      </c>
      <c r="S215">
        <f>COUNTIFS('NC Qualité'!A:A,"&gt;=01/06/2020",'NC Qualité'!A:A,"&lt;=30/06/2020",'NC Qualité'!E:E,"Bianchi",'NC Qualité'!J:J,"épaisseur")</f>
        <v>0</v>
      </c>
      <c r="T215">
        <f>COUNTIFS('NC Qualité'!A:A,"&gt;=01/06/2020",'NC Qualité'!A:A,"&lt;=30/06/2020",'NC Qualité'!E:E,"Bianchi",'NC Qualité'!J:J,"Chanfrein")</f>
        <v>0</v>
      </c>
      <c r="U215">
        <f>COUNTIFS('NC Qualité'!A:A,"&gt;=01/06/2020",'NC Qualité'!A:A,"&lt;=30/06/2020",'NC Qualité'!E:E,"Bianchi",'NC Qualité'!J:J,"Dimensionnement (entraînant un rebut)")</f>
        <v>0</v>
      </c>
      <c r="V215">
        <f>COUNTIFS('NC Qualité'!A:A,"&gt;=01/06/2020",'NC Qualité'!A:A,"&lt;=30/06/2020",'NC Qualité'!E:E,"Bianchi",'NC Qualité'!J:J,"Cintrage")</f>
        <v>0</v>
      </c>
      <c r="W215">
        <f>COUNTIFS('NC Qualité'!A:A,"&gt;=01/06/2020",'NC Qualité'!A:A,"&lt;=30/06/2020",'NC Qualité'!E:E,"Bianchi",'NC Qualité'!J:J,"Problème de chargement (sanglage, casse etc.)")</f>
        <v>0</v>
      </c>
      <c r="X215" s="29">
        <f>COUNTIFS('NC Qualité'!A:A,"&gt;=01/06/2020",'NC Qualité'!A:A,"&lt;=30/06/2020",'NC Qualité'!E:E,"Bianchi",'NC Qualité'!J:J,"Erreur de chargement ")</f>
        <v>0</v>
      </c>
      <c r="AA215" s="32">
        <f>COUNTIFS('NC Qualité'!A:A,"&gt;=01/06/2020",'NC Qualité'!A:A,"&lt;=30/06/2020",'NC Qualité'!E:E,"Bianchi",'NC Qualité'!T:T,1)</f>
        <v>0</v>
      </c>
      <c r="AB215" s="32">
        <f>COUNTIFS('NC Qualité'!A:A,"&gt;=01/06/2020",'NC Qualité'!A:A,"&lt;=30/06/2020",'NC Qualité'!E:E,"Bianchi",'NC Qualité'!R:R,"A")</f>
        <v>0</v>
      </c>
    </row>
    <row r="216" spans="1:28" ht="30">
      <c r="A216" s="64"/>
      <c r="B216" s="2" t="s">
        <v>4</v>
      </c>
      <c r="C216" s="23"/>
      <c r="D216">
        <f>COUNTIFS('NC Qualité'!A:A,"&gt;=01/06/2020",'NC Qualité'!A:A,"&lt;=30/06/2020",'NC Qualité'!E:E,"Préfabrication",'NC Qualité'!J:J,"Problème d'étiquetage")</f>
        <v>0</v>
      </c>
      <c r="E216" s="23"/>
      <c r="F216">
        <f>COUNTIFS('NC Qualité'!A:A,"&gt;=01/06/2020",'NC Qualité'!A:A,"&lt;=30/06/2020",'NC Qualité'!E:E,"Préfabrication",'NC Qualité'!J:J,"Aspect béton (tâches / nid d'abeilles / granuleux / Fissures etc.)")</f>
        <v>0</v>
      </c>
      <c r="G216" s="23"/>
      <c r="H216">
        <f>COUNTIFS('NC Qualité'!A:A,"&gt;=01/06/2020",'NC Qualité'!A:A,"&lt;=30/06/2020",'NC Qualité'!E:E,"Préfabrication",'NC Qualité'!J:J,"Ancre de levage")</f>
        <v>0</v>
      </c>
      <c r="I216" s="23"/>
      <c r="J216">
        <f>COUNTIFS('NC Qualité'!A:A,"&gt;=01/06/2020",'NC Qualité'!A:A,"&lt;=30/06/2020",'NC Qualité'!E:E,"Préfabrication",'NC Qualité'!J:J,"Armatures apparentes")</f>
        <v>0</v>
      </c>
      <c r="K216" s="23"/>
      <c r="L216" s="23"/>
      <c r="M216" s="23"/>
      <c r="N216" s="23"/>
      <c r="O216">
        <f>COUNTIFS('NC Qualité'!A:A,"&gt;=01/06/2020",'NC Qualité'!A:A,"&lt;=30/06/2020",'NC Qualité'!E:E,"Préfabrication",'NC Qualité'!J:J,"Autres :")</f>
        <v>0</v>
      </c>
      <c r="P216">
        <f>COUNTIFS('NC Qualité'!A:A,"&gt;=01/06/2020",'NC Qualité'!A:A,"&lt;=30/06/2020",'NC Qualité'!E:E,"Préfabrication",'NC Qualité'!J:J,"Accessoires (Mauvais positionnement , manquement, etc.)")</f>
        <v>0</v>
      </c>
      <c r="Q216">
        <f>COUNTIFS('NC Qualité'!A:A,"&gt;=01/06/2020",'NC Qualité'!A:A,"&lt;=30/06/2020",'NC Qualité'!E:E,"Préfabrication",'NC Qualité'!J:J,"équerrisage")</f>
        <v>0</v>
      </c>
      <c r="R216">
        <f>COUNTIFS('NC Qualité'!A:A,"&gt;=01/06/2020",'NC Qualité'!A:A,"&lt;=30/06/2020",'NC Qualité'!E:E,"Préfabrication",'NC Qualité'!J:J,"Seuil de porte (réservation)")</f>
        <v>0</v>
      </c>
      <c r="S216">
        <f>COUNTIFS('NC Qualité'!A:A,"&gt;=01/06/2020",'NC Qualité'!A:A,"&lt;=30/06/2020",'NC Qualité'!E:E,"Préfabrication",'NC Qualité'!J:J,"épaisseur")</f>
        <v>0</v>
      </c>
      <c r="T216">
        <f>COUNTIFS('NC Qualité'!A:A,"&gt;=01/06/2020",'NC Qualité'!A:A,"&lt;=30/06/2020",'NC Qualité'!E:E,"Préfabrication",'NC Qualité'!J:J,"Chanfrein")</f>
        <v>0</v>
      </c>
      <c r="U216">
        <f>COUNTIFS('NC Qualité'!A:A,"&gt;=01/06/2020",'NC Qualité'!A:A,"&lt;=30/06/2020",'NC Qualité'!E:E,"Préfabrication",'NC Qualité'!J:J,"Dimensionnement (entraînant un rebut)")</f>
        <v>0</v>
      </c>
      <c r="V216">
        <f>COUNTIFS('NC Qualité'!A:A,"&gt;=01/06/2020",'NC Qualité'!A:A,"&lt;=30/06/2020",'NC Qualité'!E:E,"Préfabrication",'NC Qualité'!J:J,"Cintrage")</f>
        <v>0</v>
      </c>
      <c r="W216">
        <f>COUNTIFS('NC Qualité'!A:A,"&gt;=01/06/2020",'NC Qualité'!A:A,"&lt;=30/06/2020",'NC Qualité'!E:E,"Préfabrication",'NC Qualité'!J:J,"Problème de chargement (sanglage, casse etc.)")</f>
        <v>0</v>
      </c>
      <c r="X216" s="29">
        <f>COUNTIFS('NC Qualité'!A:A,"&gt;=01/06/2020",'NC Qualité'!A:A,"&lt;=30/06/2020",'NC Qualité'!E:E,"Préfabrication",'NC Qualité'!J:J,"Erreur de chargement ")</f>
        <v>0</v>
      </c>
      <c r="AA216" s="32">
        <f>COUNTIFS('NC Qualité'!A:A,"&gt;=01/06/2020",'NC Qualité'!A:A,"&lt;=30/06/2020",'NC Qualité'!E:E,"Préfabrication",'NC Qualité'!T:T,1)</f>
        <v>0</v>
      </c>
      <c r="AB216" s="32">
        <f>COUNTIFS('NC Qualité'!A:A,"&gt;=01/06/2020",'NC Qualité'!A:A,"&lt;=30/06/2020",'NC Qualité'!E:E,"Préfabrication",'NC Qualité'!R:R,"A")</f>
        <v>0</v>
      </c>
    </row>
    <row r="217" spans="1:28" ht="30">
      <c r="A217" s="64"/>
      <c r="B217" s="17" t="s">
        <v>3</v>
      </c>
      <c r="C217" s="23"/>
      <c r="D217">
        <f>COUNTIFS('NC Qualité'!A:A,"&gt;=01/06/2020",'NC Qualité'!A:A,"&lt;=30/06/2020",'NC Qualité'!E:E,"Précontraint",'NC Qualité'!J:J,"Problème d'étiquetage")</f>
        <v>0</v>
      </c>
      <c r="E217" s="23"/>
      <c r="F217">
        <f>COUNTIFS('NC Qualité'!A:A,"&gt;=01/06/2020",'NC Qualité'!A:A,"&lt;=30/06/2020",'NC Qualité'!E:E,"Précontraint",'NC Qualité'!J:J,"Aspect béton (tâches / nid d'abeilles / granuleux / Fissures etc.)")</f>
        <v>0</v>
      </c>
      <c r="G217" s="23"/>
      <c r="H217">
        <f>COUNTIFS('NC Qualité'!A:A,"&gt;=01/06/2020",'NC Qualité'!A:A,"&lt;=30/06/2020",'NC Qualité'!E:E,"Précontraint",'NC Qualité'!J:J,"Ancre de levage")</f>
        <v>0</v>
      </c>
      <c r="I217" s="23"/>
      <c r="J217">
        <f>COUNTIFS('NC Qualité'!A:A,"&gt;=01/06/2020",'NC Qualité'!A:A,"&lt;=30/06/2020",'NC Qualité'!E:E,"Précontraint",'NC Qualité'!J:J,"Armatures apparentes")</f>
        <v>0</v>
      </c>
      <c r="K217" s="23"/>
      <c r="L217" s="23"/>
      <c r="M217" s="23"/>
      <c r="N217" s="23"/>
      <c r="O217">
        <f>COUNTIFS('NC Qualité'!A:A,"&gt;=01/06/2020",'NC Qualité'!A:A,"&lt;=30/06/2020",'NC Qualité'!E:E,"Précontraint",'NC Qualité'!J:J,"Autres :")</f>
        <v>0</v>
      </c>
      <c r="P217">
        <f>COUNTIFS('NC Qualité'!A:A,"&gt;=01/06/2020",'NC Qualité'!A:A,"&lt;=30/06/2020",'NC Qualité'!E:E,"Précontraint",'NC Qualité'!J:J,"Accessoires (Mauvais positionnement , manquement, etc.)")</f>
        <v>0</v>
      </c>
      <c r="Q217">
        <f>COUNTIFS('NC Qualité'!A:A,"&gt;=01/06/2020",'NC Qualité'!A:A,"&lt;=30/06/2020",'NC Qualité'!E:E,"Précontraint",'NC Qualité'!J:J,"équerrisage")</f>
        <v>0</v>
      </c>
      <c r="R217">
        <f>COUNTIFS('NC Qualité'!A:A,"&gt;=01/06/2020",'NC Qualité'!A:A,"&lt;=30/06/2020",'NC Qualité'!E:E,"Précontraint",'NC Qualité'!J:J,"Seuil de porte (réservation)")</f>
        <v>0</v>
      </c>
      <c r="S217">
        <f>COUNTIFS('NC Qualité'!A:A,"&gt;=01/06/2020",'NC Qualité'!A:A,"&lt;=30/06/2020",'NC Qualité'!E:E,"Précontraint",'NC Qualité'!J:J,"épaisseur")</f>
        <v>0</v>
      </c>
      <c r="T217">
        <f>COUNTIFS('NC Qualité'!A:A,"&gt;=01/06/2020",'NC Qualité'!A:A,"&lt;=30/06/2020",'NC Qualité'!E:E,"Précontraint",'NC Qualité'!J:J,"Chanfrein")</f>
        <v>0</v>
      </c>
      <c r="U217">
        <f>COUNTIFS('NC Qualité'!A:A,"&gt;=01/06/2020",'NC Qualité'!A:A,"&lt;=30/06/2020",'NC Qualité'!E:E,"Précontraint",'NC Qualité'!J:J,"Dimensionnement (entraînant un rebut)")</f>
        <v>0</v>
      </c>
      <c r="V217">
        <f>COUNTIFS('NC Qualité'!A:A,"&gt;=01/06/2020",'NC Qualité'!A:A,"&lt;=30/06/2020",'NC Qualité'!E:E,"Précontraint",'NC Qualité'!J:J,"Cintrage")</f>
        <v>0</v>
      </c>
      <c r="W217">
        <f>COUNTIFS('NC Qualité'!A:A,"&gt;=01/06/2020",'NC Qualité'!A:A,"&lt;=30/06/2020",'NC Qualité'!E:E,"Précontraint",'NC Qualité'!J:J,"Problème de chargement (sanglage, casse etc.)")</f>
        <v>0</v>
      </c>
      <c r="X217" s="29">
        <f>COUNTIFS('NC Qualité'!A:A,"&gt;=01/06/2020",'NC Qualité'!A:A,"&lt;=30/06/2020",'NC Qualité'!E:E,"Précontraint",'NC Qualité'!J:J,"Erreur de chargement ")</f>
        <v>0</v>
      </c>
      <c r="AA217" s="32">
        <f>COUNTIFS('NC Qualité'!A:A,"&gt;=01/06/2020",'NC Qualité'!A:A,"&lt;=30/06/2020",'NC Qualité'!E:E,"Précontraint",'NC Qualité'!T:T,1)</f>
        <v>0</v>
      </c>
      <c r="AB217" s="32">
        <f>COUNTIFS('NC Qualité'!A:A,"&gt;=01/06/2020",'NC Qualité'!A:A,"&lt;=30/06/2020",'NC Qualité'!E:E,"Précontraint",'NC Qualité'!R:R,"A")</f>
        <v>0</v>
      </c>
    </row>
    <row r="218" spans="1:28" ht="21">
      <c r="A218" s="64"/>
      <c r="B218" s="2" t="s">
        <v>2</v>
      </c>
      <c r="C218" s="24"/>
      <c r="D218" s="25">
        <f>COUNTIFS('NC Qualité'!A:A,"&gt;=01/06/2020",'NC Qualité'!A:A,"&lt;=30/06/2020",'NC Qualité'!E:E,"Parc",'NC Qualité'!J:J,"Problème d'étiquetage")</f>
        <v>0</v>
      </c>
      <c r="E218" s="26"/>
      <c r="F218" s="25">
        <f>COUNTIFS('NC Qualité'!A:A,"&gt;=01/06/2020",'NC Qualité'!A:A,"&lt;=30/06/2020",'NC Qualité'!E:E,"Parc",'NC Qualité'!J:J,"Aspect béton (tâches / nid d'abeilles / granuleux / Fissures etc.)")</f>
        <v>0</v>
      </c>
      <c r="G218" s="26"/>
      <c r="H218" s="25">
        <f>COUNTIFS('NC Qualité'!A:A,"&gt;=01/06/2020",'NC Qualité'!A:A,"&lt;=30/06/2020",'NC Qualité'!E:E,"Parc",'NC Qualité'!J:J,"Ancre de levage")</f>
        <v>0</v>
      </c>
      <c r="I218" s="26"/>
      <c r="J218" s="25">
        <f>COUNTIFS('NC Qualité'!A:A,"&gt;=01/06/2020",'NC Qualité'!A:A,"&lt;=30/06/2020",'NC Qualité'!E:E,"Parc",'NC Qualité'!J:J,"Armatures apparentes")</f>
        <v>0</v>
      </c>
      <c r="K218" s="26"/>
      <c r="L218" s="26"/>
      <c r="M218" s="26"/>
      <c r="N218" s="26"/>
      <c r="O218" s="25">
        <f>COUNTIFS('NC Qualité'!A:A,"&gt;=01/06/2020",'NC Qualité'!A:A,"&lt;=30/06/2020",'NC Qualité'!E:E,"Parc",'NC Qualité'!J:J,"Autres :")</f>
        <v>0</v>
      </c>
      <c r="P218" s="25">
        <f>COUNTIFS('NC Qualité'!A:A,"&gt;=01/06/2020",'NC Qualité'!A:A,"&lt;=30/06/2020",'NC Qualité'!E:E,"Parc",'NC Qualité'!J:J,"Accessoires (Mauvais positionnement , manquement, etc.)")</f>
        <v>0</v>
      </c>
      <c r="Q218" s="25">
        <f>COUNTIFS('NC Qualité'!A:A,"&gt;=01/06/2020",'NC Qualité'!A:A,"&lt;=30/06/2020",'NC Qualité'!E:E,"Parc",'NC Qualité'!J:J,"équerrisage")</f>
        <v>0</v>
      </c>
      <c r="R218" s="25">
        <f>COUNTIFS('NC Qualité'!A:A,"&gt;=01/06/2020",'NC Qualité'!A:A,"&lt;=30/06/2020",'NC Qualité'!E:E,"Parc",'NC Qualité'!J:J,"Seuil de porte (réservation)")</f>
        <v>0</v>
      </c>
      <c r="S218" s="25">
        <f>COUNTIFS('NC Qualité'!A:A,"&gt;=01/06/2020",'NC Qualité'!A:A,"&lt;=30/06/2020",'NC Qualité'!E:E,"Parc",'NC Qualité'!J:J,"épaisseur")</f>
        <v>0</v>
      </c>
      <c r="T218" s="25">
        <f>COUNTIFS('NC Qualité'!A:A,"&gt;=01/06/2020",'NC Qualité'!A:A,"&lt;=30/06/2020",'NC Qualité'!E:E,"Parc",'NC Qualité'!J:J,"Chanfrein")</f>
        <v>0</v>
      </c>
      <c r="U218" s="25">
        <f>COUNTIFS('NC Qualité'!A:A,"&gt;=01/06/2020",'NC Qualité'!A:A,"&lt;=30/06/2020",'NC Qualité'!E:E,"Parc",'NC Qualité'!J:J,"Dimensionnement (entraînant un rebut)")</f>
        <v>0</v>
      </c>
      <c r="V218" s="25">
        <f>COUNTIFS('NC Qualité'!A:A,"&gt;=01/06/2020",'NC Qualité'!A:A,"&lt;=30/06/2020",'NC Qualité'!E:E,"Parc",'NC Qualité'!J:J,"Cintrage")</f>
        <v>0</v>
      </c>
      <c r="W218" s="25">
        <f>COUNTIFS('NC Qualité'!A:A,"&gt;=01/06/2020",'NC Qualité'!A:A,"&lt;=30/06/2020",'NC Qualité'!E:E,"Parc",'NC Qualité'!J:J,"Problème de chargement (sanglage, casse etc.)")</f>
        <v>0</v>
      </c>
      <c r="X218" s="30">
        <f>COUNTIFS('NC Qualité'!A:A,"&gt;=01/06/2020",'NC Qualité'!A:A,"&lt;=30/06/2020",'NC Qualité'!E:E,"Parc",'NC Qualité'!J:J,"Erreur de chargement ")</f>
        <v>0</v>
      </c>
      <c r="AA218" s="32">
        <f>COUNTIFS('NC Qualité'!A:A,"&gt;=01/06/2020",'NC Qualité'!A:A,"&lt;=30/06/2020",'NC Qualité'!E:E,"Parc",'NC Qualité'!T:T,1)</f>
        <v>0</v>
      </c>
      <c r="AB218" s="32">
        <f>COUNTIFS('NC Qualité'!A:A,"&gt;=01/06/2020",'NC Qualité'!A:A,"&lt;=30/06/2020",'NC Qualité'!E:E,"Parc",'NC Qualité'!R:R,"A")</f>
        <v>0</v>
      </c>
    </row>
    <row r="219" spans="1:28" ht="23.25">
      <c r="AA219" s="35">
        <f>SUM(AA207:AA218)</f>
        <v>0</v>
      </c>
      <c r="AB219" s="35">
        <f>SUM(AB207:AB218)</f>
        <v>0</v>
      </c>
    </row>
    <row r="220" spans="1:28" ht="15.75" thickBot="1"/>
    <row r="221" spans="1:28" ht="15.75" thickBot="1">
      <c r="A221" s="43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5"/>
    </row>
    <row r="223" spans="1:28">
      <c r="B223" t="s">
        <v>69</v>
      </c>
    </row>
    <row r="225" spans="1:28" ht="105">
      <c r="B225" s="15" t="s">
        <v>34</v>
      </c>
      <c r="C225" s="22" t="s">
        <v>36</v>
      </c>
      <c r="D225" s="22" t="s">
        <v>5</v>
      </c>
      <c r="E225" s="22" t="s">
        <v>41</v>
      </c>
      <c r="F225" s="22" t="s">
        <v>31</v>
      </c>
      <c r="G225" s="22" t="s">
        <v>42</v>
      </c>
      <c r="H225" s="22" t="s">
        <v>43</v>
      </c>
      <c r="I225" s="22" t="s">
        <v>44</v>
      </c>
      <c r="J225" s="22" t="s">
        <v>45</v>
      </c>
      <c r="K225" s="22" t="s">
        <v>46</v>
      </c>
      <c r="L225" s="22" t="s">
        <v>47</v>
      </c>
      <c r="M225" s="22" t="s">
        <v>48</v>
      </c>
      <c r="N225" s="22" t="s">
        <v>49</v>
      </c>
      <c r="O225" s="22" t="s">
        <v>50</v>
      </c>
      <c r="P225" s="22" t="s">
        <v>29</v>
      </c>
      <c r="Q225" s="22" t="s">
        <v>53</v>
      </c>
      <c r="R225" s="22" t="s">
        <v>32</v>
      </c>
      <c r="S225" s="22" t="s">
        <v>54</v>
      </c>
      <c r="T225" s="22" t="s">
        <v>6</v>
      </c>
      <c r="U225" s="22" t="s">
        <v>30</v>
      </c>
      <c r="V225" s="22" t="s">
        <v>8</v>
      </c>
      <c r="W225" s="22" t="s">
        <v>33</v>
      </c>
      <c r="X225" s="22" t="s">
        <v>55</v>
      </c>
      <c r="AA225" s="34" t="s">
        <v>57</v>
      </c>
      <c r="AB225" s="33" t="s">
        <v>56</v>
      </c>
    </row>
    <row r="226" spans="1:28" ht="21">
      <c r="A226" s="64" t="s">
        <v>52</v>
      </c>
      <c r="B226" s="21" t="s">
        <v>27</v>
      </c>
      <c r="P226" s="23"/>
      <c r="Q226" s="23"/>
      <c r="R226" s="23"/>
      <c r="S226" s="23"/>
      <c r="T226" s="23"/>
      <c r="U226" s="23"/>
      <c r="V226" s="23"/>
      <c r="W226" s="23"/>
      <c r="X226" s="27"/>
      <c r="AA226" s="32"/>
      <c r="AB226" s="32"/>
    </row>
    <row r="227" spans="1:28" ht="21">
      <c r="A227" s="64"/>
      <c r="B227" s="2" t="s">
        <v>1</v>
      </c>
      <c r="P227" s="23"/>
      <c r="Q227" s="23"/>
      <c r="R227" s="23"/>
      <c r="S227" s="23"/>
      <c r="T227" s="23"/>
      <c r="U227" s="23"/>
      <c r="V227" s="23"/>
      <c r="W227" s="23"/>
      <c r="X227" s="28"/>
      <c r="AA227" s="32"/>
      <c r="AB227" s="32"/>
    </row>
    <row r="228" spans="1:28" ht="45">
      <c r="A228" s="64"/>
      <c r="B228" s="2" t="s">
        <v>28</v>
      </c>
      <c r="P228" s="23"/>
      <c r="Q228" s="23"/>
      <c r="R228" s="23"/>
      <c r="S228" s="23"/>
      <c r="T228" s="23"/>
      <c r="U228" s="23"/>
      <c r="V228" s="23"/>
      <c r="W228" s="23"/>
      <c r="X228" s="28"/>
      <c r="AA228" s="32"/>
      <c r="AB228" s="32"/>
    </row>
    <row r="229" spans="1:28" ht="30">
      <c r="A229" s="64"/>
      <c r="B229" s="16" t="s">
        <v>37</v>
      </c>
      <c r="P229" s="23"/>
      <c r="Q229" s="23"/>
      <c r="R229" s="23"/>
      <c r="S229" s="23"/>
      <c r="T229" s="23"/>
      <c r="U229" s="23"/>
      <c r="V229" s="23"/>
      <c r="W229" s="23"/>
      <c r="X229" s="28"/>
      <c r="AA229" s="32"/>
      <c r="AB229" s="32"/>
    </row>
    <row r="230" spans="1:28" ht="45">
      <c r="A230" s="64"/>
      <c r="B230" s="16" t="s">
        <v>38</v>
      </c>
      <c r="P230" s="23"/>
      <c r="Q230" s="23"/>
      <c r="R230" s="23"/>
      <c r="S230" s="23"/>
      <c r="T230" s="23"/>
      <c r="U230" s="23"/>
      <c r="V230" s="23"/>
      <c r="W230" s="23"/>
      <c r="X230" s="28"/>
      <c r="AA230" s="32"/>
      <c r="AB230" s="32"/>
    </row>
    <row r="231" spans="1:28" ht="45">
      <c r="A231" s="64"/>
      <c r="B231" s="16" t="s">
        <v>39</v>
      </c>
      <c r="P231" s="23"/>
      <c r="Q231" s="23"/>
      <c r="R231" s="23"/>
      <c r="S231" s="23"/>
      <c r="T231" s="23"/>
      <c r="U231" s="23"/>
      <c r="V231" s="23"/>
      <c r="W231" s="23"/>
      <c r="X231" s="28"/>
      <c r="AA231" s="32"/>
      <c r="AB231" s="32"/>
    </row>
    <row r="232" spans="1:28" ht="45">
      <c r="A232" s="64"/>
      <c r="B232" s="2" t="s">
        <v>40</v>
      </c>
      <c r="P232" s="23"/>
      <c r="Q232" s="23"/>
      <c r="R232" s="23"/>
      <c r="S232" s="23"/>
      <c r="T232" s="23"/>
      <c r="U232" s="23"/>
      <c r="V232" s="23"/>
      <c r="W232" s="23"/>
      <c r="X232" s="28"/>
      <c r="AA232" s="32"/>
      <c r="AB232" s="32"/>
    </row>
    <row r="233" spans="1:28" ht="30">
      <c r="A233" s="64" t="s">
        <v>51</v>
      </c>
      <c r="B233" s="2" t="s">
        <v>7</v>
      </c>
      <c r="C233" s="23"/>
      <c r="D233">
        <f>COUNTIFS('NC Qualité'!A:A,"&gt;=01/07/2020",'NC Qualité'!A:A,"&lt;=31/07/2020",'NC Qualité'!E:E,"Panneau coulé à plat",'NC Qualité'!J:J,"Problème d'étiquetage")</f>
        <v>0</v>
      </c>
      <c r="E233" s="23"/>
      <c r="F233">
        <f>COUNTIFS('NC Qualité'!A:A,"&gt;=01/07/2020",'NC Qualité'!A:A,"&lt;=31/07/2020",'NC Qualité'!E:E,"Panneau coulé à plat",'NC Qualité'!J:J,"Aspect béton (tâches / nid d'abeilles / granuleux / Fissures etc.)")</f>
        <v>0</v>
      </c>
      <c r="G233" s="23"/>
      <c r="H233">
        <f>COUNTIFS('NC Qualité'!A:A,"&gt;=01/07/2020",'NC Qualité'!A:A,"&lt;=31/07/2020",'NC Qualité'!E:E,"Panneau coulé à plat",'NC Qualité'!J:J,"Ancre de levage")</f>
        <v>0</v>
      </c>
      <c r="I233" s="23"/>
      <c r="J233">
        <f>COUNTIFS('NC Qualité'!A:A,"&gt;=01/07/2020",'NC Qualité'!A:A,"&lt;=31/07/2020",'NC Qualité'!E:E,"Modul : Tuyaux Dn 1800 à 2630",'NC Qualité'!J:J,"Armatures apparentes")</f>
        <v>0</v>
      </c>
      <c r="K233" s="23"/>
      <c r="L233" s="23"/>
      <c r="M233" s="23"/>
      <c r="N233" s="23"/>
      <c r="O233">
        <f>COUNTIFS('NC Qualité'!A:A,"&gt;=01/07/2020",'NC Qualité'!A:A,"&lt;=31/07/2020",'NC Qualité'!E:E,"Panneau coulé à plat",'NC Qualité'!J:J,"Autres :")</f>
        <v>0</v>
      </c>
      <c r="P233">
        <f>COUNTIFS('NC Qualité'!A:A,"&gt;=01/07/2020",'NC Qualité'!A:A,"&lt;=31/07/2020",'NC Qualité'!E:E,"Panneau coulé à plat",'NC Qualité'!J:J,"Accessoires (Mauvais positionnement , manquement, etc.)")</f>
        <v>0</v>
      </c>
      <c r="Q233">
        <f>COUNTIFS('NC Qualité'!A:A,"&gt;=01/07/2020",'NC Qualité'!A:A,"&lt;=31/07/2020",'NC Qualité'!E:E,"Panneau coulé à plat",'NC Qualité'!J:J,"équerrisage")</f>
        <v>0</v>
      </c>
      <c r="R233">
        <f>COUNTIFS('NC Qualité'!A:A,"&gt;=01/07/2020",'NC Qualité'!A:A,"&lt;=31/07/2020",'NC Qualité'!E:E,"Panneau coulé à plat",'NC Qualité'!J:J,"Seuil de porte (réservation)")</f>
        <v>0</v>
      </c>
      <c r="S233">
        <f>COUNTIFS('NC Qualité'!A:A,"&gt;=01/07/2020",'NC Qualité'!A:A,"&lt;=31/07/2020",'NC Qualité'!E:E,"Panneau coulé à plat",'NC Qualité'!J:J,"épaisseur")</f>
        <v>0</v>
      </c>
      <c r="T233">
        <f>COUNTIFS('NC Qualité'!A:A,"&gt;=01/07/2020",'NC Qualité'!A:A,"&lt;=31/07/2020",'NC Qualité'!E:E,"Panneau coulé à plat",'NC Qualité'!J:J,"Chanfrein")</f>
        <v>0</v>
      </c>
      <c r="U233">
        <f>COUNTIFS('NC Qualité'!A:A,"&gt;=01/07/2020",'NC Qualité'!A:A,"&lt;=31/07/2020",'NC Qualité'!E:E,"Panneau coulé à plat",'NC Qualité'!J:J,"Dimensionnement (entraînant un rebut)")</f>
        <v>0</v>
      </c>
      <c r="V233">
        <f>COUNTIFS('NC Qualité'!A:A,"&gt;=01/07/2020",'NC Qualité'!A:A,"&lt;=31/07/2020",'NC Qualité'!E:E,"Panneau coulé à plat",'NC Qualité'!J:J,"Cintrage")</f>
        <v>0</v>
      </c>
      <c r="W233">
        <f>COUNTIFS('NC Qualité'!A:A,"&gt;=01/07/2020",'NC Qualité'!A:A,"&lt;=31/07/2020",'NC Qualité'!E:E,"Panneau coulé à plat",'NC Qualité'!J:J,"Problème de chargement (sanglage, casse etc.)")</f>
        <v>0</v>
      </c>
      <c r="X233" s="29">
        <f>COUNTIFS('NC Qualité'!A:A,"&gt;=01/07/2020",'NC Qualité'!A:A,"&lt;=31/07/2020",'NC Qualité'!E:E,"Panneau coulé à plat",'NC Qualité'!J:J,"Erreur de chargement ")</f>
        <v>0</v>
      </c>
      <c r="AA233" s="32">
        <f>COUNTIFS('NC Qualité'!A:A,"&gt;=01/07/2020",'NC Qualité'!A:A,"&lt;=31/07/2020",'NC Qualité'!E:E,"Panneau coulé à plat",'NC Qualité'!T:T,1)</f>
        <v>0</v>
      </c>
      <c r="AB233" s="32">
        <f>COUNTIFS('NC Qualité'!A:A,"&gt;=01/07/2020",'NC Qualité'!A:A,"&lt;=31/07/2020",'NC Qualité'!E:E,"Panneau coulé à plat",'NC Qualité'!R:R,"A")</f>
        <v>0</v>
      </c>
    </row>
    <row r="234" spans="1:28" ht="21">
      <c r="A234" s="64"/>
      <c r="B234" s="2" t="s">
        <v>0</v>
      </c>
      <c r="C234" s="23"/>
      <c r="D234">
        <f>COUNTIFS('NC Qualité'!A:A,"&gt;=01/07/2020",'NC Qualité'!A:A,"&lt;=31/07/2020",'NC Qualité'!E:E,"Bianchi",'NC Qualité'!J:J,"Problème d'étiquetage")</f>
        <v>0</v>
      </c>
      <c r="E234" s="23"/>
      <c r="F234">
        <f>COUNTIFS('NC Qualité'!A:A,"&gt;=01/07/2020",'NC Qualité'!A:A,"&lt;=31/07/2020",'NC Qualité'!E:E,"Bianchi",'NC Qualité'!J:J,"Aspect béton (tâches / nid d'abeilles / granuleux / Fissures etc.)")</f>
        <v>0</v>
      </c>
      <c r="G234" s="23"/>
      <c r="H234">
        <f>COUNTIFS('NC Qualité'!A:A,"&gt;=01/07/2020",'NC Qualité'!A:A,"&lt;=31/07/2020",'NC Qualité'!E:E,"Bianchi",'NC Qualité'!J:J,"Ancre de levage")</f>
        <v>0</v>
      </c>
      <c r="I234" s="23"/>
      <c r="J234">
        <f>COUNTIFS('NC Qualité'!A:A,"&gt;=01/07/2020",'NC Qualité'!A:A,"&lt;=31/07/2020",'NC Qualité'!E:E,"Bianchi",'NC Qualité'!J:J,"Armatures apparentes")</f>
        <v>0</v>
      </c>
      <c r="K234" s="23"/>
      <c r="L234" s="23"/>
      <c r="M234" s="23"/>
      <c r="N234" s="23"/>
      <c r="O234">
        <f>COUNTIFS('NC Qualité'!A:A,"&gt;=01/07/2020",'NC Qualité'!A:A,"&lt;=31/07/2020",'NC Qualité'!E:E,"Bianchi",'NC Qualité'!J:J,"Autres :")</f>
        <v>0</v>
      </c>
      <c r="P234">
        <f>COUNTIFS('NC Qualité'!A:A,"&gt;=01/07/2020",'NC Qualité'!A:A,"&lt;=31/07/2020",'NC Qualité'!E:E,"Bianchi",'NC Qualité'!J:J,"Accessoires (Mauvais positionnement , manquement, etc.)")</f>
        <v>0</v>
      </c>
      <c r="Q234">
        <f>COUNTIFS('NC Qualité'!A:A,"&gt;=01/07/2020",'NC Qualité'!A:A,"&lt;=31/07/2020",'NC Qualité'!E:E,"Bianchi",'NC Qualité'!J:J,"équerrisage")</f>
        <v>0</v>
      </c>
      <c r="R234">
        <f>COUNTIFS('NC Qualité'!A:A,"&gt;=01/07/2020",'NC Qualité'!A:A,"&lt;=31/07/2020",'NC Qualité'!E:E,"Bianchi",'NC Qualité'!J:J,"Seuil de porte (réservation)")</f>
        <v>0</v>
      </c>
      <c r="S234">
        <f>COUNTIFS('NC Qualité'!A:A,"&gt;=01/07/2020",'NC Qualité'!A:A,"&lt;=31/07/2020",'NC Qualité'!E:E,"Bianchi",'NC Qualité'!J:J,"épaisseur")</f>
        <v>0</v>
      </c>
      <c r="T234">
        <f>COUNTIFS('NC Qualité'!A:A,"&gt;=01/07/2020",'NC Qualité'!A:A,"&lt;=31/07/2020",'NC Qualité'!E:E,"Bianchi",'NC Qualité'!J:J,"Chanfrein")</f>
        <v>0</v>
      </c>
      <c r="U234">
        <f>COUNTIFS('NC Qualité'!A:A,"&gt;=01/07/2020",'NC Qualité'!A:A,"&lt;=31/07/2020",'NC Qualité'!E:E,"Bianchi",'NC Qualité'!J:J,"Dimensionnement (entraînant un rebut)")</f>
        <v>0</v>
      </c>
      <c r="V234">
        <f>COUNTIFS('NC Qualité'!A:A,"&gt;=01/07/2020",'NC Qualité'!A:A,"&lt;=31/07/2020",'NC Qualité'!E:E,"Bianchi",'NC Qualité'!J:J,"Cintrage")</f>
        <v>0</v>
      </c>
      <c r="W234">
        <f>COUNTIFS('NC Qualité'!A:A,"&gt;=01/07/2020",'NC Qualité'!A:A,"&lt;=31/07/2020",'NC Qualité'!E:E,"Bianchi",'NC Qualité'!J:J,"Problème de chargement (sanglage, casse etc.)")</f>
        <v>0</v>
      </c>
      <c r="X234" s="29">
        <f>COUNTIFS('NC Qualité'!A:A,"&gt;=01/07/2020",'NC Qualité'!A:A,"&lt;=31/07/2020",'NC Qualité'!E:E,"Bianchi",'NC Qualité'!J:J,"Erreur de chargement ")</f>
        <v>0</v>
      </c>
      <c r="AA234" s="32">
        <f>COUNTIFS('NC Qualité'!A:A,"&gt;=01/07/2020",'NC Qualité'!A:A,"&lt;=31/07/2020",'NC Qualité'!E:E,"Bianchi",'NC Qualité'!T:T,1)</f>
        <v>0</v>
      </c>
      <c r="AB234" s="32">
        <f>COUNTIFS('NC Qualité'!A:A,"&gt;=01/07/2020",'NC Qualité'!A:A,"&lt;=31/07/2020",'NC Qualité'!E:E,"Bianchi",'NC Qualité'!R:R,"A")</f>
        <v>0</v>
      </c>
    </row>
    <row r="235" spans="1:28" ht="30">
      <c r="A235" s="64"/>
      <c r="B235" s="2" t="s">
        <v>4</v>
      </c>
      <c r="C235" s="23"/>
      <c r="D235">
        <f>COUNTIFS('NC Qualité'!A:A,"&gt;=01/07/2020",'NC Qualité'!A:A,"&lt;=31/07/2020",'NC Qualité'!E:E,"Préfabrication",'NC Qualité'!J:J,"Problème d'étiquetage")</f>
        <v>0</v>
      </c>
      <c r="E235" s="23"/>
      <c r="F235">
        <f>COUNTIFS('NC Qualité'!A:A,"&gt;=01/07/2020",'NC Qualité'!A:A,"&lt;=31/07/2020",'NC Qualité'!E:E,"Préfabrication",'NC Qualité'!J:J,"Aspect béton (tâches / nid d'abeilles / granuleux / Fissures etc.)")</f>
        <v>0</v>
      </c>
      <c r="G235" s="23"/>
      <c r="H235">
        <f>COUNTIFS('NC Qualité'!A:A,"&gt;=01/07/2020",'NC Qualité'!A:A,"&lt;=31/07/2020",'NC Qualité'!E:E,"Préfabrication",'NC Qualité'!J:J,"Ancre de levage")</f>
        <v>0</v>
      </c>
      <c r="I235" s="23"/>
      <c r="J235">
        <f>COUNTIFS('NC Qualité'!A:A,"&gt;=01/07/2020",'NC Qualité'!A:A,"&lt;=31/07/2020",'NC Qualité'!E:E,"Préfabrication",'NC Qualité'!J:J,"Armatures apparentes")</f>
        <v>0</v>
      </c>
      <c r="K235" s="23"/>
      <c r="L235" s="23"/>
      <c r="M235" s="23"/>
      <c r="N235" s="23"/>
      <c r="O235">
        <f>COUNTIFS('NC Qualité'!A:A,"&gt;=01/07/2020",'NC Qualité'!A:A,"&lt;=31/07/2020",'NC Qualité'!E:E,"Préfabrication",'NC Qualité'!J:J,"Autres :")</f>
        <v>0</v>
      </c>
      <c r="P235">
        <f>COUNTIFS('NC Qualité'!A:A,"&gt;=01/07/2020",'NC Qualité'!A:A,"&lt;=31/07/2020",'NC Qualité'!E:E,"Préfabrication",'NC Qualité'!J:J,"Accessoires (Mauvais positionnement , manquement, etc.)")</f>
        <v>0</v>
      </c>
      <c r="Q235">
        <f>COUNTIFS('NC Qualité'!A:A,"&gt;=01/07/2020",'NC Qualité'!A:A,"&lt;=31/07/2020",'NC Qualité'!E:E,"Préfabrication",'NC Qualité'!J:J,"équerrisage")</f>
        <v>0</v>
      </c>
      <c r="R235">
        <f>COUNTIFS('NC Qualité'!A:A,"&gt;=01/07/2020",'NC Qualité'!A:A,"&lt;=31/07/2020",'NC Qualité'!E:E,"Préfabrication",'NC Qualité'!J:J,"Seuil de porte (réservation)")</f>
        <v>0</v>
      </c>
      <c r="S235">
        <f>COUNTIFS('NC Qualité'!A:A,"&gt;=01/07/2020",'NC Qualité'!A:A,"&lt;=31/07/2020",'NC Qualité'!E:E,"Préfabrication",'NC Qualité'!J:J,"épaisseur")</f>
        <v>0</v>
      </c>
      <c r="T235">
        <f>COUNTIFS('NC Qualité'!A:A,"&gt;=01/07/2020",'NC Qualité'!A:A,"&lt;=31/07/2020",'NC Qualité'!E:E,"Préfabrication",'NC Qualité'!J:J,"Chanfrein")</f>
        <v>0</v>
      </c>
      <c r="U235">
        <f>COUNTIFS('NC Qualité'!A:A,"&gt;=01/07/2020",'NC Qualité'!A:A,"&lt;=31/07/2020",'NC Qualité'!E:E,"Préfabrication",'NC Qualité'!J:J,"Dimensionnement (entraînant un rebut)")</f>
        <v>0</v>
      </c>
      <c r="V235">
        <f>COUNTIFS('NC Qualité'!A:A,"&gt;=01/07/2020",'NC Qualité'!A:A,"&lt;=31/07/2020",'NC Qualité'!E:E,"Préfabrication",'NC Qualité'!J:J,"Cintrage")</f>
        <v>0</v>
      </c>
      <c r="W235">
        <f>COUNTIFS('NC Qualité'!A:A,"&gt;=01/07/2020",'NC Qualité'!A:A,"&lt;=31/07/2020",'NC Qualité'!E:E,"Préfabrication",'NC Qualité'!J:J,"Problème de chargement (sanglage, casse etc.)")</f>
        <v>0</v>
      </c>
      <c r="X235" s="29">
        <f>COUNTIFS('NC Qualité'!A:A,"&gt;=01/07/2020",'NC Qualité'!A:A,"&lt;=31/07/2020",'NC Qualité'!E:E,"Préfabrication",'NC Qualité'!J:J,"Erreur de chargement ")</f>
        <v>0</v>
      </c>
      <c r="AA235" s="32">
        <f>COUNTIFS('NC Qualité'!A:A,"&gt;=01/07/2020",'NC Qualité'!A:A,"&lt;=31/07/2020",'NC Qualité'!E:E,"Préfabrication",'NC Qualité'!T:T,1)</f>
        <v>0</v>
      </c>
      <c r="AB235" s="32">
        <f>COUNTIFS('NC Qualité'!A:A,"&gt;=01/07/2020",'NC Qualité'!A:A,"&lt;=31/07/2020",'NC Qualité'!E:E,"Préfabrication",'NC Qualité'!R:R,"A")</f>
        <v>0</v>
      </c>
    </row>
    <row r="236" spans="1:28" ht="30">
      <c r="A236" s="64"/>
      <c r="B236" s="17" t="s">
        <v>3</v>
      </c>
      <c r="C236" s="23"/>
      <c r="D236">
        <f>COUNTIFS('NC Qualité'!A:A,"&gt;=01/07/2020",'NC Qualité'!A:A,"&lt;=31/07/2020",'NC Qualité'!E:E,"Précontraint",'NC Qualité'!J:J,"Problème d'étiquetage")</f>
        <v>0</v>
      </c>
      <c r="E236" s="23"/>
      <c r="F236">
        <f>COUNTIFS('NC Qualité'!A:A,"&gt;=01/07/2020",'NC Qualité'!A:A,"&lt;=31/07/2020",'NC Qualité'!E:E,"Précontraint",'NC Qualité'!J:J,"Aspect béton (tâches / nid d'abeilles / granuleux / Fissures etc.)")</f>
        <v>0</v>
      </c>
      <c r="G236" s="23"/>
      <c r="H236">
        <f>COUNTIFS('NC Qualité'!A:A,"&gt;=01/07/2020",'NC Qualité'!A:A,"&lt;=31/07/2020",'NC Qualité'!E:E,"Précontraint",'NC Qualité'!J:J,"Ancre de levage")</f>
        <v>0</v>
      </c>
      <c r="I236" s="23"/>
      <c r="J236">
        <f>COUNTIFS('NC Qualité'!A:A,"&gt;=01/07/2020",'NC Qualité'!A:A,"&lt;=31/07/2020",'NC Qualité'!E:E,"Précontraint",'NC Qualité'!J:J,"Armatures apparentes")</f>
        <v>0</v>
      </c>
      <c r="K236" s="23"/>
      <c r="L236" s="23"/>
      <c r="M236" s="23"/>
      <c r="N236" s="23"/>
      <c r="O236">
        <f>COUNTIFS('NC Qualité'!A:A,"&gt;=01/07/2020",'NC Qualité'!A:A,"&lt;=31/07/2020",'NC Qualité'!E:E,"Précontraint",'NC Qualité'!J:J,"Autres :")</f>
        <v>0</v>
      </c>
      <c r="P236">
        <f>COUNTIFS('NC Qualité'!A:A,"&gt;=01/07/2020",'NC Qualité'!A:A,"&lt;=31/07/2020",'NC Qualité'!E:E,"Précontraint",'NC Qualité'!J:J,"Accessoires (Mauvais positionnement , manquement, etc.)")</f>
        <v>0</v>
      </c>
      <c r="Q236">
        <f>COUNTIFS('NC Qualité'!A:A,"&gt;=01/07/2020",'NC Qualité'!A:A,"&lt;=31/07/2020",'NC Qualité'!E:E,"Précontraint",'NC Qualité'!J:J,"équerrisage")</f>
        <v>0</v>
      </c>
      <c r="R236">
        <f>COUNTIFS('NC Qualité'!A:A,"&gt;=01/07/2020",'NC Qualité'!A:A,"&lt;=31/07/2020",'NC Qualité'!E:E,"Précontraint",'NC Qualité'!J:J,"Seuil de porte (réservation)")</f>
        <v>0</v>
      </c>
      <c r="S236">
        <f>COUNTIFS('NC Qualité'!A:A,"&gt;=01/07/2020",'NC Qualité'!A:A,"&lt;=31/07/2020",'NC Qualité'!E:E,"Précontraint",'NC Qualité'!J:J,"épaisseur")</f>
        <v>0</v>
      </c>
      <c r="T236">
        <f>COUNTIFS('NC Qualité'!A:A,"&gt;=01/07/2020",'NC Qualité'!A:A,"&lt;=31/07/2020",'NC Qualité'!E:E,"Précontraint",'NC Qualité'!J:J,"Chanfrein")</f>
        <v>0</v>
      </c>
      <c r="U236">
        <f>COUNTIFS('NC Qualité'!A:A,"&gt;=01/07/2020",'NC Qualité'!A:A,"&lt;=31/07/2020",'NC Qualité'!E:E,"Précontraint",'NC Qualité'!J:J,"Dimensionnement (entraînant un rebut)")</f>
        <v>0</v>
      </c>
      <c r="V236">
        <f>COUNTIFS('NC Qualité'!A:A,"&gt;=01/07/2020",'NC Qualité'!A:A,"&lt;=31/07/2020",'NC Qualité'!E:E,"Précontraint",'NC Qualité'!J:J,"Cintrage")</f>
        <v>0</v>
      </c>
      <c r="W236">
        <f>COUNTIFS('NC Qualité'!A:A,"&gt;=01/07/2020",'NC Qualité'!A:A,"&lt;=31/07/2020",'NC Qualité'!E:E,"Précontraint",'NC Qualité'!J:J,"Problème de chargement (sanglage, casse etc.)")</f>
        <v>0</v>
      </c>
      <c r="X236" s="29">
        <f>COUNTIFS('NC Qualité'!A:A,"&gt;=01/07/2020",'NC Qualité'!A:A,"&lt;=31/07/2020",'NC Qualité'!E:E,"Précontraint",'NC Qualité'!J:J,"Erreur de chargement ")</f>
        <v>0</v>
      </c>
      <c r="AA236" s="32">
        <f>COUNTIFS('NC Qualité'!A:A,"&gt;=01/07/2020",'NC Qualité'!A:A,"&lt;=31/07/2020",'NC Qualité'!E:E,"Précontraint",'NC Qualité'!T:T,1)</f>
        <v>0</v>
      </c>
      <c r="AB236" s="32">
        <f>COUNTIFS('NC Qualité'!A:A,"&gt;=01/07/2020",'NC Qualité'!A:A,"&lt;=31/07/2020",'NC Qualité'!E:E,"Précontraint",'NC Qualité'!R:R,"A")</f>
        <v>0</v>
      </c>
    </row>
    <row r="237" spans="1:28" ht="21">
      <c r="A237" s="64"/>
      <c r="B237" s="2" t="s">
        <v>2</v>
      </c>
      <c r="C237" s="24"/>
      <c r="D237" s="25">
        <f>COUNTIFS('NC Qualité'!A:A,"&gt;=01/07/2020",'NC Qualité'!A:A,"&lt;=31/07/2020",'NC Qualité'!E:E,"Parc",'NC Qualité'!J:J,"Problème d'étiquetage")</f>
        <v>0</v>
      </c>
      <c r="E237" s="26"/>
      <c r="F237" s="25">
        <f>COUNTIFS('NC Qualité'!A:A,"&gt;=01/07/2020",'NC Qualité'!A:A,"&lt;=31/07/2020",'NC Qualité'!E:E,"Parc",'NC Qualité'!J:J,"Aspect béton (tâches / nid d'abeilles / granuleux / Fissures etc.)")</f>
        <v>0</v>
      </c>
      <c r="G237" s="26"/>
      <c r="H237" s="25">
        <f>COUNTIFS('NC Qualité'!A:A,"&gt;=01/07/2020",'NC Qualité'!A:A,"&lt;=31/07/2020",'NC Qualité'!E:E,"Parc",'NC Qualité'!J:J,"Ancre de levage")</f>
        <v>0</v>
      </c>
      <c r="I237" s="26"/>
      <c r="J237" s="25">
        <f>COUNTIFS('NC Qualité'!A:A,"&gt;=01/07/2020",'NC Qualité'!A:A,"&lt;=31/07/2020",'NC Qualité'!E:E,"Parc",'NC Qualité'!J:J,"Armatures apparentes")</f>
        <v>0</v>
      </c>
      <c r="K237" s="26"/>
      <c r="L237" s="26"/>
      <c r="M237" s="26"/>
      <c r="N237" s="26"/>
      <c r="O237" s="25">
        <f>COUNTIFS('NC Qualité'!A:A,"&gt;=01/07/2020",'NC Qualité'!A:A,"&lt;=31/07/2020",'NC Qualité'!E:E,"Parc",'NC Qualité'!J:J,"Autres :")</f>
        <v>0</v>
      </c>
      <c r="P237" s="25">
        <f>COUNTIFS('NC Qualité'!A:A,"&gt;=01/07/2020",'NC Qualité'!A:A,"&lt;=31/07/2020",'NC Qualité'!E:E,"Parc",'NC Qualité'!J:J,"Accessoires (Mauvais positionnement , manquement, etc.)")</f>
        <v>0</v>
      </c>
      <c r="Q237" s="25">
        <f>COUNTIFS('NC Qualité'!A:A,"&gt;=01/07/2020",'NC Qualité'!A:A,"&lt;=31/07/2020",'NC Qualité'!E:E,"Parc",'NC Qualité'!J:J,"équerrisage")</f>
        <v>0</v>
      </c>
      <c r="R237" s="25">
        <f>COUNTIFS('NC Qualité'!A:A,"&gt;=01/07/2020",'NC Qualité'!A:A,"&lt;=31/07/2020",'NC Qualité'!E:E,"Parc",'NC Qualité'!J:J,"Seuil de porte (réservation)")</f>
        <v>0</v>
      </c>
      <c r="S237" s="25">
        <f>COUNTIFS('NC Qualité'!A:A,"&gt;=01/07/2020",'NC Qualité'!A:A,"&lt;=31/07/2020",'NC Qualité'!E:E,"Parc",'NC Qualité'!J:J,"épaisseur")</f>
        <v>0</v>
      </c>
      <c r="T237" s="25">
        <f>COUNTIFS('NC Qualité'!A:A,"&gt;=01/07/2020",'NC Qualité'!A:A,"&lt;=31/07/2020",'NC Qualité'!E:E,"Parc",'NC Qualité'!J:J,"Chanfrein")</f>
        <v>0</v>
      </c>
      <c r="U237" s="25">
        <f>COUNTIFS('NC Qualité'!A:A,"&gt;=01/07/2020",'NC Qualité'!A:A,"&lt;=31/07/2020",'NC Qualité'!E:E,"Parc",'NC Qualité'!J:J,"Dimensionnement (entraînant un rebut)")</f>
        <v>0</v>
      </c>
      <c r="V237" s="25">
        <f>COUNTIFS('NC Qualité'!A:A,"&gt;=01/07/2020",'NC Qualité'!A:A,"&lt;=31/07/2020",'NC Qualité'!E:E,"Parc",'NC Qualité'!J:J,"Cintrage")</f>
        <v>0</v>
      </c>
      <c r="W237" s="25">
        <f>COUNTIFS('NC Qualité'!A:A,"&gt;=01/07/2020",'NC Qualité'!A:A,"&lt;=31/07/2020",'NC Qualité'!E:E,"Parc",'NC Qualité'!J:J,"Problème de chargement (sanglage, casse etc.)")</f>
        <v>0</v>
      </c>
      <c r="X237" s="30">
        <f>COUNTIFS('NC Qualité'!A:A,"&gt;=01/07/2020",'NC Qualité'!A:A,"&lt;=31/07/2020",'NC Qualité'!E:E,"Parc",'NC Qualité'!J:J,"Erreur de chargement ")</f>
        <v>0</v>
      </c>
      <c r="AA237" s="32">
        <f>COUNTIFS('NC Qualité'!A:A,"&gt;=01/07/2020",'NC Qualité'!A:A,"&lt;=31/07/2020",'NC Qualité'!E:E,"Parc",'NC Qualité'!T:T,1)</f>
        <v>0</v>
      </c>
      <c r="AB237" s="32">
        <f>COUNTIFS('NC Qualité'!A:A,"&gt;=01/07/2020",'NC Qualité'!A:A,"&lt;=31/07/2020",'NC Qualité'!E:E,"Parc",'NC Qualité'!R:R,"A")</f>
        <v>0</v>
      </c>
    </row>
    <row r="238" spans="1:28" ht="23.25">
      <c r="AA238" s="35">
        <f>SUM(AA226:AA237)</f>
        <v>0</v>
      </c>
      <c r="AB238" s="35">
        <f>SUM(AB226:AB237)</f>
        <v>0</v>
      </c>
    </row>
    <row r="241" spans="2:3" ht="46.5">
      <c r="B241" s="53" t="s">
        <v>79</v>
      </c>
      <c r="C241" s="42"/>
    </row>
    <row r="242" spans="2:3" ht="46.5">
      <c r="B242" s="53" t="s">
        <v>80</v>
      </c>
      <c r="C242" s="42"/>
    </row>
    <row r="243" spans="2:3" ht="46.5">
      <c r="B243" s="53" t="s">
        <v>81</v>
      </c>
      <c r="C243" s="42"/>
    </row>
    <row r="244" spans="2:3" ht="46.5">
      <c r="B244" s="53" t="s">
        <v>82</v>
      </c>
      <c r="C244" s="42"/>
    </row>
    <row r="245" spans="2:3" ht="46.5">
      <c r="B245" s="53" t="s">
        <v>83</v>
      </c>
      <c r="C245" s="42"/>
    </row>
    <row r="246" spans="2:3" ht="46.5">
      <c r="B246" s="53" t="s">
        <v>84</v>
      </c>
      <c r="C246" s="42"/>
    </row>
    <row r="247" spans="2:3" ht="46.5">
      <c r="B247" s="53" t="s">
        <v>85</v>
      </c>
      <c r="C247" s="42"/>
    </row>
    <row r="248" spans="2:3" ht="46.5">
      <c r="B248" s="53" t="s">
        <v>86</v>
      </c>
      <c r="C248" s="42"/>
    </row>
    <row r="249" spans="2:3" ht="46.5">
      <c r="B249" s="53" t="s">
        <v>87</v>
      </c>
      <c r="C249" s="42"/>
    </row>
    <row r="250" spans="2:3" ht="46.5">
      <c r="B250" s="53" t="s">
        <v>88</v>
      </c>
      <c r="C250" s="42"/>
    </row>
    <row r="251" spans="2:3" ht="46.5">
      <c r="B251" s="53" t="s">
        <v>89</v>
      </c>
      <c r="C251" s="42"/>
    </row>
    <row r="252" spans="2:3" ht="46.5">
      <c r="B252" s="53" t="s">
        <v>90</v>
      </c>
      <c r="C252" s="42"/>
    </row>
  </sheetData>
  <mergeCells count="25">
    <mergeCell ref="A226:A232"/>
    <mergeCell ref="A233:A237"/>
    <mergeCell ref="A169:A175"/>
    <mergeCell ref="A176:A180"/>
    <mergeCell ref="A188:A194"/>
    <mergeCell ref="A195:A199"/>
    <mergeCell ref="A207:A213"/>
    <mergeCell ref="A214:A218"/>
    <mergeCell ref="A157:A161"/>
    <mergeCell ref="A54:A60"/>
    <mergeCell ref="A61:A65"/>
    <mergeCell ref="A74:A80"/>
    <mergeCell ref="A81:A85"/>
    <mergeCell ref="A93:A99"/>
    <mergeCell ref="A100:A104"/>
    <mergeCell ref="A112:A118"/>
    <mergeCell ref="A119:A123"/>
    <mergeCell ref="A131:A137"/>
    <mergeCell ref="A138:A142"/>
    <mergeCell ref="A150:A156"/>
    <mergeCell ref="A19:A25"/>
    <mergeCell ref="A26:A30"/>
    <mergeCell ref="A36:A42"/>
    <mergeCell ref="A43:A47"/>
    <mergeCell ref="C1:Y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Y35"/>
  <sheetViews>
    <sheetView workbookViewId="0">
      <selection activeCell="G16" sqref="G16"/>
    </sheetView>
  </sheetViews>
  <sheetFormatPr baseColWidth="10" defaultRowHeight="15"/>
  <sheetData>
    <row r="1" spans="1:25">
      <c r="B1" s="69" t="s">
        <v>92</v>
      </c>
      <c r="C1" s="70"/>
      <c r="D1" s="70"/>
      <c r="E1" s="70"/>
      <c r="F1" s="70"/>
      <c r="G1" s="70"/>
      <c r="H1" s="70"/>
      <c r="I1" s="71"/>
    </row>
    <row r="2" spans="1:25">
      <c r="B2" s="72"/>
      <c r="C2" s="73"/>
      <c r="D2" s="73"/>
      <c r="E2" s="73"/>
      <c r="F2" s="73"/>
      <c r="G2" s="73"/>
      <c r="H2" s="73"/>
      <c r="I2" s="74"/>
    </row>
    <row r="3" spans="1:25" ht="15.75" thickBot="1">
      <c r="B3" s="75"/>
      <c r="C3" s="76"/>
      <c r="D3" s="76"/>
      <c r="E3" s="76"/>
      <c r="F3" s="76"/>
      <c r="G3" s="76"/>
      <c r="H3" s="76"/>
      <c r="I3" s="77"/>
    </row>
    <row r="8" spans="1:25" ht="15.75" thickBo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</row>
    <row r="9" spans="1:25" ht="15.75" thickTop="1"/>
    <row r="34" spans="1:15" ht="15.75" thickBot="1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</row>
    <row r="35" spans="1:15" ht="15.75" thickTop="1"/>
  </sheetData>
  <mergeCells count="1">
    <mergeCell ref="B1:I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NC Qualité</vt:lpstr>
      <vt:lpstr>Feuille calcul</vt:lpstr>
      <vt:lpstr>Code macro</vt:lpstr>
      <vt:lpstr>Changement d'année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2020-05-15T14:15:09Z</dcterms:modified>
</cp:coreProperties>
</file>