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G" ContentType="image/jpeg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omments1.xml" ContentType="application/vnd.openxmlformats-officedocument.spreadsheetml.comments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 codeName="ThisWorkbook"/>
  <mc:AlternateContent xmlns:mc="http://schemas.openxmlformats.org/markup-compatibility/2006">
    <mc:Choice Requires="x15">
      <x15ac:absPath xmlns:x15ac="http://schemas.microsoft.com/office/spreadsheetml/2010/11/ac" url="https://d.docs.live.net/4805f60be22df030/Documents/ZereDellDocs/ZereJob/"/>
    </mc:Choice>
  </mc:AlternateContent>
  <xr:revisionPtr revIDLastSave="0" documentId="8_{A3C5096C-B3E1-4C20-A7C2-F4FCC97E7EE5}" xr6:coauthVersionLast="46" xr6:coauthVersionMax="46" xr10:uidLastSave="{00000000-0000-0000-0000-000000000000}"/>
  <bookViews>
    <workbookView xWindow="-108" yWindow="-108" windowWidth="23256" windowHeight="12576" tabRatio="652" activeTab="3" xr2:uid="{00000000-000D-0000-FFFF-FFFF00000000}"/>
  </bookViews>
  <sheets>
    <sheet name="Actions" sheetId="1" r:id="rId1"/>
    <sheet name="Indicateurs Actions" sheetId="18" r:id="rId2"/>
    <sheet name="Guide Simplifié" sheetId="22" r:id="rId3"/>
    <sheet name="Guide rédaction" sheetId="19" r:id="rId4"/>
    <sheet name="Export_Actions" sheetId="20" r:id="rId5"/>
  </sheets>
  <externalReferences>
    <externalReference r:id="rId6"/>
  </externalReferences>
  <definedNames>
    <definedName name="_xlnm._FilterDatabase" localSheetId="0" hidden="1">Actions!$A$1:$Q$20</definedName>
    <definedName name="date_action">Actions!$B$2:$B$19</definedName>
    <definedName name="date_fin">Actions!$O$2:$O$19</definedName>
    <definedName name="Détectabilité">'[1]NE PAS UTILISER'!$E$2:$E$6</definedName>
    <definedName name="Domaines">'[1]NE PAS UTILISER'!$B$2:$B$14</definedName>
    <definedName name="échéance">Actions!$K$2:$K$19</definedName>
    <definedName name="échéance_révisée">Actions!$L$2:$L$19</definedName>
    <definedName name="_xlnm.Print_Titles" localSheetId="0">Actions!$1:$1</definedName>
    <definedName name="Indice_probabilité">'[1]NE PAS UTILISER'!$C$2:$C$7</definedName>
    <definedName name="Indices">'[1]NE PAS UTILISER'!$D$2:$D$6</definedName>
    <definedName name="Manifestation">'[1]NE PAS UTILISER'!$G$2:$G$4</definedName>
    <definedName name="OLE_LINK8" localSheetId="0">Actions!$F$5</definedName>
    <definedName name="origine">Actions!$C$2:$C$19</definedName>
    <definedName name="Priorité">Actions!$J$2:$J$19</definedName>
    <definedName name="Priorité_traitement">'[1]NE PAS UTILISER'!$H$2:$H$5</definedName>
    <definedName name="retard">Actions!$P$2:$P$19</definedName>
    <definedName name="stats">Actions!$A$19:$P$19</definedName>
    <definedName name="statut">Actions!$N$2:$N$19</definedName>
    <definedName name="Tendance">'[1]NE PAS UTILISER'!$F$2:$F$5</definedName>
    <definedName name="Z_1A0D4C14_DD1C_11D6_A409_0010B5ACCF2D_.wvu.FilterData" localSheetId="0" hidden="1">Actions!#REF!</definedName>
    <definedName name="Z_1A0D4C14_DD1C_11D6_A409_0010B5ACCF2D_.wvu.PrintArea" localSheetId="0" hidden="1">Actions!$F$1:$M$1</definedName>
    <definedName name="Z_1A0D4C14_DD1C_11D6_A409_0010B5ACCF2D_.wvu.PrintTitles" localSheetId="0" hidden="1">Actions!$1:$1</definedName>
    <definedName name="Z_863884A4_DC58_11D6_BFF5_0004ACA32EB2_.wvu.Cols" localSheetId="0" hidden="1">Actions!#REF!</definedName>
    <definedName name="Z_863884A4_DC58_11D6_BFF5_0004ACA32EB2_.wvu.FilterData" localSheetId="0" hidden="1">Actions!#REF!</definedName>
    <definedName name="Z_863884A4_DC58_11D6_BFF5_0004ACA32EB2_.wvu.PrintArea" localSheetId="0" hidden="1">Actions!$F$1:$M$1</definedName>
    <definedName name="Z_863884A4_DC58_11D6_BFF5_0004ACA32EB2_.wvu.PrintTitles" localSheetId="0" hidden="1">Actions!$1:$1</definedName>
    <definedName name="Z_B9F2D4A4_02D0_11D7_A42C_0010B5ACCF2D_.wvu.FilterData" localSheetId="0" hidden="1">Actions!#REF!</definedName>
    <definedName name="Z_B9F2D4A4_02D0_11D7_A42C_0010B5ACCF2D_.wvu.PrintArea" localSheetId="0" hidden="1">Actions!$F$1:$M$1</definedName>
    <definedName name="Z_B9F2D4A4_02D0_11D7_A42C_0010B5ACCF2D_.wvu.PrintTitles" localSheetId="0" hidden="1">Actions!$1:$1</definedName>
    <definedName name="Z_CAF5FA49_F0AA_40CD_9467_945B3C14CF7F_.wvu.FilterData" localSheetId="0" hidden="1">Actions!#REF!</definedName>
    <definedName name="Z_CAF5FA49_F0AA_40CD_9467_945B3C14CF7F_.wvu.PrintArea" localSheetId="0" hidden="1">Actions!$F$1:$M$1</definedName>
    <definedName name="Z_CAF5FA49_F0AA_40CD_9467_945B3C14CF7F_.wvu.PrintTitles" localSheetId="0" hidden="1">Actions!$1:$1</definedName>
    <definedName name="_xlnm.Print_Area" localSheetId="0">Actions!$A$1:$P$16</definedName>
    <definedName name="_xlnm.Print_Area" localSheetId="1">'Indicateurs Actions'!$A$1:$L$6</definedName>
  </definedNames>
  <calcPr calcId="191029"/>
  <customWorkbookViews>
    <customWorkbookView name="Michel STRAZEL - Affichage personnalisé" guid="{B9F2D4A4-02D0-11D7-A42C-0010B5ACCF2D}" mergeInterval="0" personalView="1" maximized="1" windowWidth="796" windowHeight="395" activeSheetId="1"/>
    <customWorkbookView name="JBS - Affichage personnalisé" guid="{CAF5FA49-F0AA-40CD-9467-945B3C14CF7F}" mergeInterval="0" personalView="1" maximized="1" windowWidth="1020" windowHeight="606" tabRatio="602" activeSheetId="1" showComments="commIndAndComment"/>
    <customWorkbookView name="Usine - Affichage personnalisé" guid="{863884A4-DC58-11D6-BFF5-0004ACA32EB2}" mergeInterval="0" personalView="1" maximized="1" windowWidth="796" windowHeight="411" tabRatio="602" activeSheetId="1" showComments="commIndAndComment"/>
    <customWorkbookView name="Bruno BEAUGEANT - Affichage personnalisé" guid="{1A0D4C14-DD1C-11D6-A409-0010B5ACCF2D}" mergeInterval="0" personalView="1" maximized="1" windowWidth="796" windowHeight="406" tabRatio="602" activeSheetId="1" showComments="commNone"/>
  </customWorkbookViews>
</workbook>
</file>

<file path=xl/calcChain.xml><?xml version="1.0" encoding="utf-8"?>
<calcChain xmlns="http://schemas.openxmlformats.org/spreadsheetml/2006/main">
  <c r="A54" i="18" l="1"/>
  <c r="F54" i="18" s="1"/>
  <c r="F47" i="18" s="1"/>
  <c r="A15" i="18"/>
  <c r="C15" i="18" s="1"/>
  <c r="A61" i="18" l="1"/>
  <c r="A68" i="18" s="1"/>
  <c r="A75" i="18" s="1"/>
  <c r="C54" i="18"/>
  <c r="A22" i="18"/>
  <c r="C22" i="18" s="1"/>
  <c r="F15" i="18"/>
  <c r="F8" i="18" s="1"/>
  <c r="F75" i="18" l="1"/>
  <c r="C75" i="18"/>
  <c r="F68" i="18"/>
  <c r="C68" i="18"/>
  <c r="C47" i="18" s="1"/>
  <c r="F61" i="18"/>
  <c r="C61" i="18"/>
  <c r="F22" i="18"/>
  <c r="A29" i="18"/>
  <c r="A36" i="18" s="1"/>
  <c r="F36" i="18" l="1"/>
  <c r="C36" i="18"/>
  <c r="F29" i="18"/>
  <c r="C29" i="18"/>
  <c r="C8" i="18" s="1"/>
  <c r="K41" i="18" l="1"/>
  <c r="J38" i="18"/>
  <c r="E38" i="18"/>
  <c r="C37" i="18"/>
  <c r="K38" i="18"/>
  <c r="B38" i="18"/>
  <c r="H38" i="18"/>
  <c r="D38" i="18"/>
  <c r="B37" i="18"/>
  <c r="G38" i="18"/>
  <c r="J41" i="18" s="1"/>
  <c r="C38" i="18"/>
  <c r="F38" i="18"/>
  <c r="H77" i="18" l="1"/>
  <c r="H70" i="18"/>
  <c r="H63" i="18"/>
  <c r="H56" i="18"/>
  <c r="H49" i="18"/>
  <c r="H31" i="18"/>
  <c r="H10" i="18"/>
  <c r="H17" i="18"/>
  <c r="H24" i="18"/>
  <c r="N19" i="1" l="1"/>
  <c r="L19" i="1" s="1"/>
  <c r="P2" i="1"/>
  <c r="P3" i="1"/>
  <c r="P4" i="1"/>
  <c r="P5" i="1"/>
  <c r="P6" i="1"/>
  <c r="P7" i="1"/>
  <c r="P8" i="1"/>
  <c r="P9" i="1"/>
  <c r="P10" i="1"/>
  <c r="P11" i="1"/>
  <c r="P12" i="1"/>
  <c r="P13" i="1"/>
  <c r="P14" i="1"/>
  <c r="P15" i="1"/>
  <c r="P16" i="1"/>
  <c r="P17" i="1"/>
  <c r="P18" i="1"/>
  <c r="O19" i="1"/>
  <c r="M19" i="1"/>
  <c r="J19" i="1"/>
  <c r="I19" i="1"/>
  <c r="H19" i="1"/>
  <c r="G19" i="1"/>
  <c r="F19" i="1"/>
  <c r="E19" i="1"/>
  <c r="D19" i="1"/>
  <c r="K80" i="18"/>
  <c r="K77" i="18"/>
  <c r="J77" i="18"/>
  <c r="G77" i="18"/>
  <c r="J80" i="18" s="1"/>
  <c r="F77" i="18"/>
  <c r="E77" i="18"/>
  <c r="D77" i="18"/>
  <c r="C77" i="18"/>
  <c r="B77" i="18"/>
  <c r="C76" i="18"/>
  <c r="B76" i="18"/>
  <c r="K73" i="18"/>
  <c r="K70" i="18"/>
  <c r="J70" i="18"/>
  <c r="G70" i="18"/>
  <c r="J73" i="18" s="1"/>
  <c r="F70" i="18"/>
  <c r="E70" i="18"/>
  <c r="D70" i="18"/>
  <c r="C70" i="18"/>
  <c r="B70" i="18"/>
  <c r="C69" i="18"/>
  <c r="B69" i="18"/>
  <c r="K66" i="18"/>
  <c r="K63" i="18"/>
  <c r="J63" i="18"/>
  <c r="G63" i="18"/>
  <c r="J66" i="18" s="1"/>
  <c r="F63" i="18"/>
  <c r="E63" i="18"/>
  <c r="D63" i="18"/>
  <c r="C63" i="18"/>
  <c r="B63" i="18"/>
  <c r="C62" i="18"/>
  <c r="B62" i="18"/>
  <c r="K59" i="18"/>
  <c r="K56" i="18"/>
  <c r="J56" i="18"/>
  <c r="G56" i="18"/>
  <c r="J59" i="18" s="1"/>
  <c r="F56" i="18"/>
  <c r="E56" i="18"/>
  <c r="D56" i="18"/>
  <c r="C56" i="18"/>
  <c r="B56" i="18"/>
  <c r="C55" i="18"/>
  <c r="B55" i="18"/>
  <c r="K52" i="18"/>
  <c r="K49" i="18"/>
  <c r="J49" i="18"/>
  <c r="G49" i="18"/>
  <c r="J52" i="18" s="1"/>
  <c r="F49" i="18"/>
  <c r="E49" i="18"/>
  <c r="D49" i="18"/>
  <c r="C49" i="18"/>
  <c r="B49" i="18"/>
  <c r="C48" i="18"/>
  <c r="B48" i="18"/>
  <c r="B44" i="18"/>
  <c r="K34" i="18"/>
  <c r="K31" i="18"/>
  <c r="J31" i="18"/>
  <c r="G31" i="18"/>
  <c r="J34" i="18" s="1"/>
  <c r="F31" i="18"/>
  <c r="E31" i="18"/>
  <c r="C31" i="18"/>
  <c r="B31" i="18"/>
  <c r="C30" i="18"/>
  <c r="H33" i="18" s="1"/>
  <c r="B30" i="18"/>
  <c r="K27" i="18"/>
  <c r="K24" i="18"/>
  <c r="J24" i="18"/>
  <c r="G24" i="18"/>
  <c r="J27" i="18" s="1"/>
  <c r="F24" i="18"/>
  <c r="E24" i="18"/>
  <c r="C24" i="18"/>
  <c r="B24" i="18"/>
  <c r="C23" i="18"/>
  <c r="B23" i="18"/>
  <c r="K20" i="18"/>
  <c r="K17" i="18"/>
  <c r="J17" i="18"/>
  <c r="G17" i="18"/>
  <c r="J20" i="18" s="1"/>
  <c r="F17" i="18"/>
  <c r="E17" i="18"/>
  <c r="C17" i="18"/>
  <c r="B17" i="18"/>
  <c r="C16" i="18"/>
  <c r="B16" i="18"/>
  <c r="K13" i="18"/>
  <c r="K10" i="18"/>
  <c r="J10" i="18"/>
  <c r="G10" i="18"/>
  <c r="J13" i="18" s="1"/>
  <c r="F10" i="18"/>
  <c r="E10" i="18"/>
  <c r="C10" i="18"/>
  <c r="B10" i="18"/>
  <c r="C9" i="18"/>
  <c r="B9" i="18"/>
  <c r="K6" i="18"/>
  <c r="K3" i="18"/>
  <c r="J3" i="18"/>
  <c r="B3" i="18"/>
  <c r="C2" i="18"/>
  <c r="B2" i="18"/>
  <c r="I1" i="18"/>
  <c r="D17" i="18" l="1"/>
  <c r="G3" i="18"/>
  <c r="J6" i="18" s="1"/>
  <c r="H3" i="18"/>
  <c r="F3" i="18"/>
  <c r="O20" i="1" s="1"/>
  <c r="E3" i="18"/>
  <c r="F20" i="1" s="1"/>
  <c r="C3" i="18"/>
  <c r="I70" i="18"/>
  <c r="I49" i="18"/>
  <c r="I63" i="18"/>
  <c r="I77" i="18"/>
  <c r="I56" i="18"/>
  <c r="H51" i="18"/>
  <c r="H58" i="18"/>
  <c r="H65" i="18"/>
  <c r="H72" i="18"/>
  <c r="H79" i="18"/>
  <c r="I41" i="18"/>
  <c r="I40" i="18"/>
  <c r="H39" i="18"/>
  <c r="C39" i="18"/>
  <c r="C40" i="18"/>
  <c r="G41" i="18"/>
  <c r="F41" i="18"/>
  <c r="D39" i="18"/>
  <c r="C41" i="18"/>
  <c r="E41" i="18"/>
  <c r="H41" i="18"/>
  <c r="F39" i="18"/>
  <c r="F40" i="18"/>
  <c r="G39" i="18"/>
  <c r="B41" i="18"/>
  <c r="B40" i="18"/>
  <c r="D40" i="18"/>
  <c r="D41" i="18"/>
  <c r="B39" i="18"/>
  <c r="E39" i="18"/>
  <c r="E40" i="18"/>
  <c r="G40" i="18"/>
  <c r="H40" i="18"/>
  <c r="H73" i="18"/>
  <c r="H64" i="18"/>
  <c r="H34" i="18"/>
  <c r="H52" i="18"/>
  <c r="H32" i="18"/>
  <c r="H80" i="18"/>
  <c r="H71" i="18"/>
  <c r="H78" i="18"/>
  <c r="H59" i="18"/>
  <c r="H50" i="18"/>
  <c r="H66" i="18"/>
  <c r="H57" i="18"/>
  <c r="I38" i="18"/>
  <c r="I39" i="18"/>
  <c r="I80" i="18"/>
  <c r="H13" i="18"/>
  <c r="H20" i="18"/>
  <c r="H27" i="18"/>
  <c r="H12" i="18"/>
  <c r="H19" i="18"/>
  <c r="H26" i="18"/>
  <c r="H11" i="18"/>
  <c r="H18" i="18"/>
  <c r="H25" i="18"/>
  <c r="F57" i="18"/>
  <c r="F58" i="18"/>
  <c r="C27" i="18"/>
  <c r="F80" i="18"/>
  <c r="C71" i="18"/>
  <c r="B50" i="18"/>
  <c r="C19" i="18"/>
  <c r="D50" i="18"/>
  <c r="G66" i="18"/>
  <c r="G73" i="18"/>
  <c r="G52" i="18"/>
  <c r="G71" i="18"/>
  <c r="G34" i="18"/>
  <c r="E66" i="18"/>
  <c r="G51" i="18"/>
  <c r="B52" i="18"/>
  <c r="G20" i="18"/>
  <c r="G32" i="18"/>
  <c r="F52" i="18"/>
  <c r="I78" i="18"/>
  <c r="G65" i="18"/>
  <c r="C72" i="18"/>
  <c r="E65" i="18"/>
  <c r="I64" i="18"/>
  <c r="C34" i="18"/>
  <c r="B59" i="18"/>
  <c r="C51" i="18"/>
  <c r="B51" i="18"/>
  <c r="E18" i="18"/>
  <c r="E26" i="18"/>
  <c r="B12" i="18"/>
  <c r="G11" i="18"/>
  <c r="E72" i="18"/>
  <c r="D52" i="18"/>
  <c r="B79" i="18"/>
  <c r="F59" i="18"/>
  <c r="D51" i="18"/>
  <c r="C73" i="18"/>
  <c r="B57" i="18"/>
  <c r="G50" i="18"/>
  <c r="F33" i="18"/>
  <c r="C12" i="18"/>
  <c r="B20" i="18"/>
  <c r="G59" i="18"/>
  <c r="G79" i="18"/>
  <c r="B58" i="18"/>
  <c r="I66" i="18"/>
  <c r="F78" i="18"/>
  <c r="E64" i="18"/>
  <c r="C52" i="18"/>
  <c r="G72" i="18"/>
  <c r="C50" i="18"/>
  <c r="F26" i="18"/>
  <c r="C20" i="18"/>
  <c r="I13" i="18"/>
  <c r="F11" i="18"/>
  <c r="B32" i="18"/>
  <c r="G25" i="18"/>
  <c r="E19" i="18"/>
  <c r="D13" i="18"/>
  <c r="F51" i="18"/>
  <c r="C33" i="18"/>
  <c r="C26" i="18"/>
  <c r="G18" i="18"/>
  <c r="C11" i="18"/>
  <c r="G6" i="18"/>
  <c r="F65" i="18"/>
  <c r="I72" i="18"/>
  <c r="I6" i="18"/>
  <c r="F6" i="18"/>
  <c r="E71" i="18"/>
  <c r="H5" i="18"/>
  <c r="I57" i="18"/>
  <c r="G80" i="18"/>
  <c r="E45" i="18"/>
  <c r="I34" i="18"/>
  <c r="C32" i="18"/>
  <c r="F19" i="18"/>
  <c r="E13" i="18"/>
  <c r="I51" i="18"/>
  <c r="B34" i="18"/>
  <c r="F27" i="18"/>
  <c r="B25" i="18"/>
  <c r="G12" i="18"/>
  <c r="F50" i="18"/>
  <c r="F32" i="18"/>
  <c r="I20" i="18"/>
  <c r="C18" i="18"/>
  <c r="E34" i="18"/>
  <c r="H4" i="18"/>
  <c r="C79" i="18"/>
  <c r="I58" i="18"/>
  <c r="G33" i="18"/>
  <c r="G4" i="18"/>
  <c r="E59" i="18"/>
  <c r="G58" i="18"/>
  <c r="E80" i="18"/>
  <c r="C59" i="18"/>
  <c r="G5" i="18"/>
  <c r="E12" i="18"/>
  <c r="E32" i="18"/>
  <c r="D34" i="18"/>
  <c r="G27" i="18"/>
  <c r="C25" i="18"/>
  <c r="B19" i="18"/>
  <c r="I50" i="18"/>
  <c r="E33" i="18"/>
  <c r="B27" i="18"/>
  <c r="F20" i="18"/>
  <c r="D18" i="18"/>
  <c r="I65" i="18"/>
  <c r="F34" i="18"/>
  <c r="E27" i="18"/>
  <c r="E20" i="18"/>
  <c r="G13" i="18"/>
  <c r="D27" i="18"/>
  <c r="C4" i="18"/>
  <c r="I52" i="18"/>
  <c r="G26" i="18"/>
  <c r="B64" i="18"/>
  <c r="E79" i="18"/>
  <c r="C78" i="18"/>
  <c r="D64" i="18"/>
  <c r="B4" i="18"/>
  <c r="B66" i="18"/>
  <c r="D57" i="18"/>
  <c r="E73" i="18"/>
  <c r="D65" i="18"/>
  <c r="F71" i="18"/>
  <c r="B13" i="18"/>
  <c r="C5" i="18"/>
  <c r="F64" i="18"/>
  <c r="C80" i="18"/>
  <c r="I71" i="18"/>
  <c r="I59" i="18"/>
  <c r="E78" i="18"/>
  <c r="E58" i="18"/>
  <c r="C66" i="18"/>
  <c r="G78" i="18"/>
  <c r="C57" i="18"/>
  <c r="D6" i="18"/>
  <c r="F18" i="18"/>
  <c r="I27" i="18"/>
  <c r="F25" i="18"/>
  <c r="D19" i="18"/>
  <c r="C13" i="18"/>
  <c r="D20" i="18"/>
  <c r="C6" i="18"/>
  <c r="F79" i="18"/>
  <c r="D71" i="18"/>
  <c r="F73" i="18"/>
  <c r="G19" i="18"/>
  <c r="B6" i="18"/>
  <c r="B78" i="18"/>
  <c r="D59" i="18"/>
  <c r="D79" i="18"/>
  <c r="B71" i="18"/>
  <c r="B33" i="18"/>
  <c r="E11" i="18"/>
  <c r="F4" i="18"/>
  <c r="F66" i="18"/>
  <c r="I73" i="18"/>
  <c r="B72" i="18"/>
  <c r="D80" i="18"/>
  <c r="C64" i="18"/>
  <c r="E4" i="18"/>
  <c r="H6" i="18"/>
  <c r="D45" i="18"/>
  <c r="D25" i="18"/>
  <c r="F12" i="18"/>
  <c r="E51" i="18"/>
  <c r="B18" i="18"/>
  <c r="F5" i="18"/>
  <c r="G57" i="18"/>
  <c r="D73" i="18"/>
  <c r="G64" i="18"/>
  <c r="F72" i="18"/>
  <c r="E50" i="18"/>
  <c r="F13" i="18"/>
  <c r="E5" i="18"/>
  <c r="C58" i="18"/>
  <c r="C65" i="18"/>
  <c r="E57" i="18"/>
  <c r="B73" i="18"/>
  <c r="B26" i="18"/>
  <c r="E6" i="18"/>
  <c r="B80" i="18"/>
  <c r="D72" i="18"/>
  <c r="I79" i="18"/>
  <c r="D66" i="18"/>
  <c r="D78" i="18"/>
  <c r="D58" i="18"/>
  <c r="B65" i="18"/>
  <c r="B5" i="18"/>
  <c r="B11" i="18"/>
  <c r="E25" i="18"/>
  <c r="E52" i="18"/>
  <c r="H45" i="18"/>
  <c r="J45" i="18"/>
  <c r="F45" i="18"/>
  <c r="G45" i="18"/>
  <c r="D26" i="18"/>
  <c r="D4" i="18"/>
  <c r="C45" i="18"/>
  <c r="B45" i="18"/>
  <c r="I10" i="18"/>
  <c r="D5" i="18"/>
  <c r="I18" i="18"/>
  <c r="I3" i="18"/>
  <c r="M20" i="1" s="1"/>
  <c r="D12" i="18"/>
  <c r="I31" i="18"/>
  <c r="I33" i="18"/>
  <c r="D3" i="18"/>
  <c r="I32" i="18"/>
  <c r="I17" i="18"/>
  <c r="I24" i="18"/>
  <c r="I12" i="18"/>
  <c r="D24" i="18"/>
  <c r="D32" i="18"/>
  <c r="I19" i="18"/>
  <c r="D10" i="18"/>
  <c r="I25" i="18"/>
  <c r="I11" i="18"/>
  <c r="D11" i="18"/>
  <c r="D33" i="18"/>
  <c r="P19" i="1"/>
  <c r="G20" i="1" s="1"/>
  <c r="D31" i="18"/>
  <c r="I4" i="18"/>
  <c r="J20" i="1" s="1"/>
  <c r="I5" i="18"/>
  <c r="I26" i="18"/>
  <c r="I45" i="18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BARRET Jean-Michel IEF MINDEF</author>
  </authors>
  <commentList>
    <comment ref="A2" authorId="0" shapeId="0" xr:uid="{00000000-0006-0000-0100-000001000000}">
      <text>
        <r>
          <rPr>
            <b/>
            <sz val="9"/>
            <color indexed="81"/>
            <rFont val="Tahoma"/>
            <charset val="1"/>
          </rPr>
          <t xml:space="preserve">Lorsqu'il y a 2 type d'origine indiquées dans le TAU (comité XX + réunion YY) - sinon conserver uniquement les tableaux jusqu'à la ligne 36)
</t>
        </r>
      </text>
    </comment>
    <comment ref="G2" authorId="0" shapeId="0" xr:uid="{00000000-0006-0000-0100-000002000000}">
      <text>
        <r>
          <rPr>
            <b/>
            <sz val="9"/>
            <color indexed="81"/>
            <rFont val="Tahoma"/>
            <family val="2"/>
          </rPr>
          <t xml:space="preserve">BARRET Jean-Michel </t>
        </r>
        <r>
          <rPr>
            <sz val="9"/>
            <color indexed="81"/>
            <rFont val="Tahoma"/>
            <family val="2"/>
          </rPr>
          <t xml:space="preserve">hors actions proposées à la clôture
</t>
        </r>
      </text>
    </comment>
    <comment ref="G9" authorId="0" shapeId="0" xr:uid="{00000000-0006-0000-0100-000003000000}">
      <text>
        <r>
          <rPr>
            <b/>
            <sz val="9"/>
            <color indexed="81"/>
            <rFont val="Tahoma"/>
            <family val="2"/>
          </rPr>
          <t xml:space="preserve">BARRET Jean-Michel </t>
        </r>
        <r>
          <rPr>
            <sz val="9"/>
            <color indexed="81"/>
            <rFont val="Tahoma"/>
            <family val="2"/>
          </rPr>
          <t xml:space="preserve">hors actions proposées à la clôture
</t>
        </r>
      </text>
    </comment>
    <comment ref="G16" authorId="0" shapeId="0" xr:uid="{00000000-0006-0000-0100-000004000000}">
      <text>
        <r>
          <rPr>
            <b/>
            <sz val="9"/>
            <color indexed="81"/>
            <rFont val="Tahoma"/>
            <family val="2"/>
          </rPr>
          <t xml:space="preserve">BARRET Jean-Michel </t>
        </r>
        <r>
          <rPr>
            <sz val="9"/>
            <color indexed="81"/>
            <rFont val="Tahoma"/>
            <family val="2"/>
          </rPr>
          <t xml:space="preserve">hors actions proposées à la clôture
</t>
        </r>
      </text>
    </comment>
    <comment ref="G23" authorId="0" shapeId="0" xr:uid="{00000000-0006-0000-0100-000005000000}">
      <text>
        <r>
          <rPr>
            <b/>
            <sz val="9"/>
            <color indexed="81"/>
            <rFont val="Tahoma"/>
            <family val="2"/>
          </rPr>
          <t xml:space="preserve">BARRET Jean-Michel </t>
        </r>
        <r>
          <rPr>
            <sz val="9"/>
            <color indexed="81"/>
            <rFont val="Tahoma"/>
            <family val="2"/>
          </rPr>
          <t xml:space="preserve">hors actions proposées à la clôture
</t>
        </r>
      </text>
    </comment>
    <comment ref="G30" authorId="0" shapeId="0" xr:uid="{00000000-0006-0000-0100-000006000000}">
      <text>
        <r>
          <rPr>
            <b/>
            <sz val="9"/>
            <color indexed="81"/>
            <rFont val="Tahoma"/>
            <family val="2"/>
          </rPr>
          <t xml:space="preserve">BARRET Jean-Michel </t>
        </r>
        <r>
          <rPr>
            <sz val="9"/>
            <color indexed="81"/>
            <rFont val="Tahoma"/>
            <family val="2"/>
          </rPr>
          <t xml:space="preserve">hors actions proposées à la clôture
</t>
        </r>
      </text>
    </comment>
    <comment ref="G37" authorId="0" shapeId="0" xr:uid="{00000000-0006-0000-0100-000007000000}">
      <text>
        <r>
          <rPr>
            <b/>
            <sz val="9"/>
            <color indexed="81"/>
            <rFont val="Tahoma"/>
            <family val="2"/>
          </rPr>
          <t xml:space="preserve">BARRET Jean-Michel </t>
        </r>
        <r>
          <rPr>
            <sz val="9"/>
            <color indexed="81"/>
            <rFont val="Tahoma"/>
            <family val="2"/>
          </rPr>
          <t xml:space="preserve">hors actions proposées à la clôture
</t>
        </r>
      </text>
    </comment>
    <comment ref="G44" authorId="0" shapeId="0" xr:uid="{00000000-0006-0000-0100-000008000000}">
      <text>
        <r>
          <rPr>
            <b/>
            <sz val="9"/>
            <color indexed="81"/>
            <rFont val="Tahoma"/>
            <family val="2"/>
          </rPr>
          <t xml:space="preserve">BARRET Jean-Michel </t>
        </r>
        <r>
          <rPr>
            <sz val="9"/>
            <color indexed="81"/>
            <rFont val="Tahoma"/>
            <family val="2"/>
          </rPr>
          <t xml:space="preserve">hors actions proposées à la clôture
</t>
        </r>
      </text>
    </comment>
    <comment ref="G48" authorId="0" shapeId="0" xr:uid="{00000000-0006-0000-0100-000009000000}">
      <text>
        <r>
          <rPr>
            <b/>
            <sz val="9"/>
            <color indexed="81"/>
            <rFont val="Tahoma"/>
            <family val="2"/>
          </rPr>
          <t xml:space="preserve">BARRET Jean-Michel </t>
        </r>
        <r>
          <rPr>
            <sz val="9"/>
            <color indexed="81"/>
            <rFont val="Tahoma"/>
            <family val="2"/>
          </rPr>
          <t xml:space="preserve">hors actions proposées à la clôture
</t>
        </r>
      </text>
    </comment>
    <comment ref="G55" authorId="0" shapeId="0" xr:uid="{00000000-0006-0000-0100-00000A000000}">
      <text>
        <r>
          <rPr>
            <b/>
            <sz val="9"/>
            <color indexed="81"/>
            <rFont val="Tahoma"/>
            <family val="2"/>
          </rPr>
          <t xml:space="preserve">BARRET Jean-Michel </t>
        </r>
        <r>
          <rPr>
            <sz val="9"/>
            <color indexed="81"/>
            <rFont val="Tahoma"/>
            <family val="2"/>
          </rPr>
          <t xml:space="preserve">hors actions proposées à la clôture
</t>
        </r>
      </text>
    </comment>
    <comment ref="G62" authorId="0" shapeId="0" xr:uid="{00000000-0006-0000-0100-00000B000000}">
      <text>
        <r>
          <rPr>
            <b/>
            <sz val="9"/>
            <color indexed="81"/>
            <rFont val="Tahoma"/>
            <family val="2"/>
          </rPr>
          <t xml:space="preserve">BARRET Jean-Michel </t>
        </r>
        <r>
          <rPr>
            <sz val="9"/>
            <color indexed="81"/>
            <rFont val="Tahoma"/>
            <family val="2"/>
          </rPr>
          <t xml:space="preserve">hors actions proposées à la clôture
</t>
        </r>
      </text>
    </comment>
    <comment ref="G69" authorId="0" shapeId="0" xr:uid="{00000000-0006-0000-0100-00000C000000}">
      <text>
        <r>
          <rPr>
            <b/>
            <sz val="9"/>
            <color indexed="81"/>
            <rFont val="Tahoma"/>
            <family val="2"/>
          </rPr>
          <t xml:space="preserve">BARRET Jean-Michel </t>
        </r>
        <r>
          <rPr>
            <sz val="9"/>
            <color indexed="81"/>
            <rFont val="Tahoma"/>
            <family val="2"/>
          </rPr>
          <t xml:space="preserve">hors actions proposées à la clôture
</t>
        </r>
      </text>
    </comment>
    <comment ref="G76" authorId="0" shapeId="0" xr:uid="{00000000-0006-0000-0100-00000D000000}">
      <text>
        <r>
          <rPr>
            <b/>
            <sz val="9"/>
            <color indexed="81"/>
            <rFont val="Tahoma"/>
            <family val="2"/>
          </rPr>
          <t xml:space="preserve">BARRET Jean-Michel </t>
        </r>
        <r>
          <rPr>
            <sz val="9"/>
            <color indexed="81"/>
            <rFont val="Tahoma"/>
            <family val="2"/>
          </rPr>
          <t xml:space="preserve">hors actions proposées à la clôture
</t>
        </r>
      </text>
    </comment>
  </commentList>
</comments>
</file>

<file path=xl/sharedStrings.xml><?xml version="1.0" encoding="utf-8"?>
<sst xmlns="http://schemas.openxmlformats.org/spreadsheetml/2006/main" count="433" uniqueCount="162">
  <si>
    <t>Date de création</t>
  </si>
  <si>
    <t>Échéance</t>
  </si>
  <si>
    <t>Échéance
révisée</t>
  </si>
  <si>
    <t>Clos</t>
  </si>
  <si>
    <t>Origine</t>
  </si>
  <si>
    <t>Libellé synthétique de l'action
(y compris finalité recherchée)</t>
  </si>
  <si>
    <t xml:space="preserve">
Nbre actions</t>
  </si>
  <si>
    <t>Référence
Action</t>
  </si>
  <si>
    <t>Niveau de restitution
(CODIR, COPIL XXX, etc)</t>
  </si>
  <si>
    <t>Produit attendu / Livrables liés à l'action</t>
  </si>
  <si>
    <t>Autorité statuant sur l'efficacité finale de l'action</t>
  </si>
  <si>
    <t>Commentaires lié à l'avancement
Y compris justifications :
-  de changement de pilote, 
- de révision d'échéance
-  de clôture</t>
  </si>
  <si>
    <t>STATUT
0 à lancer
1 en cours
2 en retard
3 reprogrammée
4 Proposition de clôture
5 Clôture</t>
  </si>
  <si>
    <t xml:space="preserve">Retard </t>
  </si>
  <si>
    <t>dont en retard</t>
  </si>
  <si>
    <t>à la date du</t>
  </si>
  <si>
    <t>Valeur ajoutée  + Critères de vérification d'efficacité</t>
  </si>
  <si>
    <t>Priorité
P1, P2</t>
  </si>
  <si>
    <t>P1</t>
  </si>
  <si>
    <t>Format xx/yy/zz</t>
  </si>
  <si>
    <t>Tout changement de pilotage doit faire l'objet d'un reporting dans la partie commentaires liés à l'avancement</t>
  </si>
  <si>
    <t>Calcul automatique (vérifier la présence de la formule, celle-ci peut disparaître suite à l'ajout de lignes)</t>
  </si>
  <si>
    <t>STATUT - 0 à lancer - 1 en cours - 2 en retard - 3 reprogrammée - 4 Proposition de clôture - 5 Clôture</t>
  </si>
  <si>
    <t>Commentaires lié à l'avancement y compris justifications :
-  de changement de pilote, 
- de révision d'échéance
-  de clôture</t>
  </si>
  <si>
    <t xml:space="preserve"> Pilote Nominatif (responsable du traitement)</t>
  </si>
  <si>
    <t>Échéance révisée</t>
  </si>
  <si>
    <t>Description de l'action à mener</t>
  </si>
  <si>
    <t>Référence Action</t>
  </si>
  <si>
    <t>et le</t>
  </si>
  <si>
    <t>entre le</t>
  </si>
  <si>
    <t>dont proposées clôture</t>
  </si>
  <si>
    <t>dont replanifiées</t>
  </si>
  <si>
    <t>actions en cours</t>
  </si>
  <si>
    <t>dont en cours sans replanif</t>
  </si>
  <si>
    <t>INDICATEURS SUIVI DES ACTIONS</t>
  </si>
  <si>
    <t>priorité 2</t>
  </si>
  <si>
    <t>priorité 3</t>
  </si>
  <si>
    <t>priorité 1</t>
  </si>
  <si>
    <t>dont clôturées en retard</t>
  </si>
  <si>
    <t>priorité non renseignée</t>
  </si>
  <si>
    <t>statut non renseigné</t>
  </si>
  <si>
    <t>écart en cours</t>
  </si>
  <si>
    <t>action clôturée</t>
  </si>
  <si>
    <t>replanifiées</t>
  </si>
  <si>
    <t>sans date</t>
  </si>
  <si>
    <t>SUR TROIS ANS</t>
  </si>
  <si>
    <t>à ce jour</t>
  </si>
  <si>
    <t>Total</t>
  </si>
  <si>
    <t>Insérer des lignes au-dessus de la présente - Ci-contre vérifications cohérence =&gt;</t>
  </si>
  <si>
    <t>Respecter le fomat date jj/mm/aaaa</t>
  </si>
  <si>
    <t>Se restreindre au seul nom du comité ou de la revue</t>
  </si>
  <si>
    <t>ne pas filtrer</t>
  </si>
  <si>
    <t>Autre origine</t>
  </si>
  <si>
    <t>test vérif "autre origine"</t>
  </si>
  <si>
    <t>VALEUR AJOUTEE =&gt; identifier ce qui sous-tend l’action / son efficacité recherchée</t>
  </si>
  <si>
    <r>
      <t xml:space="preserve">LIVRABLE / PRODUIT ATTENDU </t>
    </r>
    <r>
      <rPr>
        <sz val="12"/>
        <color rgb="FFFF0000"/>
        <rFont val="Marianne"/>
        <family val="3"/>
      </rPr>
      <t>=&gt;  bien défini, atteignable</t>
    </r>
  </si>
  <si>
    <t>personnel/Directrice/Entité</t>
  </si>
  <si>
    <t>EXEMPLE</t>
  </si>
  <si>
    <t>Fin de traitement : Date de validation de la clôture par l’autorité valant mesure d’efficacité</t>
  </si>
  <si>
    <t>A défaut cf colonne précédente</t>
  </si>
  <si>
    <r>
      <t xml:space="preserve">COMMENTAIRES : avancements, justification clôture par le pilote </t>
    </r>
    <r>
      <rPr>
        <sz val="12"/>
        <color rgb="FFFF0000"/>
        <rFont val="Marianne"/>
        <family val="3"/>
      </rPr>
      <t>=&gt; important</t>
    </r>
  </si>
  <si>
    <r>
      <t xml:space="preserve">Produit Attendu : </t>
    </r>
    <r>
      <rPr>
        <sz val="9"/>
        <color rgb="FF000000"/>
        <rFont val="Marianne"/>
        <family val="3"/>
      </rPr>
      <t>Note de Synthèse</t>
    </r>
  </si>
  <si>
    <t xml:space="preserve"> - si report de délai justifié =&gt; l'identifier clairement dans la colonne commentaire</t>
  </si>
  <si>
    <r>
      <t xml:space="preserve">Libellé : </t>
    </r>
    <r>
      <rPr>
        <sz val="9"/>
        <color rgb="FF000000"/>
        <rFont val="Marianne"/>
        <family val="3"/>
      </rPr>
      <t>Clarifier/analyser le sujet X en vue d’une diffusion à untel, untel et untel</t>
    </r>
  </si>
  <si>
    <t xml:space="preserve">            Copier une ligne =&gt; puis effectuer un collage spécial (clic droit &gt; collage spécial &gt; transposé) dans la case B2</t>
  </si>
  <si>
    <t>P2</t>
  </si>
  <si>
    <t>En relecture chez les co-signataires</t>
  </si>
  <si>
    <t>Action Close le 25/01</t>
  </si>
  <si>
    <t>Encore quelques réponses manquantes</t>
  </si>
  <si>
    <t>Travailler sur la valorisation des travaux, sur les plans de communication interne et externe</t>
  </si>
  <si>
    <t>Prod2 11-001</t>
  </si>
  <si>
    <t>Prod2</t>
  </si>
  <si>
    <t>Prod2 11-002</t>
  </si>
  <si>
    <t>Prod2 15-001</t>
  </si>
  <si>
    <t>Prod2 16-001</t>
  </si>
  <si>
    <t>Prod2 16-002</t>
  </si>
  <si>
    <t>Prod2 16-003</t>
  </si>
  <si>
    <t>Prod2 16-004</t>
  </si>
  <si>
    <t>Prod2 16-005</t>
  </si>
  <si>
    <t>Prod2 16-006</t>
  </si>
  <si>
    <t>Prod2 16-007</t>
  </si>
  <si>
    <t>Prod2 16-008</t>
  </si>
  <si>
    <t>Prod2 16-009</t>
  </si>
  <si>
    <t>Prod2 16-010</t>
  </si>
  <si>
    <t>Référence</t>
  </si>
  <si>
    <t>Date de
création</t>
  </si>
  <si>
    <t>ChefProd</t>
  </si>
  <si>
    <t>Niveau de restitution
(Prod2, AGD, etc)</t>
  </si>
  <si>
    <t>AGD</t>
  </si>
  <si>
    <t>Christian</t>
  </si>
  <si>
    <t>Gu=stave</t>
  </si>
  <si>
    <t xml:space="preserve">Rappel sur la sensibilisation Orion </t>
  </si>
  <si>
    <t>Besoin en formation sur l'outil COSIFF d'agents prod?</t>
  </si>
  <si>
    <t xml:space="preserve">GT1 et GT2
Communication sur GT1,  GT2 et GT3 à faire </t>
  </si>
  <si>
    <t>Réfexion à mener sur laminage X24</t>
  </si>
  <si>
    <t>Trombinoscope : faire remonter photos à AGP</t>
  </si>
  <si>
    <t>Définir besoin en formation sur l'outil OATA : fournir le nombre de personnes à former à AGP</t>
  </si>
  <si>
    <t>Idée de sujet pour un séminaire AGx - faire remonter l'idée à Christian</t>
  </si>
  <si>
    <t>Faire remonter au AGCOM via les chefs de Prod, éléments avec un contenu concret, accessible et parlant en vue de l'élaboration du film promotion Phoenix</t>
  </si>
  <si>
    <t>Convention de remise en état Felix</t>
  </si>
  <si>
    <t>Directeur</t>
  </si>
  <si>
    <t>Remise en forme du plan d'action à remettre à la signature de Gustave</t>
  </si>
  <si>
    <t>embauche Xavier pressenti : à charger du dossier RB2. Recontacter à ce sujet AGD</t>
  </si>
  <si>
    <t>plan action</t>
  </si>
  <si>
    <t xml:space="preserve">garantie sérieux </t>
  </si>
  <si>
    <t>renforcer lien Agx, réflexion stratégie</t>
  </si>
  <si>
    <t>organisation séminaire in fine</t>
  </si>
  <si>
    <t>Formation OATA</t>
  </si>
  <si>
    <t>définir périmètre coût, mise en place contrat</t>
  </si>
  <si>
    <t>Préparer note à la signature de Christian pour renouvellement DEFPRO</t>
  </si>
  <si>
    <t>note signée</t>
  </si>
  <si>
    <t>proposer des oslutions au problème vieillissement</t>
  </si>
  <si>
    <t>C. Rada</t>
  </si>
  <si>
    <t>Jayden</t>
  </si>
  <si>
    <t>APau</t>
  </si>
  <si>
    <t>Dangeille</t>
  </si>
  <si>
    <t>F. Berdin</t>
  </si>
  <si>
    <t>F. Dangeille</t>
  </si>
  <si>
    <t>Dioretine</t>
  </si>
  <si>
    <t>S. Borhar
S Feudronx
S.Vu</t>
  </si>
  <si>
    <t>Roupleau</t>
  </si>
  <si>
    <t>S.Feudonx
A. Trope
S.Vu</t>
  </si>
  <si>
    <t>F. Dangeville
A. Trope
Roupleau</t>
  </si>
  <si>
    <t>S.Vu</t>
  </si>
  <si>
    <t>Action Close le 25/01
Récupérer auprès de AGCom la date du message</t>
  </si>
  <si>
    <t>Formation prévue S4/2021 : personnels désignés (mail du 14/11/2020)</t>
  </si>
  <si>
    <t>Action Close le 25/01
Reprise dans le cadre de Prod1</t>
  </si>
  <si>
    <t>Chefs Prodx rajoutés comme pilotes le 11/01/17</t>
  </si>
  <si>
    <t>Planches envoyées à Crhistian
Prévoir revue
Fini le 25/10/2020</t>
  </si>
  <si>
    <t>Prod+autre origine</t>
  </si>
  <si>
    <t>depuis mise en place</t>
  </si>
  <si>
    <t>Conseils de tenue à jour</t>
  </si>
  <si>
    <t xml:space="preserve"> - toutes rubriques renseignées (ne rien oublier…)</t>
  </si>
  <si>
    <t xml:space="preserve"> - revue régulière des actions</t>
  </si>
  <si>
    <t xml:space="preserve"> - réviser l'échéancesi dépassée</t>
  </si>
  <si>
    <t xml:space="preserve"> - historiser/dater les commentaires</t>
  </si>
  <si>
    <t xml:space="preserve"> - </t>
  </si>
  <si>
    <t>Sigle numéro d'ordre</t>
  </si>
  <si>
    <t xml:space="preserve">Fait initiateur ou organe de pilotage </t>
  </si>
  <si>
    <t>Correspond en général au niveau auquel l'action à été décidée.</t>
  </si>
  <si>
    <t>Faire apparaître les "produits" attendus</t>
  </si>
  <si>
    <t>Identifier la valeur ajoutée de cette action</t>
  </si>
  <si>
    <t xml:space="preserve">Identifier l'impact que peut avoir un report d'échéance. </t>
  </si>
  <si>
    <t xml:space="preserve">Nouvelle échéance </t>
  </si>
  <si>
    <t xml:space="preserve">Description factuelle de l'avancement. </t>
  </si>
  <si>
    <t>Mettre un statut 4 si proposition cloture.  A la côture effective passer à 5</t>
  </si>
  <si>
    <t>Revenir aux actions</t>
  </si>
  <si>
    <r>
      <t>Valeur Ajoutée</t>
    </r>
    <r>
      <rPr>
        <sz val="9"/>
        <color rgb="FF000000"/>
        <rFont val="Marianne"/>
        <family val="3"/>
      </rPr>
      <t xml:space="preserve"> : Information personnel/Directrice/entité, maîtrise sujet X </t>
    </r>
  </si>
  <si>
    <t>Voir le guide de rédaction</t>
  </si>
  <si>
    <r>
      <t xml:space="preserve">Définir </t>
    </r>
    <r>
      <rPr>
        <b/>
        <sz val="12"/>
        <color rgb="FF2F5597"/>
        <rFont val="Marianne"/>
        <family val="3"/>
      </rPr>
      <t xml:space="preserve">Produit attendu </t>
    </r>
    <r>
      <rPr>
        <sz val="12"/>
        <color rgb="FF0070C0"/>
        <rFont val="Marianne"/>
        <family val="3"/>
      </rPr>
      <t xml:space="preserve">et </t>
    </r>
    <r>
      <rPr>
        <b/>
        <sz val="12"/>
        <color rgb="FF2F5597"/>
        <rFont val="Marianne"/>
        <family val="3"/>
      </rPr>
      <t>Valeur Ajoutée</t>
    </r>
    <r>
      <rPr>
        <sz val="12"/>
        <color rgb="FF0070C0"/>
        <rFont val="Marianne"/>
        <family val="3"/>
      </rPr>
      <t xml:space="preserve"> AVANT le libellé de l’action</t>
    </r>
  </si>
  <si>
    <t xml:space="preserve">Autorité </t>
  </si>
  <si>
    <t>Libellé synthétique de l'action</t>
  </si>
  <si>
    <t>Valeur ajoutée</t>
  </si>
  <si>
    <t>Produit attendu / Livrable</t>
  </si>
  <si>
    <t xml:space="preserve"> Pilote</t>
  </si>
  <si>
    <t>Délai</t>
  </si>
  <si>
    <t>Révisé</t>
  </si>
  <si>
    <t>Commentaires :
-  changement de pilote, 
- revue d'échéance
- justification clôture
- etc</t>
  </si>
  <si>
    <t>Fin de traitement</t>
  </si>
  <si>
    <t>Calendrier envoyé mais pas de dispo des ADx, attente d'une prochaine session. Expression besoin transmise</t>
  </si>
  <si>
    <t>Close Courrier envoyé le 3/11/20</t>
  </si>
  <si>
    <t>Mail envoyé le 28 oct par Vu, attente avis, nouveau délai?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</si>
</sst>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6">
    <font>
      <sz val="10"/>
      <name val="Geneva"/>
    </font>
    <font>
      <sz val="10"/>
      <name val="Geneva"/>
    </font>
    <font>
      <b/>
      <sz val="12"/>
      <name val="Arial"/>
      <family val="2"/>
    </font>
    <font>
      <sz val="8"/>
      <name val="Geneva"/>
    </font>
    <font>
      <b/>
      <sz val="18"/>
      <name val="Geneva"/>
    </font>
    <font>
      <sz val="18"/>
      <name val="Geneva"/>
    </font>
    <font>
      <b/>
      <sz val="14"/>
      <name val="Geneva"/>
    </font>
    <font>
      <sz val="12"/>
      <name val="Geneva"/>
    </font>
    <font>
      <sz val="10"/>
      <name val="Geneva"/>
    </font>
    <font>
      <b/>
      <sz val="18"/>
      <color indexed="9"/>
      <name val="Arial"/>
      <family val="2"/>
    </font>
    <font>
      <b/>
      <sz val="18"/>
      <color indexed="10"/>
      <name val="Arial"/>
      <family val="2"/>
    </font>
    <font>
      <sz val="12"/>
      <name val="Arial"/>
      <family val="2"/>
    </font>
    <font>
      <sz val="12"/>
      <color indexed="48"/>
      <name val="Arial"/>
      <family val="2"/>
    </font>
    <font>
      <b/>
      <sz val="12"/>
      <color indexed="48"/>
      <name val="Arial"/>
      <family val="2"/>
    </font>
    <font>
      <sz val="9"/>
      <name val="Arial"/>
      <family val="2"/>
    </font>
    <font>
      <b/>
      <sz val="9"/>
      <name val="Arial"/>
      <family val="2"/>
    </font>
    <font>
      <sz val="9"/>
      <color indexed="81"/>
      <name val="Tahoma"/>
      <family val="2"/>
    </font>
    <font>
      <b/>
      <sz val="10"/>
      <name val="Arial"/>
      <family val="2"/>
    </font>
    <font>
      <b/>
      <sz val="10"/>
      <name val="Geneva"/>
    </font>
    <font>
      <b/>
      <sz val="12"/>
      <name val="Geneva"/>
    </font>
    <font>
      <b/>
      <sz val="9"/>
      <color indexed="81"/>
      <name val="Tahoma"/>
      <family val="2"/>
    </font>
    <font>
      <sz val="11"/>
      <color theme="1"/>
      <name val="Calibri"/>
      <family val="2"/>
      <scheme val="minor"/>
    </font>
    <font>
      <sz val="12"/>
      <color rgb="FFFF0000"/>
      <name val="Arial"/>
      <family val="2"/>
    </font>
    <font>
      <sz val="9"/>
      <color rgb="FFFF0000"/>
      <name val="Arial"/>
      <family val="2"/>
    </font>
    <font>
      <b/>
      <sz val="14"/>
      <color theme="9" tint="-0.249977111117893"/>
      <name val="Geneva"/>
    </font>
    <font>
      <sz val="12"/>
      <color theme="1"/>
      <name val="Arial"/>
      <family val="2"/>
    </font>
    <font>
      <sz val="12"/>
      <color theme="9" tint="-0.249977111117893"/>
      <name val="Arial"/>
      <family val="2"/>
    </font>
    <font>
      <b/>
      <sz val="14"/>
      <color theme="9" tint="-0.249977111117893"/>
      <name val="Arial"/>
      <family val="2"/>
    </font>
    <font>
      <sz val="9"/>
      <color rgb="FF7030A0"/>
      <name val="Arial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10"/>
      <color rgb="FF000000"/>
      <name val="Tahoma"/>
      <family val="2"/>
    </font>
    <font>
      <b/>
      <sz val="9"/>
      <color indexed="81"/>
      <name val="Tahoma"/>
      <charset val="1"/>
    </font>
    <font>
      <sz val="14"/>
      <color rgb="FF548235"/>
      <name val="Marianne"/>
      <family val="3"/>
    </font>
    <font>
      <sz val="12"/>
      <color rgb="FF000000"/>
      <name val="Marianne"/>
      <family val="3"/>
    </font>
    <font>
      <sz val="12"/>
      <color rgb="FF0070C0"/>
      <name val="Marianne"/>
      <family val="3"/>
    </font>
    <font>
      <b/>
      <sz val="12"/>
      <color rgb="FF2F5597"/>
      <name val="Marianne"/>
      <family val="3"/>
    </font>
    <font>
      <sz val="12"/>
      <color rgb="FFFF0000"/>
      <name val="Marianne"/>
      <family val="3"/>
    </font>
    <font>
      <sz val="12"/>
      <color rgb="FF548235"/>
      <name val="Marianne"/>
      <family val="3"/>
    </font>
    <font>
      <sz val="11"/>
      <color rgb="FF000000"/>
      <name val="Marianne"/>
      <family val="3"/>
    </font>
    <font>
      <sz val="11"/>
      <name val="Geneva"/>
    </font>
    <font>
      <sz val="9"/>
      <name val="Geneva"/>
    </font>
    <font>
      <sz val="11"/>
      <name val="Marianne"/>
      <family val="3"/>
    </font>
    <font>
      <sz val="9"/>
      <color rgb="FF002060"/>
      <name val="Marianne"/>
      <family val="3"/>
    </font>
    <font>
      <sz val="9"/>
      <color rgb="FF000000"/>
      <name val="Marianne"/>
      <family val="3"/>
    </font>
    <font>
      <b/>
      <sz val="10"/>
      <name val="Marianne"/>
      <family val="3"/>
    </font>
  </fonts>
  <fills count="16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0.39997558519241921"/>
        <bgColor indexed="64"/>
      </patternFill>
    </fill>
  </fills>
  <borders count="4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ck">
        <color auto="1"/>
      </top>
      <bottom/>
      <diagonal/>
    </border>
  </borders>
  <cellStyleXfs count="2">
    <xf numFmtId="0" fontId="0" fillId="0" borderId="0" applyNumberFormat="0" applyFill="0" applyBorder="0" applyProtection="0"/>
    <xf numFmtId="0" fontId="21" fillId="0" borderId="0"/>
  </cellStyleXfs>
  <cellXfs count="200">
    <xf numFmtId="0" fontId="0" fillId="0" borderId="0" xfId="0"/>
    <xf numFmtId="0" fontId="7" fillId="0" borderId="0" xfId="0" applyFont="1"/>
    <xf numFmtId="0" fontId="8" fillId="0" borderId="0" xfId="0" applyFont="1"/>
    <xf numFmtId="0" fontId="5" fillId="0" borderId="0" xfId="0" applyFont="1"/>
    <xf numFmtId="0" fontId="4" fillId="0" borderId="0" xfId="0" applyFont="1"/>
    <xf numFmtId="0" fontId="6" fillId="0" borderId="0" xfId="0" applyFont="1"/>
    <xf numFmtId="0" fontId="7" fillId="0" borderId="0" xfId="0" applyFont="1" applyAlignment="1">
      <alignment horizontal="right"/>
    </xf>
    <xf numFmtId="0" fontId="14" fillId="0" borderId="0" xfId="0" applyFont="1" applyAlignment="1">
      <alignment vertical="center" wrapText="1"/>
    </xf>
    <xf numFmtId="14" fontId="14" fillId="0" borderId="2" xfId="0" applyNumberFormat="1" applyFont="1" applyBorder="1" applyAlignment="1">
      <alignment horizontal="center" vertical="center" wrapText="1"/>
    </xf>
    <xf numFmtId="0" fontId="14" fillId="0" borderId="2" xfId="0" applyFont="1" applyBorder="1" applyAlignment="1">
      <alignment horizontal="center" vertical="center" wrapText="1"/>
    </xf>
    <xf numFmtId="0" fontId="14" fillId="0" borderId="2" xfId="0" applyFont="1" applyBorder="1" applyAlignment="1" applyProtection="1">
      <alignment horizontal="center" vertical="center" wrapText="1"/>
      <protection locked="0"/>
    </xf>
    <xf numFmtId="14" fontId="14" fillId="0" borderId="6" xfId="0" applyNumberFormat="1" applyFont="1" applyBorder="1" applyAlignment="1">
      <alignment horizontal="center" vertical="center" wrapText="1"/>
    </xf>
    <xf numFmtId="0" fontId="14" fillId="0" borderId="6" xfId="0" applyFont="1" applyBorder="1" applyAlignment="1">
      <alignment horizontal="center" vertical="center" wrapText="1"/>
    </xf>
    <xf numFmtId="0" fontId="17" fillId="3" borderId="8" xfId="0" applyFont="1" applyFill="1" applyBorder="1" applyAlignment="1">
      <alignment horizontal="center" wrapText="1"/>
    </xf>
    <xf numFmtId="14" fontId="17" fillId="3" borderId="9" xfId="0" applyNumberFormat="1" applyFont="1" applyFill="1" applyBorder="1" applyAlignment="1">
      <alignment horizontal="center" wrapText="1"/>
    </xf>
    <xf numFmtId="0" fontId="17" fillId="3" borderId="10" xfId="0" applyFont="1" applyFill="1" applyBorder="1" applyAlignment="1">
      <alignment horizontal="center" wrapText="1"/>
    </xf>
    <xf numFmtId="0" fontId="19" fillId="3" borderId="11" xfId="0" applyFont="1" applyFill="1" applyBorder="1" applyAlignment="1">
      <alignment horizontal="center"/>
    </xf>
    <xf numFmtId="0" fontId="11" fillId="3" borderId="0" xfId="0" applyFont="1" applyFill="1" applyBorder="1" applyAlignment="1">
      <alignment horizontal="center" vertical="center" wrapText="1"/>
    </xf>
    <xf numFmtId="9" fontId="12" fillId="3" borderId="0" xfId="0" applyNumberFormat="1" applyFont="1" applyFill="1" applyBorder="1" applyAlignment="1">
      <alignment horizontal="center" vertical="center" wrapText="1"/>
    </xf>
    <xf numFmtId="0" fontId="11" fillId="3" borderId="12" xfId="0" applyFont="1" applyFill="1" applyBorder="1" applyAlignment="1">
      <alignment horizontal="center" vertical="center" wrapText="1"/>
    </xf>
    <xf numFmtId="0" fontId="11" fillId="3" borderId="13" xfId="0" applyFont="1" applyFill="1" applyBorder="1" applyAlignment="1">
      <alignment horizontal="center" vertical="center" wrapText="1"/>
    </xf>
    <xf numFmtId="0" fontId="18" fillId="3" borderId="0" xfId="0" applyFont="1" applyFill="1" applyBorder="1" applyAlignment="1">
      <alignment horizontal="center"/>
    </xf>
    <xf numFmtId="0" fontId="7" fillId="3" borderId="0" xfId="0" applyFont="1" applyFill="1"/>
    <xf numFmtId="0" fontId="7" fillId="3" borderId="0" xfId="0" applyFont="1" applyFill="1" applyAlignment="1">
      <alignment horizontal="right"/>
    </xf>
    <xf numFmtId="0" fontId="11" fillId="3" borderId="8" xfId="0" applyFont="1" applyFill="1" applyBorder="1" applyAlignment="1">
      <alignment vertical="center" wrapText="1"/>
    </xf>
    <xf numFmtId="0" fontId="11" fillId="3" borderId="0" xfId="0" applyFont="1" applyFill="1" applyBorder="1" applyAlignment="1">
      <alignment vertical="center" wrapText="1"/>
    </xf>
    <xf numFmtId="0" fontId="5" fillId="3" borderId="0" xfId="0" applyFont="1" applyFill="1"/>
    <xf numFmtId="0" fontId="6" fillId="3" borderId="0" xfId="0" applyFont="1" applyFill="1" applyBorder="1"/>
    <xf numFmtId="0" fontId="6" fillId="3" borderId="0" xfId="0" applyFont="1" applyFill="1"/>
    <xf numFmtId="1" fontId="11" fillId="3" borderId="0" xfId="0" applyNumberFormat="1" applyFont="1" applyFill="1" applyBorder="1" applyAlignment="1">
      <alignment horizontal="center" vertical="center" wrapText="1"/>
    </xf>
    <xf numFmtId="0" fontId="1" fillId="3" borderId="0" xfId="0" applyFont="1" applyFill="1" applyBorder="1"/>
    <xf numFmtId="0" fontId="8" fillId="3" borderId="0" xfId="0" applyFont="1" applyFill="1"/>
    <xf numFmtId="0" fontId="12" fillId="3" borderId="0" xfId="0" applyFont="1" applyFill="1" applyBorder="1" applyAlignment="1">
      <alignment horizontal="center" vertical="center" wrapText="1"/>
    </xf>
    <xf numFmtId="0" fontId="13" fillId="3" borderId="0" xfId="0" applyFont="1" applyFill="1" applyBorder="1" applyAlignment="1">
      <alignment horizontal="center" vertical="center" wrapText="1"/>
    </xf>
    <xf numFmtId="9" fontId="13" fillId="3" borderId="0" xfId="0" applyNumberFormat="1" applyFont="1" applyFill="1" applyBorder="1" applyAlignment="1">
      <alignment horizontal="center" vertical="center" wrapText="1"/>
    </xf>
    <xf numFmtId="0" fontId="4" fillId="3" borderId="0" xfId="0" applyFont="1" applyFill="1"/>
    <xf numFmtId="0" fontId="9" fillId="3" borderId="0" xfId="0" applyFont="1" applyFill="1" applyBorder="1" applyAlignment="1">
      <alignment horizontal="center" vertical="center" wrapText="1"/>
    </xf>
    <xf numFmtId="9" fontId="10" fillId="3" borderId="0" xfId="0" applyNumberFormat="1" applyFont="1" applyFill="1" applyBorder="1" applyAlignment="1">
      <alignment horizontal="center" vertical="center" wrapText="1"/>
    </xf>
    <xf numFmtId="0" fontId="1" fillId="3" borderId="0" xfId="0" applyFont="1" applyFill="1"/>
    <xf numFmtId="0" fontId="11" fillId="4" borderId="14" xfId="0" applyNumberFormat="1" applyFont="1" applyFill="1" applyBorder="1" applyAlignment="1">
      <alignment horizontal="center" vertical="center" wrapText="1"/>
    </xf>
    <xf numFmtId="0" fontId="11" fillId="5" borderId="15" xfId="0" applyNumberFormat="1" applyFont="1" applyFill="1" applyBorder="1" applyAlignment="1">
      <alignment horizontal="center" vertical="center" wrapText="1"/>
    </xf>
    <xf numFmtId="1" fontId="22" fillId="6" borderId="15" xfId="0" applyNumberFormat="1" applyFont="1" applyFill="1" applyBorder="1" applyAlignment="1">
      <alignment horizontal="center" vertical="center" wrapText="1"/>
    </xf>
    <xf numFmtId="0" fontId="11" fillId="0" borderId="13" xfId="0" applyFont="1" applyBorder="1" applyAlignment="1">
      <alignment horizontal="center" vertical="center" wrapText="1"/>
    </xf>
    <xf numFmtId="0" fontId="2" fillId="7" borderId="16" xfId="0" applyFont="1" applyFill="1" applyBorder="1" applyAlignment="1">
      <alignment horizontal="center" vertical="center" wrapText="1"/>
    </xf>
    <xf numFmtId="0" fontId="11" fillId="4" borderId="15" xfId="0" applyNumberFormat="1" applyFont="1" applyFill="1" applyBorder="1" applyAlignment="1">
      <alignment horizontal="center" vertical="center" wrapText="1"/>
    </xf>
    <xf numFmtId="0" fontId="14" fillId="0" borderId="6" xfId="0" applyFont="1" applyBorder="1" applyAlignment="1">
      <alignment horizontal="left" vertical="center" wrapText="1"/>
    </xf>
    <xf numFmtId="0" fontId="14" fillId="0" borderId="4" xfId="0" applyFont="1" applyBorder="1" applyAlignment="1" applyProtection="1">
      <alignment horizontal="center" vertical="center" wrapText="1"/>
      <protection locked="0"/>
    </xf>
    <xf numFmtId="0" fontId="14" fillId="0" borderId="0" xfId="0" applyFont="1" applyAlignment="1">
      <alignment horizontal="center" vertical="center" wrapText="1"/>
    </xf>
    <xf numFmtId="14" fontId="14" fillId="0" borderId="0" xfId="0" applyNumberFormat="1" applyFont="1" applyAlignment="1">
      <alignment horizontal="center" vertical="center" wrapText="1"/>
    </xf>
    <xf numFmtId="0" fontId="14" fillId="0" borderId="0" xfId="0" applyFont="1" applyAlignment="1">
      <alignment horizontal="left" vertical="center" wrapText="1"/>
    </xf>
    <xf numFmtId="0" fontId="14" fillId="0" borderId="0" xfId="0" applyFont="1" applyAlignment="1">
      <alignment horizontal="left" vertical="top" wrapText="1"/>
    </xf>
    <xf numFmtId="0" fontId="15" fillId="2" borderId="2" xfId="0" applyFont="1" applyFill="1" applyBorder="1" applyAlignment="1">
      <alignment horizontal="center" vertical="center" wrapText="1"/>
    </xf>
    <xf numFmtId="14" fontId="15" fillId="2" borderId="2" xfId="0" applyNumberFormat="1" applyFont="1" applyFill="1" applyBorder="1" applyAlignment="1">
      <alignment horizontal="center" vertical="center" wrapText="1"/>
    </xf>
    <xf numFmtId="49" fontId="15" fillId="2" borderId="2" xfId="0" applyNumberFormat="1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1" fontId="14" fillId="0" borderId="6" xfId="0" applyNumberFormat="1" applyFont="1" applyBorder="1" applyAlignment="1">
      <alignment horizontal="center" vertical="center" wrapText="1"/>
    </xf>
    <xf numFmtId="1" fontId="14" fillId="0" borderId="2" xfId="0" applyNumberFormat="1" applyFont="1" applyFill="1" applyBorder="1" applyAlignment="1" applyProtection="1">
      <alignment horizontal="center" vertical="center" wrapText="1"/>
    </xf>
    <xf numFmtId="14" fontId="23" fillId="0" borderId="6" xfId="0" applyNumberFormat="1" applyFont="1" applyBorder="1" applyAlignment="1">
      <alignment horizontal="left" vertical="center" wrapText="1"/>
    </xf>
    <xf numFmtId="14" fontId="23" fillId="0" borderId="6" xfId="0" applyNumberFormat="1" applyFont="1" applyBorder="1" applyAlignment="1">
      <alignment horizontal="center" vertical="center" wrapText="1"/>
    </xf>
    <xf numFmtId="0" fontId="19" fillId="8" borderId="21" xfId="0" applyFont="1" applyFill="1" applyBorder="1" applyAlignment="1">
      <alignment horizontal="center" vertical="center" wrapText="1"/>
    </xf>
    <xf numFmtId="14" fontId="11" fillId="3" borderId="0" xfId="0" applyNumberFormat="1" applyFont="1" applyFill="1" applyBorder="1" applyAlignment="1">
      <alignment horizontal="center" vertical="center" wrapText="1"/>
    </xf>
    <xf numFmtId="0" fontId="7" fillId="3" borderId="0" xfId="0" applyFont="1" applyFill="1" applyBorder="1" applyAlignment="1">
      <alignment horizontal="center"/>
    </xf>
    <xf numFmtId="0" fontId="0" fillId="3" borderId="0" xfId="0" applyFont="1" applyFill="1" applyBorder="1" applyAlignment="1">
      <alignment horizontal="center"/>
    </xf>
    <xf numFmtId="0" fontId="11" fillId="0" borderId="22" xfId="0" applyFont="1" applyFill="1" applyBorder="1" applyAlignment="1">
      <alignment horizontal="center" vertical="center" wrapText="1"/>
    </xf>
    <xf numFmtId="0" fontId="0" fillId="9" borderId="23" xfId="0" applyNumberFormat="1" applyFont="1" applyFill="1" applyBorder="1" applyAlignment="1">
      <alignment horizontal="center" vertical="center"/>
    </xf>
    <xf numFmtId="0" fontId="11" fillId="3" borderId="24" xfId="0" applyFont="1" applyFill="1" applyBorder="1" applyAlignment="1">
      <alignment horizontal="center" vertical="center" wrapText="1"/>
    </xf>
    <xf numFmtId="0" fontId="11" fillId="4" borderId="25" xfId="0" applyNumberFormat="1" applyFont="1" applyFill="1" applyBorder="1" applyAlignment="1">
      <alignment horizontal="center" vertical="center" wrapText="1"/>
    </xf>
    <xf numFmtId="0" fontId="7" fillId="0" borderId="10" xfId="0" applyFont="1" applyFill="1" applyBorder="1" applyAlignment="1">
      <alignment horizontal="center" vertical="center" wrapText="1"/>
    </xf>
    <xf numFmtId="0" fontId="24" fillId="8" borderId="26" xfId="0" applyFont="1" applyFill="1" applyBorder="1" applyAlignment="1">
      <alignment horizontal="center" vertical="center" wrapText="1"/>
    </xf>
    <xf numFmtId="0" fontId="11" fillId="0" borderId="27" xfId="0" applyFont="1" applyFill="1" applyBorder="1" applyAlignment="1">
      <alignment horizontal="center" vertical="center" wrapText="1"/>
    </xf>
    <xf numFmtId="0" fontId="11" fillId="3" borderId="28" xfId="0" applyFont="1" applyFill="1" applyBorder="1" applyAlignment="1">
      <alignment horizontal="center" vertical="center" wrapText="1"/>
    </xf>
    <xf numFmtId="0" fontId="11" fillId="0" borderId="28" xfId="0" applyFont="1" applyBorder="1" applyAlignment="1">
      <alignment horizontal="center" vertical="center" wrapText="1"/>
    </xf>
    <xf numFmtId="0" fontId="11" fillId="3" borderId="29" xfId="0" applyFont="1" applyFill="1" applyBorder="1" applyAlignment="1">
      <alignment horizontal="center" vertical="center" wrapText="1"/>
    </xf>
    <xf numFmtId="0" fontId="25" fillId="10" borderId="21" xfId="0" applyFont="1" applyFill="1" applyBorder="1" applyAlignment="1">
      <alignment horizontal="center" vertical="center" wrapText="1"/>
    </xf>
    <xf numFmtId="0" fontId="11" fillId="11" borderId="10" xfId="0" applyFont="1" applyFill="1" applyBorder="1" applyAlignment="1">
      <alignment horizontal="center" vertical="center" wrapText="1"/>
    </xf>
    <xf numFmtId="0" fontId="11" fillId="5" borderId="23" xfId="0" applyNumberFormat="1" applyFont="1" applyFill="1" applyBorder="1" applyAlignment="1">
      <alignment horizontal="center" vertical="center"/>
    </xf>
    <xf numFmtId="0" fontId="11" fillId="4" borderId="14" xfId="0" applyNumberFormat="1" applyFont="1" applyFill="1" applyBorder="1" applyAlignment="1">
      <alignment horizontal="center" vertical="center"/>
    </xf>
    <xf numFmtId="0" fontId="11" fillId="12" borderId="15" xfId="0" applyNumberFormat="1" applyFont="1" applyFill="1" applyBorder="1" applyAlignment="1">
      <alignment horizontal="center" vertical="center" wrapText="1"/>
    </xf>
    <xf numFmtId="0" fontId="11" fillId="13" borderId="15" xfId="0" applyNumberFormat="1" applyFont="1" applyFill="1" applyBorder="1" applyAlignment="1">
      <alignment horizontal="center" vertical="center" wrapText="1"/>
    </xf>
    <xf numFmtId="1" fontId="22" fillId="6" borderId="30" xfId="0" applyNumberFormat="1" applyFont="1" applyFill="1" applyBorder="1" applyAlignment="1">
      <alignment horizontal="center" vertical="center" wrapText="1"/>
    </xf>
    <xf numFmtId="0" fontId="11" fillId="10" borderId="31" xfId="0" applyNumberFormat="1" applyFont="1" applyFill="1" applyBorder="1" applyAlignment="1">
      <alignment horizontal="center" vertical="center" wrapText="1"/>
    </xf>
    <xf numFmtId="14" fontId="17" fillId="3" borderId="23" xfId="0" applyNumberFormat="1" applyFont="1" applyFill="1" applyBorder="1" applyAlignment="1">
      <alignment horizontal="center" vertical="center"/>
    </xf>
    <xf numFmtId="0" fontId="11" fillId="10" borderId="21" xfId="0" applyNumberFormat="1" applyFont="1" applyFill="1" applyBorder="1" applyAlignment="1">
      <alignment horizontal="center" vertical="center" wrapText="1"/>
    </xf>
    <xf numFmtId="0" fontId="11" fillId="10" borderId="32" xfId="0" applyNumberFormat="1" applyFont="1" applyFill="1" applyBorder="1" applyAlignment="1">
      <alignment horizontal="center" vertical="center" wrapText="1"/>
    </xf>
    <xf numFmtId="0" fontId="11" fillId="3" borderId="11" xfId="0" applyFont="1" applyFill="1" applyBorder="1" applyAlignment="1">
      <alignment horizontal="center" vertical="center" wrapText="1"/>
    </xf>
    <xf numFmtId="14" fontId="26" fillId="3" borderId="0" xfId="0" applyNumberFormat="1" applyFont="1" applyFill="1" applyBorder="1" applyAlignment="1">
      <alignment horizontal="center" vertical="center" wrapText="1"/>
    </xf>
    <xf numFmtId="0" fontId="27" fillId="7" borderId="10" xfId="0" applyFont="1" applyFill="1" applyBorder="1" applyAlignment="1">
      <alignment horizontal="center" vertical="center" wrapText="1"/>
    </xf>
    <xf numFmtId="0" fontId="25" fillId="3" borderId="33" xfId="0" applyFont="1" applyFill="1" applyBorder="1" applyAlignment="1">
      <alignment horizontal="center" vertical="center" wrapText="1"/>
    </xf>
    <xf numFmtId="0" fontId="2" fillId="7" borderId="26" xfId="0" applyFont="1" applyFill="1" applyBorder="1" applyAlignment="1">
      <alignment horizontal="center" vertical="center" wrapText="1"/>
    </xf>
    <xf numFmtId="0" fontId="11" fillId="3" borderId="33" xfId="0" applyNumberFormat="1" applyFont="1" applyFill="1" applyBorder="1" applyAlignment="1">
      <alignment horizontal="center" vertical="center" wrapText="1"/>
    </xf>
    <xf numFmtId="14" fontId="18" fillId="0" borderId="0" xfId="0" applyNumberFormat="1" applyFont="1" applyFill="1" applyBorder="1" applyAlignment="1">
      <alignment horizontal="center" vertical="center"/>
    </xf>
    <xf numFmtId="0" fontId="0" fillId="0" borderId="0" xfId="0" applyNumberFormat="1" applyFont="1" applyFill="1" applyBorder="1" applyAlignment="1">
      <alignment horizontal="center" vertical="center"/>
    </xf>
    <xf numFmtId="0" fontId="11" fillId="0" borderId="0" xfId="0" applyNumberFormat="1" applyFont="1" applyFill="1" applyBorder="1" applyAlignment="1">
      <alignment horizontal="center" vertical="center" wrapText="1"/>
    </xf>
    <xf numFmtId="1" fontId="22" fillId="0" borderId="0" xfId="0" applyNumberFormat="1" applyFont="1" applyFill="1" applyBorder="1" applyAlignment="1">
      <alignment horizontal="center" vertical="center" wrapText="1"/>
    </xf>
    <xf numFmtId="0" fontId="25" fillId="3" borderId="21" xfId="0" applyFont="1" applyFill="1" applyBorder="1" applyAlignment="1">
      <alignment horizontal="center" vertical="center" wrapText="1"/>
    </xf>
    <xf numFmtId="0" fontId="25" fillId="3" borderId="0" xfId="0" applyFont="1" applyFill="1" applyBorder="1" applyAlignment="1">
      <alignment horizontal="center" vertical="center" wrapText="1"/>
    </xf>
    <xf numFmtId="0" fontId="11" fillId="10" borderId="15" xfId="0" applyNumberFormat="1" applyFont="1" applyFill="1" applyBorder="1" applyAlignment="1">
      <alignment horizontal="center" vertical="center" wrapText="1"/>
    </xf>
    <xf numFmtId="0" fontId="2" fillId="0" borderId="11" xfId="0" applyFont="1" applyFill="1" applyBorder="1" applyAlignment="1">
      <alignment horizontal="center" vertical="center" wrapText="1"/>
    </xf>
    <xf numFmtId="0" fontId="2" fillId="7" borderId="11" xfId="0" applyFont="1" applyFill="1" applyBorder="1" applyAlignment="1">
      <alignment horizontal="center" vertical="center" wrapText="1"/>
    </xf>
    <xf numFmtId="0" fontId="11" fillId="0" borderId="0" xfId="0" applyFont="1" applyFill="1" applyBorder="1" applyAlignment="1">
      <alignment horizontal="center" vertical="center" wrapText="1"/>
    </xf>
    <xf numFmtId="0" fontId="11" fillId="0" borderId="0" xfId="0" applyFont="1" applyBorder="1" applyAlignment="1">
      <alignment horizontal="center" vertical="center" wrapText="1"/>
    </xf>
    <xf numFmtId="0" fontId="11" fillId="5" borderId="26" xfId="0" applyNumberFormat="1" applyFont="1" applyFill="1" applyBorder="1" applyAlignment="1">
      <alignment horizontal="center" vertical="center"/>
    </xf>
    <xf numFmtId="0" fontId="11" fillId="4" borderId="34" xfId="0" applyNumberFormat="1" applyFont="1" applyFill="1" applyBorder="1" applyAlignment="1">
      <alignment horizontal="center" vertical="center" wrapText="1"/>
    </xf>
    <xf numFmtId="0" fontId="11" fillId="4" borderId="35" xfId="0" applyNumberFormat="1" applyFont="1" applyFill="1" applyBorder="1" applyAlignment="1">
      <alignment horizontal="center" vertical="center" wrapText="1"/>
    </xf>
    <xf numFmtId="0" fontId="11" fillId="12" borderId="36" xfId="0" applyNumberFormat="1" applyFont="1" applyFill="1" applyBorder="1" applyAlignment="1">
      <alignment horizontal="center" vertical="center" wrapText="1"/>
    </xf>
    <xf numFmtId="0" fontId="11" fillId="13" borderId="36" xfId="0" applyNumberFormat="1" applyFont="1" applyFill="1" applyBorder="1" applyAlignment="1">
      <alignment horizontal="center" vertical="center" wrapText="1"/>
    </xf>
    <xf numFmtId="1" fontId="22" fillId="6" borderId="36" xfId="0" applyNumberFormat="1" applyFont="1" applyFill="1" applyBorder="1" applyAlignment="1">
      <alignment horizontal="center" vertical="center" wrapText="1"/>
    </xf>
    <xf numFmtId="0" fontId="14" fillId="0" borderId="27" xfId="0" applyFont="1" applyBorder="1" applyAlignment="1">
      <alignment horizontal="center" vertical="center" wrapText="1"/>
    </xf>
    <xf numFmtId="14" fontId="28" fillId="0" borderId="28" xfId="0" applyNumberFormat="1" applyFont="1" applyBorder="1" applyAlignment="1">
      <alignment horizontal="center" vertical="center" wrapText="1"/>
    </xf>
    <xf numFmtId="0" fontId="14" fillId="0" borderId="28" xfId="0" applyFont="1" applyBorder="1" applyAlignment="1">
      <alignment horizontal="center" vertical="center" wrapText="1"/>
    </xf>
    <xf numFmtId="14" fontId="14" fillId="0" borderId="28" xfId="0" applyNumberFormat="1" applyFont="1" applyBorder="1" applyAlignment="1">
      <alignment horizontal="center" vertical="center" wrapText="1"/>
    </xf>
    <xf numFmtId="0" fontId="14" fillId="0" borderId="37" xfId="0" applyFont="1" applyBorder="1" applyAlignment="1">
      <alignment horizontal="center" vertical="center" wrapText="1"/>
    </xf>
    <xf numFmtId="0" fontId="31" fillId="10" borderId="0" xfId="0" applyFont="1" applyFill="1"/>
    <xf numFmtId="0" fontId="2" fillId="3" borderId="11" xfId="0" applyNumberFormat="1" applyFont="1" applyFill="1" applyBorder="1" applyAlignment="1">
      <alignment horizontal="center" vertical="center" wrapText="1"/>
    </xf>
    <xf numFmtId="0" fontId="7" fillId="3" borderId="39" xfId="0" applyFont="1" applyFill="1" applyBorder="1" applyAlignment="1">
      <alignment horizontal="right"/>
    </xf>
    <xf numFmtId="0" fontId="7" fillId="3" borderId="39" xfId="0" applyFont="1" applyFill="1" applyBorder="1"/>
    <xf numFmtId="0" fontId="33" fillId="0" borderId="0" xfId="0" applyFont="1" applyAlignment="1">
      <alignment horizontal="justify" vertical="center" readingOrder="1"/>
    </xf>
    <xf numFmtId="0" fontId="35" fillId="0" borderId="0" xfId="0" applyFont="1" applyAlignment="1">
      <alignment horizontal="justify" vertical="center" readingOrder="1"/>
    </xf>
    <xf numFmtId="0" fontId="34" fillId="0" borderId="0" xfId="0" applyFont="1" applyAlignment="1">
      <alignment horizontal="justify" vertical="center" readingOrder="1"/>
    </xf>
    <xf numFmtId="0" fontId="38" fillId="0" borderId="0" xfId="0" applyFont="1" applyAlignment="1">
      <alignment horizontal="justify" vertical="center" readingOrder="1"/>
    </xf>
    <xf numFmtId="0" fontId="37" fillId="0" borderId="0" xfId="0" applyFont="1" applyAlignment="1">
      <alignment horizontal="justify" vertical="center" readingOrder="1"/>
    </xf>
    <xf numFmtId="0" fontId="40" fillId="0" borderId="0" xfId="0" applyFont="1"/>
    <xf numFmtId="0" fontId="39" fillId="0" borderId="0" xfId="0" applyFont="1" applyAlignment="1">
      <alignment horizontal="justify" vertical="center" readingOrder="1"/>
    </xf>
    <xf numFmtId="0" fontId="41" fillId="0" borderId="2" xfId="0" applyFont="1" applyBorder="1" applyAlignment="1">
      <alignment vertical="center" wrapText="1"/>
    </xf>
    <xf numFmtId="0" fontId="0" fillId="14" borderId="0" xfId="0" applyFill="1"/>
    <xf numFmtId="0" fontId="0" fillId="10" borderId="0" xfId="0" applyFill="1"/>
    <xf numFmtId="0" fontId="31" fillId="10" borderId="0" xfId="0" applyFont="1" applyFill="1" applyAlignment="1">
      <alignment vertical="center"/>
    </xf>
    <xf numFmtId="1" fontId="14" fillId="0" borderId="18" xfId="0" applyNumberFormat="1" applyFont="1" applyFill="1" applyBorder="1" applyAlignment="1" applyProtection="1">
      <alignment horizontal="center" vertical="center" wrapText="1"/>
      <protection locked="0"/>
    </xf>
    <xf numFmtId="14" fontId="14" fillId="0" borderId="4" xfId="0" applyNumberFormat="1" applyFont="1" applyBorder="1" applyAlignment="1" applyProtection="1">
      <alignment horizontal="center" vertical="center" wrapText="1"/>
      <protection locked="0"/>
    </xf>
    <xf numFmtId="0" fontId="14" fillId="0" borderId="4" xfId="0" applyFont="1" applyBorder="1" applyAlignment="1" applyProtection="1">
      <alignment horizontal="left" vertical="center" wrapText="1"/>
      <protection locked="0"/>
    </xf>
    <xf numFmtId="0" fontId="14" fillId="0" borderId="4" xfId="0" applyFont="1" applyFill="1" applyBorder="1" applyAlignment="1" applyProtection="1">
      <alignment horizontal="center" vertical="center" wrapText="1"/>
      <protection locked="0"/>
    </xf>
    <xf numFmtId="14" fontId="14" fillId="0" borderId="4" xfId="0" applyNumberFormat="1" applyFont="1" applyFill="1" applyBorder="1" applyAlignment="1" applyProtection="1">
      <alignment horizontal="center" vertical="center" wrapText="1"/>
      <protection locked="0"/>
    </xf>
    <xf numFmtId="0" fontId="14" fillId="0" borderId="4" xfId="0" applyFont="1" applyBorder="1" applyAlignment="1" applyProtection="1">
      <alignment horizontal="left" vertical="top" wrapText="1"/>
      <protection locked="0"/>
    </xf>
    <xf numFmtId="1" fontId="14" fillId="0" borderId="4" xfId="0" applyNumberFormat="1" applyFont="1" applyBorder="1" applyAlignment="1" applyProtection="1">
      <alignment horizontal="center" vertical="center" wrapText="1"/>
      <protection locked="0"/>
    </xf>
    <xf numFmtId="0" fontId="15" fillId="0" borderId="2" xfId="0" applyFont="1" applyBorder="1" applyAlignment="1" applyProtection="1">
      <alignment horizontal="center" vertical="center" wrapText="1"/>
      <protection locked="0"/>
    </xf>
    <xf numFmtId="0" fontId="14" fillId="0" borderId="0" xfId="0" applyFont="1" applyAlignment="1" applyProtection="1">
      <alignment vertical="center" wrapText="1"/>
      <protection locked="0"/>
    </xf>
    <xf numFmtId="0" fontId="14" fillId="0" borderId="4" xfId="0" applyFont="1" applyBorder="1" applyAlignment="1" applyProtection="1">
      <alignment horizontal="justify" vertical="center" wrapText="1"/>
      <protection locked="0"/>
    </xf>
    <xf numFmtId="1" fontId="14" fillId="0" borderId="5" xfId="0" applyNumberFormat="1" applyFont="1" applyBorder="1" applyAlignment="1" applyProtection="1">
      <alignment horizontal="center" vertical="center" wrapText="1"/>
      <protection locked="0"/>
    </xf>
    <xf numFmtId="1" fontId="14" fillId="0" borderId="17" xfId="0" applyNumberFormat="1" applyFont="1" applyFill="1" applyBorder="1" applyAlignment="1" applyProtection="1">
      <alignment horizontal="center" vertical="center" wrapText="1"/>
      <protection locked="0"/>
    </xf>
    <xf numFmtId="14" fontId="14" fillId="0" borderId="2" xfId="0" applyNumberFormat="1" applyFont="1" applyBorder="1" applyAlignment="1" applyProtection="1">
      <alignment horizontal="center" vertical="center" wrapText="1"/>
      <protection locked="0"/>
    </xf>
    <xf numFmtId="0" fontId="14" fillId="0" borderId="2" xfId="0" applyFont="1" applyBorder="1" applyAlignment="1" applyProtection="1">
      <alignment horizontal="left" vertical="center" wrapText="1"/>
      <protection locked="0"/>
    </xf>
    <xf numFmtId="1" fontId="14" fillId="0" borderId="2" xfId="0" applyNumberFormat="1" applyFont="1" applyBorder="1" applyAlignment="1" applyProtection="1">
      <alignment horizontal="center" vertical="center" wrapText="1"/>
      <protection locked="0"/>
    </xf>
    <xf numFmtId="0" fontId="14" fillId="0" borderId="2" xfId="0" applyFont="1" applyBorder="1" applyAlignment="1" applyProtection="1">
      <alignment vertical="center" wrapText="1"/>
      <protection locked="0"/>
    </xf>
    <xf numFmtId="1" fontId="14" fillId="0" borderId="3" xfId="0" applyNumberFormat="1" applyFont="1" applyBorder="1" applyAlignment="1" applyProtection="1">
      <alignment horizontal="center" vertical="center" wrapText="1"/>
      <protection locked="0"/>
    </xf>
    <xf numFmtId="1" fontId="14" fillId="0" borderId="19" xfId="0" applyNumberFormat="1" applyFont="1" applyFill="1" applyBorder="1" applyAlignment="1" applyProtection="1">
      <alignment horizontal="center" vertical="center" wrapText="1"/>
      <protection locked="0"/>
    </xf>
    <xf numFmtId="14" fontId="14" fillId="0" borderId="6" xfId="0" applyNumberFormat="1" applyFont="1" applyBorder="1" applyAlignment="1" applyProtection="1">
      <alignment horizontal="center" vertical="center" wrapText="1"/>
      <protection locked="0"/>
    </xf>
    <xf numFmtId="0" fontId="14" fillId="0" borderId="6" xfId="0" applyFont="1" applyBorder="1" applyAlignment="1" applyProtection="1">
      <alignment horizontal="center" vertical="center" wrapText="1"/>
      <protection locked="0"/>
    </xf>
    <xf numFmtId="0" fontId="14" fillId="0" borderId="6" xfId="0" applyFont="1" applyBorder="1" applyAlignment="1" applyProtection="1">
      <alignment horizontal="left" vertical="center" wrapText="1"/>
      <protection locked="0"/>
    </xf>
    <xf numFmtId="0" fontId="14" fillId="0" borderId="6" xfId="0" applyFont="1" applyBorder="1" applyAlignment="1" applyProtection="1">
      <alignment horizontal="left" vertical="top" wrapText="1"/>
      <protection locked="0"/>
    </xf>
    <xf numFmtId="1" fontId="14" fillId="0" borderId="7" xfId="0" applyNumberFormat="1" applyFont="1" applyBorder="1" applyAlignment="1" applyProtection="1">
      <alignment horizontal="center" vertical="center" wrapText="1"/>
      <protection locked="0"/>
    </xf>
    <xf numFmtId="14" fontId="14" fillId="0" borderId="7" xfId="0" applyNumberFormat="1" applyFont="1" applyBorder="1" applyAlignment="1" applyProtection="1">
      <alignment horizontal="center" vertical="center" wrapText="1"/>
      <protection locked="0"/>
    </xf>
    <xf numFmtId="0" fontId="14" fillId="0" borderId="2" xfId="0" applyFont="1" applyFill="1" applyBorder="1" applyAlignment="1" applyProtection="1">
      <alignment horizontal="center" vertical="center" wrapText="1"/>
      <protection locked="0"/>
    </xf>
    <xf numFmtId="0" fontId="14" fillId="0" borderId="2" xfId="0" applyFont="1" applyBorder="1" applyAlignment="1" applyProtection="1">
      <alignment horizontal="left" vertical="top" wrapText="1"/>
      <protection locked="0"/>
    </xf>
    <xf numFmtId="14" fontId="14" fillId="0" borderId="2" xfId="0" applyNumberFormat="1" applyFont="1" applyBorder="1" applyAlignment="1" applyProtection="1">
      <alignment horizontal="left" vertical="center" wrapText="1"/>
      <protection locked="0"/>
    </xf>
    <xf numFmtId="14" fontId="14" fillId="0" borderId="6" xfId="0" applyNumberFormat="1" applyFont="1" applyBorder="1" applyAlignment="1" applyProtection="1">
      <alignment horizontal="left" vertical="center" wrapText="1"/>
      <protection locked="0"/>
    </xf>
    <xf numFmtId="1" fontId="14" fillId="0" borderId="6" xfId="0" applyNumberFormat="1" applyFont="1" applyBorder="1" applyAlignment="1" applyProtection="1">
      <alignment horizontal="center" vertical="center" wrapText="1"/>
      <protection locked="0"/>
    </xf>
    <xf numFmtId="1" fontId="14" fillId="0" borderId="7" xfId="0" applyNumberFormat="1" applyFont="1" applyFill="1" applyBorder="1" applyAlignment="1" applyProtection="1">
      <alignment horizontal="center" vertical="center" wrapText="1"/>
      <protection locked="0"/>
    </xf>
    <xf numFmtId="1" fontId="15" fillId="0" borderId="14" xfId="0" applyNumberFormat="1" applyFont="1" applyFill="1" applyBorder="1" applyAlignment="1" applyProtection="1">
      <alignment horizontal="center" vertical="center" wrapText="1"/>
      <protection locked="0"/>
    </xf>
    <xf numFmtId="14" fontId="15" fillId="0" borderId="15" xfId="0" applyNumberFormat="1" applyFont="1" applyBorder="1" applyAlignment="1" applyProtection="1">
      <alignment horizontal="center" vertical="center" wrapText="1"/>
      <protection locked="0"/>
    </xf>
    <xf numFmtId="0" fontId="15" fillId="0" borderId="15" xfId="0" applyFont="1" applyBorder="1" applyAlignment="1" applyProtection="1">
      <alignment horizontal="left" vertical="center" wrapText="1"/>
      <protection locked="0"/>
    </xf>
    <xf numFmtId="0" fontId="15" fillId="0" borderId="15" xfId="0" applyFont="1" applyBorder="1" applyAlignment="1" applyProtection="1">
      <alignment horizontal="center" vertical="center" wrapText="1"/>
      <protection locked="0"/>
    </xf>
    <xf numFmtId="14" fontId="15" fillId="0" borderId="15" xfId="0" applyNumberFormat="1" applyFont="1" applyBorder="1" applyAlignment="1" applyProtection="1">
      <alignment horizontal="left" vertical="center" wrapText="1"/>
      <protection locked="0"/>
    </xf>
    <xf numFmtId="1" fontId="15" fillId="0" borderId="15" xfId="0" applyNumberFormat="1" applyFont="1" applyBorder="1" applyAlignment="1" applyProtection="1">
      <alignment horizontal="center" vertical="center" wrapText="1"/>
      <protection locked="0"/>
    </xf>
    <xf numFmtId="0" fontId="15" fillId="0" borderId="0" xfId="0" applyFont="1" applyAlignment="1" applyProtection="1">
      <alignment vertical="center" wrapText="1"/>
      <protection locked="0"/>
    </xf>
    <xf numFmtId="0" fontId="14" fillId="0" borderId="0" xfId="0" applyFont="1" applyAlignment="1" applyProtection="1">
      <alignment horizontal="center" vertical="center" wrapText="1"/>
      <protection locked="0"/>
    </xf>
    <xf numFmtId="14" fontId="14" fillId="0" borderId="0" xfId="0" applyNumberFormat="1" applyFont="1" applyAlignment="1" applyProtection="1">
      <alignment horizontal="center" vertical="center" wrapText="1"/>
      <protection locked="0"/>
    </xf>
    <xf numFmtId="0" fontId="14" fillId="0" borderId="0" xfId="0" applyFont="1" applyAlignment="1" applyProtection="1">
      <alignment horizontal="left" vertical="center" wrapText="1"/>
      <protection locked="0"/>
    </xf>
    <xf numFmtId="0" fontId="14" fillId="0" borderId="0" xfId="0" applyFont="1" applyAlignment="1" applyProtection="1">
      <alignment horizontal="left" vertical="top" wrapText="1"/>
      <protection locked="0"/>
    </xf>
    <xf numFmtId="0" fontId="33" fillId="14" borderId="21" xfId="0" applyFont="1" applyFill="1" applyBorder="1" applyAlignment="1">
      <alignment horizontal="justify" vertical="center" readingOrder="1"/>
    </xf>
    <xf numFmtId="0" fontId="0" fillId="14" borderId="32" xfId="0" applyFill="1" applyBorder="1"/>
    <xf numFmtId="0" fontId="0" fillId="14" borderId="31" xfId="0" applyFill="1" applyBorder="1"/>
    <xf numFmtId="0" fontId="42" fillId="0" borderId="0" xfId="0" applyFont="1"/>
    <xf numFmtId="0" fontId="43" fillId="0" borderId="0" xfId="0" applyFont="1" applyAlignment="1">
      <alignment horizontal="justify" vertical="center" readingOrder="1"/>
    </xf>
    <xf numFmtId="0" fontId="45" fillId="14" borderId="32" xfId="0" applyFont="1" applyFill="1" applyBorder="1" applyAlignment="1">
      <alignment horizontal="center"/>
    </xf>
    <xf numFmtId="0" fontId="0" fillId="0" borderId="0" xfId="0" applyAlignment="1">
      <alignment horizontal="left" vertical="center"/>
    </xf>
    <xf numFmtId="0" fontId="0" fillId="14" borderId="21" xfId="0" applyFill="1" applyBorder="1" applyAlignment="1">
      <alignment horizontal="center"/>
    </xf>
    <xf numFmtId="0" fontId="0" fillId="14" borderId="32" xfId="0" applyFill="1" applyBorder="1" applyAlignment="1">
      <alignment horizontal="center"/>
    </xf>
    <xf numFmtId="0" fontId="45" fillId="14" borderId="31" xfId="0" applyFont="1" applyFill="1" applyBorder="1" applyAlignment="1">
      <alignment horizontal="center"/>
    </xf>
    <xf numFmtId="0" fontId="0" fillId="0" borderId="0" xfId="0" applyFill="1"/>
    <xf numFmtId="0" fontId="0" fillId="0" borderId="0" xfId="0" applyFill="1" applyAlignment="1">
      <alignment horizontal="center" wrapText="1"/>
    </xf>
    <xf numFmtId="0" fontId="18" fillId="0" borderId="0" xfId="0" applyFont="1" applyAlignment="1">
      <alignment vertical="center"/>
    </xf>
    <xf numFmtId="0" fontId="15" fillId="15" borderId="2" xfId="0" applyFont="1" applyFill="1" applyBorder="1" applyAlignment="1" applyProtection="1">
      <alignment horizontal="center" vertical="center" wrapText="1"/>
      <protection locked="0"/>
    </xf>
    <xf numFmtId="14" fontId="15" fillId="15" borderId="2" xfId="0" applyNumberFormat="1" applyFont="1" applyFill="1" applyBorder="1" applyAlignment="1" applyProtection="1">
      <alignment horizontal="center" vertical="center" wrapText="1"/>
      <protection locked="0"/>
    </xf>
    <xf numFmtId="49" fontId="15" fillId="15" borderId="2" xfId="0" applyNumberFormat="1" applyFont="1" applyFill="1" applyBorder="1" applyAlignment="1" applyProtection="1">
      <alignment horizontal="center" vertical="center" wrapText="1"/>
      <protection locked="0"/>
    </xf>
    <xf numFmtId="0" fontId="15" fillId="15" borderId="20" xfId="0" applyFont="1" applyFill="1" applyBorder="1" applyAlignment="1" applyProtection="1">
      <alignment horizontal="center" vertical="center" wrapText="1"/>
      <protection locked="0"/>
    </xf>
    <xf numFmtId="0" fontId="15" fillId="15" borderId="1" xfId="0" applyFont="1" applyFill="1" applyBorder="1" applyAlignment="1" applyProtection="1">
      <alignment horizontal="center" vertical="center" wrapText="1"/>
      <protection locked="0"/>
    </xf>
    <xf numFmtId="0" fontId="29" fillId="15" borderId="10" xfId="0" applyFont="1" applyFill="1" applyBorder="1" applyAlignment="1">
      <alignment horizontal="center" vertical="center" wrapText="1"/>
    </xf>
    <xf numFmtId="14" fontId="29" fillId="15" borderId="38" xfId="0" applyNumberFormat="1" applyFont="1" applyFill="1" applyBorder="1" applyAlignment="1">
      <alignment horizontal="center" vertical="center" wrapText="1"/>
    </xf>
    <xf numFmtId="0" fontId="29" fillId="15" borderId="38" xfId="0" applyNumberFormat="1" applyFont="1" applyFill="1" applyBorder="1" applyAlignment="1">
      <alignment horizontal="right" vertical="center" wrapText="1"/>
    </xf>
    <xf numFmtId="14" fontId="29" fillId="15" borderId="38" xfId="0" quotePrefix="1" applyNumberFormat="1" applyFont="1" applyFill="1" applyBorder="1" applyAlignment="1">
      <alignment horizontal="center" vertical="center" wrapText="1"/>
    </xf>
    <xf numFmtId="0" fontId="30" fillId="15" borderId="38" xfId="0" applyFont="1" applyFill="1" applyBorder="1" applyAlignment="1">
      <alignment horizontal="center" vertical="center" wrapText="1"/>
    </xf>
    <xf numFmtId="0" fontId="29" fillId="15" borderId="38" xfId="0" applyFont="1" applyFill="1" applyBorder="1" applyAlignment="1">
      <alignment horizontal="left" vertical="center" wrapText="1"/>
    </xf>
    <xf numFmtId="0" fontId="29" fillId="15" borderId="38" xfId="0" applyFont="1" applyFill="1" applyBorder="1" applyAlignment="1">
      <alignment horizontal="center" vertical="center" wrapText="1"/>
    </xf>
    <xf numFmtId="14" fontId="30" fillId="15" borderId="38" xfId="0" applyNumberFormat="1" applyFont="1" applyFill="1" applyBorder="1" applyAlignment="1">
      <alignment horizontal="center" vertical="center" wrapText="1"/>
    </xf>
    <xf numFmtId="0" fontId="29" fillId="15" borderId="20" xfId="0" applyFont="1" applyFill="1" applyBorder="1" applyAlignment="1">
      <alignment horizontal="center" vertical="center" wrapText="1"/>
    </xf>
    <xf numFmtId="0" fontId="15" fillId="15" borderId="2" xfId="0" applyFont="1" applyFill="1" applyBorder="1" applyAlignment="1">
      <alignment horizontal="center" vertical="center" wrapText="1"/>
    </xf>
    <xf numFmtId="14" fontId="15" fillId="15" borderId="2" xfId="0" applyNumberFormat="1" applyFont="1" applyFill="1" applyBorder="1" applyAlignment="1">
      <alignment horizontal="center" vertical="center" wrapText="1"/>
    </xf>
    <xf numFmtId="49" fontId="15" fillId="15" borderId="2" xfId="0" applyNumberFormat="1" applyFont="1" applyFill="1" applyBorder="1" applyAlignment="1">
      <alignment horizontal="center" vertical="center" wrapText="1"/>
    </xf>
    <xf numFmtId="0" fontId="31" fillId="15" borderId="0" xfId="0" applyFont="1" applyFill="1"/>
    <xf numFmtId="0" fontId="0" fillId="15" borderId="0" xfId="0" applyFill="1"/>
  </cellXfs>
  <cellStyles count="2">
    <cellStyle name="Normal" xfId="0" builtinId="0"/>
    <cellStyle name="Normal 2" xfId="1" xr:uid="{00000000-0005-0000-0000-000001000000}"/>
  </cellStyles>
  <dxfs count="140">
    <dxf>
      <font>
        <b/>
        <i val="0"/>
        <condense val="0"/>
        <extend val="0"/>
      </font>
    </dxf>
    <dxf>
      <font>
        <b/>
        <i val="0"/>
        <condense val="0"/>
        <extend val="0"/>
        <color indexed="9"/>
      </font>
      <fill>
        <patternFill>
          <fgColor indexed="63"/>
          <bgColor indexed="12"/>
        </patternFill>
      </fill>
    </dxf>
    <dxf>
      <font>
        <b/>
        <i val="0"/>
        <condense val="0"/>
        <extend val="0"/>
      </font>
    </dxf>
    <dxf>
      <font>
        <b/>
        <i val="0"/>
        <condense val="0"/>
        <extend val="0"/>
        <color indexed="9"/>
      </font>
      <fill>
        <patternFill>
          <fgColor indexed="63"/>
          <bgColor indexed="12"/>
        </patternFill>
      </fill>
    </dxf>
    <dxf>
      <fill>
        <patternFill>
          <bgColor indexed="47"/>
        </patternFill>
      </fill>
    </dxf>
    <dxf>
      <font>
        <color rgb="FFFFC000"/>
        <name val="Cambria"/>
        <scheme val="none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color rgb="FFFF0000"/>
      </font>
    </dxf>
    <dxf>
      <font>
        <b/>
        <i val="0"/>
        <color rgb="FF0070C0"/>
      </font>
    </dxf>
    <dxf>
      <fill>
        <patternFill>
          <bgColor indexed="47"/>
        </patternFill>
      </fill>
    </dxf>
    <dxf>
      <font>
        <color rgb="FFFF0000"/>
      </font>
    </dxf>
    <dxf>
      <font>
        <color rgb="FFFF0000"/>
      </font>
    </dxf>
    <dxf>
      <font>
        <b/>
        <i val="0"/>
        <color rgb="FF0070C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  <color indexed="9"/>
      </font>
      <fill>
        <patternFill>
          <fgColor indexed="63"/>
          <bgColor indexed="12"/>
        </patternFill>
      </fill>
    </dxf>
    <dxf>
      <font>
        <b/>
        <i val="0"/>
        <condense val="0"/>
        <extend val="0"/>
      </font>
    </dxf>
    <dxf>
      <font>
        <b/>
        <i val="0"/>
        <condense val="0"/>
        <extend val="0"/>
        <color indexed="9"/>
      </font>
      <fill>
        <patternFill>
          <fgColor indexed="63"/>
          <bgColor indexed="12"/>
        </patternFill>
      </fill>
    </dxf>
    <dxf>
      <font>
        <color rgb="FF7030A0"/>
      </font>
    </dxf>
    <dxf>
      <fill>
        <patternFill>
          <bgColor indexed="47"/>
        </patternFill>
      </fill>
    </dxf>
    <dxf>
      <font>
        <color rgb="FFFFC000"/>
        <name val="Cambria"/>
        <scheme val="none"/>
      </font>
      <fill>
        <patternFill>
          <bgColor rgb="FFFF0000"/>
        </patternFill>
      </fill>
    </dxf>
    <dxf>
      <font>
        <b/>
        <i val="0"/>
        <condense val="0"/>
        <extend val="0"/>
      </font>
    </dxf>
    <dxf>
      <font>
        <b/>
        <i val="0"/>
        <condense val="0"/>
        <extend val="0"/>
        <color indexed="9"/>
      </font>
      <fill>
        <patternFill>
          <fgColor indexed="63"/>
          <bgColor indexed="12"/>
        </patternFill>
      </fill>
    </dxf>
    <dxf>
      <font>
        <b/>
        <i val="0"/>
        <condense val="0"/>
        <extend val="0"/>
      </font>
    </dxf>
    <dxf>
      <font>
        <b/>
        <i val="0"/>
        <condense val="0"/>
        <extend val="0"/>
        <color indexed="9"/>
      </font>
      <fill>
        <patternFill>
          <fgColor indexed="63"/>
          <bgColor indexed="12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ndense val="0"/>
        <extend val="0"/>
      </font>
    </dxf>
    <dxf>
      <font>
        <b/>
        <i val="0"/>
        <condense val="0"/>
        <extend val="0"/>
        <color indexed="9"/>
      </font>
      <fill>
        <patternFill>
          <fgColor indexed="63"/>
          <bgColor indexed="12"/>
        </patternFill>
      </fill>
    </dxf>
    <dxf>
      <font>
        <b/>
        <i val="0"/>
        <condense val="0"/>
        <extend val="0"/>
      </font>
    </dxf>
    <dxf>
      <font>
        <b/>
        <i val="0"/>
        <condense val="0"/>
        <extend val="0"/>
        <color indexed="9"/>
      </font>
      <fill>
        <patternFill>
          <fgColor indexed="63"/>
          <bgColor indexed="12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ndense val="0"/>
        <extend val="0"/>
      </font>
    </dxf>
    <dxf>
      <font>
        <b/>
        <i val="0"/>
        <condense val="0"/>
        <extend val="0"/>
        <color indexed="9"/>
      </font>
      <fill>
        <patternFill>
          <fgColor indexed="63"/>
          <bgColor indexed="12"/>
        </patternFill>
      </fill>
    </dxf>
    <dxf>
      <font>
        <b/>
        <i val="0"/>
        <condense val="0"/>
        <extend val="0"/>
      </font>
    </dxf>
    <dxf>
      <font>
        <b/>
        <i val="0"/>
        <condense val="0"/>
        <extend val="0"/>
        <color indexed="9"/>
      </font>
      <fill>
        <patternFill>
          <fgColor indexed="63"/>
          <bgColor indexed="12"/>
        </patternFill>
      </fill>
    </dxf>
    <dxf>
      <font>
        <b/>
        <i val="0"/>
        <condense val="0"/>
        <extend val="0"/>
      </font>
    </dxf>
    <dxf>
      <font>
        <b/>
        <i val="0"/>
        <condense val="0"/>
        <extend val="0"/>
        <color indexed="9"/>
      </font>
      <fill>
        <patternFill>
          <fgColor indexed="63"/>
          <bgColor indexed="12"/>
        </patternFill>
      </fill>
    </dxf>
    <dxf>
      <font>
        <b/>
        <i val="0"/>
        <condense val="0"/>
        <extend val="0"/>
      </font>
    </dxf>
    <dxf>
      <font>
        <b/>
        <i val="0"/>
        <condense val="0"/>
        <extend val="0"/>
        <color indexed="9"/>
      </font>
      <fill>
        <patternFill>
          <fgColor indexed="63"/>
          <bgColor indexed="12"/>
        </patternFill>
      </fill>
    </dxf>
    <dxf>
      <font>
        <b/>
        <i val="0"/>
        <condense val="0"/>
        <extend val="0"/>
      </font>
    </dxf>
    <dxf>
      <font>
        <b/>
        <i val="0"/>
        <condense val="0"/>
        <extend val="0"/>
        <color indexed="9"/>
      </font>
      <fill>
        <patternFill>
          <fgColor indexed="63"/>
          <bgColor indexed="12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ndense val="0"/>
        <extend val="0"/>
      </font>
    </dxf>
    <dxf>
      <font>
        <b/>
        <i val="0"/>
        <condense val="0"/>
        <extend val="0"/>
        <color indexed="9"/>
      </font>
      <fill>
        <patternFill>
          <fgColor indexed="63"/>
          <bgColor indexed="12"/>
        </patternFill>
      </fill>
    </dxf>
    <dxf>
      <fill>
        <patternFill>
          <bgColor indexed="47"/>
        </patternFill>
      </fill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13" Type="http://schemas.openxmlformats.org/officeDocument/2006/relationships/customXml" Target="../customXml/item3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openxmlformats.org/officeDocument/2006/relationships/customXml" Target="../customXml/item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customXml" Target="../customXml/item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Relationship Id="rId14" Type="http://schemas.openxmlformats.org/officeDocument/2006/relationships/customXml" Target="../customXml/item4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Suivi annuel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7.0902647649931552E-2"/>
          <c:y val="1.2683486334543111E-2"/>
          <c:w val="0.93178879330475151"/>
          <c:h val="0.76601450489364131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'Indicateurs Actions'!$A$15</c:f>
              <c:strCache>
                <c:ptCount val="1"/>
                <c:pt idx="0">
                  <c:v>2021</c:v>
                </c:pt>
              </c:strCache>
            </c:strRef>
          </c:tx>
          <c:spPr>
            <a:solidFill>
              <a:schemeClr val="accent1">
                <a:alpha val="85000"/>
              </a:schemeClr>
            </a:solidFill>
            <a:ln w="9525" cap="flat" cmpd="sng" algn="ctr">
              <a:solidFill>
                <a:schemeClr val="lt1">
                  <a:alpha val="50000"/>
                </a:schemeClr>
              </a:solidFill>
              <a:round/>
            </a:ln>
            <a:effectLst/>
          </c:spPr>
          <c:invertIfNegative val="0"/>
          <c:cat>
            <c:strRef>
              <c:f>'Indicateurs Actions'!$B$2:$I$2</c:f>
              <c:strCache>
                <c:ptCount val="8"/>
                <c:pt idx="0">
                  <c:v>actions lancées</c:v>
                </c:pt>
                <c:pt idx="1">
                  <c:v>actions clôturées</c:v>
                </c:pt>
                <c:pt idx="2">
                  <c:v>dont clôturées en retard</c:v>
                </c:pt>
                <c:pt idx="3">
                  <c:v>actions en cours</c:v>
                </c:pt>
                <c:pt idx="4">
                  <c:v>dont proposées clôture</c:v>
                </c:pt>
                <c:pt idx="5">
                  <c:v>dont replanifiées</c:v>
                </c:pt>
                <c:pt idx="6">
                  <c:v>dont en cours sans replanif</c:v>
                </c:pt>
                <c:pt idx="7">
                  <c:v>dont en retard</c:v>
                </c:pt>
              </c:strCache>
            </c:strRef>
          </c:cat>
          <c:val>
            <c:numRef>
              <c:f>'Indicateurs Actions'!$B$17:$I$17</c:f>
              <c:numCache>
                <c:formatCode>General</c:formatCode>
                <c:ptCount val="8"/>
                <c:pt idx="0">
                  <c:v>0</c:v>
                </c:pt>
                <c:pt idx="1">
                  <c:v>4</c:v>
                </c:pt>
                <c:pt idx="2">
                  <c:v>4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 formatCode="0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FEF0-4F61-8432-43734D97D2FB}"/>
            </c:ext>
          </c:extLst>
        </c:ser>
        <c:ser>
          <c:idx val="1"/>
          <c:order val="1"/>
          <c:tx>
            <c:strRef>
              <c:f>'Indicateurs Actions'!$A$22</c:f>
              <c:strCache>
                <c:ptCount val="1"/>
                <c:pt idx="0">
                  <c:v>2020</c:v>
                </c:pt>
              </c:strCache>
            </c:strRef>
          </c:tx>
          <c:spPr>
            <a:solidFill>
              <a:schemeClr val="accent2">
                <a:alpha val="85000"/>
              </a:schemeClr>
            </a:solidFill>
            <a:ln w="9525" cap="flat" cmpd="sng" algn="ctr">
              <a:solidFill>
                <a:schemeClr val="lt1">
                  <a:alpha val="50000"/>
                </a:schemeClr>
              </a:solidFill>
              <a:round/>
            </a:ln>
            <a:effectLst/>
          </c:spPr>
          <c:invertIfNegative val="0"/>
          <c:cat>
            <c:strRef>
              <c:f>'Indicateurs Actions'!$B$2:$I$2</c:f>
              <c:strCache>
                <c:ptCount val="8"/>
                <c:pt idx="0">
                  <c:v>actions lancées</c:v>
                </c:pt>
                <c:pt idx="1">
                  <c:v>actions clôturées</c:v>
                </c:pt>
                <c:pt idx="2">
                  <c:v>dont clôturées en retard</c:v>
                </c:pt>
                <c:pt idx="3">
                  <c:v>actions en cours</c:v>
                </c:pt>
                <c:pt idx="4">
                  <c:v>dont proposées clôture</c:v>
                </c:pt>
                <c:pt idx="5">
                  <c:v>dont replanifiées</c:v>
                </c:pt>
                <c:pt idx="6">
                  <c:v>dont en cours sans replanif</c:v>
                </c:pt>
                <c:pt idx="7">
                  <c:v>dont en retard</c:v>
                </c:pt>
              </c:strCache>
            </c:strRef>
          </c:cat>
          <c:val>
            <c:numRef>
              <c:f>'Indicateurs Actions'!$B$24:$I$24</c:f>
              <c:numCache>
                <c:formatCode>General</c:formatCode>
                <c:ptCount val="8"/>
                <c:pt idx="0">
                  <c:v>8</c:v>
                </c:pt>
                <c:pt idx="1">
                  <c:v>4</c:v>
                </c:pt>
                <c:pt idx="2">
                  <c:v>1</c:v>
                </c:pt>
                <c:pt idx="3">
                  <c:v>2</c:v>
                </c:pt>
                <c:pt idx="4">
                  <c:v>1</c:v>
                </c:pt>
                <c:pt idx="5">
                  <c:v>0</c:v>
                </c:pt>
                <c:pt idx="6">
                  <c:v>1</c:v>
                </c:pt>
                <c:pt idx="7" formatCode="0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FEF0-4F61-8432-43734D97D2FB}"/>
            </c:ext>
          </c:extLst>
        </c:ser>
        <c:ser>
          <c:idx val="2"/>
          <c:order val="2"/>
          <c:tx>
            <c:strRef>
              <c:f>'Indicateurs Actions'!$A$29</c:f>
              <c:strCache>
                <c:ptCount val="1"/>
                <c:pt idx="0">
                  <c:v>2019</c:v>
                </c:pt>
              </c:strCache>
            </c:strRef>
          </c:tx>
          <c:spPr>
            <a:solidFill>
              <a:schemeClr val="accent3">
                <a:alpha val="85000"/>
              </a:schemeClr>
            </a:solidFill>
            <a:ln w="9525" cap="flat" cmpd="sng" algn="ctr">
              <a:solidFill>
                <a:schemeClr val="lt1">
                  <a:alpha val="50000"/>
                </a:schemeClr>
              </a:solidFill>
              <a:round/>
            </a:ln>
            <a:effectLst/>
          </c:spPr>
          <c:invertIfNegative val="0"/>
          <c:cat>
            <c:strRef>
              <c:f>'Indicateurs Actions'!$B$2:$I$2</c:f>
              <c:strCache>
                <c:ptCount val="8"/>
                <c:pt idx="0">
                  <c:v>actions lancées</c:v>
                </c:pt>
                <c:pt idx="1">
                  <c:v>actions clôturées</c:v>
                </c:pt>
                <c:pt idx="2">
                  <c:v>dont clôturées en retard</c:v>
                </c:pt>
                <c:pt idx="3">
                  <c:v>actions en cours</c:v>
                </c:pt>
                <c:pt idx="4">
                  <c:v>dont proposées clôture</c:v>
                </c:pt>
                <c:pt idx="5">
                  <c:v>dont replanifiées</c:v>
                </c:pt>
                <c:pt idx="6">
                  <c:v>dont en cours sans replanif</c:v>
                </c:pt>
                <c:pt idx="7">
                  <c:v>dont en retard</c:v>
                </c:pt>
              </c:strCache>
            </c:strRef>
          </c:cat>
          <c:val>
            <c:numRef>
              <c:f>'Indicateurs Actions'!$B$31:$I$31</c:f>
              <c:numCache>
                <c:formatCode>General</c:formatCode>
                <c:ptCount val="8"/>
                <c:pt idx="0">
                  <c:v>3</c:v>
                </c:pt>
                <c:pt idx="1">
                  <c:v>0</c:v>
                </c:pt>
                <c:pt idx="2">
                  <c:v>0</c:v>
                </c:pt>
                <c:pt idx="3">
                  <c:v>1</c:v>
                </c:pt>
                <c:pt idx="4">
                  <c:v>0</c:v>
                </c:pt>
                <c:pt idx="5">
                  <c:v>0</c:v>
                </c:pt>
                <c:pt idx="6">
                  <c:v>1</c:v>
                </c:pt>
                <c:pt idx="7" formatCode="0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FEF0-4F61-8432-43734D97D2F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500295584"/>
        <c:axId val="1"/>
      </c:barChart>
      <c:catAx>
        <c:axId val="50029558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9050" cap="flat" cmpd="sng" algn="ctr">
            <a:solidFill>
              <a:schemeClr val="dk1">
                <a:lumMod val="75000"/>
                <a:lumOff val="25000"/>
              </a:schemeClr>
            </a:solidFill>
            <a:round/>
          </a:ln>
          <a:effectLst/>
        </c:spPr>
        <c:txPr>
          <a:bodyPr rot="-2700000" spcFirstLastPara="1" vertOverflow="ellipsis" wrap="square" anchor="ctr" anchorCtr="1"/>
          <a:lstStyle/>
          <a:p>
            <a:pPr>
              <a:defRPr sz="900" b="0" i="0" u="none" strike="noStrike" kern="1200" cap="all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"/>
        <c:crosses val="autoZero"/>
        <c:auto val="1"/>
        <c:lblAlgn val="ctr"/>
        <c:lblOffset val="100"/>
        <c:noMultiLvlLbl val="0"/>
      </c:catAx>
      <c:valAx>
        <c:axId val="1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95000"/>
                      <a:lumOff val="5000"/>
                      <a:alpha val="42000"/>
                    </a:schemeClr>
                  </a:gs>
                  <a:gs pos="0">
                    <a:schemeClr val="lt1">
                      <a:lumMod val="75000"/>
                      <a:alpha val="36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900" b="1" i="0" u="none" strike="noStrike" kern="1200" baseline="0">
                    <a:solidFill>
                      <a:schemeClr val="dk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Nombre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900" b="1" i="0" u="none" strike="noStrike" kern="1200" baseline="0">
                  <a:solidFill>
                    <a:schemeClr val="dk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0" spcFirstLastPara="1" vertOverflow="ellipsis" wrap="square" anchor="ctr" anchorCtr="1"/>
          <a:lstStyle/>
          <a:p>
            <a:pPr>
              <a:defRPr sz="900" b="0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00295584"/>
        <c:crosses val="autoZero"/>
        <c:crossBetween val="between"/>
        <c:majorUnit val="20"/>
      </c:valAx>
      <c:dTable>
        <c:showHorzBorder val="1"/>
        <c:showVertBorder val="1"/>
        <c:showOutline val="1"/>
        <c:showKeys val="1"/>
        <c:spPr>
          <a:noFill/>
          <a:ln w="9525">
            <a:solidFill>
              <a:schemeClr val="dk1">
                <a:lumMod val="35000"/>
                <a:lumOff val="65000"/>
              </a:schemeClr>
            </a:solidFill>
          </a:ln>
          <a:effectLst/>
        </c:spPr>
        <c:txPr>
          <a:bodyPr rot="0" spcFirstLastPara="1" vertOverflow="ellipsis" vert="horz" wrap="square" anchor="ctr" anchorCtr="1"/>
          <a:lstStyle/>
          <a:p>
            <a:pPr rtl="0">
              <a:defRPr sz="900" b="0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</c:dTable>
      <c:spPr>
        <a:noFill/>
        <a:ln>
          <a:noFill/>
        </a:ln>
        <a:effectLst/>
      </c:spPr>
    </c:plotArea>
    <c:plotVisOnly val="1"/>
    <c:dispBlanksAs val="gap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Suivi</a:t>
            </a:r>
            <a:r>
              <a:rPr lang="fr-FR" baseline="0"/>
              <a:t> 3 ans</a:t>
            </a:r>
            <a:endParaRPr lang="fr-FR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7.0902647649931552E-2"/>
          <c:y val="1.2683486334543111E-2"/>
          <c:w val="0.93178879330475151"/>
          <c:h val="0.76601450489364131"/>
        </c:manualLayout>
      </c:layout>
      <c:barChart>
        <c:barDir val="col"/>
        <c:grouping val="clustered"/>
        <c:varyColors val="0"/>
        <c:ser>
          <c:idx val="1"/>
          <c:order val="0"/>
          <c:tx>
            <c:strRef>
              <c:f>'Indicateurs Actions'!$A$8</c:f>
              <c:strCache>
                <c:ptCount val="1"/>
                <c:pt idx="0">
                  <c:v>SUR TROIS ANS</c:v>
                </c:pt>
              </c:strCache>
            </c:strRef>
          </c:tx>
          <c:spPr>
            <a:solidFill>
              <a:schemeClr val="accent2">
                <a:alpha val="85000"/>
              </a:schemeClr>
            </a:solidFill>
            <a:ln w="9525" cap="flat" cmpd="sng" algn="ctr">
              <a:solidFill>
                <a:schemeClr val="lt1">
                  <a:alpha val="50000"/>
                </a:schemeClr>
              </a:solidFill>
              <a:round/>
            </a:ln>
            <a:effectLst/>
          </c:spPr>
          <c:invertIfNegative val="0"/>
          <c:cat>
            <c:strRef>
              <c:f>'Indicateurs Actions'!$B$2:$I$2</c:f>
              <c:strCache>
                <c:ptCount val="8"/>
                <c:pt idx="0">
                  <c:v>actions lancées</c:v>
                </c:pt>
                <c:pt idx="1">
                  <c:v>actions clôturées</c:v>
                </c:pt>
                <c:pt idx="2">
                  <c:v>dont clôturées en retard</c:v>
                </c:pt>
                <c:pt idx="3">
                  <c:v>actions en cours</c:v>
                </c:pt>
                <c:pt idx="4">
                  <c:v>dont proposées clôture</c:v>
                </c:pt>
                <c:pt idx="5">
                  <c:v>dont replanifiées</c:v>
                </c:pt>
                <c:pt idx="6">
                  <c:v>dont en cours sans replanif</c:v>
                </c:pt>
                <c:pt idx="7">
                  <c:v>dont en retard</c:v>
                </c:pt>
              </c:strCache>
            </c:strRef>
          </c:cat>
          <c:val>
            <c:numRef>
              <c:f>'Indicateurs Actions'!$B$10:$I$10</c:f>
              <c:numCache>
                <c:formatCode>General</c:formatCode>
                <c:ptCount val="8"/>
                <c:pt idx="0">
                  <c:v>11</c:v>
                </c:pt>
                <c:pt idx="1">
                  <c:v>8</c:v>
                </c:pt>
                <c:pt idx="2">
                  <c:v>5</c:v>
                </c:pt>
                <c:pt idx="3">
                  <c:v>3</c:v>
                </c:pt>
                <c:pt idx="4">
                  <c:v>1</c:v>
                </c:pt>
                <c:pt idx="5">
                  <c:v>0</c:v>
                </c:pt>
                <c:pt idx="6">
                  <c:v>2</c:v>
                </c:pt>
                <c:pt idx="7" formatCode="0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50DB-4BB7-A5AE-6D21FB6325B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500295584"/>
        <c:axId val="1"/>
        <c:extLst>
          <c:ext xmlns:c15="http://schemas.microsoft.com/office/drawing/2012/chart" uri="{02D57815-91ED-43cb-92C2-25804820EDAC}">
            <c15:filteredBarSeries>
              <c15:ser>
                <c:idx val="0"/>
                <c:order val="1"/>
                <c:tx>
                  <c:strRef>
                    <c:extLst>
                      <c:ext uri="{02D57815-91ED-43cb-92C2-25804820EDAC}">
                        <c15:formulaRef>
                          <c15:sqref>'Indicateurs Actions'!$A$8</c15:sqref>
                        </c15:formulaRef>
                      </c:ext>
                    </c:extLst>
                    <c:strCache>
                      <c:ptCount val="1"/>
                      <c:pt idx="0">
                        <c:v>SUR TROIS ANS</c:v>
                      </c:pt>
                    </c:strCache>
                  </c:strRef>
                </c:tx>
                <c:spPr>
                  <a:solidFill>
                    <a:schemeClr val="accent1">
                      <a:alpha val="85000"/>
                    </a:schemeClr>
                  </a:solidFill>
                  <a:ln w="9525" cap="flat" cmpd="sng" algn="ctr">
                    <a:solidFill>
                      <a:schemeClr val="lt1">
                        <a:alpha val="50000"/>
                      </a:schemeClr>
                    </a:solidFill>
                    <a:round/>
                  </a:ln>
                  <a:effectLst/>
                </c:spPr>
                <c:invertIfNegative val="0"/>
                <c:cat>
                  <c:strRef>
                    <c:extLst>
                      <c:ext uri="{02D57815-91ED-43cb-92C2-25804820EDAC}">
                        <c15:formulaRef>
                          <c15:sqref>'Indicateurs Actions'!$B$2:$I$2</c15:sqref>
                        </c15:formulaRef>
                      </c:ext>
                    </c:extLst>
                    <c:strCache>
                      <c:ptCount val="8"/>
                      <c:pt idx="0">
                        <c:v>actions lancées</c:v>
                      </c:pt>
                      <c:pt idx="1">
                        <c:v>actions clôturées</c:v>
                      </c:pt>
                      <c:pt idx="2">
                        <c:v>dont clôturées en retard</c:v>
                      </c:pt>
                      <c:pt idx="3">
                        <c:v>actions en cours</c:v>
                      </c:pt>
                      <c:pt idx="4">
                        <c:v>dont proposées clôture</c:v>
                      </c:pt>
                      <c:pt idx="5">
                        <c:v>dont replanifiées</c:v>
                      </c:pt>
                      <c:pt idx="6">
                        <c:v>dont en cours sans replanif</c:v>
                      </c:pt>
                      <c:pt idx="7">
                        <c:v>dont en retard</c:v>
                      </c:pt>
                    </c:strCache>
                  </c:strRef>
                </c:cat>
                <c:val>
                  <c:numRef>
                    <c:extLst>
                      <c:ext uri="{02D57815-91ED-43cb-92C2-25804820EDAC}">
                        <c15:formulaRef>
                          <c15:sqref>'Indicateurs Actions'!$B$10:$I$10</c15:sqref>
                        </c15:formulaRef>
                      </c:ext>
                    </c:extLst>
                    <c:numCache>
                      <c:formatCode>General</c:formatCode>
                      <c:ptCount val="8"/>
                      <c:pt idx="0">
                        <c:v>11</c:v>
                      </c:pt>
                      <c:pt idx="1">
                        <c:v>8</c:v>
                      </c:pt>
                      <c:pt idx="2">
                        <c:v>5</c:v>
                      </c:pt>
                      <c:pt idx="3">
                        <c:v>3</c:v>
                      </c:pt>
                      <c:pt idx="4">
                        <c:v>1</c:v>
                      </c:pt>
                      <c:pt idx="5">
                        <c:v>0</c:v>
                      </c:pt>
                      <c:pt idx="6">
                        <c:v>2</c:v>
                      </c:pt>
                      <c:pt idx="7" formatCode="0">
                        <c:v>2</c:v>
                      </c:pt>
                    </c:numCache>
                  </c:numRef>
                </c:val>
                <c:extLst>
                  <c:ext xmlns:c16="http://schemas.microsoft.com/office/drawing/2014/chart" uri="{C3380CC4-5D6E-409C-BE32-E72D297353CC}">
                    <c16:uniqueId val="{00000005-50DB-4BB7-A5AE-6D21FB6325B1}"/>
                  </c:ext>
                </c:extLst>
              </c15:ser>
            </c15:filteredBarSeries>
          </c:ext>
        </c:extLst>
      </c:barChart>
      <c:catAx>
        <c:axId val="50029558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9050" cap="flat" cmpd="sng" algn="ctr">
            <a:solidFill>
              <a:schemeClr val="dk1">
                <a:lumMod val="75000"/>
                <a:lumOff val="25000"/>
              </a:schemeClr>
            </a:solidFill>
            <a:round/>
          </a:ln>
          <a:effectLst/>
        </c:spPr>
        <c:txPr>
          <a:bodyPr rot="-2700000" spcFirstLastPara="1" vertOverflow="ellipsis" wrap="square" anchor="ctr" anchorCtr="1"/>
          <a:lstStyle/>
          <a:p>
            <a:pPr>
              <a:defRPr sz="900" b="0" i="0" u="none" strike="noStrike" kern="1200" cap="all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"/>
        <c:crosses val="autoZero"/>
        <c:auto val="1"/>
        <c:lblAlgn val="ctr"/>
        <c:lblOffset val="100"/>
        <c:noMultiLvlLbl val="0"/>
      </c:catAx>
      <c:valAx>
        <c:axId val="1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95000"/>
                      <a:lumOff val="5000"/>
                      <a:alpha val="42000"/>
                    </a:schemeClr>
                  </a:gs>
                  <a:gs pos="0">
                    <a:schemeClr val="lt1">
                      <a:lumMod val="75000"/>
                      <a:alpha val="36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900" b="1" i="0" u="none" strike="noStrike" kern="1200" baseline="0">
                    <a:solidFill>
                      <a:schemeClr val="dk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Nombre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900" b="1" i="0" u="none" strike="noStrike" kern="1200" baseline="0">
                  <a:solidFill>
                    <a:schemeClr val="dk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0" spcFirstLastPara="1" vertOverflow="ellipsis" wrap="square" anchor="ctr" anchorCtr="1"/>
          <a:lstStyle/>
          <a:p>
            <a:pPr>
              <a:defRPr sz="900" b="0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00295584"/>
        <c:crosses val="autoZero"/>
        <c:crossBetween val="between"/>
        <c:majorUnit val="20"/>
      </c:valAx>
      <c:dTable>
        <c:showHorzBorder val="1"/>
        <c:showVertBorder val="1"/>
        <c:showOutline val="1"/>
        <c:showKeys val="1"/>
        <c:spPr>
          <a:noFill/>
          <a:ln w="9525">
            <a:solidFill>
              <a:schemeClr val="dk1">
                <a:lumMod val="35000"/>
                <a:lumOff val="65000"/>
              </a:schemeClr>
            </a:solidFill>
          </a:ln>
          <a:effectLst/>
        </c:spPr>
        <c:txPr>
          <a:bodyPr rot="0" spcFirstLastPara="1" vertOverflow="ellipsis" vert="horz" wrap="square" anchor="ctr" anchorCtr="1"/>
          <a:lstStyle/>
          <a:p>
            <a:pPr rtl="0">
              <a:defRPr sz="900" b="0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</c:dTable>
      <c:spPr>
        <a:noFill/>
        <a:ln>
          <a:noFill/>
        </a:ln>
        <a:effectLst/>
      </c:spPr>
    </c:plotArea>
    <c:plotVisOnly val="1"/>
    <c:dispBlanksAs val="gap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Suivi </a:t>
            </a:r>
            <a:r>
              <a:rPr lang="fr-FR" baseline="0"/>
              <a:t>depuis origine</a:t>
            </a:r>
            <a:endParaRPr lang="fr-FR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7.0902647649931552E-2"/>
          <c:y val="1.2683486334543111E-2"/>
          <c:w val="0.93178879330475151"/>
          <c:h val="0.76601450489364131"/>
        </c:manualLayout>
      </c:layout>
      <c:barChart>
        <c:barDir val="col"/>
        <c:grouping val="clustered"/>
        <c:varyColors val="0"/>
        <c:ser>
          <c:idx val="1"/>
          <c:order val="0"/>
          <c:tx>
            <c:strRef>
              <c:f>'Indicateurs Actions'!$A$3</c:f>
              <c:strCache>
                <c:ptCount val="1"/>
                <c:pt idx="0">
                  <c:v>depuis mise en place</c:v>
                </c:pt>
              </c:strCache>
            </c:strRef>
          </c:tx>
          <c:spPr>
            <a:solidFill>
              <a:schemeClr val="accent2">
                <a:alpha val="85000"/>
              </a:schemeClr>
            </a:solidFill>
            <a:ln w="9525" cap="flat" cmpd="sng" algn="ctr">
              <a:solidFill>
                <a:schemeClr val="lt1">
                  <a:alpha val="50000"/>
                </a:schemeClr>
              </a:solidFill>
              <a:round/>
            </a:ln>
            <a:effectLst/>
          </c:spPr>
          <c:invertIfNegative val="0"/>
          <c:cat>
            <c:strRef>
              <c:f>'Indicateurs Actions'!$B$2:$I$2</c:f>
              <c:strCache>
                <c:ptCount val="8"/>
                <c:pt idx="0">
                  <c:v>actions lancées</c:v>
                </c:pt>
                <c:pt idx="1">
                  <c:v>actions clôturées</c:v>
                </c:pt>
                <c:pt idx="2">
                  <c:v>dont clôturées en retard</c:v>
                </c:pt>
                <c:pt idx="3">
                  <c:v>actions en cours</c:v>
                </c:pt>
                <c:pt idx="4">
                  <c:v>dont proposées clôture</c:v>
                </c:pt>
                <c:pt idx="5">
                  <c:v>dont replanifiées</c:v>
                </c:pt>
                <c:pt idx="6">
                  <c:v>dont en cours sans replanif</c:v>
                </c:pt>
                <c:pt idx="7">
                  <c:v>dont en retard</c:v>
                </c:pt>
              </c:strCache>
            </c:strRef>
          </c:cat>
          <c:val>
            <c:numRef>
              <c:f>'Indicateurs Actions'!$B$3:$I$3</c:f>
              <c:numCache>
                <c:formatCode>General</c:formatCode>
                <c:ptCount val="8"/>
                <c:pt idx="0">
                  <c:v>13</c:v>
                </c:pt>
                <c:pt idx="1">
                  <c:v>8</c:v>
                </c:pt>
                <c:pt idx="2">
                  <c:v>5</c:v>
                </c:pt>
                <c:pt idx="3">
                  <c:v>5</c:v>
                </c:pt>
                <c:pt idx="4">
                  <c:v>1</c:v>
                </c:pt>
                <c:pt idx="5">
                  <c:v>1</c:v>
                </c:pt>
                <c:pt idx="6">
                  <c:v>3</c:v>
                </c:pt>
                <c:pt idx="7" formatCode="0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19FD-4675-B697-5041FFF524A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500295584"/>
        <c:axId val="1"/>
        <c:extLst>
          <c:ext xmlns:c15="http://schemas.microsoft.com/office/drawing/2012/chart" uri="{02D57815-91ED-43cb-92C2-25804820EDAC}">
            <c15:filteredBarSeries>
              <c15:ser>
                <c:idx val="0"/>
                <c:order val="1"/>
                <c:tx>
                  <c:strRef>
                    <c:extLst>
                      <c:ext uri="{02D57815-91ED-43cb-92C2-25804820EDAC}">
                        <c15:formulaRef>
                          <c15:sqref>'Indicateurs Actions'!$A$8</c15:sqref>
                        </c15:formulaRef>
                      </c:ext>
                    </c:extLst>
                    <c:strCache>
                      <c:ptCount val="1"/>
                      <c:pt idx="0">
                        <c:v>SUR TROIS ANS</c:v>
                      </c:pt>
                    </c:strCache>
                  </c:strRef>
                </c:tx>
                <c:spPr>
                  <a:solidFill>
                    <a:schemeClr val="accent1">
                      <a:alpha val="85000"/>
                    </a:schemeClr>
                  </a:solidFill>
                  <a:ln w="9525" cap="flat" cmpd="sng" algn="ctr">
                    <a:solidFill>
                      <a:schemeClr val="lt1">
                        <a:alpha val="50000"/>
                      </a:schemeClr>
                    </a:solidFill>
                    <a:round/>
                  </a:ln>
                  <a:effectLst/>
                </c:spPr>
                <c:invertIfNegative val="0"/>
                <c:cat>
                  <c:strRef>
                    <c:extLst>
                      <c:ext uri="{02D57815-91ED-43cb-92C2-25804820EDAC}">
                        <c15:formulaRef>
                          <c15:sqref>'Indicateurs Actions'!$B$2:$I$2</c15:sqref>
                        </c15:formulaRef>
                      </c:ext>
                    </c:extLst>
                    <c:strCache>
                      <c:ptCount val="8"/>
                      <c:pt idx="0">
                        <c:v>actions lancées</c:v>
                      </c:pt>
                      <c:pt idx="1">
                        <c:v>actions clôturées</c:v>
                      </c:pt>
                      <c:pt idx="2">
                        <c:v>dont clôturées en retard</c:v>
                      </c:pt>
                      <c:pt idx="3">
                        <c:v>actions en cours</c:v>
                      </c:pt>
                      <c:pt idx="4">
                        <c:v>dont proposées clôture</c:v>
                      </c:pt>
                      <c:pt idx="5">
                        <c:v>dont replanifiées</c:v>
                      </c:pt>
                      <c:pt idx="6">
                        <c:v>dont en cours sans replanif</c:v>
                      </c:pt>
                      <c:pt idx="7">
                        <c:v>dont en retard</c:v>
                      </c:pt>
                    </c:strCache>
                  </c:strRef>
                </c:cat>
                <c:val>
                  <c:numRef>
                    <c:extLst>
                      <c:ext uri="{02D57815-91ED-43cb-92C2-25804820EDAC}">
                        <c15:formulaRef>
                          <c15:sqref>'Indicateurs Actions'!$B$10:$I$10</c15:sqref>
                        </c15:formulaRef>
                      </c:ext>
                    </c:extLst>
                    <c:numCache>
                      <c:formatCode>General</c:formatCode>
                      <c:ptCount val="8"/>
                      <c:pt idx="0">
                        <c:v>11</c:v>
                      </c:pt>
                      <c:pt idx="1">
                        <c:v>8</c:v>
                      </c:pt>
                      <c:pt idx="2">
                        <c:v>5</c:v>
                      </c:pt>
                      <c:pt idx="3">
                        <c:v>3</c:v>
                      </c:pt>
                      <c:pt idx="4">
                        <c:v>1</c:v>
                      </c:pt>
                      <c:pt idx="5">
                        <c:v>0</c:v>
                      </c:pt>
                      <c:pt idx="6">
                        <c:v>2</c:v>
                      </c:pt>
                      <c:pt idx="7" formatCode="0">
                        <c:v>2</c:v>
                      </c:pt>
                    </c:numCache>
                  </c:numRef>
                </c:val>
                <c:extLst>
                  <c:ext xmlns:c16="http://schemas.microsoft.com/office/drawing/2014/chart" uri="{C3380CC4-5D6E-409C-BE32-E72D297353CC}">
                    <c16:uniqueId val="{00000001-19FD-4675-B697-5041FFF524A6}"/>
                  </c:ext>
                </c:extLst>
              </c15:ser>
            </c15:filteredBarSeries>
          </c:ext>
        </c:extLst>
      </c:barChart>
      <c:catAx>
        <c:axId val="50029558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9050" cap="flat" cmpd="sng" algn="ctr">
            <a:solidFill>
              <a:schemeClr val="dk1">
                <a:lumMod val="75000"/>
                <a:lumOff val="25000"/>
              </a:schemeClr>
            </a:solidFill>
            <a:round/>
          </a:ln>
          <a:effectLst/>
        </c:spPr>
        <c:txPr>
          <a:bodyPr rot="-2700000" spcFirstLastPara="1" vertOverflow="ellipsis" wrap="square" anchor="ctr" anchorCtr="1"/>
          <a:lstStyle/>
          <a:p>
            <a:pPr>
              <a:defRPr sz="900" b="0" i="0" u="none" strike="noStrike" kern="1200" cap="all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"/>
        <c:crosses val="autoZero"/>
        <c:auto val="1"/>
        <c:lblAlgn val="ctr"/>
        <c:lblOffset val="100"/>
        <c:noMultiLvlLbl val="0"/>
      </c:catAx>
      <c:valAx>
        <c:axId val="1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95000"/>
                      <a:lumOff val="5000"/>
                      <a:alpha val="42000"/>
                    </a:schemeClr>
                  </a:gs>
                  <a:gs pos="0">
                    <a:schemeClr val="lt1">
                      <a:lumMod val="75000"/>
                      <a:alpha val="36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900" b="1" i="0" u="none" strike="noStrike" kern="1200" baseline="0">
                    <a:solidFill>
                      <a:schemeClr val="dk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Nombre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900" b="1" i="0" u="none" strike="noStrike" kern="1200" baseline="0">
                  <a:solidFill>
                    <a:schemeClr val="dk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0" spcFirstLastPara="1" vertOverflow="ellipsis" wrap="square" anchor="ctr" anchorCtr="1"/>
          <a:lstStyle/>
          <a:p>
            <a:pPr>
              <a:defRPr sz="900" b="0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00295584"/>
        <c:crosses val="autoZero"/>
        <c:crossBetween val="between"/>
        <c:majorUnit val="20"/>
      </c:valAx>
      <c:dTable>
        <c:showHorzBorder val="1"/>
        <c:showVertBorder val="1"/>
        <c:showOutline val="1"/>
        <c:showKeys val="1"/>
        <c:spPr>
          <a:noFill/>
          <a:ln w="9525">
            <a:solidFill>
              <a:schemeClr val="dk1">
                <a:lumMod val="35000"/>
                <a:lumOff val="65000"/>
              </a:schemeClr>
            </a:solidFill>
          </a:ln>
          <a:effectLst/>
        </c:spPr>
        <c:txPr>
          <a:bodyPr rot="0" spcFirstLastPara="1" vertOverflow="ellipsis" vert="horz" wrap="square" anchor="ctr" anchorCtr="1"/>
          <a:lstStyle/>
          <a:p>
            <a:pPr rtl="0">
              <a:defRPr sz="900" b="0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</c:dTable>
      <c:spPr>
        <a:noFill/>
        <a:ln>
          <a:noFill/>
        </a:ln>
        <a:effectLst/>
      </c:spPr>
    </c:plotArea>
    <c:plotVisOnly val="1"/>
    <c:dispBlanksAs val="gap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600" b="1" i="0" u="none" strike="noStrike" baseline="0">
                <a:solidFill>
                  <a:srgbClr val="000000"/>
                </a:solidFill>
                <a:latin typeface="Marianne" panose="02000000000000000000" pitchFamily="50" charset="0"/>
                <a:ea typeface="Calibri"/>
                <a:cs typeface="Calibri"/>
              </a:defRPr>
            </a:pPr>
            <a:r>
              <a:rPr lang="fr-FR" sz="1600">
                <a:latin typeface="Marianne" panose="02000000000000000000" pitchFamily="50" charset="0"/>
              </a:rPr>
              <a:t>Suivi comité</a:t>
            </a:r>
            <a:r>
              <a:rPr lang="fr-FR" sz="1600" baseline="0">
                <a:latin typeface="Marianne" panose="02000000000000000000" pitchFamily="50" charset="0"/>
              </a:rPr>
              <a:t> 2020</a:t>
            </a:r>
          </a:p>
        </c:rich>
      </c:tx>
      <c:layout>
        <c:manualLayout>
          <c:xMode val="edge"/>
          <c:yMode val="edge"/>
          <c:x val="0.26642194558735249"/>
          <c:y val="0"/>
        </c:manualLayout>
      </c:layout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'Indicateurs Actions'!$A$22</c:f>
              <c:strCache>
                <c:ptCount val="1"/>
                <c:pt idx="0">
                  <c:v>2020</c:v>
                </c:pt>
              </c:strCache>
            </c:strRef>
          </c:tx>
          <c:invertIfNegative val="0"/>
          <c:cat>
            <c:strLit>
              <c:ptCount val="8"/>
              <c:pt idx="0">
                <c:v>actions lancées</c:v>
              </c:pt>
              <c:pt idx="1">
                <c:v>actions clôturées</c:v>
              </c:pt>
              <c:pt idx="2">
                <c:v>dont clôturées en retard</c:v>
              </c:pt>
              <c:pt idx="3">
                <c:v>actions en cours</c:v>
              </c:pt>
              <c:pt idx="4">
                <c:v>dont proposées clôture</c:v>
              </c:pt>
              <c:pt idx="5">
                <c:v>dont replanifiées</c:v>
              </c:pt>
              <c:pt idx="6">
                <c:v>dont en cours sans replanif</c:v>
              </c:pt>
              <c:pt idx="7">
                <c:v>dont en retard</c:v>
              </c:pt>
            </c:strLit>
          </c:cat>
          <c:val>
            <c:numRef>
              <c:f>'Indicateurs Actions'!$B$24:$I$24</c:f>
              <c:numCache>
                <c:formatCode>General</c:formatCode>
                <c:ptCount val="8"/>
                <c:pt idx="0">
                  <c:v>8</c:v>
                </c:pt>
                <c:pt idx="1">
                  <c:v>4</c:v>
                </c:pt>
                <c:pt idx="2">
                  <c:v>1</c:v>
                </c:pt>
                <c:pt idx="3">
                  <c:v>2</c:v>
                </c:pt>
                <c:pt idx="4">
                  <c:v>1</c:v>
                </c:pt>
                <c:pt idx="5">
                  <c:v>0</c:v>
                </c:pt>
                <c:pt idx="6">
                  <c:v>1</c:v>
                </c:pt>
                <c:pt idx="7" formatCode="0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7D1D-4E78-B14E-BCB9D281042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599902744"/>
        <c:axId val="1"/>
      </c:barChart>
      <c:catAx>
        <c:axId val="599902744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txPr>
          <a:bodyPr rot="-270000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"/>
        <c:crosses val="autoZero"/>
        <c:auto val="1"/>
        <c:lblAlgn val="ctr"/>
        <c:lblOffset val="100"/>
        <c:noMultiLvlLbl val="0"/>
      </c:catAx>
      <c:valAx>
        <c:axId val="1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599902744"/>
        <c:crosses val="autoZero"/>
        <c:crossBetween val="between"/>
      </c:valAx>
    </c:plotArea>
    <c:plotVisOnly val="1"/>
    <c:dispBlanksAs val="gap"/>
    <c:showDLblsOverMax val="0"/>
  </c:chart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600" b="1" i="0" u="none" strike="noStrike" baseline="0">
                <a:solidFill>
                  <a:srgbClr val="000000"/>
                </a:solidFill>
                <a:latin typeface="Marianne" panose="02000000000000000000" pitchFamily="50" charset="0"/>
                <a:ea typeface="Calibri"/>
                <a:cs typeface="Calibri"/>
              </a:defRPr>
            </a:pPr>
            <a:r>
              <a:rPr lang="fr-FR" sz="1600">
                <a:latin typeface="Marianne" panose="02000000000000000000" pitchFamily="50" charset="0"/>
              </a:rPr>
              <a:t>Suivi comité 3 ans</a:t>
            </a:r>
          </a:p>
        </c:rich>
      </c:tx>
      <c:layout>
        <c:manualLayout>
          <c:xMode val="edge"/>
          <c:yMode val="edge"/>
          <c:x val="0.35003401539690476"/>
          <c:y val="4.4345898004434593E-2"/>
        </c:manualLayout>
      </c:layout>
      <c:overlay val="0"/>
    </c:title>
    <c:autoTitleDeleted val="0"/>
    <c:view3D>
      <c:rotX val="0"/>
      <c:rotY val="0"/>
      <c:depthPercent val="100"/>
      <c:rAngAx val="0"/>
    </c:view3D>
    <c:floor>
      <c:thickness val="0"/>
    </c:floor>
    <c:sideWall>
      <c:thickness val="0"/>
    </c:sideWall>
    <c:backWall>
      <c:thickness val="0"/>
    </c:backWall>
    <c:plotArea>
      <c:layout>
        <c:manualLayout>
          <c:layoutTarget val="inner"/>
          <c:xMode val="edge"/>
          <c:yMode val="edge"/>
          <c:x val="0.12552214756939167"/>
          <c:y val="2.8926677956829669E-2"/>
          <c:w val="0.869141201424666"/>
          <c:h val="0.6129720481170452"/>
        </c:manualLayout>
      </c:layout>
      <c:bar3DChart>
        <c:barDir val="col"/>
        <c:grouping val="clustered"/>
        <c:varyColors val="0"/>
        <c:ser>
          <c:idx val="0"/>
          <c:order val="0"/>
          <c:tx>
            <c:strRef>
              <c:f>'Indicateurs Actions'!$A$8</c:f>
              <c:strCache>
                <c:ptCount val="1"/>
                <c:pt idx="0">
                  <c:v>SUR TROIS ANS</c:v>
                </c:pt>
              </c:strCache>
            </c:strRef>
          </c:tx>
          <c:invertIfNegative val="0"/>
          <c:cat>
            <c:strLit>
              <c:ptCount val="8"/>
              <c:pt idx="0">
                <c:v>actions lancées</c:v>
              </c:pt>
              <c:pt idx="1">
                <c:v>actions clôturées</c:v>
              </c:pt>
              <c:pt idx="2">
                <c:v>dont clôturées en retard</c:v>
              </c:pt>
              <c:pt idx="3">
                <c:v>actions en cours</c:v>
              </c:pt>
              <c:pt idx="4">
                <c:v>dont proposées clôture</c:v>
              </c:pt>
              <c:pt idx="5">
                <c:v>dont replanifiées</c:v>
              </c:pt>
              <c:pt idx="6">
                <c:v>dont en cours sans replanif</c:v>
              </c:pt>
              <c:pt idx="7">
                <c:v>dont en retard</c:v>
              </c:pt>
            </c:strLit>
          </c:cat>
          <c:val>
            <c:numRef>
              <c:f>'Indicateurs Actions'!$B$10:$I$10</c:f>
              <c:numCache>
                <c:formatCode>General</c:formatCode>
                <c:ptCount val="8"/>
                <c:pt idx="0">
                  <c:v>11</c:v>
                </c:pt>
                <c:pt idx="1">
                  <c:v>8</c:v>
                </c:pt>
                <c:pt idx="2">
                  <c:v>5</c:v>
                </c:pt>
                <c:pt idx="3">
                  <c:v>3</c:v>
                </c:pt>
                <c:pt idx="4">
                  <c:v>1</c:v>
                </c:pt>
                <c:pt idx="5">
                  <c:v>0</c:v>
                </c:pt>
                <c:pt idx="6">
                  <c:v>2</c:v>
                </c:pt>
                <c:pt idx="7" formatCode="0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E732-4CC8-8D08-5984133CE96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599896840"/>
        <c:axId val="1"/>
        <c:axId val="0"/>
      </c:bar3DChart>
      <c:catAx>
        <c:axId val="599896840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txPr>
          <a:bodyPr rot="-270000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"/>
        <c:crosses val="autoZero"/>
        <c:auto val="1"/>
        <c:lblAlgn val="ctr"/>
        <c:lblOffset val="100"/>
        <c:noMultiLvlLbl val="0"/>
      </c:catAx>
      <c:valAx>
        <c:axId val="1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599896840"/>
        <c:crosses val="autoZero"/>
        <c:crossBetween val="between"/>
      </c:valAx>
      <c:spPr>
        <a:noFill/>
        <a:ln w="25400">
          <a:noFill/>
        </a:ln>
      </c:spPr>
    </c:plotArea>
    <c:plotVisOnly val="1"/>
    <c:dispBlanksAs val="gap"/>
    <c:showDLblsOverMax val="0"/>
  </c:chart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5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defRPr sz="9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solidFill>
        <a:schemeClr val="dk1">
          <a:lumMod val="65000"/>
          <a:lumOff val="35000"/>
          <a:alpha val="75000"/>
        </a:schemeClr>
      </a:solidFill>
    </cs:spPr>
    <cs:defRPr sz="9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05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defRPr sz="9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solidFill>
        <a:schemeClr val="dk1">
          <a:lumMod val="65000"/>
          <a:lumOff val="35000"/>
          <a:alpha val="75000"/>
        </a:schemeClr>
      </a:solidFill>
    </cs:spPr>
    <cs:defRPr sz="9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3.xml><?xml version="1.0" encoding="utf-8"?>
<cs:chartStyle xmlns:cs="http://schemas.microsoft.com/office/drawing/2012/chartStyle" xmlns:a="http://schemas.openxmlformats.org/drawingml/2006/main" id="205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defRPr sz="9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solidFill>
        <a:schemeClr val="dk1">
          <a:lumMod val="65000"/>
          <a:lumOff val="35000"/>
          <a:alpha val="75000"/>
        </a:schemeClr>
      </a:solidFill>
    </cs:spPr>
    <cs:defRPr sz="9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hyperlink" Target="#'Guide Simplifi&#233;'!A1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7" Type="http://schemas.openxmlformats.org/officeDocument/2006/relationships/image" Target="../media/image2.JPG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6" Type="http://schemas.openxmlformats.org/officeDocument/2006/relationships/hyperlink" Target="#Actions!A1"/><Relationship Id="rId5" Type="http://schemas.openxmlformats.org/officeDocument/2006/relationships/chart" Target="../charts/chart5.xml"/><Relationship Id="rId4" Type="http://schemas.openxmlformats.org/officeDocument/2006/relationships/chart" Target="../charts/chart4.xml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hyperlink" Target="#Actions!A1"/><Relationship Id="rId2" Type="http://schemas.openxmlformats.org/officeDocument/2006/relationships/image" Target="../media/image3.JPG"/><Relationship Id="rId1" Type="http://schemas.openxmlformats.org/officeDocument/2006/relationships/hyperlink" Target="#'Guide r&#233;daction'!A1"/><Relationship Id="rId4" Type="http://schemas.openxmlformats.org/officeDocument/2006/relationships/image" Target="../media/image2.JPG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hyperlink" Target="#Actions!A1"/><Relationship Id="rId2" Type="http://schemas.openxmlformats.org/officeDocument/2006/relationships/image" Target="../media/image1.png"/><Relationship Id="rId1" Type="http://schemas.openxmlformats.org/officeDocument/2006/relationships/hyperlink" Target="#'Guide Simplifi&#233;'!A1"/><Relationship Id="rId4" Type="http://schemas.openxmlformats.org/officeDocument/2006/relationships/image" Target="../media/image2.JPG"/></Relationships>
</file>

<file path=xl/drawings/_rels/drawing5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G"/><Relationship Id="rId1" Type="http://schemas.openxmlformats.org/officeDocument/2006/relationships/hyperlink" Target="#Actions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981075</xdr:colOff>
      <xdr:row>0</xdr:row>
      <xdr:rowOff>0</xdr:rowOff>
    </xdr:from>
    <xdr:to>
      <xdr:col>7</xdr:col>
      <xdr:colOff>218557</xdr:colOff>
      <xdr:row>0</xdr:row>
      <xdr:rowOff>504825</xdr:rowOff>
    </xdr:to>
    <xdr:pic>
      <xdr:nvPicPr>
        <xdr:cNvPr id="2" name="Imag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7515225" y="0"/>
          <a:ext cx="609082" cy="504825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285750</xdr:colOff>
      <xdr:row>25</xdr:row>
      <xdr:rowOff>171450</xdr:rowOff>
    </xdr:from>
    <xdr:to>
      <xdr:col>21</xdr:col>
      <xdr:colOff>247650</xdr:colOff>
      <xdr:row>43</xdr:row>
      <xdr:rowOff>428625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id="{00000000-0008-0000-0100-000006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11</xdr:col>
      <xdr:colOff>285750</xdr:colOff>
      <xdr:row>12</xdr:row>
      <xdr:rowOff>19049</xdr:rowOff>
    </xdr:from>
    <xdr:to>
      <xdr:col>21</xdr:col>
      <xdr:colOff>247650</xdr:colOff>
      <xdr:row>25</xdr:row>
      <xdr:rowOff>114299</xdr:rowOff>
    </xdr:to>
    <xdr:graphicFrame macro="">
      <xdr:nvGraphicFramePr>
        <xdr:cNvPr id="7" name="Graphique 6">
          <a:extLst>
            <a:ext uri="{FF2B5EF4-FFF2-40B4-BE49-F238E27FC236}">
              <a16:creationId xmlns:a16="http://schemas.microsoft.com/office/drawing/2014/main" id="{00000000-0008-0000-0100-000007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11</xdr:col>
      <xdr:colOff>295275</xdr:colOff>
      <xdr:row>0</xdr:row>
      <xdr:rowOff>400050</xdr:rowOff>
    </xdr:from>
    <xdr:to>
      <xdr:col>21</xdr:col>
      <xdr:colOff>257175</xdr:colOff>
      <xdr:row>11</xdr:row>
      <xdr:rowOff>180975</xdr:rowOff>
    </xdr:to>
    <xdr:graphicFrame macro="">
      <xdr:nvGraphicFramePr>
        <xdr:cNvPr id="8" name="Graphique 7">
          <a:extLst>
            <a:ext uri="{FF2B5EF4-FFF2-40B4-BE49-F238E27FC236}">
              <a16:creationId xmlns:a16="http://schemas.microsoft.com/office/drawing/2014/main" id="{00000000-0008-0000-0100-000008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26</xdr:col>
      <xdr:colOff>158115</xdr:colOff>
      <xdr:row>11</xdr:row>
      <xdr:rowOff>180975</xdr:rowOff>
    </xdr:from>
    <xdr:to>
      <xdr:col>34</xdr:col>
      <xdr:colOff>487314</xdr:colOff>
      <xdr:row>22</xdr:row>
      <xdr:rowOff>379095</xdr:rowOff>
    </xdr:to>
    <xdr:graphicFrame macro="">
      <xdr:nvGraphicFramePr>
        <xdr:cNvPr id="9" name="Graphique 5">
          <a:extLst>
            <a:ext uri="{FF2B5EF4-FFF2-40B4-BE49-F238E27FC236}">
              <a16:creationId xmlns:a16="http://schemas.microsoft.com/office/drawing/2014/main" id="{00000000-0008-0000-0100-000009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26</xdr:col>
      <xdr:colOff>173355</xdr:colOff>
      <xdr:row>0</xdr:row>
      <xdr:rowOff>388620</xdr:rowOff>
    </xdr:from>
    <xdr:to>
      <xdr:col>34</xdr:col>
      <xdr:colOff>491490</xdr:colOff>
      <xdr:row>11</xdr:row>
      <xdr:rowOff>81915</xdr:rowOff>
    </xdr:to>
    <xdr:graphicFrame macro="">
      <xdr:nvGraphicFramePr>
        <xdr:cNvPr id="10" name="Graphique 5">
          <a:extLst>
            <a:ext uri="{FF2B5EF4-FFF2-40B4-BE49-F238E27FC236}">
              <a16:creationId xmlns:a16="http://schemas.microsoft.com/office/drawing/2014/main" id="{00000000-0008-0000-0100-00000A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 editAs="oneCell">
    <xdr:from>
      <xdr:col>4</xdr:col>
      <xdr:colOff>609600</xdr:colOff>
      <xdr:row>0</xdr:row>
      <xdr:rowOff>0</xdr:rowOff>
    </xdr:from>
    <xdr:to>
      <xdr:col>5</xdr:col>
      <xdr:colOff>236220</xdr:colOff>
      <xdr:row>0</xdr:row>
      <xdr:rowOff>401139</xdr:rowOff>
    </xdr:to>
    <xdr:pic>
      <xdr:nvPicPr>
        <xdr:cNvPr id="11" name="Image 10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00000000-0008-0000-0100-00000B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158740" y="0"/>
          <a:ext cx="419100" cy="401139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1203961</xdr:colOff>
      <xdr:row>6</xdr:row>
      <xdr:rowOff>29788</xdr:rowOff>
    </xdr:from>
    <xdr:to>
      <xdr:col>1</xdr:col>
      <xdr:colOff>1842829</xdr:colOff>
      <xdr:row>9</xdr:row>
      <xdr:rowOff>53341</xdr:rowOff>
    </xdr:to>
    <xdr:pic>
      <xdr:nvPicPr>
        <xdr:cNvPr id="3" name="Image 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612381" y="2605348"/>
          <a:ext cx="638868" cy="638868"/>
        </a:xfrm>
        <a:prstGeom prst="rect">
          <a:avLst/>
        </a:prstGeom>
      </xdr:spPr>
    </xdr:pic>
    <xdr:clientData/>
  </xdr:twoCellAnchor>
  <xdr:twoCellAnchor editAs="oneCell">
    <xdr:from>
      <xdr:col>1</xdr:col>
      <xdr:colOff>1239157</xdr:colOff>
      <xdr:row>14</xdr:row>
      <xdr:rowOff>7620</xdr:rowOff>
    </xdr:from>
    <xdr:to>
      <xdr:col>1</xdr:col>
      <xdr:colOff>1762605</xdr:colOff>
      <xdr:row>16</xdr:row>
      <xdr:rowOff>129540</xdr:rowOff>
    </xdr:to>
    <xdr:pic>
      <xdr:nvPicPr>
        <xdr:cNvPr id="5" name="Image 4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2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647577" y="4122420"/>
          <a:ext cx="523448" cy="501015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2695576</xdr:colOff>
      <xdr:row>18</xdr:row>
      <xdr:rowOff>266699</xdr:rowOff>
    </xdr:from>
    <xdr:to>
      <xdr:col>1</xdr:col>
      <xdr:colOff>28058</xdr:colOff>
      <xdr:row>20</xdr:row>
      <xdr:rowOff>104774</xdr:rowOff>
    </xdr:to>
    <xdr:pic>
      <xdr:nvPicPr>
        <xdr:cNvPr id="3" name="Image 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695576" y="3467099"/>
          <a:ext cx="570982" cy="504825"/>
        </a:xfrm>
        <a:prstGeom prst="rect">
          <a:avLst/>
        </a:prstGeom>
      </xdr:spPr>
    </xdr:pic>
    <xdr:clientData/>
  </xdr:twoCellAnchor>
  <xdr:twoCellAnchor editAs="oneCell">
    <xdr:from>
      <xdr:col>3</xdr:col>
      <xdr:colOff>164737</xdr:colOff>
      <xdr:row>6</xdr:row>
      <xdr:rowOff>38100</xdr:rowOff>
    </xdr:from>
    <xdr:to>
      <xdr:col>3</xdr:col>
      <xdr:colOff>688185</xdr:colOff>
      <xdr:row>9</xdr:row>
      <xdr:rowOff>36195</xdr:rowOff>
    </xdr:to>
    <xdr:pic>
      <xdr:nvPicPr>
        <xdr:cNvPr id="5" name="Image 4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3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642237" y="1043940"/>
          <a:ext cx="523448" cy="501015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63772</xdr:colOff>
      <xdr:row>0</xdr:row>
      <xdr:rowOff>28575</xdr:rowOff>
    </xdr:from>
    <xdr:to>
      <xdr:col>0</xdr:col>
      <xdr:colOff>398142</xdr:colOff>
      <xdr:row>0</xdr:row>
      <xdr:rowOff>348615</xdr:rowOff>
    </xdr:to>
    <xdr:pic>
      <xdr:nvPicPr>
        <xdr:cNvPr id="2" name="Imag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3772" y="28575"/>
          <a:ext cx="334370" cy="320040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2013-03-25%20%20%20PACI%20DO%202013%20%20v2%20pour%20R-COA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 des risques"/>
      <sheetName val="cotation conséquences= Gravité"/>
      <sheetName val="cotation Probabilité"/>
      <sheetName val="Diagramme f(P,G)"/>
      <sheetName val="Mode d'emploi"/>
      <sheetName val="Glossaire"/>
      <sheetName val="NE PAS UTILISER"/>
    </sheetNames>
    <sheetDataSet>
      <sheetData sheetId="0"/>
      <sheetData sheetId="1"/>
      <sheetData sheetId="2"/>
      <sheetData sheetId="3"/>
      <sheetData sheetId="4"/>
      <sheetData sheetId="5"/>
      <sheetData sheetId="6">
        <row r="3">
          <cell r="B3" t="str">
            <v>Environnement</v>
          </cell>
          <cell r="C3" t="str">
            <v>Sans objet</v>
          </cell>
          <cell r="D3" t="str">
            <v>Faible</v>
          </cell>
          <cell r="E3" t="str">
            <v>Systématique</v>
          </cell>
          <cell r="F3" t="str">
            <v>Augmentation</v>
          </cell>
          <cell r="G3" t="str">
            <v>Potentielle</v>
          </cell>
          <cell r="H3" t="str">
            <v>Immédiat</v>
          </cell>
        </row>
        <row r="4">
          <cell r="B4" t="str">
            <v>Sécurité des personnes</v>
          </cell>
          <cell r="C4" t="str">
            <v>Faible</v>
          </cell>
          <cell r="D4" t="str">
            <v>Modérée</v>
          </cell>
          <cell r="E4" t="str">
            <v>Très probable</v>
          </cell>
          <cell r="F4" t="str">
            <v>Stable</v>
          </cell>
          <cell r="G4" t="str">
            <v>Avérée</v>
          </cell>
          <cell r="H4" t="str">
            <v>Différé</v>
          </cell>
        </row>
        <row r="5">
          <cell r="B5" t="str">
            <v>Sécurité des biens</v>
          </cell>
          <cell r="C5" t="str">
            <v>Moyenne</v>
          </cell>
          <cell r="D5" t="str">
            <v>Elevée</v>
          </cell>
          <cell r="E5" t="str">
            <v>Peu probable</v>
          </cell>
          <cell r="F5" t="str">
            <v>Diminution</v>
          </cell>
          <cell r="H5" t="str">
            <v>Non retenu</v>
          </cell>
        </row>
        <row r="6">
          <cell r="B6" t="str">
            <v>Disciplinaire</v>
          </cell>
          <cell r="C6" t="str">
            <v>Forte</v>
          </cell>
          <cell r="D6" t="str">
            <v>Très élevée</v>
          </cell>
          <cell r="E6" t="str">
            <v>Impossible</v>
          </cell>
        </row>
        <row r="7">
          <cell r="B7" t="str">
            <v>Juridique</v>
          </cell>
          <cell r="C7" t="str">
            <v>Très forte</v>
          </cell>
        </row>
        <row r="8">
          <cell r="B8" t="str">
            <v>Image - notoriété</v>
          </cell>
        </row>
        <row r="9">
          <cell r="B9" t="str">
            <v>Financier - comptable</v>
          </cell>
        </row>
        <row r="10">
          <cell r="B10" t="str">
            <v>Réalisation de la
mission de l'entité</v>
          </cell>
        </row>
        <row r="11">
          <cell r="B11" t="str">
            <v>Fonctionnement interne</v>
          </cell>
        </row>
        <row r="12">
          <cell r="B12" t="str">
            <v>Sécurité des informations</v>
          </cell>
        </row>
        <row r="13">
          <cell r="B13" t="str">
            <v>Sécurité de défense</v>
          </cell>
        </row>
        <row r="14">
          <cell r="B14" t="str">
            <v>Stratégique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5.bin"/><Relationship Id="rId4" Type="http://schemas.openxmlformats.org/officeDocument/2006/relationships/printerSettings" Target="../printerSettings/printerSettings4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6.bin"/><Relationship Id="rId4" Type="http://schemas.openxmlformats.org/officeDocument/2006/relationships/comments" Target="../comments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7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8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9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P157"/>
  <sheetViews>
    <sheetView zoomScaleNormal="100" workbookViewId="0">
      <pane ySplit="1" topLeftCell="A15" activePane="bottomLeft" state="frozen"/>
      <selection activeCell="K5" sqref="K5"/>
      <selection pane="bottomLeft" activeCell="P20" sqref="A20:P20"/>
    </sheetView>
  </sheetViews>
  <sheetFormatPr baseColWidth="10" defaultColWidth="11.44140625" defaultRowHeight="11.4"/>
  <cols>
    <col min="1" max="1" width="12.44140625" style="47" customWidth="1"/>
    <col min="2" max="2" width="11.6640625" style="48" bestFit="1" customWidth="1"/>
    <col min="3" max="3" width="10.5546875" style="48" customWidth="1"/>
    <col min="4" max="4" width="16.44140625" style="48" customWidth="1"/>
    <col min="5" max="5" width="11.44140625" style="48" customWidth="1"/>
    <col min="6" max="6" width="35.44140625" style="49" customWidth="1"/>
    <col min="7" max="8" width="20.5546875" style="49" customWidth="1"/>
    <col min="9" max="9" width="16.5546875" style="47" customWidth="1"/>
    <col min="10" max="10" width="13" style="47" bestFit="1" customWidth="1"/>
    <col min="11" max="11" width="14.5546875" style="48" bestFit="1" customWidth="1"/>
    <col min="12" max="12" width="11.44140625" style="47" customWidth="1"/>
    <col min="13" max="13" width="67" style="50" customWidth="1"/>
    <col min="14" max="14" width="16.33203125" style="47" customWidth="1"/>
    <col min="15" max="15" width="13.109375" style="48" customWidth="1"/>
    <col min="16" max="16" width="9" style="47" customWidth="1"/>
    <col min="17" max="16384" width="11.44140625" style="7"/>
  </cols>
  <sheetData>
    <row r="1" spans="1:16" s="135" customFormat="1" ht="96.6" thickBot="1">
      <c r="A1" s="181" t="s">
        <v>84</v>
      </c>
      <c r="B1" s="182" t="s">
        <v>85</v>
      </c>
      <c r="C1" s="181" t="s">
        <v>4</v>
      </c>
      <c r="D1" s="181" t="s">
        <v>150</v>
      </c>
      <c r="E1" s="181" t="s">
        <v>87</v>
      </c>
      <c r="F1" s="181" t="s">
        <v>151</v>
      </c>
      <c r="G1" s="183" t="s">
        <v>153</v>
      </c>
      <c r="H1" s="183" t="s">
        <v>152</v>
      </c>
      <c r="I1" s="181" t="s">
        <v>154</v>
      </c>
      <c r="J1" s="181" t="s">
        <v>17</v>
      </c>
      <c r="K1" s="182" t="s">
        <v>155</v>
      </c>
      <c r="L1" s="181" t="s">
        <v>156</v>
      </c>
      <c r="M1" s="181" t="s">
        <v>157</v>
      </c>
      <c r="N1" s="184" t="s">
        <v>12</v>
      </c>
      <c r="O1" s="185" t="s">
        <v>158</v>
      </c>
      <c r="P1" s="185" t="s">
        <v>13</v>
      </c>
    </row>
    <row r="2" spans="1:16" s="135" customFormat="1" ht="12">
      <c r="A2" s="127" t="s">
        <v>70</v>
      </c>
      <c r="B2" s="128">
        <v>43567</v>
      </c>
      <c r="C2" s="128" t="s">
        <v>71</v>
      </c>
      <c r="D2" s="128" t="s">
        <v>86</v>
      </c>
      <c r="E2" s="128" t="s">
        <v>71</v>
      </c>
      <c r="F2" s="129" t="s">
        <v>99</v>
      </c>
      <c r="G2" s="129"/>
      <c r="H2" s="129"/>
      <c r="I2" s="130" t="s">
        <v>112</v>
      </c>
      <c r="J2" s="130" t="s">
        <v>65</v>
      </c>
      <c r="K2" s="131">
        <v>44195</v>
      </c>
      <c r="L2" s="131"/>
      <c r="M2" s="132" t="s">
        <v>66</v>
      </c>
      <c r="N2" s="133">
        <v>5</v>
      </c>
      <c r="O2" s="128">
        <v>44151</v>
      </c>
      <c r="P2" s="134">
        <f t="shared" ref="P2:P16" ca="1" si="0">IF(ISBLANK(K2),"",IF(ISBLANK(O2),TODAY()-MAX(K2:L2),IF(N2&gt;=4,O2-MAX(K2:L2),TODAY()-MAX(K2:L2))))</f>
        <v>-44</v>
      </c>
    </row>
    <row r="3" spans="1:16" s="135" customFormat="1">
      <c r="A3" s="127" t="s">
        <v>72</v>
      </c>
      <c r="B3" s="128">
        <v>43779</v>
      </c>
      <c r="C3" s="128" t="s">
        <v>71</v>
      </c>
      <c r="D3" s="128" t="s">
        <v>86</v>
      </c>
      <c r="E3" s="128" t="s">
        <v>71</v>
      </c>
      <c r="F3" s="129" t="s">
        <v>91</v>
      </c>
      <c r="G3" s="129"/>
      <c r="H3" s="129"/>
      <c r="I3" s="130" t="s">
        <v>113</v>
      </c>
      <c r="J3" s="130" t="s">
        <v>65</v>
      </c>
      <c r="K3" s="131">
        <v>43822</v>
      </c>
      <c r="L3" s="131"/>
      <c r="M3" s="136"/>
      <c r="N3" s="137">
        <v>1</v>
      </c>
      <c r="O3" s="128"/>
      <c r="P3" s="134">
        <f t="shared" ca="1" si="0"/>
        <v>393</v>
      </c>
    </row>
    <row r="4" spans="1:16" s="135" customFormat="1" ht="22.8">
      <c r="A4" s="138" t="s">
        <v>73</v>
      </c>
      <c r="B4" s="139">
        <v>43667</v>
      </c>
      <c r="C4" s="10" t="s">
        <v>71</v>
      </c>
      <c r="D4" s="128" t="s">
        <v>86</v>
      </c>
      <c r="E4" s="139" t="s">
        <v>71</v>
      </c>
      <c r="F4" s="140" t="s">
        <v>92</v>
      </c>
      <c r="G4" s="140"/>
      <c r="H4" s="140"/>
      <c r="I4" s="139" t="s">
        <v>114</v>
      </c>
      <c r="J4" s="139" t="s">
        <v>18</v>
      </c>
      <c r="K4" s="139">
        <v>44160</v>
      </c>
      <c r="L4" s="139"/>
      <c r="M4" s="140" t="s">
        <v>159</v>
      </c>
      <c r="N4" s="141">
        <v>5</v>
      </c>
      <c r="O4" s="139">
        <v>44104</v>
      </c>
      <c r="P4" s="134">
        <f t="shared" ca="1" si="0"/>
        <v>-56</v>
      </c>
    </row>
    <row r="5" spans="1:16" s="135" customFormat="1" ht="22.8">
      <c r="A5" s="127" t="s">
        <v>74</v>
      </c>
      <c r="B5" s="128">
        <v>43871</v>
      </c>
      <c r="C5" s="128" t="s">
        <v>71</v>
      </c>
      <c r="D5" s="128" t="s">
        <v>88</v>
      </c>
      <c r="E5" s="128" t="s">
        <v>71</v>
      </c>
      <c r="F5" s="129" t="s">
        <v>93</v>
      </c>
      <c r="G5" s="129"/>
      <c r="H5" s="129"/>
      <c r="I5" s="128" t="s">
        <v>115</v>
      </c>
      <c r="J5" s="130" t="s">
        <v>65</v>
      </c>
      <c r="K5" s="128">
        <v>44196</v>
      </c>
      <c r="L5" s="128"/>
      <c r="M5" s="129" t="s">
        <v>126</v>
      </c>
      <c r="N5" s="137">
        <v>5</v>
      </c>
      <c r="O5" s="128">
        <v>44227</v>
      </c>
      <c r="P5" s="134">
        <f t="shared" ca="1" si="0"/>
        <v>31</v>
      </c>
    </row>
    <row r="6" spans="1:16" s="135" customFormat="1">
      <c r="A6" s="138" t="s">
        <v>75</v>
      </c>
      <c r="B6" s="139">
        <v>43976</v>
      </c>
      <c r="C6" s="10" t="s">
        <v>71</v>
      </c>
      <c r="D6" s="128" t="s">
        <v>88</v>
      </c>
      <c r="E6" s="139" t="s">
        <v>71</v>
      </c>
      <c r="F6" s="142" t="s">
        <v>94</v>
      </c>
      <c r="G6" s="140"/>
      <c r="H6" s="140"/>
      <c r="I6" s="139" t="s">
        <v>116</v>
      </c>
      <c r="J6" s="139" t="s">
        <v>65</v>
      </c>
      <c r="K6" s="139">
        <v>44196</v>
      </c>
      <c r="L6" s="139">
        <v>44211</v>
      </c>
      <c r="M6" s="140" t="s">
        <v>67</v>
      </c>
      <c r="N6" s="143">
        <v>5</v>
      </c>
      <c r="O6" s="139">
        <v>44221</v>
      </c>
      <c r="P6" s="134">
        <f t="shared" ca="1" si="0"/>
        <v>10</v>
      </c>
    </row>
    <row r="7" spans="1:16" s="135" customFormat="1" ht="22.8">
      <c r="A7" s="144" t="s">
        <v>76</v>
      </c>
      <c r="B7" s="145">
        <v>43976</v>
      </c>
      <c r="C7" s="146" t="s">
        <v>71</v>
      </c>
      <c r="D7" s="128" t="s">
        <v>86</v>
      </c>
      <c r="E7" s="145" t="s">
        <v>71</v>
      </c>
      <c r="F7" s="147" t="s">
        <v>95</v>
      </c>
      <c r="G7" s="147"/>
      <c r="H7" s="147"/>
      <c r="I7" s="145" t="s">
        <v>117</v>
      </c>
      <c r="J7" s="145" t="s">
        <v>65</v>
      </c>
      <c r="K7" s="145">
        <v>44196</v>
      </c>
      <c r="L7" s="145"/>
      <c r="M7" s="148" t="s">
        <v>124</v>
      </c>
      <c r="N7" s="149">
        <v>5</v>
      </c>
      <c r="O7" s="150">
        <v>44221</v>
      </c>
      <c r="P7" s="134">
        <f t="shared" ca="1" si="0"/>
        <v>25</v>
      </c>
    </row>
    <row r="8" spans="1:16" s="135" customFormat="1" ht="22.8">
      <c r="A8" s="138" t="s">
        <v>77</v>
      </c>
      <c r="B8" s="139">
        <v>44101</v>
      </c>
      <c r="C8" s="139" t="s">
        <v>71</v>
      </c>
      <c r="D8" s="128" t="s">
        <v>86</v>
      </c>
      <c r="E8" s="139" t="s">
        <v>71</v>
      </c>
      <c r="F8" s="140" t="s">
        <v>96</v>
      </c>
      <c r="G8" s="142" t="s">
        <v>107</v>
      </c>
      <c r="H8" s="142" t="s">
        <v>108</v>
      </c>
      <c r="I8" s="139" t="s">
        <v>118</v>
      </c>
      <c r="J8" s="151" t="s">
        <v>18</v>
      </c>
      <c r="K8" s="139">
        <v>44135</v>
      </c>
      <c r="L8" s="139">
        <v>44247</v>
      </c>
      <c r="M8" s="152" t="s">
        <v>125</v>
      </c>
      <c r="N8" s="141">
        <v>4</v>
      </c>
      <c r="O8" s="139">
        <v>44210</v>
      </c>
      <c r="P8" s="134">
        <f t="shared" ca="1" si="0"/>
        <v>-37</v>
      </c>
    </row>
    <row r="9" spans="1:16" s="135" customFormat="1" ht="34.200000000000003">
      <c r="A9" s="127" t="s">
        <v>78</v>
      </c>
      <c r="B9" s="128">
        <v>44101</v>
      </c>
      <c r="C9" s="128" t="s">
        <v>71</v>
      </c>
      <c r="D9" s="128" t="s">
        <v>89</v>
      </c>
      <c r="E9" s="128" t="s">
        <v>71</v>
      </c>
      <c r="F9" s="129" t="s">
        <v>97</v>
      </c>
      <c r="G9" s="129" t="s">
        <v>106</v>
      </c>
      <c r="H9" s="129" t="s">
        <v>105</v>
      </c>
      <c r="I9" s="46" t="s">
        <v>119</v>
      </c>
      <c r="J9" s="130" t="s">
        <v>18</v>
      </c>
      <c r="K9" s="128">
        <v>44196</v>
      </c>
      <c r="L9" s="128">
        <v>44227</v>
      </c>
      <c r="M9" s="132" t="s">
        <v>127</v>
      </c>
      <c r="N9" s="133">
        <v>5</v>
      </c>
      <c r="O9" s="128">
        <v>44248</v>
      </c>
      <c r="P9" s="134">
        <f t="shared" ca="1" si="0"/>
        <v>21</v>
      </c>
    </row>
    <row r="10" spans="1:16" s="135" customFormat="1" ht="34.200000000000003">
      <c r="A10" s="144" t="s">
        <v>79</v>
      </c>
      <c r="B10" s="145">
        <v>44116</v>
      </c>
      <c r="C10" s="145" t="s">
        <v>71</v>
      </c>
      <c r="D10" s="128" t="s">
        <v>89</v>
      </c>
      <c r="E10" s="145" t="s">
        <v>71</v>
      </c>
      <c r="F10" s="145" t="s">
        <v>109</v>
      </c>
      <c r="G10" s="145" t="s">
        <v>110</v>
      </c>
      <c r="H10" s="145" t="s">
        <v>111</v>
      </c>
      <c r="I10" s="145" t="s">
        <v>120</v>
      </c>
      <c r="J10" s="145" t="s">
        <v>65</v>
      </c>
      <c r="K10" s="145">
        <v>44129</v>
      </c>
      <c r="L10" s="145"/>
      <c r="M10" s="148" t="s">
        <v>128</v>
      </c>
      <c r="N10" s="149">
        <v>5</v>
      </c>
      <c r="O10" s="145">
        <v>44129</v>
      </c>
      <c r="P10" s="134">
        <f t="shared" ca="1" si="0"/>
        <v>0</v>
      </c>
    </row>
    <row r="11" spans="1:16" s="135" customFormat="1" ht="45.6">
      <c r="A11" s="138" t="s">
        <v>80</v>
      </c>
      <c r="B11" s="139">
        <v>44130</v>
      </c>
      <c r="C11" s="139" t="s">
        <v>52</v>
      </c>
      <c r="D11" s="128" t="s">
        <v>86</v>
      </c>
      <c r="E11" s="139" t="s">
        <v>71</v>
      </c>
      <c r="F11" s="139" t="s">
        <v>98</v>
      </c>
      <c r="G11" s="139"/>
      <c r="H11" s="139"/>
      <c r="I11" s="139" t="s">
        <v>121</v>
      </c>
      <c r="J11" s="151" t="s">
        <v>65</v>
      </c>
      <c r="K11" s="139">
        <v>44157</v>
      </c>
      <c r="L11" s="139">
        <v>44530</v>
      </c>
      <c r="M11" s="152" t="s">
        <v>68</v>
      </c>
      <c r="N11" s="141">
        <v>3</v>
      </c>
      <c r="O11" s="139"/>
      <c r="P11" s="134">
        <f t="shared" ca="1" si="0"/>
        <v>-315</v>
      </c>
    </row>
    <row r="12" spans="1:16" s="135" customFormat="1" ht="34.200000000000003">
      <c r="A12" s="138" t="s">
        <v>81</v>
      </c>
      <c r="B12" s="139">
        <v>44130</v>
      </c>
      <c r="C12" s="139" t="s">
        <v>52</v>
      </c>
      <c r="D12" s="128" t="s">
        <v>100</v>
      </c>
      <c r="E12" s="139" t="s">
        <v>71</v>
      </c>
      <c r="F12" s="140" t="s">
        <v>69</v>
      </c>
      <c r="G12" s="142"/>
      <c r="H12" s="142"/>
      <c r="I12" s="139" t="s">
        <v>122</v>
      </c>
      <c r="J12" s="151" t="s">
        <v>65</v>
      </c>
      <c r="K12" s="139">
        <v>44859</v>
      </c>
      <c r="L12" s="139"/>
      <c r="M12" s="152"/>
      <c r="N12" s="141">
        <v>1</v>
      </c>
      <c r="O12" s="139"/>
      <c r="P12" s="134">
        <f t="shared" ca="1" si="0"/>
        <v>-644</v>
      </c>
    </row>
    <row r="13" spans="1:16" s="135" customFormat="1" ht="22.8">
      <c r="A13" s="138" t="s">
        <v>82</v>
      </c>
      <c r="B13" s="139">
        <v>44130</v>
      </c>
      <c r="C13" s="139" t="s">
        <v>71</v>
      </c>
      <c r="D13" s="128" t="s">
        <v>90</v>
      </c>
      <c r="E13" s="139" t="s">
        <v>71</v>
      </c>
      <c r="F13" s="153" t="s">
        <v>101</v>
      </c>
      <c r="G13" s="139" t="s">
        <v>103</v>
      </c>
      <c r="H13" s="139"/>
      <c r="I13" s="139" t="s">
        <v>120</v>
      </c>
      <c r="J13" s="151" t="s">
        <v>65</v>
      </c>
      <c r="K13" s="139">
        <v>44136</v>
      </c>
      <c r="L13" s="139"/>
      <c r="M13" s="153" t="s">
        <v>160</v>
      </c>
      <c r="N13" s="141">
        <v>5</v>
      </c>
      <c r="O13" s="139">
        <v>44138</v>
      </c>
      <c r="P13" s="134">
        <f t="shared" ca="1" si="0"/>
        <v>2</v>
      </c>
    </row>
    <row r="14" spans="1:16" s="135" customFormat="1" ht="22.8">
      <c r="A14" s="138" t="s">
        <v>83</v>
      </c>
      <c r="B14" s="139">
        <v>44130</v>
      </c>
      <c r="C14" s="139" t="s">
        <v>71</v>
      </c>
      <c r="D14" s="128" t="s">
        <v>86</v>
      </c>
      <c r="E14" s="139" t="s">
        <v>71</v>
      </c>
      <c r="F14" s="153" t="s">
        <v>102</v>
      </c>
      <c r="G14" s="139"/>
      <c r="H14" s="139" t="s">
        <v>104</v>
      </c>
      <c r="I14" s="139" t="s">
        <v>123</v>
      </c>
      <c r="J14" s="151" t="s">
        <v>65</v>
      </c>
      <c r="K14" s="139">
        <v>44134</v>
      </c>
      <c r="L14" s="139"/>
      <c r="M14" s="153" t="s">
        <v>161</v>
      </c>
      <c r="N14" s="141">
        <v>2</v>
      </c>
      <c r="O14" s="139"/>
      <c r="P14" s="134">
        <f t="shared" ca="1" si="0"/>
        <v>81</v>
      </c>
    </row>
    <row r="15" spans="1:16" s="135" customFormat="1">
      <c r="A15" s="138"/>
      <c r="B15" s="139"/>
      <c r="C15" s="139"/>
      <c r="D15" s="139"/>
      <c r="E15" s="139"/>
      <c r="F15" s="153"/>
      <c r="G15" s="139"/>
      <c r="H15" s="139"/>
      <c r="I15" s="139"/>
      <c r="J15" s="151"/>
      <c r="K15" s="139"/>
      <c r="L15" s="139"/>
      <c r="M15" s="153"/>
      <c r="N15" s="141"/>
      <c r="O15" s="139"/>
      <c r="P15" s="134" t="str">
        <f t="shared" ca="1" si="0"/>
        <v/>
      </c>
    </row>
    <row r="16" spans="1:16" s="135" customFormat="1">
      <c r="A16" s="138"/>
      <c r="B16" s="139"/>
      <c r="C16" s="139"/>
      <c r="D16" s="139"/>
      <c r="E16" s="139"/>
      <c r="F16" s="153"/>
      <c r="G16" s="139"/>
      <c r="H16" s="139"/>
      <c r="I16" s="139"/>
      <c r="J16" s="151"/>
      <c r="K16" s="139"/>
      <c r="L16" s="139"/>
      <c r="M16" s="139"/>
      <c r="N16" s="141"/>
      <c r="O16" s="139"/>
      <c r="P16" s="134" t="str">
        <f t="shared" ca="1" si="0"/>
        <v/>
      </c>
    </row>
    <row r="17" spans="1:16" s="135" customFormat="1">
      <c r="A17" s="156"/>
      <c r="B17" s="145"/>
      <c r="C17" s="145"/>
      <c r="D17" s="145"/>
      <c r="E17" s="145"/>
      <c r="F17" s="147"/>
      <c r="G17" s="147"/>
      <c r="H17" s="147"/>
      <c r="I17" s="145"/>
      <c r="J17" s="146"/>
      <c r="K17" s="145"/>
      <c r="L17" s="146"/>
      <c r="M17" s="154"/>
      <c r="N17" s="155"/>
      <c r="O17" s="145"/>
      <c r="P17" s="134" t="str">
        <f t="shared" ref="P17" ca="1" si="1">IF(ISBLANK(K17),"",IF(ISBLANK(O17),TODAY()-MAX(K17:L17),IF(N17&gt;=4,O17-MAX(K17:L17),TODAY()-MAX(K17:L17))))</f>
        <v/>
      </c>
    </row>
    <row r="18" spans="1:16" s="163" customFormat="1" ht="12.6" thickBot="1">
      <c r="A18" s="157"/>
      <c r="B18" s="158"/>
      <c r="C18" s="158"/>
      <c r="D18" s="158"/>
      <c r="E18" s="158"/>
      <c r="F18" s="159"/>
      <c r="G18" s="159"/>
      <c r="H18" s="159"/>
      <c r="I18" s="158"/>
      <c r="J18" s="160"/>
      <c r="K18" s="158"/>
      <c r="L18" s="160"/>
      <c r="M18" s="161"/>
      <c r="N18" s="162"/>
      <c r="O18" s="158"/>
      <c r="P18" s="134" t="str">
        <f ca="1">IF(ISBLANK(K18),"",IF(ISBLANK(O18),TODAY()-MAX(K18:L18),IF(N18&gt;=4,O18-MAX(K18:L18),TODAY()-MAX(K18:L18))))</f>
        <v/>
      </c>
    </row>
    <row r="19" spans="1:16" ht="69" customHeight="1" thickBot="1">
      <c r="A19" s="107" t="s">
        <v>48</v>
      </c>
      <c r="B19" s="108" t="s">
        <v>49</v>
      </c>
      <c r="C19" s="108" t="s">
        <v>50</v>
      </c>
      <c r="D19" s="109" t="str">
        <f>IF((COUNTIFS(date_action,"&gt;="&amp;1/1/2015)-COUNTA(D2:D18))=0,"saisie ok","ATTENTION "&amp;(COUNTIFS(date_action,"&gt;="&amp;1/1/2015)-COUNTA(D2:D18))&amp;" action(s) ne comporte(nt) pas d'information d'autorité")</f>
        <v>saisie ok</v>
      </c>
      <c r="E19" s="109" t="str">
        <f>IF((COUNTIFS(date_action,"&gt;="&amp;1/1/2015)-COUNTA(E2:E18))=0,"saisie ok","ATTENTION "&amp;(COUNTIFS(date_action,"&gt;="&amp;1/1/2015)-COUNTA(E2:E18))&amp;" action(s) ne comporte(nt) pas d'information de restitution")</f>
        <v>saisie ok</v>
      </c>
      <c r="F19" s="109" t="str">
        <f>IF((COUNTIFS(date_action,"&gt;="&amp;1/1/2015)-COUNTA(F2:F18))=0,"saisie ok","ATTENTION "&amp;(COUNTIFS(date_action,"&gt;="&amp;1/1/2015)-COUNTA(F2:F18))&amp;" action(s) ne comporte(nt) aucun libellé/objectif")</f>
        <v>saisie ok</v>
      </c>
      <c r="G19" s="109" t="str">
        <f>IF((COUNTIFS(date_action,"&gt;="&amp;1/1/2015)-COUNTA(G2:G18))=0,"saisie ok","ATTENTION "&amp;(COUNTIFS(date_action,"&gt;="&amp;1/1/2015)-COUNTA(G2:G18))&amp;" action(s) ne comporte(nt) aucun produit attendu/livrable")</f>
        <v>ATTENTION 9 action(s) ne comporte(nt) aucun produit attendu/livrable</v>
      </c>
      <c r="H19" s="109" t="str">
        <f>IF((COUNTIFS(date_action,"&gt;="&amp;1/1/2015)-COUNTA(H2:H18))=0,"saisie ok","ATTENTION "&amp;(COUNTIFS(date_action,"&gt;="&amp;1/1/2015)-COUNTA(H2:H18))&amp;" action(s) ne comporte(nt) aucun critère/VA")</f>
        <v>ATTENTION 9 action(s) ne comporte(nt) aucun critère/VA</v>
      </c>
      <c r="I19" s="109" t="str">
        <f>IF((COUNTIFS(date_action,"&gt;="&amp;1/1/2015)-COUNTA(I2:I18))=0,"saisie ok","ATTENTION "&amp;(COUNTIFS(date_action,"&gt;="&amp;1/1/2015)-COUNTA(I2:I18))&amp;" action(s) ne comporte(nt) aucun pilote")</f>
        <v>saisie ok</v>
      </c>
      <c r="J19" s="109" t="str">
        <f>IF(COUNTIFS(date_action,"&gt;="&amp;1/1/2015,Priorité,"")=0,"saisie OK","ATTENTION "&amp;COUNTIFS(date_action,"&gt;="&amp;1/1/2015,Priorité,"")&amp;" action(s) sans priorité affectée")</f>
        <v>saisie OK</v>
      </c>
      <c r="K19" s="108" t="s">
        <v>49</v>
      </c>
      <c r="L19" s="109" t="str">
        <f>IF(COUNTIFS(statut,"&lt;"&amp;"4",échéance_révisée,"&lt;&gt;"&amp;"")-COUNTIFS(statut,"="&amp;"3")=0,"saisie OK","ATTENTION "&amp;COUNTIFS(statut,"&lt;"&amp;"4",échéance_révisée,"&lt;&gt;"&amp;"")-COUNTIFS(statut,"="&amp;"3")&amp;" action(s) replanifié(s) alors que le statut n'a pas été mis à 3")</f>
        <v>saisie OK</v>
      </c>
      <c r="M19" s="109" t="str">
        <f>IF((COUNTIFS(date_action,"&gt;="&amp;1/1/2015)-COUNTA(M2:M18))=0,"saisie ok","ATTENTION "&amp;(COUNTIFS(date_action,"&gt;="&amp;1/1/2015)-COUNTA(M2:M18))&amp;" action(s) ne comporte aucun commentaire. Les commentaires à dater et historiser sont indispensables pour assurer le suivi du pilotage des actions cf onglet guide rédaction")</f>
        <v>ATTENTION 2 action(s) ne comporte aucun commentaire. Les commentaires à dater et historiser sont indispensables pour assurer le suivi du pilotage des actions cf onglet guide rédaction</v>
      </c>
      <c r="N19" s="109" t="str">
        <f>IF(COUNTIFS(date_action,"&gt;="&amp;"2015",statut,"="&amp;"")=0,"ne pas filtrer - saisie OK","ne pas filtrer - ATTENTION il manque "&amp;COUNTIFS(date_action,"&gt;="&amp;"2015",statut,"="&amp;"")&amp;" statut(s) dans cette colonne")</f>
        <v>ne pas filtrer - saisie OK</v>
      </c>
      <c r="O19" s="110" t="str">
        <f>IF(COUNTIFS(date_action,"&gt;="&amp;"2015",statut,"="&amp;5,date_fin,"="&amp;"")=0,"saisie OK","ATTENTION il manque une date dans cette colonne")</f>
        <v>saisie OK</v>
      </c>
      <c r="P19" s="111" t="str">
        <f ca="1">IF((COUNTIFS(date_action,"&gt;="&amp;1/1/2015)-COUNTA(P2:P18)+COUNTIF(P2:P18,""))=0,"saisie ok","ATTENTION "&amp;(COUNTIFS(date_action,"&gt;="&amp;1/1/2015)-COUNTA(P2:P18)+COUNTIF(P2:P18,""))&amp;" cellules(s) n'ont plus de formule de calcul du retard - à corriger")</f>
        <v>saisie ok</v>
      </c>
    </row>
    <row r="20" spans="1:16" ht="40.200000000000003" customHeight="1" thickBot="1">
      <c r="A20" s="186"/>
      <c r="B20" s="187"/>
      <c r="C20" s="188"/>
      <c r="D20" s="189"/>
      <c r="E20" s="188"/>
      <c r="F20" s="190" t="str">
        <f>'Indicateurs Actions'!E3&amp;" action(s) en cours"</f>
        <v>5 action(s) en cours</v>
      </c>
      <c r="G20" s="190" t="str">
        <f ca="1">11-COUNTIF(stats,"saisie ok")&amp;" type(s) d'erreurs(s) (cf. en rouge ci-dessus)"</f>
        <v>3 type(s) d'erreurs(s) (cf. en rouge ci-dessus)</v>
      </c>
      <c r="H20" s="191"/>
      <c r="I20" s="192"/>
      <c r="J20" s="193" t="str">
        <f ca="1">IF('Indicateurs Actions'!I4&gt;0,'Indicateurs Actions'!I4&amp;" P1 en retard","aucune P1 en retard")</f>
        <v>aucune P1 en retard</v>
      </c>
      <c r="K20" s="187"/>
      <c r="L20" s="192"/>
      <c r="M20" s="190" t="str">
        <f ca="1">IF('Indicateurs Actions'!I3&gt;0,'Indicateurs Actions'!I3&amp;"  actions en retard","aucune action en retard")</f>
        <v>2  actions en retard</v>
      </c>
      <c r="N20" s="190" t="s">
        <v>51</v>
      </c>
      <c r="O20" s="187" t="str">
        <f>'Indicateurs Actions'!F3&amp;" actions proposées à clôture"</f>
        <v>1 actions proposées à clôture</v>
      </c>
      <c r="P20" s="194"/>
    </row>
    <row r="21" spans="1:16" s="135" customFormat="1">
      <c r="A21" s="164"/>
      <c r="B21" s="165"/>
      <c r="C21" s="165"/>
      <c r="D21" s="165"/>
      <c r="E21" s="165"/>
      <c r="F21" s="166"/>
      <c r="G21" s="166"/>
      <c r="H21" s="166"/>
      <c r="I21" s="164"/>
      <c r="J21" s="164"/>
      <c r="K21" s="165"/>
      <c r="L21" s="164"/>
      <c r="M21" s="167"/>
      <c r="N21" s="164"/>
      <c r="O21" s="165"/>
      <c r="P21" s="164"/>
    </row>
    <row r="22" spans="1:16" s="135" customFormat="1">
      <c r="A22" s="164"/>
      <c r="B22" s="165"/>
      <c r="C22" s="165"/>
      <c r="D22" s="165"/>
      <c r="E22" s="165"/>
      <c r="F22" s="166"/>
      <c r="G22" s="166"/>
      <c r="H22" s="166"/>
      <c r="I22" s="164"/>
      <c r="J22" s="164"/>
      <c r="K22" s="165"/>
      <c r="L22" s="164"/>
      <c r="M22" s="167"/>
      <c r="N22" s="164"/>
      <c r="O22" s="165"/>
      <c r="P22" s="164"/>
    </row>
    <row r="23" spans="1:16" s="135" customFormat="1">
      <c r="A23" s="164"/>
      <c r="B23" s="165"/>
      <c r="C23" s="165"/>
      <c r="D23" s="165"/>
      <c r="E23" s="165"/>
      <c r="F23" s="166"/>
      <c r="G23" s="166"/>
      <c r="H23" s="166"/>
      <c r="I23" s="164"/>
      <c r="J23" s="164"/>
      <c r="K23" s="165"/>
      <c r="L23" s="164"/>
      <c r="M23" s="167"/>
      <c r="N23" s="164"/>
      <c r="O23" s="165"/>
      <c r="P23" s="164"/>
    </row>
    <row r="24" spans="1:16" s="135" customFormat="1">
      <c r="A24" s="164"/>
      <c r="B24" s="165"/>
      <c r="C24" s="165"/>
      <c r="D24" s="165"/>
      <c r="E24" s="165"/>
      <c r="F24" s="166"/>
      <c r="G24" s="166"/>
      <c r="H24" s="166"/>
      <c r="I24" s="164"/>
      <c r="J24" s="164"/>
      <c r="K24" s="165"/>
      <c r="L24" s="164"/>
      <c r="M24" s="167"/>
      <c r="N24" s="164"/>
      <c r="O24" s="165"/>
      <c r="P24" s="164"/>
    </row>
    <row r="25" spans="1:16" s="135" customFormat="1">
      <c r="A25" s="164"/>
      <c r="B25" s="165"/>
      <c r="C25" s="165"/>
      <c r="D25" s="165"/>
      <c r="E25" s="165"/>
      <c r="F25" s="166"/>
      <c r="G25" s="166"/>
      <c r="H25" s="166"/>
      <c r="I25" s="164"/>
      <c r="J25" s="164"/>
      <c r="K25" s="165"/>
      <c r="L25" s="164"/>
      <c r="M25" s="167"/>
      <c r="N25" s="164"/>
      <c r="O25" s="165"/>
      <c r="P25" s="164"/>
    </row>
    <row r="26" spans="1:16" s="135" customFormat="1">
      <c r="A26" s="164"/>
      <c r="B26" s="165"/>
      <c r="C26" s="165"/>
      <c r="D26" s="165"/>
      <c r="E26" s="165"/>
      <c r="F26" s="166"/>
      <c r="G26" s="166"/>
      <c r="H26" s="166"/>
      <c r="I26" s="164"/>
      <c r="J26" s="164"/>
      <c r="K26" s="165"/>
      <c r="L26" s="164"/>
      <c r="M26" s="167"/>
      <c r="N26" s="164"/>
      <c r="O26" s="165"/>
      <c r="P26" s="164"/>
    </row>
    <row r="27" spans="1:16" s="135" customFormat="1">
      <c r="A27" s="164"/>
      <c r="B27" s="165"/>
      <c r="C27" s="165"/>
      <c r="D27" s="165"/>
      <c r="E27" s="165"/>
      <c r="F27" s="166"/>
      <c r="G27" s="166"/>
      <c r="H27" s="166"/>
      <c r="I27" s="164"/>
      <c r="J27" s="164"/>
      <c r="K27" s="165"/>
      <c r="L27" s="164"/>
      <c r="M27" s="167"/>
      <c r="N27" s="164"/>
      <c r="O27" s="165"/>
      <c r="P27" s="164"/>
    </row>
    <row r="28" spans="1:16" s="135" customFormat="1">
      <c r="A28" s="164"/>
      <c r="B28" s="165"/>
      <c r="C28" s="165"/>
      <c r="D28" s="165"/>
      <c r="E28" s="165"/>
      <c r="F28" s="166"/>
      <c r="G28" s="166"/>
      <c r="H28" s="166"/>
      <c r="I28" s="164"/>
      <c r="J28" s="164"/>
      <c r="K28" s="165"/>
      <c r="L28" s="164"/>
      <c r="M28" s="167"/>
      <c r="N28" s="164"/>
      <c r="O28" s="165"/>
      <c r="P28" s="164"/>
    </row>
    <row r="29" spans="1:16" s="135" customFormat="1">
      <c r="A29" s="164"/>
      <c r="B29" s="165"/>
      <c r="C29" s="165"/>
      <c r="D29" s="165"/>
      <c r="E29" s="165"/>
      <c r="F29" s="166"/>
      <c r="G29" s="166"/>
      <c r="H29" s="166"/>
      <c r="I29" s="164"/>
      <c r="J29" s="164"/>
      <c r="K29" s="165"/>
      <c r="L29" s="164"/>
      <c r="M29" s="167"/>
      <c r="N29" s="164"/>
      <c r="O29" s="165"/>
      <c r="P29" s="164"/>
    </row>
    <row r="30" spans="1:16" s="135" customFormat="1">
      <c r="A30" s="164"/>
      <c r="B30" s="165"/>
      <c r="C30" s="165"/>
      <c r="D30" s="165"/>
      <c r="E30" s="165"/>
      <c r="F30" s="166"/>
      <c r="G30" s="166"/>
      <c r="H30" s="166"/>
      <c r="I30" s="164"/>
      <c r="J30" s="164"/>
      <c r="K30" s="165"/>
      <c r="L30" s="164"/>
      <c r="M30" s="167"/>
      <c r="N30" s="164"/>
      <c r="O30" s="165"/>
      <c r="P30" s="164"/>
    </row>
    <row r="31" spans="1:16" s="135" customFormat="1">
      <c r="A31" s="164"/>
      <c r="B31" s="165"/>
      <c r="C31" s="165"/>
      <c r="D31" s="165"/>
      <c r="E31" s="165"/>
      <c r="F31" s="166"/>
      <c r="G31" s="166"/>
      <c r="H31" s="166"/>
      <c r="I31" s="164"/>
      <c r="J31" s="164"/>
      <c r="K31" s="165"/>
      <c r="L31" s="164"/>
      <c r="M31" s="167"/>
      <c r="N31" s="164"/>
      <c r="O31" s="165"/>
      <c r="P31" s="164"/>
    </row>
    <row r="32" spans="1:16" s="135" customFormat="1">
      <c r="A32" s="164"/>
      <c r="B32" s="165"/>
      <c r="C32" s="165"/>
      <c r="D32" s="165"/>
      <c r="E32" s="165"/>
      <c r="F32" s="166"/>
      <c r="G32" s="166"/>
      <c r="H32" s="166"/>
      <c r="I32" s="164"/>
      <c r="J32" s="164"/>
      <c r="K32" s="165"/>
      <c r="L32" s="164"/>
      <c r="M32" s="167"/>
      <c r="N32" s="164"/>
      <c r="O32" s="165"/>
      <c r="P32" s="164"/>
    </row>
    <row r="33" spans="1:16" s="135" customFormat="1">
      <c r="A33" s="164"/>
      <c r="B33" s="165"/>
      <c r="C33" s="165"/>
      <c r="D33" s="165"/>
      <c r="E33" s="165"/>
      <c r="F33" s="166"/>
      <c r="G33" s="166"/>
      <c r="H33" s="166"/>
      <c r="I33" s="164"/>
      <c r="J33" s="164"/>
      <c r="K33" s="165"/>
      <c r="L33" s="164"/>
      <c r="M33" s="167"/>
      <c r="N33" s="164"/>
      <c r="O33" s="165"/>
      <c r="P33" s="164"/>
    </row>
    <row r="34" spans="1:16" s="135" customFormat="1">
      <c r="A34" s="164"/>
      <c r="B34" s="165"/>
      <c r="C34" s="165"/>
      <c r="D34" s="165"/>
      <c r="E34" s="165"/>
      <c r="F34" s="166"/>
      <c r="G34" s="166"/>
      <c r="H34" s="166"/>
      <c r="I34" s="164"/>
      <c r="J34" s="164"/>
      <c r="K34" s="165"/>
      <c r="L34" s="164"/>
      <c r="M34" s="167"/>
      <c r="N34" s="164"/>
      <c r="O34" s="165"/>
      <c r="P34" s="164"/>
    </row>
    <row r="35" spans="1:16" s="135" customFormat="1">
      <c r="A35" s="164"/>
      <c r="B35" s="165"/>
      <c r="C35" s="165"/>
      <c r="D35" s="165"/>
      <c r="E35" s="165"/>
      <c r="F35" s="166"/>
      <c r="G35" s="166"/>
      <c r="H35" s="166"/>
      <c r="I35" s="164"/>
      <c r="J35" s="164"/>
      <c r="K35" s="165"/>
      <c r="L35" s="164"/>
      <c r="M35" s="167"/>
      <c r="N35" s="164"/>
      <c r="O35" s="165"/>
      <c r="P35" s="164"/>
    </row>
    <row r="36" spans="1:16" s="135" customFormat="1">
      <c r="A36" s="164"/>
      <c r="B36" s="165"/>
      <c r="C36" s="165"/>
      <c r="D36" s="165"/>
      <c r="E36" s="165"/>
      <c r="F36" s="166"/>
      <c r="G36" s="166"/>
      <c r="H36" s="166"/>
      <c r="I36" s="164"/>
      <c r="J36" s="164"/>
      <c r="K36" s="165"/>
      <c r="L36" s="164"/>
      <c r="M36" s="167"/>
      <c r="N36" s="164"/>
      <c r="O36" s="165"/>
      <c r="P36" s="164"/>
    </row>
    <row r="37" spans="1:16" s="135" customFormat="1">
      <c r="A37" s="164"/>
      <c r="B37" s="165"/>
      <c r="C37" s="165"/>
      <c r="D37" s="165"/>
      <c r="E37" s="165"/>
      <c r="F37" s="166"/>
      <c r="G37" s="166"/>
      <c r="H37" s="166"/>
      <c r="I37" s="164"/>
      <c r="J37" s="164"/>
      <c r="K37" s="165"/>
      <c r="L37" s="164"/>
      <c r="M37" s="167"/>
      <c r="N37" s="164"/>
      <c r="O37" s="165"/>
      <c r="P37" s="164"/>
    </row>
    <row r="38" spans="1:16" s="135" customFormat="1">
      <c r="A38" s="164"/>
      <c r="B38" s="165"/>
      <c r="C38" s="165"/>
      <c r="D38" s="165"/>
      <c r="E38" s="165"/>
      <c r="F38" s="166"/>
      <c r="G38" s="166"/>
      <c r="H38" s="166"/>
      <c r="I38" s="164"/>
      <c r="J38" s="164"/>
      <c r="K38" s="165"/>
      <c r="L38" s="164"/>
      <c r="M38" s="167"/>
      <c r="N38" s="164"/>
      <c r="O38" s="165"/>
      <c r="P38" s="164"/>
    </row>
    <row r="39" spans="1:16" s="135" customFormat="1">
      <c r="A39" s="164"/>
      <c r="B39" s="165"/>
      <c r="C39" s="165"/>
      <c r="D39" s="165"/>
      <c r="E39" s="165"/>
      <c r="F39" s="166"/>
      <c r="G39" s="166"/>
      <c r="H39" s="166"/>
      <c r="I39" s="164"/>
      <c r="J39" s="164"/>
      <c r="K39" s="165"/>
      <c r="L39" s="164"/>
      <c r="M39" s="167"/>
      <c r="N39" s="164"/>
      <c r="O39" s="165"/>
      <c r="P39" s="164"/>
    </row>
    <row r="40" spans="1:16" s="135" customFormat="1">
      <c r="A40" s="164"/>
      <c r="B40" s="165"/>
      <c r="C40" s="165"/>
      <c r="D40" s="165"/>
      <c r="E40" s="165"/>
      <c r="F40" s="166"/>
      <c r="G40" s="166"/>
      <c r="H40" s="166"/>
      <c r="I40" s="164"/>
      <c r="J40" s="164"/>
      <c r="K40" s="165"/>
      <c r="L40" s="164"/>
      <c r="M40" s="167"/>
      <c r="N40" s="164"/>
      <c r="O40" s="165"/>
      <c r="P40" s="164"/>
    </row>
    <row r="41" spans="1:16" s="135" customFormat="1">
      <c r="A41" s="164"/>
      <c r="B41" s="165"/>
      <c r="C41" s="165"/>
      <c r="D41" s="165"/>
      <c r="E41" s="165"/>
      <c r="F41" s="166"/>
      <c r="G41" s="166"/>
      <c r="H41" s="166"/>
      <c r="I41" s="164"/>
      <c r="J41" s="164"/>
      <c r="K41" s="165"/>
      <c r="L41" s="164"/>
      <c r="M41" s="167"/>
      <c r="N41" s="164"/>
      <c r="O41" s="165"/>
      <c r="P41" s="164"/>
    </row>
    <row r="42" spans="1:16" s="135" customFormat="1">
      <c r="A42" s="164"/>
      <c r="B42" s="165"/>
      <c r="C42" s="165"/>
      <c r="D42" s="165"/>
      <c r="E42" s="165"/>
      <c r="F42" s="166"/>
      <c r="G42" s="166"/>
      <c r="H42" s="166"/>
      <c r="I42" s="164"/>
      <c r="J42" s="164"/>
      <c r="K42" s="165"/>
      <c r="L42" s="164"/>
      <c r="M42" s="167"/>
      <c r="N42" s="164"/>
      <c r="O42" s="165"/>
      <c r="P42" s="164"/>
    </row>
    <row r="43" spans="1:16" s="135" customFormat="1">
      <c r="A43" s="164"/>
      <c r="B43" s="165"/>
      <c r="C43" s="165"/>
      <c r="D43" s="165"/>
      <c r="E43" s="165"/>
      <c r="F43" s="166"/>
      <c r="G43" s="166"/>
      <c r="H43" s="166"/>
      <c r="I43" s="164"/>
      <c r="J43" s="164"/>
      <c r="K43" s="165"/>
      <c r="L43" s="164"/>
      <c r="M43" s="167"/>
      <c r="N43" s="164"/>
      <c r="O43" s="165"/>
      <c r="P43" s="164"/>
    </row>
    <row r="44" spans="1:16" s="135" customFormat="1">
      <c r="A44" s="164"/>
      <c r="B44" s="165"/>
      <c r="C44" s="165"/>
      <c r="D44" s="165"/>
      <c r="E44" s="165"/>
      <c r="F44" s="166"/>
      <c r="G44" s="166"/>
      <c r="H44" s="166"/>
      <c r="I44" s="164"/>
      <c r="J44" s="164"/>
      <c r="K44" s="165"/>
      <c r="L44" s="164"/>
      <c r="M44" s="167"/>
      <c r="N44" s="164"/>
      <c r="O44" s="165"/>
      <c r="P44" s="164"/>
    </row>
    <row r="45" spans="1:16" s="135" customFormat="1">
      <c r="A45" s="164"/>
      <c r="B45" s="165"/>
      <c r="C45" s="165"/>
      <c r="D45" s="165"/>
      <c r="E45" s="165"/>
      <c r="F45" s="166"/>
      <c r="G45" s="166"/>
      <c r="H45" s="166"/>
      <c r="I45" s="164"/>
      <c r="J45" s="164"/>
      <c r="K45" s="165"/>
      <c r="L45" s="164"/>
      <c r="M45" s="167"/>
      <c r="N45" s="164"/>
      <c r="O45" s="165"/>
      <c r="P45" s="164"/>
    </row>
    <row r="46" spans="1:16" s="135" customFormat="1">
      <c r="A46" s="164"/>
      <c r="B46" s="165"/>
      <c r="C46" s="165"/>
      <c r="D46" s="165"/>
      <c r="E46" s="165"/>
      <c r="F46" s="166"/>
      <c r="G46" s="166"/>
      <c r="H46" s="166"/>
      <c r="I46" s="164"/>
      <c r="J46" s="164"/>
      <c r="K46" s="165"/>
      <c r="L46" s="164"/>
      <c r="M46" s="167"/>
      <c r="N46" s="164"/>
      <c r="O46" s="165"/>
      <c r="P46" s="164"/>
    </row>
    <row r="47" spans="1:16" s="135" customFormat="1">
      <c r="A47" s="164"/>
      <c r="B47" s="165"/>
      <c r="C47" s="165"/>
      <c r="D47" s="165"/>
      <c r="E47" s="165"/>
      <c r="F47" s="166"/>
      <c r="G47" s="166"/>
      <c r="H47" s="166"/>
      <c r="I47" s="164"/>
      <c r="J47" s="164"/>
      <c r="K47" s="165"/>
      <c r="L47" s="164"/>
      <c r="M47" s="167"/>
      <c r="N47" s="164"/>
      <c r="O47" s="165"/>
      <c r="P47" s="164"/>
    </row>
    <row r="48" spans="1:16" s="135" customFormat="1">
      <c r="A48" s="164"/>
      <c r="B48" s="165"/>
      <c r="C48" s="165"/>
      <c r="D48" s="165"/>
      <c r="E48" s="165"/>
      <c r="F48" s="166"/>
      <c r="G48" s="166"/>
      <c r="H48" s="166"/>
      <c r="I48" s="164"/>
      <c r="J48" s="164"/>
      <c r="K48" s="165"/>
      <c r="L48" s="164"/>
      <c r="M48" s="167"/>
      <c r="N48" s="164"/>
      <c r="O48" s="165"/>
      <c r="P48" s="164"/>
    </row>
    <row r="49" spans="1:16" s="135" customFormat="1">
      <c r="A49" s="164"/>
      <c r="B49" s="165"/>
      <c r="C49" s="165"/>
      <c r="D49" s="165"/>
      <c r="E49" s="165"/>
      <c r="F49" s="166"/>
      <c r="G49" s="166"/>
      <c r="H49" s="166"/>
      <c r="I49" s="164"/>
      <c r="J49" s="164"/>
      <c r="K49" s="165"/>
      <c r="L49" s="164"/>
      <c r="M49" s="167"/>
      <c r="N49" s="164"/>
      <c r="O49" s="165"/>
      <c r="P49" s="164"/>
    </row>
    <row r="50" spans="1:16" s="135" customFormat="1">
      <c r="A50" s="164"/>
      <c r="B50" s="165"/>
      <c r="C50" s="165"/>
      <c r="D50" s="165"/>
      <c r="E50" s="165"/>
      <c r="F50" s="166"/>
      <c r="G50" s="166"/>
      <c r="H50" s="166"/>
      <c r="I50" s="164"/>
      <c r="J50" s="164"/>
      <c r="K50" s="165"/>
      <c r="L50" s="164"/>
      <c r="M50" s="167"/>
      <c r="N50" s="164"/>
      <c r="O50" s="165"/>
      <c r="P50" s="164"/>
    </row>
    <row r="51" spans="1:16" s="135" customFormat="1">
      <c r="A51" s="164"/>
      <c r="B51" s="165"/>
      <c r="C51" s="165"/>
      <c r="D51" s="165"/>
      <c r="E51" s="165"/>
      <c r="F51" s="166"/>
      <c r="G51" s="166"/>
      <c r="H51" s="166"/>
      <c r="I51" s="164"/>
      <c r="J51" s="164"/>
      <c r="K51" s="165"/>
      <c r="L51" s="164"/>
      <c r="M51" s="167"/>
      <c r="N51" s="164"/>
      <c r="O51" s="165"/>
      <c r="P51" s="164"/>
    </row>
    <row r="52" spans="1:16" s="135" customFormat="1">
      <c r="A52" s="164"/>
      <c r="B52" s="165"/>
      <c r="C52" s="165"/>
      <c r="D52" s="165"/>
      <c r="E52" s="165"/>
      <c r="F52" s="166"/>
      <c r="G52" s="166"/>
      <c r="H52" s="166"/>
      <c r="I52" s="164"/>
      <c r="J52" s="164"/>
      <c r="K52" s="165"/>
      <c r="L52" s="164"/>
      <c r="M52" s="167"/>
      <c r="N52" s="164"/>
      <c r="O52" s="165"/>
      <c r="P52" s="164"/>
    </row>
    <row r="53" spans="1:16" s="135" customFormat="1">
      <c r="A53" s="164"/>
      <c r="B53" s="165"/>
      <c r="C53" s="165"/>
      <c r="D53" s="165"/>
      <c r="E53" s="165"/>
      <c r="F53" s="166"/>
      <c r="G53" s="166"/>
      <c r="H53" s="166"/>
      <c r="I53" s="164"/>
      <c r="J53" s="164"/>
      <c r="K53" s="165"/>
      <c r="L53" s="164"/>
      <c r="M53" s="167"/>
      <c r="N53" s="164"/>
      <c r="O53" s="165"/>
      <c r="P53" s="164"/>
    </row>
    <row r="54" spans="1:16" s="135" customFormat="1">
      <c r="A54" s="164"/>
      <c r="B54" s="165"/>
      <c r="C54" s="165"/>
      <c r="D54" s="165"/>
      <c r="E54" s="165"/>
      <c r="F54" s="166"/>
      <c r="G54" s="166"/>
      <c r="H54" s="166"/>
      <c r="I54" s="164"/>
      <c r="J54" s="164"/>
      <c r="K54" s="165"/>
      <c r="L54" s="164"/>
      <c r="M54" s="167"/>
      <c r="N54" s="164"/>
      <c r="O54" s="165"/>
      <c r="P54" s="164"/>
    </row>
    <row r="55" spans="1:16" s="135" customFormat="1">
      <c r="A55" s="164"/>
      <c r="B55" s="165"/>
      <c r="C55" s="165"/>
      <c r="D55" s="165"/>
      <c r="E55" s="165"/>
      <c r="F55" s="166"/>
      <c r="G55" s="166"/>
      <c r="H55" s="166"/>
      <c r="I55" s="164"/>
      <c r="J55" s="164"/>
      <c r="K55" s="165"/>
      <c r="L55" s="164"/>
      <c r="M55" s="167"/>
      <c r="N55" s="164"/>
      <c r="O55" s="165"/>
      <c r="P55" s="164"/>
    </row>
    <row r="56" spans="1:16" s="135" customFormat="1">
      <c r="A56" s="164"/>
      <c r="B56" s="165"/>
      <c r="C56" s="165"/>
      <c r="D56" s="165"/>
      <c r="E56" s="165"/>
      <c r="F56" s="166"/>
      <c r="G56" s="166"/>
      <c r="H56" s="166"/>
      <c r="I56" s="164"/>
      <c r="J56" s="164"/>
      <c r="K56" s="165"/>
      <c r="L56" s="164"/>
      <c r="M56" s="167"/>
      <c r="N56" s="164"/>
      <c r="O56" s="165"/>
      <c r="P56" s="164"/>
    </row>
    <row r="57" spans="1:16" s="135" customFormat="1">
      <c r="A57" s="164"/>
      <c r="B57" s="165"/>
      <c r="C57" s="165"/>
      <c r="D57" s="165"/>
      <c r="E57" s="165"/>
      <c r="F57" s="166"/>
      <c r="G57" s="166"/>
      <c r="H57" s="166"/>
      <c r="I57" s="164"/>
      <c r="J57" s="164"/>
      <c r="K57" s="165"/>
      <c r="L57" s="164"/>
      <c r="M57" s="167"/>
      <c r="N57" s="164"/>
      <c r="O57" s="165"/>
      <c r="P57" s="164"/>
    </row>
    <row r="58" spans="1:16" s="135" customFormat="1">
      <c r="A58" s="164"/>
      <c r="B58" s="165"/>
      <c r="C58" s="165"/>
      <c r="D58" s="165"/>
      <c r="E58" s="165"/>
      <c r="F58" s="166"/>
      <c r="G58" s="166"/>
      <c r="H58" s="166"/>
      <c r="I58" s="164"/>
      <c r="J58" s="164"/>
      <c r="K58" s="165"/>
      <c r="L58" s="164"/>
      <c r="M58" s="167"/>
      <c r="N58" s="164"/>
      <c r="O58" s="165"/>
      <c r="P58" s="164"/>
    </row>
    <row r="59" spans="1:16" s="135" customFormat="1">
      <c r="A59" s="164"/>
      <c r="B59" s="165"/>
      <c r="C59" s="165"/>
      <c r="D59" s="165"/>
      <c r="E59" s="165"/>
      <c r="F59" s="166"/>
      <c r="G59" s="166"/>
      <c r="H59" s="166"/>
      <c r="I59" s="164"/>
      <c r="J59" s="164"/>
      <c r="K59" s="165"/>
      <c r="L59" s="164"/>
      <c r="M59" s="167"/>
      <c r="N59" s="164"/>
      <c r="O59" s="165"/>
      <c r="P59" s="164"/>
    </row>
    <row r="60" spans="1:16" s="135" customFormat="1">
      <c r="A60" s="164"/>
      <c r="B60" s="165"/>
      <c r="C60" s="165"/>
      <c r="D60" s="165"/>
      <c r="E60" s="165"/>
      <c r="F60" s="166"/>
      <c r="G60" s="166"/>
      <c r="H60" s="166"/>
      <c r="I60" s="164"/>
      <c r="J60" s="164"/>
      <c r="K60" s="165"/>
      <c r="L60" s="164"/>
      <c r="M60" s="167"/>
      <c r="N60" s="164"/>
      <c r="O60" s="165"/>
      <c r="P60" s="164"/>
    </row>
    <row r="61" spans="1:16" s="135" customFormat="1">
      <c r="A61" s="164"/>
      <c r="B61" s="165"/>
      <c r="C61" s="165"/>
      <c r="D61" s="165"/>
      <c r="E61" s="165"/>
      <c r="F61" s="166"/>
      <c r="G61" s="166"/>
      <c r="H61" s="166"/>
      <c r="I61" s="164"/>
      <c r="J61" s="164"/>
      <c r="K61" s="165"/>
      <c r="L61" s="164"/>
      <c r="M61" s="167"/>
      <c r="N61" s="164"/>
      <c r="O61" s="165"/>
      <c r="P61" s="164"/>
    </row>
    <row r="62" spans="1:16" s="135" customFormat="1">
      <c r="A62" s="164"/>
      <c r="B62" s="165"/>
      <c r="C62" s="165"/>
      <c r="D62" s="165"/>
      <c r="E62" s="165"/>
      <c r="F62" s="166"/>
      <c r="G62" s="166"/>
      <c r="H62" s="166"/>
      <c r="I62" s="164"/>
      <c r="J62" s="164"/>
      <c r="K62" s="165"/>
      <c r="L62" s="164"/>
      <c r="M62" s="167"/>
      <c r="N62" s="164"/>
      <c r="O62" s="165"/>
      <c r="P62" s="164"/>
    </row>
    <row r="63" spans="1:16" s="135" customFormat="1">
      <c r="A63" s="164"/>
      <c r="B63" s="165"/>
      <c r="C63" s="165"/>
      <c r="D63" s="165"/>
      <c r="E63" s="165"/>
      <c r="F63" s="166"/>
      <c r="G63" s="166"/>
      <c r="H63" s="166"/>
      <c r="I63" s="164"/>
      <c r="J63" s="164"/>
      <c r="K63" s="165"/>
      <c r="L63" s="164"/>
      <c r="M63" s="167"/>
      <c r="N63" s="164"/>
      <c r="O63" s="165"/>
      <c r="P63" s="164"/>
    </row>
    <row r="64" spans="1:16" s="135" customFormat="1">
      <c r="A64" s="164"/>
      <c r="B64" s="165"/>
      <c r="C64" s="165"/>
      <c r="D64" s="165"/>
      <c r="E64" s="165"/>
      <c r="F64" s="166"/>
      <c r="G64" s="166"/>
      <c r="H64" s="166"/>
      <c r="I64" s="164"/>
      <c r="J64" s="164"/>
      <c r="K64" s="165"/>
      <c r="L64" s="164"/>
      <c r="M64" s="167"/>
      <c r="N64" s="164"/>
      <c r="O64" s="165"/>
      <c r="P64" s="164"/>
    </row>
    <row r="65" spans="1:16" s="135" customFormat="1">
      <c r="A65" s="164"/>
      <c r="B65" s="165"/>
      <c r="C65" s="165"/>
      <c r="D65" s="165"/>
      <c r="E65" s="165"/>
      <c r="F65" s="166"/>
      <c r="G65" s="166"/>
      <c r="H65" s="166"/>
      <c r="I65" s="164"/>
      <c r="J65" s="164"/>
      <c r="K65" s="165"/>
      <c r="L65" s="164"/>
      <c r="M65" s="167"/>
      <c r="N65" s="164"/>
      <c r="O65" s="165"/>
      <c r="P65" s="164"/>
    </row>
    <row r="66" spans="1:16" s="135" customFormat="1">
      <c r="A66" s="164"/>
      <c r="B66" s="165"/>
      <c r="C66" s="165"/>
      <c r="D66" s="165"/>
      <c r="E66" s="165"/>
      <c r="F66" s="166"/>
      <c r="G66" s="166"/>
      <c r="H66" s="166"/>
      <c r="I66" s="164"/>
      <c r="J66" s="164"/>
      <c r="K66" s="165"/>
      <c r="L66" s="164"/>
      <c r="M66" s="167"/>
      <c r="N66" s="164"/>
      <c r="O66" s="165"/>
      <c r="P66" s="164"/>
    </row>
    <row r="67" spans="1:16" s="135" customFormat="1">
      <c r="A67" s="164"/>
      <c r="B67" s="165"/>
      <c r="C67" s="165"/>
      <c r="D67" s="165"/>
      <c r="E67" s="165"/>
      <c r="F67" s="166"/>
      <c r="G67" s="166"/>
      <c r="H67" s="166"/>
      <c r="I67" s="164"/>
      <c r="J67" s="164"/>
      <c r="K67" s="165"/>
      <c r="L67" s="164"/>
      <c r="M67" s="167"/>
      <c r="N67" s="164"/>
      <c r="O67" s="165"/>
      <c r="P67" s="164"/>
    </row>
    <row r="68" spans="1:16" s="135" customFormat="1">
      <c r="A68" s="164"/>
      <c r="B68" s="165"/>
      <c r="C68" s="165"/>
      <c r="D68" s="165"/>
      <c r="E68" s="165"/>
      <c r="F68" s="166"/>
      <c r="G68" s="166"/>
      <c r="H68" s="166"/>
      <c r="I68" s="164"/>
      <c r="J68" s="164"/>
      <c r="K68" s="165"/>
      <c r="L68" s="164"/>
      <c r="M68" s="167"/>
      <c r="N68" s="164"/>
      <c r="O68" s="165"/>
      <c r="P68" s="164"/>
    </row>
    <row r="69" spans="1:16" s="135" customFormat="1">
      <c r="A69" s="164"/>
      <c r="B69" s="165"/>
      <c r="C69" s="165"/>
      <c r="D69" s="165"/>
      <c r="E69" s="165"/>
      <c r="F69" s="166"/>
      <c r="G69" s="166"/>
      <c r="H69" s="166"/>
      <c r="I69" s="164"/>
      <c r="J69" s="164"/>
      <c r="K69" s="165"/>
      <c r="L69" s="164"/>
      <c r="M69" s="167"/>
      <c r="N69" s="164"/>
      <c r="O69" s="165"/>
      <c r="P69" s="164"/>
    </row>
    <row r="70" spans="1:16" s="135" customFormat="1">
      <c r="A70" s="164"/>
      <c r="B70" s="165"/>
      <c r="C70" s="165"/>
      <c r="D70" s="165"/>
      <c r="E70" s="165"/>
      <c r="F70" s="166"/>
      <c r="G70" s="166"/>
      <c r="H70" s="166"/>
      <c r="I70" s="164"/>
      <c r="J70" s="164"/>
      <c r="K70" s="165"/>
      <c r="L70" s="164"/>
      <c r="M70" s="167"/>
      <c r="N70" s="164"/>
      <c r="O70" s="165"/>
      <c r="P70" s="164"/>
    </row>
    <row r="71" spans="1:16" s="135" customFormat="1">
      <c r="A71" s="164"/>
      <c r="B71" s="165"/>
      <c r="C71" s="165"/>
      <c r="D71" s="165"/>
      <c r="E71" s="165"/>
      <c r="F71" s="166"/>
      <c r="G71" s="166"/>
      <c r="H71" s="166"/>
      <c r="I71" s="164"/>
      <c r="J71" s="164"/>
      <c r="K71" s="165"/>
      <c r="L71" s="164"/>
      <c r="M71" s="167"/>
      <c r="N71" s="164"/>
      <c r="O71" s="165"/>
      <c r="P71" s="164"/>
    </row>
    <row r="72" spans="1:16" s="135" customFormat="1">
      <c r="A72" s="164"/>
      <c r="B72" s="165"/>
      <c r="C72" s="165"/>
      <c r="D72" s="165"/>
      <c r="E72" s="165"/>
      <c r="F72" s="166"/>
      <c r="G72" s="166"/>
      <c r="H72" s="166"/>
      <c r="I72" s="164"/>
      <c r="J72" s="164"/>
      <c r="K72" s="165"/>
      <c r="L72" s="164"/>
      <c r="M72" s="167"/>
      <c r="N72" s="164"/>
      <c r="O72" s="165"/>
      <c r="P72" s="164"/>
    </row>
    <row r="73" spans="1:16" s="135" customFormat="1">
      <c r="A73" s="164"/>
      <c r="B73" s="165"/>
      <c r="C73" s="165"/>
      <c r="D73" s="165"/>
      <c r="E73" s="165"/>
      <c r="F73" s="166"/>
      <c r="G73" s="166"/>
      <c r="H73" s="166"/>
      <c r="I73" s="164"/>
      <c r="J73" s="164"/>
      <c r="K73" s="165"/>
      <c r="L73" s="164"/>
      <c r="M73" s="167"/>
      <c r="N73" s="164"/>
      <c r="O73" s="165"/>
      <c r="P73" s="164"/>
    </row>
    <row r="74" spans="1:16" s="135" customFormat="1">
      <c r="A74" s="164"/>
      <c r="B74" s="165"/>
      <c r="C74" s="165"/>
      <c r="D74" s="165"/>
      <c r="E74" s="165"/>
      <c r="F74" s="166"/>
      <c r="G74" s="166"/>
      <c r="H74" s="166"/>
      <c r="I74" s="164"/>
      <c r="J74" s="164"/>
      <c r="K74" s="165"/>
      <c r="L74" s="164"/>
      <c r="M74" s="167"/>
      <c r="N74" s="164"/>
      <c r="O74" s="165"/>
      <c r="P74" s="164"/>
    </row>
    <row r="75" spans="1:16" s="135" customFormat="1">
      <c r="A75" s="164"/>
      <c r="B75" s="165"/>
      <c r="C75" s="165"/>
      <c r="D75" s="165"/>
      <c r="E75" s="165"/>
      <c r="F75" s="166"/>
      <c r="G75" s="166"/>
      <c r="H75" s="166"/>
      <c r="I75" s="164"/>
      <c r="J75" s="164"/>
      <c r="K75" s="165"/>
      <c r="L75" s="164"/>
      <c r="M75" s="167"/>
      <c r="N75" s="164"/>
      <c r="O75" s="165"/>
      <c r="P75" s="164"/>
    </row>
    <row r="76" spans="1:16" s="135" customFormat="1">
      <c r="A76" s="164"/>
      <c r="B76" s="165"/>
      <c r="C76" s="165"/>
      <c r="D76" s="165"/>
      <c r="E76" s="165"/>
      <c r="F76" s="166"/>
      <c r="G76" s="166"/>
      <c r="H76" s="166"/>
      <c r="I76" s="164"/>
      <c r="J76" s="164"/>
      <c r="K76" s="165"/>
      <c r="L76" s="164"/>
      <c r="M76" s="167"/>
      <c r="N76" s="164"/>
      <c r="O76" s="165"/>
      <c r="P76" s="164"/>
    </row>
    <row r="77" spans="1:16" s="135" customFormat="1">
      <c r="A77" s="164"/>
      <c r="B77" s="165"/>
      <c r="C77" s="165"/>
      <c r="D77" s="165"/>
      <c r="E77" s="165"/>
      <c r="F77" s="166"/>
      <c r="G77" s="166"/>
      <c r="H77" s="166"/>
      <c r="I77" s="164"/>
      <c r="J77" s="164"/>
      <c r="K77" s="165"/>
      <c r="L77" s="164"/>
      <c r="M77" s="167"/>
      <c r="N77" s="164"/>
      <c r="O77" s="165"/>
      <c r="P77" s="164"/>
    </row>
    <row r="78" spans="1:16" s="135" customFormat="1">
      <c r="A78" s="164"/>
      <c r="B78" s="165"/>
      <c r="C78" s="165"/>
      <c r="D78" s="165"/>
      <c r="E78" s="165"/>
      <c r="F78" s="166"/>
      <c r="G78" s="166"/>
      <c r="H78" s="166"/>
      <c r="I78" s="164"/>
      <c r="J78" s="164"/>
      <c r="K78" s="165"/>
      <c r="L78" s="164"/>
      <c r="M78" s="167"/>
      <c r="N78" s="164"/>
      <c r="O78" s="165"/>
      <c r="P78" s="164"/>
    </row>
    <row r="79" spans="1:16" s="135" customFormat="1">
      <c r="A79" s="164"/>
      <c r="B79" s="165"/>
      <c r="C79" s="165"/>
      <c r="D79" s="165"/>
      <c r="E79" s="165"/>
      <c r="F79" s="166"/>
      <c r="G79" s="166"/>
      <c r="H79" s="166"/>
      <c r="I79" s="164"/>
      <c r="J79" s="164"/>
      <c r="K79" s="165"/>
      <c r="L79" s="164"/>
      <c r="M79" s="167"/>
      <c r="N79" s="164"/>
      <c r="O79" s="165"/>
      <c r="P79" s="164"/>
    </row>
    <row r="80" spans="1:16" s="135" customFormat="1">
      <c r="A80" s="164"/>
      <c r="B80" s="165"/>
      <c r="C80" s="165"/>
      <c r="D80" s="165"/>
      <c r="E80" s="165"/>
      <c r="F80" s="166"/>
      <c r="G80" s="166"/>
      <c r="H80" s="166"/>
      <c r="I80" s="164"/>
      <c r="J80" s="164"/>
      <c r="K80" s="165"/>
      <c r="L80" s="164"/>
      <c r="M80" s="167"/>
      <c r="N80" s="164"/>
      <c r="O80" s="165"/>
      <c r="P80" s="164"/>
    </row>
    <row r="81" spans="1:16" s="135" customFormat="1">
      <c r="A81" s="164"/>
      <c r="B81" s="165"/>
      <c r="C81" s="165"/>
      <c r="D81" s="165"/>
      <c r="E81" s="165"/>
      <c r="F81" s="166"/>
      <c r="G81" s="166"/>
      <c r="H81" s="166"/>
      <c r="I81" s="164"/>
      <c r="J81" s="164"/>
      <c r="K81" s="165"/>
      <c r="L81" s="164"/>
      <c r="M81" s="167"/>
      <c r="N81" s="164"/>
      <c r="O81" s="165"/>
      <c r="P81" s="164"/>
    </row>
    <row r="82" spans="1:16" s="135" customFormat="1">
      <c r="A82" s="164"/>
      <c r="B82" s="165"/>
      <c r="C82" s="165"/>
      <c r="D82" s="165"/>
      <c r="E82" s="165"/>
      <c r="F82" s="166"/>
      <c r="G82" s="166"/>
      <c r="H82" s="166"/>
      <c r="I82" s="164"/>
      <c r="J82" s="164"/>
      <c r="K82" s="165"/>
      <c r="L82" s="164"/>
      <c r="M82" s="167"/>
      <c r="N82" s="164"/>
      <c r="O82" s="165"/>
      <c r="P82" s="164"/>
    </row>
    <row r="83" spans="1:16" s="135" customFormat="1">
      <c r="A83" s="164"/>
      <c r="B83" s="165"/>
      <c r="C83" s="165"/>
      <c r="D83" s="165"/>
      <c r="E83" s="165"/>
      <c r="F83" s="166"/>
      <c r="G83" s="166"/>
      <c r="H83" s="166"/>
      <c r="I83" s="164"/>
      <c r="J83" s="164"/>
      <c r="K83" s="165"/>
      <c r="L83" s="164"/>
      <c r="M83" s="167"/>
      <c r="N83" s="164"/>
      <c r="O83" s="165"/>
      <c r="P83" s="164"/>
    </row>
    <row r="84" spans="1:16" s="135" customFormat="1">
      <c r="A84" s="164"/>
      <c r="B84" s="165"/>
      <c r="C84" s="165"/>
      <c r="D84" s="165"/>
      <c r="E84" s="165"/>
      <c r="F84" s="166"/>
      <c r="G84" s="166"/>
      <c r="H84" s="166"/>
      <c r="I84" s="164"/>
      <c r="J84" s="164"/>
      <c r="K84" s="165"/>
      <c r="L84" s="164"/>
      <c r="M84" s="167"/>
      <c r="N84" s="164"/>
      <c r="O84" s="165"/>
      <c r="P84" s="164"/>
    </row>
    <row r="85" spans="1:16" s="135" customFormat="1">
      <c r="A85" s="164"/>
      <c r="B85" s="165"/>
      <c r="C85" s="165"/>
      <c r="D85" s="165"/>
      <c r="E85" s="165"/>
      <c r="F85" s="166"/>
      <c r="G85" s="166"/>
      <c r="H85" s="166"/>
      <c r="I85" s="164"/>
      <c r="J85" s="164"/>
      <c r="K85" s="165"/>
      <c r="L85" s="164"/>
      <c r="M85" s="167"/>
      <c r="N85" s="164"/>
      <c r="O85" s="165"/>
      <c r="P85" s="164"/>
    </row>
    <row r="86" spans="1:16" s="135" customFormat="1">
      <c r="A86" s="164"/>
      <c r="B86" s="165"/>
      <c r="C86" s="165"/>
      <c r="D86" s="165"/>
      <c r="E86" s="165"/>
      <c r="F86" s="166"/>
      <c r="G86" s="166"/>
      <c r="H86" s="166"/>
      <c r="I86" s="164"/>
      <c r="J86" s="164"/>
      <c r="K86" s="165"/>
      <c r="L86" s="164"/>
      <c r="M86" s="167"/>
      <c r="N86" s="164"/>
      <c r="O86" s="165"/>
      <c r="P86" s="164"/>
    </row>
    <row r="87" spans="1:16" s="135" customFormat="1">
      <c r="A87" s="164"/>
      <c r="B87" s="165"/>
      <c r="C87" s="165"/>
      <c r="D87" s="165"/>
      <c r="E87" s="165"/>
      <c r="F87" s="166"/>
      <c r="G87" s="166"/>
      <c r="H87" s="166"/>
      <c r="I87" s="164"/>
      <c r="J87" s="164"/>
      <c r="K87" s="165"/>
      <c r="L87" s="164"/>
      <c r="M87" s="167"/>
      <c r="N87" s="164"/>
      <c r="O87" s="165"/>
      <c r="P87" s="164"/>
    </row>
    <row r="88" spans="1:16" s="135" customFormat="1">
      <c r="A88" s="164"/>
      <c r="B88" s="165"/>
      <c r="C88" s="165"/>
      <c r="D88" s="165"/>
      <c r="E88" s="165"/>
      <c r="F88" s="166"/>
      <c r="G88" s="166"/>
      <c r="H88" s="166"/>
      <c r="I88" s="164"/>
      <c r="J88" s="164"/>
      <c r="K88" s="165"/>
      <c r="L88" s="164"/>
      <c r="M88" s="167"/>
      <c r="N88" s="164"/>
      <c r="O88" s="165"/>
      <c r="P88" s="164"/>
    </row>
    <row r="89" spans="1:16" s="135" customFormat="1">
      <c r="A89" s="164"/>
      <c r="B89" s="165"/>
      <c r="C89" s="165"/>
      <c r="D89" s="165"/>
      <c r="E89" s="165"/>
      <c r="F89" s="166"/>
      <c r="G89" s="166"/>
      <c r="H89" s="166"/>
      <c r="I89" s="164"/>
      <c r="J89" s="164"/>
      <c r="K89" s="165"/>
      <c r="L89" s="164"/>
      <c r="M89" s="167"/>
      <c r="N89" s="164"/>
      <c r="O89" s="165"/>
      <c r="P89" s="164"/>
    </row>
    <row r="90" spans="1:16" s="135" customFormat="1">
      <c r="A90" s="164"/>
      <c r="B90" s="165"/>
      <c r="C90" s="165"/>
      <c r="D90" s="165"/>
      <c r="E90" s="165"/>
      <c r="F90" s="166"/>
      <c r="G90" s="166"/>
      <c r="H90" s="166"/>
      <c r="I90" s="164"/>
      <c r="J90" s="164"/>
      <c r="K90" s="165"/>
      <c r="L90" s="164"/>
      <c r="M90" s="167"/>
      <c r="N90" s="164"/>
      <c r="O90" s="165"/>
      <c r="P90" s="164"/>
    </row>
    <row r="91" spans="1:16" s="135" customFormat="1">
      <c r="A91" s="164"/>
      <c r="B91" s="165"/>
      <c r="C91" s="165"/>
      <c r="D91" s="165"/>
      <c r="E91" s="165"/>
      <c r="F91" s="166"/>
      <c r="G91" s="166"/>
      <c r="H91" s="166"/>
      <c r="I91" s="164"/>
      <c r="J91" s="164"/>
      <c r="K91" s="165"/>
      <c r="L91" s="164"/>
      <c r="M91" s="167"/>
      <c r="N91" s="164"/>
      <c r="O91" s="165"/>
      <c r="P91" s="164"/>
    </row>
    <row r="92" spans="1:16" s="135" customFormat="1">
      <c r="A92" s="164"/>
      <c r="B92" s="165"/>
      <c r="C92" s="165"/>
      <c r="D92" s="165"/>
      <c r="E92" s="165"/>
      <c r="F92" s="166"/>
      <c r="G92" s="166"/>
      <c r="H92" s="166"/>
      <c r="I92" s="164"/>
      <c r="J92" s="164"/>
      <c r="K92" s="165"/>
      <c r="L92" s="164"/>
      <c r="M92" s="167"/>
      <c r="N92" s="164"/>
      <c r="O92" s="165"/>
      <c r="P92" s="164"/>
    </row>
    <row r="93" spans="1:16" s="135" customFormat="1">
      <c r="A93" s="164"/>
      <c r="B93" s="165"/>
      <c r="C93" s="165"/>
      <c r="D93" s="165"/>
      <c r="E93" s="165"/>
      <c r="F93" s="166"/>
      <c r="G93" s="166"/>
      <c r="H93" s="166"/>
      <c r="I93" s="164"/>
      <c r="J93" s="164"/>
      <c r="K93" s="165"/>
      <c r="L93" s="164"/>
      <c r="M93" s="167"/>
      <c r="N93" s="164"/>
      <c r="O93" s="165"/>
      <c r="P93" s="164"/>
    </row>
    <row r="94" spans="1:16" s="135" customFormat="1">
      <c r="A94" s="164"/>
      <c r="B94" s="165"/>
      <c r="C94" s="165"/>
      <c r="D94" s="165"/>
      <c r="E94" s="165"/>
      <c r="F94" s="166"/>
      <c r="G94" s="166"/>
      <c r="H94" s="166"/>
      <c r="I94" s="164"/>
      <c r="J94" s="164"/>
      <c r="K94" s="165"/>
      <c r="L94" s="164"/>
      <c r="M94" s="167"/>
      <c r="N94" s="164"/>
      <c r="O94" s="165"/>
      <c r="P94" s="164"/>
    </row>
    <row r="95" spans="1:16" s="135" customFormat="1">
      <c r="A95" s="164"/>
      <c r="B95" s="165"/>
      <c r="C95" s="165"/>
      <c r="D95" s="165"/>
      <c r="E95" s="165"/>
      <c r="F95" s="166"/>
      <c r="G95" s="166"/>
      <c r="H95" s="166"/>
      <c r="I95" s="164"/>
      <c r="J95" s="164"/>
      <c r="K95" s="165"/>
      <c r="L95" s="164"/>
      <c r="M95" s="167"/>
      <c r="N95" s="164"/>
      <c r="O95" s="165"/>
      <c r="P95" s="164"/>
    </row>
    <row r="96" spans="1:16" s="135" customFormat="1">
      <c r="A96" s="164"/>
      <c r="B96" s="165"/>
      <c r="C96" s="165"/>
      <c r="D96" s="165"/>
      <c r="E96" s="165"/>
      <c r="F96" s="166"/>
      <c r="G96" s="166"/>
      <c r="H96" s="166"/>
      <c r="I96" s="164"/>
      <c r="J96" s="164"/>
      <c r="K96" s="165"/>
      <c r="L96" s="164"/>
      <c r="M96" s="167"/>
      <c r="N96" s="164"/>
      <c r="O96" s="165"/>
      <c r="P96" s="164"/>
    </row>
    <row r="97" spans="1:16" s="135" customFormat="1">
      <c r="A97" s="164"/>
      <c r="B97" s="165"/>
      <c r="C97" s="165"/>
      <c r="D97" s="165"/>
      <c r="E97" s="165"/>
      <c r="F97" s="166"/>
      <c r="G97" s="166"/>
      <c r="H97" s="166"/>
      <c r="I97" s="164"/>
      <c r="J97" s="164"/>
      <c r="K97" s="165"/>
      <c r="L97" s="164"/>
      <c r="M97" s="167"/>
      <c r="N97" s="164"/>
      <c r="O97" s="165"/>
      <c r="P97" s="164"/>
    </row>
    <row r="98" spans="1:16" s="135" customFormat="1">
      <c r="A98" s="164"/>
      <c r="B98" s="165"/>
      <c r="C98" s="165"/>
      <c r="D98" s="165"/>
      <c r="E98" s="165"/>
      <c r="F98" s="166"/>
      <c r="G98" s="166"/>
      <c r="H98" s="166"/>
      <c r="I98" s="164"/>
      <c r="J98" s="164"/>
      <c r="K98" s="165"/>
      <c r="L98" s="164"/>
      <c r="M98" s="167"/>
      <c r="N98" s="164"/>
      <c r="O98" s="165"/>
      <c r="P98" s="164"/>
    </row>
    <row r="99" spans="1:16" s="135" customFormat="1">
      <c r="A99" s="164"/>
      <c r="B99" s="165"/>
      <c r="C99" s="165"/>
      <c r="D99" s="165"/>
      <c r="E99" s="165"/>
      <c r="F99" s="166"/>
      <c r="G99" s="166"/>
      <c r="H99" s="166"/>
      <c r="I99" s="164"/>
      <c r="J99" s="164"/>
      <c r="K99" s="165"/>
      <c r="L99" s="164"/>
      <c r="M99" s="167"/>
      <c r="N99" s="164"/>
      <c r="O99" s="165"/>
      <c r="P99" s="164"/>
    </row>
    <row r="100" spans="1:16" s="135" customFormat="1">
      <c r="A100" s="164"/>
      <c r="B100" s="165"/>
      <c r="C100" s="165"/>
      <c r="D100" s="165"/>
      <c r="E100" s="165"/>
      <c r="F100" s="166"/>
      <c r="G100" s="166"/>
      <c r="H100" s="166"/>
      <c r="I100" s="164"/>
      <c r="J100" s="164"/>
      <c r="K100" s="165"/>
      <c r="L100" s="164"/>
      <c r="M100" s="167"/>
      <c r="N100" s="164"/>
      <c r="O100" s="165"/>
      <c r="P100" s="164"/>
    </row>
    <row r="101" spans="1:16" s="135" customFormat="1">
      <c r="A101" s="164"/>
      <c r="B101" s="165"/>
      <c r="C101" s="165"/>
      <c r="D101" s="165"/>
      <c r="E101" s="165"/>
      <c r="F101" s="166"/>
      <c r="G101" s="166"/>
      <c r="H101" s="166"/>
      <c r="I101" s="164"/>
      <c r="J101" s="164"/>
      <c r="K101" s="165"/>
      <c r="L101" s="164"/>
      <c r="M101" s="167"/>
      <c r="N101" s="164"/>
      <c r="O101" s="165"/>
      <c r="P101" s="164"/>
    </row>
    <row r="102" spans="1:16" s="135" customFormat="1">
      <c r="A102" s="164"/>
      <c r="B102" s="165"/>
      <c r="C102" s="165"/>
      <c r="D102" s="165"/>
      <c r="E102" s="165"/>
      <c r="F102" s="166"/>
      <c r="G102" s="166"/>
      <c r="H102" s="166"/>
      <c r="I102" s="164"/>
      <c r="J102" s="164"/>
      <c r="K102" s="165"/>
      <c r="L102" s="164"/>
      <c r="M102" s="167"/>
      <c r="N102" s="164"/>
      <c r="O102" s="165"/>
      <c r="P102" s="164"/>
    </row>
    <row r="103" spans="1:16" s="135" customFormat="1">
      <c r="A103" s="164"/>
      <c r="B103" s="165"/>
      <c r="C103" s="165"/>
      <c r="D103" s="165"/>
      <c r="E103" s="165"/>
      <c r="F103" s="166"/>
      <c r="G103" s="166"/>
      <c r="H103" s="166"/>
      <c r="I103" s="164"/>
      <c r="J103" s="164"/>
      <c r="K103" s="165"/>
      <c r="L103" s="164"/>
      <c r="M103" s="167"/>
      <c r="N103" s="164"/>
      <c r="O103" s="165"/>
      <c r="P103" s="164"/>
    </row>
    <row r="104" spans="1:16" s="135" customFormat="1">
      <c r="A104" s="164"/>
      <c r="B104" s="165"/>
      <c r="C104" s="165"/>
      <c r="D104" s="165"/>
      <c r="E104" s="165"/>
      <c r="F104" s="166"/>
      <c r="G104" s="166"/>
      <c r="H104" s="166"/>
      <c r="I104" s="164"/>
      <c r="J104" s="164"/>
      <c r="K104" s="165"/>
      <c r="L104" s="164"/>
      <c r="M104" s="167"/>
      <c r="N104" s="164"/>
      <c r="O104" s="165"/>
      <c r="P104" s="164"/>
    </row>
    <row r="105" spans="1:16" s="135" customFormat="1">
      <c r="A105" s="164"/>
      <c r="B105" s="165"/>
      <c r="C105" s="165"/>
      <c r="D105" s="165"/>
      <c r="E105" s="165"/>
      <c r="F105" s="166"/>
      <c r="G105" s="166"/>
      <c r="H105" s="166"/>
      <c r="I105" s="164"/>
      <c r="J105" s="164"/>
      <c r="K105" s="165"/>
      <c r="L105" s="164"/>
      <c r="M105" s="167"/>
      <c r="N105" s="164"/>
      <c r="O105" s="165"/>
      <c r="P105" s="164"/>
    </row>
    <row r="106" spans="1:16" s="135" customFormat="1">
      <c r="A106" s="164"/>
      <c r="B106" s="165"/>
      <c r="C106" s="165"/>
      <c r="D106" s="165"/>
      <c r="E106" s="165"/>
      <c r="F106" s="166"/>
      <c r="G106" s="166"/>
      <c r="H106" s="166"/>
      <c r="I106" s="164"/>
      <c r="J106" s="164"/>
      <c r="K106" s="165"/>
      <c r="L106" s="164"/>
      <c r="M106" s="167"/>
      <c r="N106" s="164"/>
      <c r="O106" s="165"/>
      <c r="P106" s="164"/>
    </row>
    <row r="107" spans="1:16" s="135" customFormat="1">
      <c r="A107" s="164"/>
      <c r="B107" s="165"/>
      <c r="C107" s="165"/>
      <c r="D107" s="165"/>
      <c r="E107" s="165"/>
      <c r="F107" s="166"/>
      <c r="G107" s="166"/>
      <c r="H107" s="166"/>
      <c r="I107" s="164"/>
      <c r="J107" s="164"/>
      <c r="K107" s="165"/>
      <c r="L107" s="164"/>
      <c r="M107" s="167"/>
      <c r="N107" s="164"/>
      <c r="O107" s="165"/>
      <c r="P107" s="164"/>
    </row>
    <row r="108" spans="1:16" s="135" customFormat="1">
      <c r="A108" s="164"/>
      <c r="B108" s="165"/>
      <c r="C108" s="165"/>
      <c r="D108" s="165"/>
      <c r="E108" s="165"/>
      <c r="F108" s="166"/>
      <c r="G108" s="166"/>
      <c r="H108" s="166"/>
      <c r="I108" s="164"/>
      <c r="J108" s="164"/>
      <c r="K108" s="165"/>
      <c r="L108" s="164"/>
      <c r="M108" s="167"/>
      <c r="N108" s="164"/>
      <c r="O108" s="165"/>
      <c r="P108" s="164"/>
    </row>
    <row r="109" spans="1:16" s="135" customFormat="1">
      <c r="A109" s="164"/>
      <c r="B109" s="165"/>
      <c r="C109" s="165"/>
      <c r="D109" s="165"/>
      <c r="E109" s="165"/>
      <c r="F109" s="166"/>
      <c r="G109" s="166"/>
      <c r="H109" s="166"/>
      <c r="I109" s="164"/>
      <c r="J109" s="164"/>
      <c r="K109" s="165"/>
      <c r="L109" s="164"/>
      <c r="M109" s="167"/>
      <c r="N109" s="164"/>
      <c r="O109" s="165"/>
      <c r="P109" s="164"/>
    </row>
    <row r="110" spans="1:16" s="135" customFormat="1">
      <c r="A110" s="164"/>
      <c r="B110" s="165"/>
      <c r="C110" s="165"/>
      <c r="D110" s="165"/>
      <c r="E110" s="165"/>
      <c r="F110" s="166"/>
      <c r="G110" s="166"/>
      <c r="H110" s="166"/>
      <c r="I110" s="164"/>
      <c r="J110" s="164"/>
      <c r="K110" s="165"/>
      <c r="L110" s="164"/>
      <c r="M110" s="167"/>
      <c r="N110" s="164"/>
      <c r="O110" s="165"/>
      <c r="P110" s="164"/>
    </row>
    <row r="111" spans="1:16" s="135" customFormat="1">
      <c r="A111" s="164"/>
      <c r="B111" s="165"/>
      <c r="C111" s="165"/>
      <c r="D111" s="165"/>
      <c r="E111" s="165"/>
      <c r="F111" s="166"/>
      <c r="G111" s="166"/>
      <c r="H111" s="166"/>
      <c r="I111" s="164"/>
      <c r="J111" s="164"/>
      <c r="K111" s="165"/>
      <c r="L111" s="164"/>
      <c r="M111" s="167"/>
      <c r="N111" s="164"/>
      <c r="O111" s="165"/>
      <c r="P111" s="164"/>
    </row>
    <row r="112" spans="1:16" s="135" customFormat="1">
      <c r="A112" s="164"/>
      <c r="B112" s="165"/>
      <c r="C112" s="165"/>
      <c r="D112" s="165"/>
      <c r="E112" s="165"/>
      <c r="F112" s="166"/>
      <c r="G112" s="166"/>
      <c r="H112" s="166"/>
      <c r="I112" s="164"/>
      <c r="J112" s="164"/>
      <c r="K112" s="165"/>
      <c r="L112" s="164"/>
      <c r="M112" s="167"/>
      <c r="N112" s="164"/>
      <c r="O112" s="165"/>
      <c r="P112" s="164"/>
    </row>
    <row r="113" spans="1:16" s="135" customFormat="1">
      <c r="A113" s="164"/>
      <c r="B113" s="165"/>
      <c r="C113" s="165"/>
      <c r="D113" s="165"/>
      <c r="E113" s="165"/>
      <c r="F113" s="166"/>
      <c r="G113" s="166"/>
      <c r="H113" s="166"/>
      <c r="I113" s="164"/>
      <c r="J113" s="164"/>
      <c r="K113" s="165"/>
      <c r="L113" s="164"/>
      <c r="M113" s="167"/>
      <c r="N113" s="164"/>
      <c r="O113" s="165"/>
      <c r="P113" s="164"/>
    </row>
    <row r="114" spans="1:16" s="135" customFormat="1">
      <c r="A114" s="164"/>
      <c r="B114" s="165"/>
      <c r="C114" s="165"/>
      <c r="D114" s="165"/>
      <c r="E114" s="165"/>
      <c r="F114" s="166"/>
      <c r="G114" s="166"/>
      <c r="H114" s="166"/>
      <c r="I114" s="164"/>
      <c r="J114" s="164"/>
      <c r="K114" s="165"/>
      <c r="L114" s="164"/>
      <c r="M114" s="167"/>
      <c r="N114" s="164"/>
      <c r="O114" s="165"/>
      <c r="P114" s="164"/>
    </row>
    <row r="115" spans="1:16" s="135" customFormat="1">
      <c r="A115" s="164"/>
      <c r="B115" s="165"/>
      <c r="C115" s="165"/>
      <c r="D115" s="165"/>
      <c r="E115" s="165"/>
      <c r="F115" s="166"/>
      <c r="G115" s="166"/>
      <c r="H115" s="166"/>
      <c r="I115" s="164"/>
      <c r="J115" s="164"/>
      <c r="K115" s="165"/>
      <c r="L115" s="164"/>
      <c r="M115" s="167"/>
      <c r="N115" s="164"/>
      <c r="O115" s="165"/>
      <c r="P115" s="164"/>
    </row>
    <row r="116" spans="1:16" s="135" customFormat="1">
      <c r="A116" s="164"/>
      <c r="B116" s="165"/>
      <c r="C116" s="165"/>
      <c r="D116" s="165"/>
      <c r="E116" s="165"/>
      <c r="F116" s="166"/>
      <c r="G116" s="166"/>
      <c r="H116" s="166"/>
      <c r="I116" s="164"/>
      <c r="J116" s="164"/>
      <c r="K116" s="165"/>
      <c r="L116" s="164"/>
      <c r="M116" s="167"/>
      <c r="N116" s="164"/>
      <c r="O116" s="165"/>
      <c r="P116" s="164"/>
    </row>
    <row r="117" spans="1:16" s="135" customFormat="1">
      <c r="A117" s="164"/>
      <c r="B117" s="165"/>
      <c r="C117" s="165"/>
      <c r="D117" s="165"/>
      <c r="E117" s="165"/>
      <c r="F117" s="166"/>
      <c r="G117" s="166"/>
      <c r="H117" s="166"/>
      <c r="I117" s="164"/>
      <c r="J117" s="164"/>
      <c r="K117" s="165"/>
      <c r="L117" s="164"/>
      <c r="M117" s="167"/>
      <c r="N117" s="164"/>
      <c r="O117" s="165"/>
      <c r="P117" s="164"/>
    </row>
    <row r="118" spans="1:16" s="135" customFormat="1">
      <c r="A118" s="164"/>
      <c r="B118" s="165"/>
      <c r="C118" s="165"/>
      <c r="D118" s="165"/>
      <c r="E118" s="165"/>
      <c r="F118" s="166"/>
      <c r="G118" s="166"/>
      <c r="H118" s="166"/>
      <c r="I118" s="164"/>
      <c r="J118" s="164"/>
      <c r="K118" s="165"/>
      <c r="L118" s="164"/>
      <c r="M118" s="167"/>
      <c r="N118" s="164"/>
      <c r="O118" s="165"/>
      <c r="P118" s="164"/>
    </row>
    <row r="119" spans="1:16" s="135" customFormat="1">
      <c r="A119" s="164"/>
      <c r="B119" s="165"/>
      <c r="C119" s="165"/>
      <c r="D119" s="165"/>
      <c r="E119" s="165"/>
      <c r="F119" s="166"/>
      <c r="G119" s="166"/>
      <c r="H119" s="166"/>
      <c r="I119" s="164"/>
      <c r="J119" s="164"/>
      <c r="K119" s="165"/>
      <c r="L119" s="164"/>
      <c r="M119" s="167"/>
      <c r="N119" s="164"/>
      <c r="O119" s="165"/>
      <c r="P119" s="164"/>
    </row>
    <row r="120" spans="1:16" s="135" customFormat="1">
      <c r="A120" s="164"/>
      <c r="B120" s="165"/>
      <c r="C120" s="165"/>
      <c r="D120" s="165"/>
      <c r="E120" s="165"/>
      <c r="F120" s="166"/>
      <c r="G120" s="166"/>
      <c r="H120" s="166"/>
      <c r="I120" s="164"/>
      <c r="J120" s="164"/>
      <c r="K120" s="165"/>
      <c r="L120" s="164"/>
      <c r="M120" s="167"/>
      <c r="N120" s="164"/>
      <c r="O120" s="165"/>
      <c r="P120" s="164"/>
    </row>
    <row r="121" spans="1:16" s="135" customFormat="1">
      <c r="A121" s="164"/>
      <c r="B121" s="165"/>
      <c r="C121" s="165"/>
      <c r="D121" s="165"/>
      <c r="E121" s="165"/>
      <c r="F121" s="166"/>
      <c r="G121" s="166"/>
      <c r="H121" s="166"/>
      <c r="I121" s="164"/>
      <c r="J121" s="164"/>
      <c r="K121" s="165"/>
      <c r="L121" s="164"/>
      <c r="M121" s="167"/>
      <c r="N121" s="164"/>
      <c r="O121" s="165"/>
      <c r="P121" s="164"/>
    </row>
    <row r="122" spans="1:16" s="135" customFormat="1">
      <c r="A122" s="164"/>
      <c r="B122" s="165"/>
      <c r="C122" s="165"/>
      <c r="D122" s="165"/>
      <c r="E122" s="165"/>
      <c r="F122" s="166"/>
      <c r="G122" s="166"/>
      <c r="H122" s="166"/>
      <c r="I122" s="164"/>
      <c r="J122" s="164"/>
      <c r="K122" s="165"/>
      <c r="L122" s="164"/>
      <c r="M122" s="167"/>
      <c r="N122" s="164"/>
      <c r="O122" s="165"/>
      <c r="P122" s="164"/>
    </row>
    <row r="123" spans="1:16" s="135" customFormat="1">
      <c r="A123" s="164"/>
      <c r="B123" s="165"/>
      <c r="C123" s="165"/>
      <c r="D123" s="165"/>
      <c r="E123" s="165"/>
      <c r="F123" s="166"/>
      <c r="G123" s="166"/>
      <c r="H123" s="166"/>
      <c r="I123" s="164"/>
      <c r="J123" s="164"/>
      <c r="K123" s="165"/>
      <c r="L123" s="164"/>
      <c r="M123" s="167"/>
      <c r="N123" s="164"/>
      <c r="O123" s="165"/>
      <c r="P123" s="164"/>
    </row>
    <row r="124" spans="1:16" s="135" customFormat="1">
      <c r="A124" s="164"/>
      <c r="B124" s="165"/>
      <c r="C124" s="165"/>
      <c r="D124" s="165"/>
      <c r="E124" s="165"/>
      <c r="F124" s="166"/>
      <c r="G124" s="166"/>
      <c r="H124" s="166"/>
      <c r="I124" s="164"/>
      <c r="J124" s="164"/>
      <c r="K124" s="165"/>
      <c r="L124" s="164"/>
      <c r="M124" s="167"/>
      <c r="N124" s="164"/>
      <c r="O124" s="165"/>
      <c r="P124" s="164"/>
    </row>
    <row r="125" spans="1:16" s="135" customFormat="1">
      <c r="A125" s="164"/>
      <c r="B125" s="165"/>
      <c r="C125" s="165"/>
      <c r="D125" s="165"/>
      <c r="E125" s="165"/>
      <c r="F125" s="166"/>
      <c r="G125" s="166"/>
      <c r="H125" s="166"/>
      <c r="I125" s="164"/>
      <c r="J125" s="164"/>
      <c r="K125" s="165"/>
      <c r="L125" s="164"/>
      <c r="M125" s="167"/>
      <c r="N125" s="164"/>
      <c r="O125" s="165"/>
      <c r="P125" s="164"/>
    </row>
    <row r="126" spans="1:16" s="135" customFormat="1">
      <c r="A126" s="164"/>
      <c r="B126" s="165"/>
      <c r="C126" s="165"/>
      <c r="D126" s="165"/>
      <c r="E126" s="165"/>
      <c r="F126" s="166"/>
      <c r="G126" s="166"/>
      <c r="H126" s="166"/>
      <c r="I126" s="164"/>
      <c r="J126" s="164"/>
      <c r="K126" s="165"/>
      <c r="L126" s="164"/>
      <c r="M126" s="167"/>
      <c r="N126" s="164"/>
      <c r="O126" s="165"/>
      <c r="P126" s="164"/>
    </row>
    <row r="127" spans="1:16" s="135" customFormat="1">
      <c r="A127" s="164"/>
      <c r="B127" s="165"/>
      <c r="C127" s="165"/>
      <c r="D127" s="165"/>
      <c r="E127" s="165"/>
      <c r="F127" s="166"/>
      <c r="G127" s="166"/>
      <c r="H127" s="166"/>
      <c r="I127" s="164"/>
      <c r="J127" s="164"/>
      <c r="K127" s="165"/>
      <c r="L127" s="164"/>
      <c r="M127" s="167"/>
      <c r="N127" s="164"/>
      <c r="O127" s="165"/>
      <c r="P127" s="164"/>
    </row>
    <row r="128" spans="1:16" s="135" customFormat="1">
      <c r="A128" s="164"/>
      <c r="B128" s="165"/>
      <c r="C128" s="165"/>
      <c r="D128" s="165"/>
      <c r="E128" s="165"/>
      <c r="F128" s="166"/>
      <c r="G128" s="166"/>
      <c r="H128" s="166"/>
      <c r="I128" s="164"/>
      <c r="J128" s="164"/>
      <c r="K128" s="165"/>
      <c r="L128" s="164"/>
      <c r="M128" s="167"/>
      <c r="N128" s="164"/>
      <c r="O128" s="165"/>
      <c r="P128" s="164"/>
    </row>
    <row r="129" spans="1:16" s="135" customFormat="1">
      <c r="A129" s="164"/>
      <c r="B129" s="165"/>
      <c r="C129" s="165"/>
      <c r="D129" s="165"/>
      <c r="E129" s="165"/>
      <c r="F129" s="166"/>
      <c r="G129" s="166"/>
      <c r="H129" s="166"/>
      <c r="I129" s="164"/>
      <c r="J129" s="164"/>
      <c r="K129" s="165"/>
      <c r="L129" s="164"/>
      <c r="M129" s="167"/>
      <c r="N129" s="164"/>
      <c r="O129" s="165"/>
      <c r="P129" s="164"/>
    </row>
    <row r="130" spans="1:16" s="135" customFormat="1">
      <c r="A130" s="164"/>
      <c r="B130" s="165"/>
      <c r="C130" s="165"/>
      <c r="D130" s="165"/>
      <c r="E130" s="165"/>
      <c r="F130" s="166"/>
      <c r="G130" s="166"/>
      <c r="H130" s="166"/>
      <c r="I130" s="164"/>
      <c r="J130" s="164"/>
      <c r="K130" s="165"/>
      <c r="L130" s="164"/>
      <c r="M130" s="167"/>
      <c r="N130" s="164"/>
      <c r="O130" s="165"/>
      <c r="P130" s="164"/>
    </row>
    <row r="131" spans="1:16" s="135" customFormat="1">
      <c r="A131" s="164"/>
      <c r="B131" s="165"/>
      <c r="C131" s="165"/>
      <c r="D131" s="165"/>
      <c r="E131" s="165"/>
      <c r="F131" s="166"/>
      <c r="G131" s="166"/>
      <c r="H131" s="166"/>
      <c r="I131" s="164"/>
      <c r="J131" s="164"/>
      <c r="K131" s="165"/>
      <c r="L131" s="164"/>
      <c r="M131" s="167"/>
      <c r="N131" s="164"/>
      <c r="O131" s="165"/>
      <c r="P131" s="164"/>
    </row>
    <row r="132" spans="1:16" s="135" customFormat="1">
      <c r="A132" s="164"/>
      <c r="B132" s="165"/>
      <c r="C132" s="165"/>
      <c r="D132" s="165"/>
      <c r="E132" s="165"/>
      <c r="F132" s="166"/>
      <c r="G132" s="166"/>
      <c r="H132" s="166"/>
      <c r="I132" s="164"/>
      <c r="J132" s="164"/>
      <c r="K132" s="165"/>
      <c r="L132" s="164"/>
      <c r="M132" s="167"/>
      <c r="N132" s="164"/>
      <c r="O132" s="165"/>
      <c r="P132" s="164"/>
    </row>
    <row r="133" spans="1:16" s="135" customFormat="1">
      <c r="A133" s="164"/>
      <c r="B133" s="165"/>
      <c r="C133" s="165"/>
      <c r="D133" s="165"/>
      <c r="E133" s="165"/>
      <c r="F133" s="166"/>
      <c r="G133" s="166"/>
      <c r="H133" s="166"/>
      <c r="I133" s="164"/>
      <c r="J133" s="164"/>
      <c r="K133" s="165"/>
      <c r="L133" s="164"/>
      <c r="M133" s="167"/>
      <c r="N133" s="164"/>
      <c r="O133" s="165"/>
      <c r="P133" s="164"/>
    </row>
    <row r="134" spans="1:16" s="135" customFormat="1">
      <c r="A134" s="164"/>
      <c r="B134" s="165"/>
      <c r="C134" s="165"/>
      <c r="D134" s="165"/>
      <c r="E134" s="165"/>
      <c r="F134" s="166"/>
      <c r="G134" s="166"/>
      <c r="H134" s="166"/>
      <c r="I134" s="164"/>
      <c r="J134" s="164"/>
      <c r="K134" s="165"/>
      <c r="L134" s="164"/>
      <c r="M134" s="167"/>
      <c r="N134" s="164"/>
      <c r="O134" s="165"/>
      <c r="P134" s="164"/>
    </row>
    <row r="135" spans="1:16" s="135" customFormat="1">
      <c r="A135" s="164"/>
      <c r="B135" s="165"/>
      <c r="C135" s="165"/>
      <c r="D135" s="165"/>
      <c r="E135" s="165"/>
      <c r="F135" s="166"/>
      <c r="G135" s="166"/>
      <c r="H135" s="166"/>
      <c r="I135" s="164"/>
      <c r="J135" s="164"/>
      <c r="K135" s="165"/>
      <c r="L135" s="164"/>
      <c r="M135" s="167"/>
      <c r="N135" s="164"/>
      <c r="O135" s="165"/>
      <c r="P135" s="164"/>
    </row>
    <row r="136" spans="1:16" s="135" customFormat="1">
      <c r="A136" s="164"/>
      <c r="B136" s="165"/>
      <c r="C136" s="165"/>
      <c r="D136" s="165"/>
      <c r="E136" s="165"/>
      <c r="F136" s="166"/>
      <c r="G136" s="166"/>
      <c r="H136" s="166"/>
      <c r="I136" s="164"/>
      <c r="J136" s="164"/>
      <c r="K136" s="165"/>
      <c r="L136" s="164"/>
      <c r="M136" s="167"/>
      <c r="N136" s="164"/>
      <c r="O136" s="165"/>
      <c r="P136" s="164"/>
    </row>
    <row r="137" spans="1:16" s="135" customFormat="1">
      <c r="A137" s="164"/>
      <c r="B137" s="165"/>
      <c r="C137" s="165"/>
      <c r="D137" s="165"/>
      <c r="E137" s="165"/>
      <c r="F137" s="166"/>
      <c r="G137" s="166"/>
      <c r="H137" s="166"/>
      <c r="I137" s="164"/>
      <c r="J137" s="164"/>
      <c r="K137" s="165"/>
      <c r="L137" s="164"/>
      <c r="M137" s="167"/>
      <c r="N137" s="164"/>
      <c r="O137" s="165"/>
      <c r="P137" s="164"/>
    </row>
    <row r="138" spans="1:16" s="135" customFormat="1">
      <c r="A138" s="164"/>
      <c r="B138" s="165"/>
      <c r="C138" s="165"/>
      <c r="D138" s="165"/>
      <c r="E138" s="165"/>
      <c r="F138" s="166"/>
      <c r="G138" s="166"/>
      <c r="H138" s="166"/>
      <c r="I138" s="164"/>
      <c r="J138" s="164"/>
      <c r="K138" s="165"/>
      <c r="L138" s="164"/>
      <c r="M138" s="167"/>
      <c r="N138" s="164"/>
      <c r="O138" s="165"/>
      <c r="P138" s="164"/>
    </row>
    <row r="139" spans="1:16" s="135" customFormat="1">
      <c r="A139" s="164"/>
      <c r="B139" s="165"/>
      <c r="C139" s="165"/>
      <c r="D139" s="165"/>
      <c r="E139" s="165"/>
      <c r="F139" s="166"/>
      <c r="G139" s="166"/>
      <c r="H139" s="166"/>
      <c r="I139" s="164"/>
      <c r="J139" s="164"/>
      <c r="K139" s="165"/>
      <c r="L139" s="164"/>
      <c r="M139" s="167"/>
      <c r="N139" s="164"/>
      <c r="O139" s="165"/>
      <c r="P139" s="164"/>
    </row>
    <row r="140" spans="1:16" s="135" customFormat="1">
      <c r="A140" s="164"/>
      <c r="B140" s="165"/>
      <c r="C140" s="165"/>
      <c r="D140" s="165"/>
      <c r="E140" s="165"/>
      <c r="F140" s="166"/>
      <c r="G140" s="166"/>
      <c r="H140" s="166"/>
      <c r="I140" s="164"/>
      <c r="J140" s="164"/>
      <c r="K140" s="165"/>
      <c r="L140" s="164"/>
      <c r="M140" s="167"/>
      <c r="N140" s="164"/>
      <c r="O140" s="165"/>
      <c r="P140" s="164"/>
    </row>
    <row r="141" spans="1:16" s="135" customFormat="1">
      <c r="A141" s="164"/>
      <c r="B141" s="165"/>
      <c r="C141" s="165"/>
      <c r="D141" s="165"/>
      <c r="E141" s="165"/>
      <c r="F141" s="166"/>
      <c r="G141" s="166"/>
      <c r="H141" s="166"/>
      <c r="I141" s="164"/>
      <c r="J141" s="164"/>
      <c r="K141" s="165"/>
      <c r="L141" s="164"/>
      <c r="M141" s="167"/>
      <c r="N141" s="164"/>
      <c r="O141" s="165"/>
      <c r="P141" s="164"/>
    </row>
    <row r="142" spans="1:16" s="135" customFormat="1">
      <c r="A142" s="164"/>
      <c r="B142" s="165"/>
      <c r="C142" s="165"/>
      <c r="D142" s="165"/>
      <c r="E142" s="165"/>
      <c r="F142" s="166"/>
      <c r="G142" s="166"/>
      <c r="H142" s="166"/>
      <c r="I142" s="164"/>
      <c r="J142" s="164"/>
      <c r="K142" s="165"/>
      <c r="L142" s="164"/>
      <c r="M142" s="167"/>
      <c r="N142" s="164"/>
      <c r="O142" s="165"/>
      <c r="P142" s="164"/>
    </row>
    <row r="143" spans="1:16" s="135" customFormat="1">
      <c r="A143" s="164"/>
      <c r="B143" s="165"/>
      <c r="C143" s="165"/>
      <c r="D143" s="165"/>
      <c r="E143" s="165"/>
      <c r="F143" s="166"/>
      <c r="G143" s="166"/>
      <c r="H143" s="166"/>
      <c r="I143" s="164"/>
      <c r="J143" s="164"/>
      <c r="K143" s="165"/>
      <c r="L143" s="164"/>
      <c r="M143" s="167"/>
      <c r="N143" s="164"/>
      <c r="O143" s="165"/>
      <c r="P143" s="164"/>
    </row>
    <row r="144" spans="1:16" s="135" customFormat="1">
      <c r="A144" s="164"/>
      <c r="B144" s="165"/>
      <c r="C144" s="165"/>
      <c r="D144" s="165"/>
      <c r="E144" s="165"/>
      <c r="F144" s="166"/>
      <c r="G144" s="166"/>
      <c r="H144" s="166"/>
      <c r="I144" s="164"/>
      <c r="J144" s="164"/>
      <c r="K144" s="165"/>
      <c r="L144" s="164"/>
      <c r="M144" s="167"/>
      <c r="N144" s="164"/>
      <c r="O144" s="165"/>
      <c r="P144" s="164"/>
    </row>
    <row r="145" spans="1:16" s="135" customFormat="1">
      <c r="A145" s="164"/>
      <c r="B145" s="165"/>
      <c r="C145" s="165"/>
      <c r="D145" s="165"/>
      <c r="E145" s="165"/>
      <c r="F145" s="166"/>
      <c r="G145" s="166"/>
      <c r="H145" s="166"/>
      <c r="I145" s="164"/>
      <c r="J145" s="164"/>
      <c r="K145" s="165"/>
      <c r="L145" s="164"/>
      <c r="M145" s="167"/>
      <c r="N145" s="164"/>
      <c r="O145" s="165"/>
      <c r="P145" s="164"/>
    </row>
    <row r="146" spans="1:16" s="135" customFormat="1">
      <c r="A146" s="164"/>
      <c r="B146" s="165"/>
      <c r="C146" s="165"/>
      <c r="D146" s="165"/>
      <c r="E146" s="165"/>
      <c r="F146" s="166"/>
      <c r="G146" s="166"/>
      <c r="H146" s="166"/>
      <c r="I146" s="164"/>
      <c r="J146" s="164"/>
      <c r="K146" s="165"/>
      <c r="L146" s="164"/>
      <c r="M146" s="167"/>
      <c r="N146" s="164"/>
      <c r="O146" s="165"/>
      <c r="P146" s="164"/>
    </row>
    <row r="147" spans="1:16" s="135" customFormat="1">
      <c r="A147" s="164"/>
      <c r="B147" s="165"/>
      <c r="C147" s="165"/>
      <c r="D147" s="165"/>
      <c r="E147" s="165"/>
      <c r="F147" s="166"/>
      <c r="G147" s="166"/>
      <c r="H147" s="166"/>
      <c r="I147" s="164"/>
      <c r="J147" s="164"/>
      <c r="K147" s="165"/>
      <c r="L147" s="164"/>
      <c r="M147" s="167"/>
      <c r="N147" s="164"/>
      <c r="O147" s="165"/>
      <c r="P147" s="164"/>
    </row>
    <row r="148" spans="1:16" s="135" customFormat="1">
      <c r="A148" s="164"/>
      <c r="B148" s="165"/>
      <c r="C148" s="165"/>
      <c r="D148" s="165"/>
      <c r="E148" s="165"/>
      <c r="F148" s="166"/>
      <c r="G148" s="166"/>
      <c r="H148" s="166"/>
      <c r="I148" s="164"/>
      <c r="J148" s="164"/>
      <c r="K148" s="165"/>
      <c r="L148" s="164"/>
      <c r="M148" s="167"/>
      <c r="N148" s="164"/>
      <c r="O148" s="165"/>
      <c r="P148" s="164"/>
    </row>
    <row r="149" spans="1:16" s="135" customFormat="1">
      <c r="A149" s="164"/>
      <c r="B149" s="165"/>
      <c r="C149" s="165"/>
      <c r="D149" s="165"/>
      <c r="E149" s="165"/>
      <c r="F149" s="166"/>
      <c r="G149" s="166"/>
      <c r="H149" s="166"/>
      <c r="I149" s="164"/>
      <c r="J149" s="164"/>
      <c r="K149" s="165"/>
      <c r="L149" s="164"/>
      <c r="M149" s="167"/>
      <c r="N149" s="164"/>
      <c r="O149" s="165"/>
      <c r="P149" s="164"/>
    </row>
    <row r="150" spans="1:16" s="135" customFormat="1">
      <c r="A150" s="164"/>
      <c r="B150" s="165"/>
      <c r="C150" s="165"/>
      <c r="D150" s="165"/>
      <c r="E150" s="165"/>
      <c r="F150" s="166"/>
      <c r="G150" s="166"/>
      <c r="H150" s="166"/>
      <c r="I150" s="164"/>
      <c r="J150" s="164"/>
      <c r="K150" s="165"/>
      <c r="L150" s="164"/>
      <c r="M150" s="167"/>
      <c r="N150" s="164"/>
      <c r="O150" s="165"/>
      <c r="P150" s="164"/>
    </row>
    <row r="151" spans="1:16" s="135" customFormat="1">
      <c r="A151" s="164"/>
      <c r="B151" s="165"/>
      <c r="C151" s="165"/>
      <c r="D151" s="165"/>
      <c r="E151" s="165"/>
      <c r="F151" s="166"/>
      <c r="G151" s="166"/>
      <c r="H151" s="166"/>
      <c r="I151" s="164"/>
      <c r="J151" s="164"/>
      <c r="K151" s="165"/>
      <c r="L151" s="164"/>
      <c r="M151" s="167"/>
      <c r="N151" s="164"/>
      <c r="O151" s="165"/>
      <c r="P151" s="164"/>
    </row>
    <row r="152" spans="1:16" s="135" customFormat="1">
      <c r="A152" s="164"/>
      <c r="B152" s="165"/>
      <c r="C152" s="165"/>
      <c r="D152" s="165"/>
      <c r="E152" s="165"/>
      <c r="F152" s="166"/>
      <c r="G152" s="166"/>
      <c r="H152" s="166"/>
      <c r="I152" s="164"/>
      <c r="J152" s="164"/>
      <c r="K152" s="165"/>
      <c r="L152" s="164"/>
      <c r="M152" s="167"/>
      <c r="N152" s="164"/>
      <c r="O152" s="165"/>
      <c r="P152" s="164"/>
    </row>
    <row r="153" spans="1:16" s="135" customFormat="1">
      <c r="A153" s="164"/>
      <c r="B153" s="165"/>
      <c r="C153" s="165"/>
      <c r="D153" s="165"/>
      <c r="E153" s="165"/>
      <c r="F153" s="166"/>
      <c r="G153" s="166"/>
      <c r="H153" s="166"/>
      <c r="I153" s="164"/>
      <c r="J153" s="164"/>
      <c r="K153" s="165"/>
      <c r="L153" s="164"/>
      <c r="M153" s="167"/>
      <c r="N153" s="164"/>
      <c r="O153" s="165"/>
      <c r="P153" s="164"/>
    </row>
    <row r="154" spans="1:16" s="135" customFormat="1">
      <c r="A154" s="164"/>
      <c r="B154" s="165"/>
      <c r="C154" s="165"/>
      <c r="D154" s="165"/>
      <c r="E154" s="165"/>
      <c r="F154" s="166"/>
      <c r="G154" s="166"/>
      <c r="H154" s="166"/>
      <c r="I154" s="164"/>
      <c r="J154" s="164"/>
      <c r="K154" s="165"/>
      <c r="L154" s="164"/>
      <c r="M154" s="167"/>
      <c r="N154" s="164"/>
      <c r="O154" s="165"/>
      <c r="P154" s="164"/>
    </row>
    <row r="155" spans="1:16" s="135" customFormat="1">
      <c r="A155" s="164"/>
      <c r="B155" s="165"/>
      <c r="C155" s="165"/>
      <c r="D155" s="165"/>
      <c r="E155" s="165"/>
      <c r="F155" s="166"/>
      <c r="G155" s="166"/>
      <c r="H155" s="166"/>
      <c r="I155" s="164"/>
      <c r="J155" s="164"/>
      <c r="K155" s="165"/>
      <c r="L155" s="164"/>
      <c r="M155" s="167"/>
      <c r="N155" s="164"/>
      <c r="O155" s="165"/>
      <c r="P155" s="164"/>
    </row>
    <row r="156" spans="1:16" s="135" customFormat="1">
      <c r="A156" s="164"/>
      <c r="B156" s="165"/>
      <c r="C156" s="165"/>
      <c r="D156" s="165"/>
      <c r="E156" s="165"/>
      <c r="F156" s="166"/>
      <c r="G156" s="166"/>
      <c r="H156" s="166"/>
      <c r="I156" s="164"/>
      <c r="J156" s="164"/>
      <c r="K156" s="165"/>
      <c r="L156" s="164"/>
      <c r="M156" s="167"/>
      <c r="N156" s="164"/>
      <c r="O156" s="165"/>
      <c r="P156" s="164"/>
    </row>
    <row r="157" spans="1:16" s="135" customFormat="1">
      <c r="A157" s="164"/>
      <c r="B157" s="165"/>
      <c r="C157" s="165"/>
      <c r="D157" s="165"/>
      <c r="E157" s="165"/>
      <c r="F157" s="166"/>
      <c r="G157" s="166"/>
      <c r="H157" s="166"/>
      <c r="I157" s="164"/>
      <c r="J157" s="164"/>
      <c r="K157" s="165"/>
      <c r="L157" s="164"/>
      <c r="M157" s="167"/>
      <c r="N157" s="164"/>
      <c r="O157" s="165"/>
      <c r="P157" s="164"/>
    </row>
  </sheetData>
  <sheetProtection formatCells="0" formatColumns="0" formatRows="0" insertColumns="0" insertRows="0" insertHyperlinks="0" deleteColumns="0" deleteRows="0" selectLockedCells="1" autoFilter="0" pivotTables="0"/>
  <autoFilter ref="A1:Q20" xr:uid="{00000000-0009-0000-0000-000000000000}"/>
  <dataConsolidate/>
  <customSheetViews>
    <customSheetView guid="{B9F2D4A4-02D0-11D7-A42C-0010B5ACCF2D}" scale="75" showPageBreaks="1" fitToPage="1" printArea="1" showRuler="0" topLeftCell="E1">
      <selection activeCell="G2" sqref="G2"/>
      <pageMargins left="0" right="0" top="0" bottom="0" header="0" footer="0"/>
      <pageSetup paperSize="8" scale="54" fitToHeight="44" orientation="landscape" r:id="rId1"/>
      <headerFooter alignWithMargins="0">
        <oddFooter>&amp;C&amp;14Page &amp;P/&amp;N</oddFooter>
      </headerFooter>
    </customSheetView>
    <customSheetView guid="{CAF5FA49-F0AA-40CD-9467-945B3C14CF7F}" scale="75" showPageBreaks="1" fitToPage="1" printArea="1" showAutoFilter="1" showRuler="0" topLeftCell="A2">
      <pane xSplit="1" ySplit="2" topLeftCell="F66" activePane="bottomRight" state="frozen"/>
      <selection pane="bottomRight" activeCell="J12" sqref="J12"/>
      <pageMargins left="0" right="0" top="0" bottom="0" header="0" footer="0"/>
      <pageSetup paperSize="9" scale="43" fitToHeight="44" orientation="landscape" horizontalDpi="300" verticalDpi="300" r:id="rId2"/>
      <headerFooter alignWithMargins="0">
        <oddFooter>&amp;C&amp;14Page &amp;P/&amp;N</oddFooter>
      </headerFooter>
      <autoFilter ref="B1:DW1" xr:uid="{00000000-0000-0000-0000-000000000000}"/>
    </customSheetView>
    <customSheetView guid="{863884A4-DC58-11D6-BFF5-0004ACA32EB2}" scale="75" showPageBreaks="1" fitToPage="1" printArea="1" hiddenColumns="1" showRuler="0">
      <selection activeCell="B1" sqref="B1"/>
      <pageMargins left="0" right="0" top="0" bottom="0" header="0" footer="0"/>
      <pageSetup paperSize="8" scale="76" fitToHeight="44" orientation="landscape" horizontalDpi="300" verticalDpi="300" r:id="rId3"/>
      <headerFooter alignWithMargins="0">
        <oddFooter>&amp;C&amp;14Page &amp;P/&amp;N</oddFooter>
      </headerFooter>
    </customSheetView>
    <customSheetView guid="{1A0D4C14-DD1C-11D6-A409-0010B5ACCF2D}" scale="75" showPageBreaks="1" fitToPage="1" printArea="1" showAutoFilter="1" showRuler="0">
      <selection activeCell="H7" sqref="H7"/>
      <pageMargins left="0" right="0" top="0" bottom="0" header="0" footer="0"/>
      <pageSetup paperSize="8" scale="49" fitToHeight="44" orientation="landscape" horizontalDpi="300" verticalDpi="300" r:id="rId4"/>
      <headerFooter alignWithMargins="0">
        <oddFooter>&amp;C&amp;14Page &amp;P/&amp;N</oddFooter>
      </headerFooter>
      <autoFilter ref="B1:DW1" xr:uid="{00000000-0000-0000-0000-000000000000}"/>
    </customSheetView>
  </customSheetViews>
  <phoneticPr fontId="3" type="noConversion"/>
  <conditionalFormatting sqref="L21:L65184 N21:N65184 L17:L18">
    <cfRule type="cellIs" dxfId="139" priority="989" stopIfTrue="1" operator="equal">
      <formula>"OUI"</formula>
    </cfRule>
  </conditionalFormatting>
  <conditionalFormatting sqref="K21:K65184 K17:K18">
    <cfRule type="expression" dxfId="138" priority="1053" stopIfTrue="1">
      <formula>AND(K17&lt;=#REF!,#REF!="NON")</formula>
    </cfRule>
    <cfRule type="cellIs" dxfId="137" priority="1054" stopIfTrue="1" operator="equal">
      <formula>#REF!</formula>
    </cfRule>
  </conditionalFormatting>
  <conditionalFormatting sqref="N17:N18">
    <cfRule type="containsText" dxfId="136" priority="329" operator="containsText" text="ANNULE">
      <formula>NOT(ISERROR(SEARCH("ANNULE",N17)))</formula>
    </cfRule>
  </conditionalFormatting>
  <conditionalFormatting sqref="I13:I18">
    <cfRule type="expression" dxfId="135" priority="1063" stopIfTrue="1">
      <formula>AND(I13&lt;=#REF!,K13="NON")</formula>
    </cfRule>
    <cfRule type="cellIs" dxfId="134" priority="1064" stopIfTrue="1" operator="equal">
      <formula>#REF!</formula>
    </cfRule>
  </conditionalFormatting>
  <conditionalFormatting sqref="K2">
    <cfRule type="expression" dxfId="133" priority="169" stopIfTrue="1">
      <formula>AND(K2&lt;=#REF!,#REF!="NON")</formula>
    </cfRule>
    <cfRule type="cellIs" dxfId="132" priority="170" stopIfTrue="1" operator="equal">
      <formula>#REF!</formula>
    </cfRule>
  </conditionalFormatting>
  <conditionalFormatting sqref="K3">
    <cfRule type="expression" dxfId="131" priority="162" stopIfTrue="1">
      <formula>AND(K3&lt;=#REF!,#REF!="NON")</formula>
    </cfRule>
    <cfRule type="cellIs" dxfId="130" priority="163" stopIfTrue="1" operator="equal">
      <formula>#REF!</formula>
    </cfRule>
  </conditionalFormatting>
  <conditionalFormatting sqref="K4:K6">
    <cfRule type="expression" dxfId="129" priority="156" stopIfTrue="1">
      <formula>AND(K4&lt;=#REF!,#REF!="NON")</formula>
    </cfRule>
    <cfRule type="cellIs" dxfId="128" priority="157" stopIfTrue="1" operator="equal">
      <formula>#REF!</formula>
    </cfRule>
  </conditionalFormatting>
  <conditionalFormatting sqref="K8">
    <cfRule type="expression" dxfId="127" priority="153" stopIfTrue="1">
      <formula>AND(K8&lt;=#REF!,#REF!="NON")</formula>
    </cfRule>
    <cfRule type="cellIs" dxfId="126" priority="154" stopIfTrue="1" operator="equal">
      <formula>#REF!</formula>
    </cfRule>
  </conditionalFormatting>
  <conditionalFormatting sqref="N11">
    <cfRule type="containsText" dxfId="125" priority="146" operator="containsText" text="ANNULE">
      <formula>NOT(ISERROR(SEARCH("ANNULE",N11)))</formula>
    </cfRule>
  </conditionalFormatting>
  <conditionalFormatting sqref="K7">
    <cfRule type="expression" dxfId="124" priority="158" stopIfTrue="1">
      <formula>AND(K7&lt;=#REF!,M7="NON")</formula>
    </cfRule>
    <cfRule type="cellIs" dxfId="123" priority="159" stopIfTrue="1" operator="equal">
      <formula>#REF!</formula>
    </cfRule>
  </conditionalFormatting>
  <conditionalFormatting sqref="I6:J7 I5 I8">
    <cfRule type="expression" dxfId="122" priority="160" stopIfTrue="1">
      <formula>AND(I5&lt;=#REF!,K5="NON")</formula>
    </cfRule>
    <cfRule type="cellIs" dxfId="121" priority="161" stopIfTrue="1" operator="equal">
      <formula>#REF!</formula>
    </cfRule>
  </conditionalFormatting>
  <conditionalFormatting sqref="N13:N16">
    <cfRule type="containsText" dxfId="120" priority="138" operator="containsText" text="ANNULE">
      <formula>NOT(ISERROR(SEARCH("ANNULE",N13)))</formula>
    </cfRule>
  </conditionalFormatting>
  <conditionalFormatting sqref="K12">
    <cfRule type="expression" dxfId="119" priority="132" stopIfTrue="1">
      <formula>AND(K12&lt;=#REF!,#REF!="NON")</formula>
    </cfRule>
    <cfRule type="cellIs" dxfId="118" priority="133" stopIfTrue="1" operator="equal">
      <formula>#REF!</formula>
    </cfRule>
  </conditionalFormatting>
  <conditionalFormatting sqref="I12">
    <cfRule type="expression" dxfId="117" priority="136" stopIfTrue="1">
      <formula>AND(I12&lt;=#REF!,K12="NON")</formula>
    </cfRule>
    <cfRule type="cellIs" dxfId="116" priority="137" stopIfTrue="1" operator="equal">
      <formula>#REF!</formula>
    </cfRule>
  </conditionalFormatting>
  <conditionalFormatting sqref="P2:P18">
    <cfRule type="cellIs" dxfId="115" priority="360" stopIfTrue="1" operator="greaterThan">
      <formula>0</formula>
    </cfRule>
  </conditionalFormatting>
  <conditionalFormatting sqref="L19">
    <cfRule type="cellIs" dxfId="114" priority="31" stopIfTrue="1" operator="equal">
      <formula>"OUI"</formula>
    </cfRule>
  </conditionalFormatting>
  <conditionalFormatting sqref="K19">
    <cfRule type="cellIs" dxfId="113" priority="21" stopIfTrue="1" operator="equal">
      <formula>"Respecter le format date jj/mm/aaaa"</formula>
    </cfRule>
    <cfRule type="expression" dxfId="112" priority="32" stopIfTrue="1">
      <formula>AND(K19&lt;=#REF!,#REF!="NON")</formula>
    </cfRule>
    <cfRule type="cellIs" dxfId="111" priority="33" stopIfTrue="1" operator="equal">
      <formula>#REF!</formula>
    </cfRule>
  </conditionalFormatting>
  <conditionalFormatting sqref="B19">
    <cfRule type="expression" dxfId="110" priority="29" stopIfTrue="1">
      <formula>AND(B19&lt;=#REF!,#REF!="NON")</formula>
    </cfRule>
    <cfRule type="cellIs" dxfId="109" priority="30" stopIfTrue="1" operator="equal">
      <formula>#REF!</formula>
    </cfRule>
  </conditionalFormatting>
  <conditionalFormatting sqref="D19:M19 O19:P19">
    <cfRule type="cellIs" dxfId="108" priority="28" stopIfTrue="1" operator="equal">
      <formula>"saisie ok"</formula>
    </cfRule>
  </conditionalFormatting>
  <conditionalFormatting sqref="G20">
    <cfRule type="expression" dxfId="107" priority="26" stopIfTrue="1">
      <formula>13-COUNTIF(stats,"saisie ok")&gt;0</formula>
    </cfRule>
  </conditionalFormatting>
  <conditionalFormatting sqref="D19:J19 L19:M19 O19:P19">
    <cfRule type="cellIs" dxfId="106" priority="27" stopIfTrue="1" operator="notEqual">
      <formula>"saisie ok"</formula>
    </cfRule>
  </conditionalFormatting>
  <conditionalFormatting sqref="N19">
    <cfRule type="cellIs" dxfId="105" priority="3" stopIfTrue="1" operator="equal">
      <formula>"OUI"</formula>
    </cfRule>
  </conditionalFormatting>
  <conditionalFormatting sqref="N19">
    <cfRule type="cellIs" dxfId="104" priority="2" stopIfTrue="1" operator="equal">
      <formula>"ne pas filtrer - saisie ok"</formula>
    </cfRule>
  </conditionalFormatting>
  <conditionalFormatting sqref="N19">
    <cfRule type="cellIs" dxfId="103" priority="1" stopIfTrue="1" operator="notEqual">
      <formula>"ne pas filtrer - saisie ok"</formula>
    </cfRule>
  </conditionalFormatting>
  <pageMargins left="0.25" right="0.25" top="0.75" bottom="0.75" header="0.3" footer="0.3"/>
  <pageSetup paperSize="8" scale="66" fitToHeight="0" pageOrder="overThenDown" orientation="landscape" copies="6" r:id="rId5"/>
  <headerFooter alignWithMargins="0">
    <oddHeader>&amp;R&amp;"Arial,Gras"impression du &amp;D</oddHeader>
    <oddFooter>&amp;C&amp;"Arial,Gras"&amp;9Page &amp;P/&amp;N</oddFooter>
  </headerFooter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Z80"/>
  <sheetViews>
    <sheetView zoomScaleNormal="100" workbookViewId="0">
      <selection activeCell="E1" sqref="E1"/>
    </sheetView>
  </sheetViews>
  <sheetFormatPr baseColWidth="10" defaultColWidth="11.44140625" defaultRowHeight="15"/>
  <cols>
    <col min="1" max="1" width="27.33203125" style="6" bestFit="1" customWidth="1"/>
    <col min="2" max="2" width="13.6640625" style="6" customWidth="1"/>
    <col min="3" max="3" width="12.6640625" style="1" bestFit="1" customWidth="1"/>
    <col min="4" max="4" width="12.6640625" style="1" customWidth="1"/>
    <col min="5" max="5" width="11.5546875" style="1" customWidth="1"/>
    <col min="6" max="6" width="13.44140625" style="1" customWidth="1"/>
    <col min="7" max="7" width="15.44140625" style="1" customWidth="1"/>
    <col min="8" max="8" width="13" style="1" customWidth="1"/>
    <col min="9" max="9" width="12.44140625" style="1" bestFit="1" customWidth="1"/>
    <col min="10" max="11" width="17.109375" style="1" customWidth="1"/>
    <col min="12" max="12" width="13.5546875" style="1" customWidth="1"/>
    <col min="13" max="16384" width="11.44140625" style="1"/>
  </cols>
  <sheetData>
    <row r="1" spans="1:26" s="3" customFormat="1" ht="31.8" thickBot="1">
      <c r="A1" s="59" t="s">
        <v>34</v>
      </c>
      <c r="B1" s="67"/>
      <c r="C1" s="13" t="s">
        <v>6</v>
      </c>
      <c r="D1" s="13"/>
      <c r="F1" s="13"/>
      <c r="G1" s="13"/>
      <c r="H1" s="13" t="s">
        <v>15</v>
      </c>
      <c r="I1" s="14">
        <f ca="1">TODAY()</f>
        <v>44215</v>
      </c>
      <c r="J1" s="15"/>
      <c r="K1" s="13"/>
      <c r="L1" s="24"/>
      <c r="M1" s="25"/>
      <c r="N1" s="26"/>
      <c r="O1" s="26"/>
      <c r="P1" s="26"/>
      <c r="Q1" s="26"/>
      <c r="R1" s="26"/>
      <c r="S1" s="26"/>
      <c r="T1" s="26"/>
      <c r="U1" s="26"/>
      <c r="V1" s="26"/>
      <c r="W1" s="26"/>
      <c r="X1" s="26"/>
      <c r="Y1" s="26"/>
      <c r="Z1" s="26"/>
    </row>
    <row r="2" spans="1:26" s="5" customFormat="1" ht="45.6" thickBot="1">
      <c r="A2" s="68" t="s">
        <v>129</v>
      </c>
      <c r="B2" s="69" t="str">
        <f>"actions lancées"</f>
        <v>actions lancées</v>
      </c>
      <c r="C2" s="70" t="str">
        <f>"actions clôturées"</f>
        <v>actions clôturées</v>
      </c>
      <c r="D2" s="70" t="s">
        <v>38</v>
      </c>
      <c r="E2" s="71" t="s">
        <v>32</v>
      </c>
      <c r="F2" s="71" t="s">
        <v>30</v>
      </c>
      <c r="G2" s="71" t="s">
        <v>31</v>
      </c>
      <c r="H2" s="71" t="s">
        <v>33</v>
      </c>
      <c r="I2" s="72" t="s">
        <v>14</v>
      </c>
      <c r="J2" s="73" t="s">
        <v>39</v>
      </c>
      <c r="K2" s="73" t="s">
        <v>40</v>
      </c>
      <c r="L2" s="17"/>
      <c r="M2" s="27"/>
      <c r="N2" s="28"/>
      <c r="O2" s="28"/>
      <c r="P2" s="28"/>
      <c r="Q2" s="28"/>
      <c r="R2" s="28"/>
      <c r="S2" s="28"/>
      <c r="T2" s="28"/>
      <c r="U2" s="28"/>
      <c r="V2" s="28"/>
      <c r="W2" s="28"/>
      <c r="X2" s="28"/>
      <c r="Y2" s="28"/>
      <c r="Z2" s="28"/>
    </row>
    <row r="3" spans="1:26" s="2" customFormat="1" ht="30.75" customHeight="1" thickBot="1">
      <c r="A3" s="74" t="s">
        <v>130</v>
      </c>
      <c r="B3" s="75">
        <f>COUNTIFS(date_action,"&gt;="&amp;"2015")</f>
        <v>13</v>
      </c>
      <c r="C3" s="76">
        <f>COUNTIFS(statut,"=5")</f>
        <v>8</v>
      </c>
      <c r="D3" s="66">
        <f ca="1">COUNTIFS(statut,"=5",retard,"&gt;0")</f>
        <v>5</v>
      </c>
      <c r="E3" s="77">
        <f>COUNTIF(statut,"&lt;5")</f>
        <v>5</v>
      </c>
      <c r="F3" s="78">
        <f>COUNTIF(statut,"=4")</f>
        <v>1</v>
      </c>
      <c r="G3" s="78">
        <f>COUNTIF(statut,"=3")</f>
        <v>1</v>
      </c>
      <c r="H3" s="78">
        <f>COUNTIF(statut,"=1")+COUNTIF(statut,"=2")</f>
        <v>3</v>
      </c>
      <c r="I3" s="79">
        <f ca="1">COUNTIFS(statut,"&lt;5",retard,"&gt;0")</f>
        <v>2</v>
      </c>
      <c r="J3" s="80">
        <f>COUNTIFS(date_action,"&gt;="&amp;1/1/2015,Priorité,"")</f>
        <v>0</v>
      </c>
      <c r="K3" s="80">
        <f>COUNTIFS(date_action,"&gt;="&amp;"2015",statut,"="&amp;"")</f>
        <v>0</v>
      </c>
      <c r="L3" s="29"/>
      <c r="M3" s="30"/>
      <c r="N3" s="38"/>
      <c r="O3" s="38"/>
      <c r="P3" s="38"/>
      <c r="Q3" s="38"/>
      <c r="R3" s="38"/>
      <c r="S3" s="38"/>
      <c r="T3" s="38"/>
      <c r="U3" s="38"/>
      <c r="V3" s="38"/>
      <c r="W3" s="38"/>
      <c r="X3" s="38"/>
      <c r="Y3" s="31"/>
      <c r="Z3" s="31"/>
    </row>
    <row r="4" spans="1:26" s="2" customFormat="1" ht="21" customHeight="1" thickBot="1">
      <c r="A4" s="81" t="s">
        <v>37</v>
      </c>
      <c r="B4" s="75">
        <f>COUNTIFS(Priorité,"P1",date_action,"&gt;="&amp;"2015")</f>
        <v>3</v>
      </c>
      <c r="C4" s="39">
        <f>COUNTIFS(Priorité,"P1",statut,"=5")</f>
        <v>2</v>
      </c>
      <c r="D4" s="66">
        <f ca="1">COUNTIFS(Priorité,"P1",statut,"=5",retard,"&gt;0")</f>
        <v>1</v>
      </c>
      <c r="E4" s="77">
        <f>COUNTIFS(Priorité,"P1",statut,"&lt;5")</f>
        <v>1</v>
      </c>
      <c r="F4" s="78">
        <f>COUNTIFS(Priorité,"P1",statut,"=4")</f>
        <v>1</v>
      </c>
      <c r="G4" s="78">
        <f>COUNTIFS(Priorité,"P1",statut,"=3")</f>
        <v>0</v>
      </c>
      <c r="H4" s="78">
        <f>COUNTIFS(Priorité,"P1",statut,"=1")+COUNTIFS(Priorité,"P1",statut,"=2")</f>
        <v>0</v>
      </c>
      <c r="I4" s="79">
        <f ca="1">COUNTIFS(Priorité,"P1",statut,"&lt;5",retard,"&gt;0")</f>
        <v>0</v>
      </c>
      <c r="J4" s="82" t="s">
        <v>41</v>
      </c>
      <c r="K4" s="82" t="s">
        <v>42</v>
      </c>
      <c r="L4" s="38"/>
      <c r="M4" s="38"/>
      <c r="N4" s="22"/>
      <c r="O4" s="22"/>
      <c r="P4" s="22"/>
      <c r="Q4" s="22"/>
      <c r="R4" s="22"/>
      <c r="S4" s="22"/>
      <c r="T4" s="22"/>
      <c r="U4" s="22"/>
      <c r="V4" s="22"/>
      <c r="W4" s="22"/>
      <c r="X4" s="22"/>
      <c r="Y4" s="31"/>
      <c r="Z4" s="31"/>
    </row>
    <row r="5" spans="1:26" s="4" customFormat="1" ht="23.4" thickBot="1">
      <c r="A5" s="81" t="s">
        <v>35</v>
      </c>
      <c r="B5" s="75">
        <f>COUNTIFS(Priorité,"P2",date_action,"&gt;="&amp;"2015")</f>
        <v>10</v>
      </c>
      <c r="C5" s="39">
        <f>COUNTIFS(Priorité,"P2",statut,"=5")</f>
        <v>6</v>
      </c>
      <c r="D5" s="66">
        <f ca="1">COUNTIFS(Priorité,"P2",statut,"=5",retard,"&gt;0")</f>
        <v>4</v>
      </c>
      <c r="E5" s="77">
        <f>COUNTIFS(Priorité,"P2",statut,"&lt;5")</f>
        <v>4</v>
      </c>
      <c r="F5" s="78">
        <f>COUNTIFS(Priorité,"P2",statut,"=4")</f>
        <v>0</v>
      </c>
      <c r="G5" s="78">
        <f>COUNTIFS(Priorité,"P2",statut,"=3")</f>
        <v>1</v>
      </c>
      <c r="H5" s="78">
        <f>COUNTIFS(Priorité,"P2",statut,"=1")+COUNTIFS(Priorité,"P2",statut,"=2")</f>
        <v>3</v>
      </c>
      <c r="I5" s="79">
        <f ca="1">COUNTIFS(Priorité,"P2",statut,"&lt;5",retard,"&gt;0")</f>
        <v>2</v>
      </c>
      <c r="J5" s="83" t="s">
        <v>43</v>
      </c>
      <c r="K5" s="83" t="s">
        <v>44</v>
      </c>
      <c r="L5" s="38"/>
      <c r="M5" s="38"/>
      <c r="N5" s="22"/>
      <c r="O5" s="22"/>
      <c r="P5" s="22"/>
      <c r="Q5" s="22"/>
      <c r="R5" s="22"/>
      <c r="S5" s="22"/>
      <c r="T5" s="22"/>
      <c r="U5" s="22"/>
      <c r="V5" s="22"/>
      <c r="W5" s="22"/>
      <c r="X5" s="22"/>
      <c r="Y5" s="35"/>
      <c r="Z5" s="35"/>
    </row>
    <row r="6" spans="1:26" s="4" customFormat="1" ht="23.4" thickBot="1">
      <c r="A6" s="81" t="s">
        <v>36</v>
      </c>
      <c r="B6" s="75">
        <f>COUNTIFS(Priorité,"P3",date_action,"&gt;="&amp;"2015")</f>
        <v>0</v>
      </c>
      <c r="C6" s="39">
        <f>COUNTIFS(Priorité,"P3",statut,"=5")</f>
        <v>0</v>
      </c>
      <c r="D6" s="66">
        <f>COUNTIFS(Priorité,"P3",statut,"=5",retard,"&gt;0")</f>
        <v>0</v>
      </c>
      <c r="E6" s="77">
        <f>COUNTIFS(Priorité,"P3",statut,"&lt;5")</f>
        <v>0</v>
      </c>
      <c r="F6" s="78">
        <f>COUNTIFS(Priorité,"P3",statut,"=4")</f>
        <v>0</v>
      </c>
      <c r="G6" s="78">
        <f>COUNTIFS(Priorité,"P3",statut,"=3")</f>
        <v>0</v>
      </c>
      <c r="H6" s="78">
        <f>COUNTIFS(Priorité,"P3",statut,"=1")+COUNTIFS(Priorité,"P3",statut,"=2")</f>
        <v>0</v>
      </c>
      <c r="I6" s="79">
        <f>COUNTIFS(Priorité,"P3",statut,"&lt;5",retard,"&gt;0")</f>
        <v>0</v>
      </c>
      <c r="J6" s="80">
        <f>COUNTIFS(statut,"&lt;"&amp;"4",échéance_révisée,"&lt;&gt;"&amp;"")-G3</f>
        <v>0</v>
      </c>
      <c r="K6" s="80">
        <f>COUNTIFS(date_action,"&gt;="&amp;"2015",statut,"="&amp;5,date_fin,"="&amp;"")</f>
        <v>0</v>
      </c>
      <c r="L6" s="38"/>
      <c r="M6" s="38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35"/>
      <c r="Z6" s="35"/>
    </row>
    <row r="7" spans="1:26" ht="25.5" customHeight="1">
      <c r="A7" s="16"/>
      <c r="B7" s="61"/>
      <c r="C7" s="17"/>
      <c r="D7" s="17"/>
      <c r="E7" s="17"/>
      <c r="F7" s="17"/>
      <c r="G7" s="17"/>
      <c r="H7" s="17"/>
      <c r="I7" s="17"/>
      <c r="J7" s="17"/>
      <c r="K7" s="17"/>
      <c r="L7" s="32"/>
      <c r="M7" s="18"/>
      <c r="N7" s="38"/>
      <c r="O7" s="38"/>
      <c r="P7" s="38"/>
      <c r="Q7" s="38"/>
      <c r="R7" s="38"/>
      <c r="S7" s="38"/>
      <c r="T7" s="38"/>
      <c r="U7" s="38"/>
      <c r="V7" s="38"/>
      <c r="W7" s="38"/>
      <c r="X7" s="38"/>
      <c r="Y7" s="22"/>
      <c r="Z7" s="22"/>
    </row>
    <row r="8" spans="1:26" ht="24" customHeight="1" thickBot="1">
      <c r="A8" s="84" t="s">
        <v>45</v>
      </c>
      <c r="B8" s="17" t="s">
        <v>29</v>
      </c>
      <c r="C8" s="85" t="str">
        <f ca="1">C29</f>
        <v>01/01/2019</v>
      </c>
      <c r="D8" s="60"/>
      <c r="E8" s="60" t="s">
        <v>28</v>
      </c>
      <c r="F8" s="85" t="str">
        <f ca="1">F15</f>
        <v>31/12/2021</v>
      </c>
      <c r="G8" s="18"/>
      <c r="H8" s="18"/>
      <c r="I8" s="18" t="s">
        <v>46</v>
      </c>
      <c r="J8" s="18"/>
      <c r="K8" s="18"/>
      <c r="L8" s="33"/>
      <c r="M8" s="34"/>
      <c r="N8" s="35"/>
      <c r="O8" s="35"/>
      <c r="P8" s="35"/>
      <c r="Q8" s="35"/>
      <c r="R8" s="35"/>
      <c r="S8" s="35"/>
      <c r="T8" s="35"/>
      <c r="U8" s="35"/>
      <c r="V8" s="35"/>
      <c r="W8" s="35"/>
      <c r="X8" s="35"/>
      <c r="Y8" s="22"/>
      <c r="Z8" s="22"/>
    </row>
    <row r="9" spans="1:26" ht="45.6" thickBot="1">
      <c r="A9" s="86" t="s">
        <v>71</v>
      </c>
      <c r="B9" s="69" t="str">
        <f ca="1">"actions lancées depuis "&amp;YEAR(C8)</f>
        <v>actions lancées depuis 2019</v>
      </c>
      <c r="C9" s="70" t="str">
        <f>"actions clôturées"</f>
        <v>actions clôturées</v>
      </c>
      <c r="D9" s="70" t="s">
        <v>38</v>
      </c>
      <c r="E9" s="71" t="s">
        <v>32</v>
      </c>
      <c r="F9" s="71" t="s">
        <v>30</v>
      </c>
      <c r="G9" s="71" t="s">
        <v>31</v>
      </c>
      <c r="H9" s="71" t="s">
        <v>33</v>
      </c>
      <c r="I9" s="72" t="s">
        <v>14</v>
      </c>
      <c r="J9" s="73" t="s">
        <v>39</v>
      </c>
      <c r="K9" s="73" t="s">
        <v>40</v>
      </c>
      <c r="L9" s="87"/>
      <c r="M9" s="37"/>
      <c r="N9" s="35"/>
      <c r="O9" s="35"/>
      <c r="P9" s="35"/>
      <c r="Q9" s="35"/>
      <c r="R9" s="35"/>
      <c r="S9" s="35"/>
      <c r="T9" s="35"/>
      <c r="U9" s="35"/>
      <c r="V9" s="35"/>
      <c r="W9" s="35"/>
      <c r="X9" s="35"/>
      <c r="Y9" s="22"/>
      <c r="Z9" s="22"/>
    </row>
    <row r="10" spans="1:26" ht="23.4" thickBot="1">
      <c r="A10" s="88" t="s">
        <v>47</v>
      </c>
      <c r="B10" s="75">
        <f ca="1">COUNTIFS(origine,A9,date_action,"&gt;="&amp;$C8,date_action,"&lt;="&amp;$F8)</f>
        <v>11</v>
      </c>
      <c r="C10" s="39">
        <f ca="1">COUNTIFS(origine,A9,date_fin,"&gt;="&amp;$C8,date_fin,"&lt;="&amp;$F8,statut,"=5")</f>
        <v>8</v>
      </c>
      <c r="D10" s="66">
        <f ca="1">COUNTIFS(origine,A9,date_fin,"&gt;="&amp;$C8,date_fin,"&lt;="&amp;$F8,statut,"=5",retard,"&gt;0")</f>
        <v>5</v>
      </c>
      <c r="E10" s="77">
        <f ca="1">COUNTIFS(origine,A9,date_action,"&gt;="&amp;$C8,date_action,"&lt;="&amp;$F8,statut,"&lt;5")</f>
        <v>3</v>
      </c>
      <c r="F10" s="78">
        <f ca="1">COUNTIFS(origine,A9,date_action,"&gt;="&amp;$C8,date_action,"&lt;="&amp;$F8,statut,"=4")</f>
        <v>1</v>
      </c>
      <c r="G10" s="78">
        <f ca="1">COUNTIFS(origine,A9,date_action,"&gt;="&amp;$C8,date_action,"&lt;="&amp;$F8,statut,"=3")</f>
        <v>0</v>
      </c>
      <c r="H10" s="78">
        <f ca="1">COUNTIFS(origine,A9,date_action,"&gt;="&amp;$C8,date_action,"&lt;="&amp;$F8,statut,"=1")+COUNTIFS(origine,A9,date_action,"&gt;="&amp;$C8,date_action,"&lt;="&amp;$F8,statut,"=2")</f>
        <v>2</v>
      </c>
      <c r="I10" s="41">
        <f ca="1">COUNTIFS(origine,A9,statut,"&lt;5",retard,"&gt;0")</f>
        <v>2</v>
      </c>
      <c r="J10" s="80">
        <f ca="1">COUNTIFS(origine,A9,date_action,"&gt;="&amp;$C8,date_action,"&lt;="&amp;$F8,Priorité,"")</f>
        <v>0</v>
      </c>
      <c r="K10" s="80">
        <f ca="1">COUNTIFS(origine,A9,date_action,"&gt;="&amp;$C8,date_action,"&lt;="&amp;$F8,statut,"="&amp;"")</f>
        <v>0</v>
      </c>
      <c r="L10" s="89"/>
      <c r="M10" s="37"/>
      <c r="N10" s="35"/>
      <c r="O10" s="35"/>
      <c r="P10" s="35"/>
      <c r="Q10" s="35"/>
      <c r="R10" s="35"/>
      <c r="S10" s="35"/>
      <c r="T10" s="35"/>
      <c r="U10" s="35"/>
      <c r="V10" s="35"/>
      <c r="W10" s="35"/>
      <c r="X10" s="35"/>
      <c r="Y10" s="22"/>
      <c r="Z10" s="22"/>
    </row>
    <row r="11" spans="1:26" ht="15.6" thickBot="1">
      <c r="A11" s="81" t="s">
        <v>37</v>
      </c>
      <c r="B11" s="75">
        <f ca="1">COUNTIFS(Priorité,"P1",origine,A9,date_action,"&gt;="&amp;$C8,date_action,"&lt;="&amp;$F8)</f>
        <v>3</v>
      </c>
      <c r="C11" s="39">
        <f ca="1">COUNTIFS(Priorité,"P1",origine,A9,date_fin,"&gt;="&amp;$C8,date_fin,"&lt;="&amp;$F8,statut,"=5")</f>
        <v>2</v>
      </c>
      <c r="D11" s="66">
        <f ca="1">COUNTIFS(Priorité,"P1",origine,A9,date_fin,"&gt;="&amp;$C8,date_fin,"&lt;="&amp;$F8,statut,"=5",retard,"&gt;0")</f>
        <v>1</v>
      </c>
      <c r="E11" s="77">
        <f ca="1">COUNTIFS(Priorité,"P1",origine,A9,date_action,"&gt;="&amp;$C8,date_action,"&lt;="&amp;$F8,statut,"&lt;5")</f>
        <v>1</v>
      </c>
      <c r="F11" s="78">
        <f ca="1">COUNTIFS(Priorité,"P1",origine,A9,date_action,"&gt;="&amp;$C8,date_action,"&lt;="&amp;$F8,statut,"=4")</f>
        <v>1</v>
      </c>
      <c r="G11" s="78">
        <f ca="1">COUNTIFS(Priorité,"P1",origine,A9,date_action,"&gt;="&amp;$C8,date_action,"&lt;="&amp;$F8,statut,"=3")</f>
        <v>0</v>
      </c>
      <c r="H11" s="78">
        <f ca="1">COUNTIFS(Priorité,"P1",origine,A9,date_action,"&gt;="&amp;$C8,date_action,"&lt;="&amp;$F8,statut,"=1")+COUNTIFS(origine,A9,date_action,"&gt;="&amp;$C8,date_action,"&lt;="&amp;$F8,statut,"=2")</f>
        <v>1</v>
      </c>
      <c r="I11" s="41">
        <f ca="1">COUNTIFS(Priorité,"P1",origine,A9,statut,"&lt;5",retard,"&gt;0")</f>
        <v>0</v>
      </c>
      <c r="J11" s="82" t="s">
        <v>41</v>
      </c>
      <c r="K11" s="82" t="s">
        <v>42</v>
      </c>
      <c r="L11" s="38"/>
      <c r="M11" s="38"/>
      <c r="N11" s="22"/>
      <c r="O11" s="22"/>
      <c r="P11" s="22"/>
      <c r="Q11" s="22"/>
      <c r="R11" s="22"/>
      <c r="S11" s="22"/>
      <c r="T11" s="22"/>
      <c r="U11" s="22"/>
      <c r="V11" s="22"/>
      <c r="W11" s="22"/>
      <c r="X11" s="22"/>
      <c r="Y11" s="22"/>
      <c r="Z11" s="22"/>
    </row>
    <row r="12" spans="1:26" ht="15.6" thickBot="1">
      <c r="A12" s="81" t="s">
        <v>35</v>
      </c>
      <c r="B12" s="75">
        <f ca="1">COUNTIFS(Priorité,"P2",origine,A9,date_action,"&gt;="&amp;$C8,date_action,"&lt;="&amp;$F8)</f>
        <v>8</v>
      </c>
      <c r="C12" s="39">
        <f ca="1">COUNTIFS(Priorité,"P2",origine,A9,date_fin,"&gt;="&amp;$C8,date_fin,"&lt;="&amp;$F8,statut,"=5")</f>
        <v>6</v>
      </c>
      <c r="D12" s="66">
        <f ca="1">COUNTIFS(Priorité,"P2",origine,A9,date_fin,"&gt;="&amp;$C8,date_fin,"&lt;="&amp;$F8,statut,"=5",retard,"&gt;0")</f>
        <v>4</v>
      </c>
      <c r="E12" s="77">
        <f ca="1">COUNTIFS(Priorité,"P2",origine,A9,date_action,"&gt;="&amp;$C8,date_action,"&lt;="&amp;$F8,statut,"&lt;5")</f>
        <v>2</v>
      </c>
      <c r="F12" s="78">
        <f ca="1">COUNTIFS(Priorité,"P2",origine,A9,date_action,"&gt;="&amp;$C8,date_action,"&lt;="&amp;$F8,statut,"=4")</f>
        <v>0</v>
      </c>
      <c r="G12" s="78">
        <f ca="1">COUNTIFS(Priorité,"P2",origine,A9,date_action,"&gt;="&amp;$C8,date_action,"&lt;="&amp;$F8,statut,"=3")</f>
        <v>0</v>
      </c>
      <c r="H12" s="78">
        <f>COUNTIFS(Priorité,"P1",origine,A9,date_action,"&gt;="&amp;$C9,date_action,"&lt;="&amp;$F9,statut,"=1")+COUNTIFS(origine,A9,date_action,"&gt;="&amp;$C9,date_action,"&lt;="&amp;$F9,statut,"=2")</f>
        <v>0</v>
      </c>
      <c r="I12" s="41">
        <f ca="1">COUNTIFS(Priorité,"P2",origine,A9,statut,"&lt;5",retard,"&gt;0")</f>
        <v>2</v>
      </c>
      <c r="J12" s="83" t="s">
        <v>43</v>
      </c>
      <c r="K12" s="83" t="s">
        <v>44</v>
      </c>
      <c r="L12" s="38"/>
      <c r="M12" s="38"/>
      <c r="N12" s="22"/>
      <c r="O12" s="22"/>
      <c r="P12" s="22"/>
      <c r="Q12" s="22"/>
      <c r="R12" s="22"/>
      <c r="S12" s="22"/>
      <c r="T12" s="22"/>
      <c r="U12" s="22"/>
      <c r="V12" s="22"/>
      <c r="W12" s="22"/>
      <c r="X12" s="22"/>
      <c r="Y12" s="22"/>
      <c r="Z12" s="22"/>
    </row>
    <row r="13" spans="1:26" ht="24" customHeight="1" thickBot="1">
      <c r="A13" s="81" t="s">
        <v>36</v>
      </c>
      <c r="B13" s="75">
        <f ca="1">COUNTIFS(Priorité,"P3",origine,A9,date_action,"&gt;="&amp;$C8,date_action,"&lt;="&amp;$F8)</f>
        <v>0</v>
      </c>
      <c r="C13" s="39">
        <f ca="1">COUNTIFS(Priorité,"P3",origine,A9,date_fin,"&gt;="&amp;$C8,date_fin,"&lt;="&amp;$F8,statut,"=5")</f>
        <v>0</v>
      </c>
      <c r="D13" s="66">
        <f ca="1">COUNTIFS(Priorité,"P3",origine,A9,date_fin,"&gt;="&amp;$C8,date_fin,"&lt;="&amp;$F8,statut,"=5",retard,"&gt;0")</f>
        <v>0</v>
      </c>
      <c r="E13" s="77">
        <f ca="1">COUNTIFS(Priorité,"P3",origine,A9,date_action,"&gt;="&amp;$C8,date_action,"&lt;="&amp;$F8,statut,"&lt;5")</f>
        <v>0</v>
      </c>
      <c r="F13" s="78">
        <f ca="1">COUNTIFS(Priorité,"P3",origine,A9,date_action,"&gt;="&amp;$C8,date_action,"&lt;="&amp;$F8,statut,"=4")</f>
        <v>0</v>
      </c>
      <c r="G13" s="78">
        <f ca="1">COUNTIFS(Priorité,"P3",origine,A9,date_action,"&gt;="&amp;$C8,date_action,"&lt;="&amp;$F8,statut,"=3")</f>
        <v>0</v>
      </c>
      <c r="H13" s="78">
        <f ca="1">COUNTIFS(Priorité,"P3",origine,A9,date_action,"&gt;="&amp;$C8,date_action,"&lt;="&amp;$F8,statut,"=1")+COUNTIFS(origine,A9,date_action,"&gt;="&amp;$C8,date_action,"&lt;="&amp;$F8,statut,"=2")</f>
        <v>1</v>
      </c>
      <c r="I13" s="41">
        <f>COUNTIFS(Priorité,"P3",origine,A9,statut,"&lt;5",retard,"&gt;0")</f>
        <v>0</v>
      </c>
      <c r="J13" s="80">
        <f ca="1">COUNTIFS(origine,A9,date_action,"&gt;="&amp;$C8,date_action,"&lt;="&amp;$F8,statut,"&lt;"&amp;"4",échéance_révisée,"&lt;&gt;"&amp;"")-G10</f>
        <v>0</v>
      </c>
      <c r="K13" s="80">
        <f ca="1">COUNTIFS(origine,A9,date_action,"&gt;="&amp;$C8,date_action,"&lt;="&amp;$F8,statut,"="&amp;5,date_fin,"="&amp;"")</f>
        <v>0</v>
      </c>
      <c r="L13" s="38"/>
      <c r="M13" s="38"/>
      <c r="N13" s="22"/>
      <c r="O13" s="22"/>
      <c r="P13" s="22"/>
      <c r="Q13" s="22"/>
      <c r="R13" s="22"/>
      <c r="S13" s="22"/>
      <c r="T13" s="22"/>
      <c r="U13" s="22"/>
      <c r="V13" s="22"/>
      <c r="W13" s="22"/>
      <c r="X13" s="22"/>
      <c r="Y13" s="22"/>
      <c r="Z13" s="22"/>
    </row>
    <row r="14" spans="1:26" ht="22.5" customHeight="1">
      <c r="A14" s="21"/>
      <c r="B14" s="62"/>
      <c r="C14" s="22"/>
      <c r="D14" s="22"/>
      <c r="E14" s="22"/>
      <c r="F14" s="22"/>
      <c r="G14" s="22"/>
      <c r="H14" s="22"/>
      <c r="I14" s="22"/>
      <c r="J14" s="22"/>
      <c r="K14" s="22"/>
      <c r="L14" s="22"/>
      <c r="M14" s="22"/>
      <c r="N14" s="22"/>
      <c r="O14" s="22"/>
      <c r="P14" s="22"/>
      <c r="Q14" s="22"/>
      <c r="R14" s="22"/>
      <c r="S14" s="22"/>
      <c r="T14" s="22"/>
      <c r="U14" s="22"/>
      <c r="V14" s="22"/>
      <c r="W14" s="22"/>
      <c r="X14" s="22"/>
      <c r="Y14" s="22"/>
      <c r="Z14" s="22"/>
    </row>
    <row r="15" spans="1:26" ht="24.75" customHeight="1" thickBot="1">
      <c r="A15" s="113">
        <f ca="1">YEAR(TODAY())</f>
        <v>2021</v>
      </c>
      <c r="B15" s="17" t="s">
        <v>29</v>
      </c>
      <c r="C15" s="85" t="str">
        <f ca="1">"01/01/"&amp;A15</f>
        <v>01/01/2021</v>
      </c>
      <c r="D15" s="60"/>
      <c r="E15" s="60" t="s">
        <v>28</v>
      </c>
      <c r="F15" s="85" t="str">
        <f ca="1">"31/12/"&amp;A15</f>
        <v>31/12/2021</v>
      </c>
      <c r="G15" s="18"/>
      <c r="H15" s="18"/>
      <c r="I15" s="18" t="s">
        <v>46</v>
      </c>
      <c r="J15" s="18"/>
      <c r="K15" s="18"/>
      <c r="L15" s="33"/>
      <c r="M15" s="34"/>
      <c r="N15" s="35"/>
      <c r="O15" s="35"/>
      <c r="P15" s="35"/>
      <c r="Q15" s="35"/>
      <c r="R15" s="35"/>
      <c r="S15" s="35"/>
      <c r="T15" s="35"/>
      <c r="U15" s="35"/>
      <c r="V15" s="35"/>
      <c r="W15" s="35"/>
      <c r="X15" s="35"/>
      <c r="Y15" s="22"/>
      <c r="Z15" s="22"/>
    </row>
    <row r="16" spans="1:26" ht="45.6" thickBot="1">
      <c r="A16" s="86" t="s">
        <v>71</v>
      </c>
      <c r="B16" s="69" t="str">
        <f ca="1">"actions lancées en "&amp;YEAR(C15)</f>
        <v>actions lancées en 2021</v>
      </c>
      <c r="C16" s="70" t="str">
        <f ca="1">"actions clôturées en "&amp;YEAR(C15)</f>
        <v>actions clôturées en 2021</v>
      </c>
      <c r="D16" s="70" t="s">
        <v>38</v>
      </c>
      <c r="E16" s="71" t="s">
        <v>32</v>
      </c>
      <c r="F16" s="71" t="s">
        <v>30</v>
      </c>
      <c r="G16" s="71" t="s">
        <v>31</v>
      </c>
      <c r="H16" s="71" t="s">
        <v>33</v>
      </c>
      <c r="I16" s="72" t="s">
        <v>14</v>
      </c>
      <c r="J16" s="73" t="s">
        <v>39</v>
      </c>
      <c r="K16" s="73" t="s">
        <v>40</v>
      </c>
      <c r="L16" s="87"/>
      <c r="M16" s="37"/>
      <c r="N16" s="35"/>
      <c r="O16" s="35"/>
      <c r="P16" s="35"/>
      <c r="Q16" s="35"/>
      <c r="R16" s="35"/>
      <c r="S16" s="35"/>
      <c r="T16" s="35"/>
      <c r="U16" s="35"/>
      <c r="V16" s="35"/>
      <c r="W16" s="35"/>
      <c r="X16" s="35"/>
      <c r="Y16" s="22"/>
      <c r="Z16" s="22"/>
    </row>
    <row r="17" spans="1:26" ht="33.6" customHeight="1" thickBot="1">
      <c r="A17" s="88" t="s">
        <v>47</v>
      </c>
      <c r="B17" s="75">
        <f ca="1">COUNTIFS(origine,A16,date_action,"&gt;="&amp;$C15,date_action,"&lt;="&amp;$F15)</f>
        <v>0</v>
      </c>
      <c r="C17" s="39">
        <f ca="1">COUNTIFS(origine,A16,date_fin,"&gt;="&amp;$C15,date_fin,"&lt;="&amp;$F15,statut,"=5")</f>
        <v>4</v>
      </c>
      <c r="D17" s="66">
        <f ca="1">COUNTIFS(origine,A16,date_fin,"&gt;="&amp;$C15,date_fin,"&lt;="&amp;$F15,statut,"=5",retard,"&gt;0")</f>
        <v>4</v>
      </c>
      <c r="E17" s="77">
        <f ca="1">COUNTIFS(origine,A16,date_action,"&gt;="&amp;$C15,date_action,"&lt;="&amp;$F15,statut,"&lt;5")</f>
        <v>0</v>
      </c>
      <c r="F17" s="78">
        <f ca="1">COUNTIFS(origine,A16,date_action,"&gt;="&amp;$C15,date_action,"&lt;="&amp;$F15,statut,"=4")</f>
        <v>0</v>
      </c>
      <c r="G17" s="78">
        <f ca="1">COUNTIFS(origine,A16,date_action,"&gt;="&amp;$C15,date_action,"&lt;="&amp;$F15,statut,"=3")</f>
        <v>0</v>
      </c>
      <c r="H17" s="78">
        <f ca="1">COUNTIFS(origine,A16,date_action,"&gt;="&amp;$C15,date_action,"&lt;="&amp;$F15,statut,"=1")+COUNTIFS(origine,A16,date_action,"&gt;="&amp;$C15,date_action,"&lt;="&amp;$F15,statut,"=2")</f>
        <v>0</v>
      </c>
      <c r="I17" s="41">
        <f ca="1">COUNTIFS(origine,A16,statut,"&lt;5",retard,"&gt;0")</f>
        <v>2</v>
      </c>
      <c r="J17" s="80">
        <f ca="1">COUNTIFS(origine,A16,date_action,"&gt;="&amp;$C15,date_action,"&lt;="&amp;$F15,Priorité,"")</f>
        <v>0</v>
      </c>
      <c r="K17" s="80">
        <f ca="1">COUNTIFS(origine,A16,date_action,"&gt;="&amp;$C15,date_action,"&lt;="&amp;$F15,statut,"="&amp;"")</f>
        <v>0</v>
      </c>
      <c r="L17" s="89"/>
      <c r="M17" s="37"/>
      <c r="N17" s="35"/>
      <c r="O17" s="35"/>
      <c r="P17" s="35"/>
      <c r="Q17" s="35"/>
      <c r="R17" s="35"/>
      <c r="S17" s="35"/>
      <c r="T17" s="35"/>
      <c r="U17" s="35"/>
      <c r="V17" s="35"/>
      <c r="W17" s="35"/>
      <c r="X17" s="35"/>
      <c r="Y17" s="22"/>
      <c r="Z17" s="22"/>
    </row>
    <row r="18" spans="1:26" ht="15.6" thickBot="1">
      <c r="A18" s="81" t="s">
        <v>37</v>
      </c>
      <c r="B18" s="75">
        <f ca="1">COUNTIFS(Priorité,"P1",origine,A16,date_action,"&gt;="&amp;$C15,date_action,"&lt;="&amp;$F15)</f>
        <v>0</v>
      </c>
      <c r="C18" s="39">
        <f ca="1">COUNTIFS(Priorité,"P1",origine,A16,date_fin,"&gt;="&amp;$C15,date_fin,"&lt;="&amp;$F15,statut,"=5")</f>
        <v>1</v>
      </c>
      <c r="D18" s="66">
        <f ca="1">COUNTIFS(Priorité,"P1",origine,A16,date_fin,"&gt;="&amp;$C15,date_fin,"&lt;="&amp;$F15,statut,"=5",retard,"&gt;0")</f>
        <v>1</v>
      </c>
      <c r="E18" s="77">
        <f ca="1">COUNTIFS(Priorité,"P1",origine,A16,date_action,"&gt;="&amp;$C15,date_action,"&lt;="&amp;$F15,statut,"&lt;5")</f>
        <v>0</v>
      </c>
      <c r="F18" s="78">
        <f ca="1">COUNTIFS(Priorité,"P1",origine,A16,date_action,"&gt;="&amp;$C15,date_action,"&lt;="&amp;$F15,statut,"=4")</f>
        <v>0</v>
      </c>
      <c r="G18" s="78">
        <f ca="1">COUNTIFS(Priorité,"P1",origine,A16,date_action,"&gt;="&amp;$C15,date_action,"&lt;="&amp;$F15,statut,"=3")</f>
        <v>0</v>
      </c>
      <c r="H18" s="78">
        <f ca="1">COUNTIFS(Priorité,"P1",origine,A16,date_action,"&gt;="&amp;$C15,date_action,"&lt;="&amp;$F15,statut,"=1")+COUNTIFS(origine,A16,date_action,"&gt;="&amp;$C15,date_action,"&lt;="&amp;$F15,statut,"=2")</f>
        <v>0</v>
      </c>
      <c r="I18" s="41">
        <f ca="1">COUNTIFS(Priorité,"P1",origine,A16,statut,"&lt;5",retard,"&gt;0")</f>
        <v>0</v>
      </c>
      <c r="J18" s="82" t="s">
        <v>41</v>
      </c>
      <c r="K18" s="82" t="s">
        <v>42</v>
      </c>
      <c r="L18" s="38"/>
      <c r="M18" s="38"/>
      <c r="N18" s="22"/>
      <c r="O18" s="22"/>
      <c r="P18" s="22"/>
      <c r="Q18" s="22"/>
      <c r="R18" s="22"/>
      <c r="S18" s="22"/>
      <c r="T18" s="22"/>
      <c r="U18" s="22"/>
      <c r="V18" s="22"/>
      <c r="W18" s="22"/>
      <c r="X18" s="22"/>
      <c r="Y18" s="22"/>
      <c r="Z18" s="22"/>
    </row>
    <row r="19" spans="1:26" ht="15.6" thickBot="1">
      <c r="A19" s="81" t="s">
        <v>35</v>
      </c>
      <c r="B19" s="75">
        <f ca="1">COUNTIFS(Priorité,"P2",origine,A16,date_action,"&gt;="&amp;$C15,date_action,"&lt;="&amp;$F15)</f>
        <v>0</v>
      </c>
      <c r="C19" s="39">
        <f ca="1">COUNTIFS(Priorité,"P2",origine,A16,date_fin,"&gt;="&amp;$C15,date_fin,"&lt;="&amp;$F15,statut,"=5")</f>
        <v>3</v>
      </c>
      <c r="D19" s="66">
        <f ca="1">COUNTIFS(Priorité,"P2",origine,A16,date_fin,"&gt;="&amp;$C15,date_fin,"&lt;="&amp;$F15,statut,"=5",retard,"&gt;0")</f>
        <v>3</v>
      </c>
      <c r="E19" s="77">
        <f ca="1">COUNTIFS(Priorité,"P2",origine,A16,date_action,"&gt;="&amp;$C15,date_action,"&lt;="&amp;$F15,statut,"&lt;5")</f>
        <v>0</v>
      </c>
      <c r="F19" s="78">
        <f ca="1">COUNTIFS(Priorité,"P2",origine,A16,date_action,"&gt;="&amp;$C15,date_action,"&lt;="&amp;$F15,statut,"=4")</f>
        <v>0</v>
      </c>
      <c r="G19" s="78">
        <f ca="1">COUNTIFS(Priorité,"P2",origine,A16,date_action,"&gt;="&amp;$C15,date_action,"&lt;="&amp;$F15,statut,"=3")</f>
        <v>0</v>
      </c>
      <c r="H19" s="78">
        <f ca="1">COUNTIFS(Priorité,"P1",origine,A16,date_action,"&gt;="&amp;$C16,date_action,"&lt;="&amp;$F16,statut,"=1")+COUNTIFS(origine,A16,date_action,"&gt;="&amp;$C16,date_action,"&lt;="&amp;$F16,statut,"=2")</f>
        <v>0</v>
      </c>
      <c r="I19" s="41">
        <f ca="1">COUNTIFS(Priorité,"P2",origine,A16,statut,"&lt;5",retard,"&gt;0")</f>
        <v>2</v>
      </c>
      <c r="J19" s="83" t="s">
        <v>43</v>
      </c>
      <c r="K19" s="83" t="s">
        <v>44</v>
      </c>
      <c r="L19" s="38"/>
      <c r="M19" s="38"/>
      <c r="N19" s="22"/>
      <c r="O19" s="22"/>
      <c r="P19" s="22"/>
      <c r="Q19" s="22"/>
      <c r="R19" s="22"/>
      <c r="S19" s="22"/>
      <c r="T19" s="22"/>
      <c r="U19" s="22"/>
      <c r="V19" s="22"/>
      <c r="W19" s="22"/>
      <c r="X19" s="22"/>
      <c r="Y19" s="22"/>
      <c r="Z19" s="22"/>
    </row>
    <row r="20" spans="1:26" ht="15.6" thickBot="1">
      <c r="A20" s="81" t="s">
        <v>36</v>
      </c>
      <c r="B20" s="75">
        <f ca="1">COUNTIFS(Priorité,"P3",origine,A16,date_action,"&gt;="&amp;$C15,date_action,"&lt;="&amp;$F15)</f>
        <v>0</v>
      </c>
      <c r="C20" s="39">
        <f ca="1">COUNTIFS(Priorité,"P3",origine,A16,date_fin,"&gt;="&amp;$C15,date_fin,"&lt;="&amp;$F15,statut,"=5")</f>
        <v>0</v>
      </c>
      <c r="D20" s="66">
        <f ca="1">COUNTIFS(Priorité,"P3",origine,A16,date_fin,"&gt;="&amp;$C15,date_fin,"&lt;="&amp;$F15,statut,"=5",retard,"&gt;0")</f>
        <v>0</v>
      </c>
      <c r="E20" s="77">
        <f ca="1">COUNTIFS(Priorité,"P3",origine,A16,date_action,"&gt;="&amp;$C15,date_action,"&lt;="&amp;$F15,statut,"&lt;5")</f>
        <v>0</v>
      </c>
      <c r="F20" s="78">
        <f ca="1">COUNTIFS(Priorité,"P3",origine,A16,date_action,"&gt;="&amp;$C15,date_action,"&lt;="&amp;$F15,statut,"=4")</f>
        <v>0</v>
      </c>
      <c r="G20" s="78">
        <f ca="1">COUNTIFS(Priorité,"P3",origine,A16,date_action,"&gt;="&amp;$C15,date_action,"&lt;="&amp;$F15,statut,"=3")</f>
        <v>0</v>
      </c>
      <c r="H20" s="78">
        <f ca="1">COUNTIFS(Priorité,"P3",origine,A16,date_action,"&gt;="&amp;$C15,date_action,"&lt;="&amp;$F15,statut,"=1")+COUNTIFS(origine,A16,date_action,"&gt;="&amp;$C15,date_action,"&lt;="&amp;$F15,statut,"=2")</f>
        <v>0</v>
      </c>
      <c r="I20" s="41">
        <f>COUNTIFS(Priorité,"P3",origine,A16,statut,"&lt;5",retard,"&gt;0")</f>
        <v>0</v>
      </c>
      <c r="J20" s="80">
        <f ca="1">COUNTIFS(origine,A16,date_action,"&gt;="&amp;$C15,date_action,"&lt;="&amp;$F15,statut,"&lt;"&amp;"4",échéance_révisée,"&lt;&gt;"&amp;"")-G17</f>
        <v>0</v>
      </c>
      <c r="K20" s="80">
        <f ca="1">COUNTIFS(origine,A16,date_action,"&gt;="&amp;$C15,date_action,"&lt;="&amp;$F15,statut,"="&amp;5,date_fin,"="&amp;"")</f>
        <v>0</v>
      </c>
      <c r="L20" s="38"/>
      <c r="M20" s="38"/>
      <c r="N20" s="22"/>
      <c r="O20" s="22"/>
      <c r="P20" s="22"/>
      <c r="Q20" s="22"/>
      <c r="R20" s="22"/>
      <c r="S20" s="22"/>
      <c r="T20" s="22"/>
      <c r="U20" s="22"/>
      <c r="V20" s="22"/>
      <c r="W20" s="22"/>
      <c r="X20" s="22"/>
      <c r="Y20" s="22"/>
      <c r="Z20" s="22"/>
    </row>
    <row r="21" spans="1:26">
      <c r="A21" s="21"/>
      <c r="B21" s="62"/>
      <c r="C21" s="22"/>
      <c r="D21" s="22"/>
      <c r="E21" s="22"/>
      <c r="F21" s="22"/>
      <c r="G21" s="22"/>
      <c r="H21" s="22"/>
      <c r="I21" s="22"/>
      <c r="J21" s="22"/>
      <c r="K21" s="22"/>
      <c r="L21" s="22"/>
      <c r="M21" s="22"/>
      <c r="N21" s="22"/>
      <c r="O21" s="22"/>
      <c r="P21" s="22"/>
      <c r="Q21" s="22"/>
      <c r="R21" s="22"/>
      <c r="S21" s="22"/>
      <c r="T21" s="22"/>
      <c r="U21" s="22"/>
      <c r="V21" s="22"/>
      <c r="W21" s="22"/>
      <c r="X21" s="22"/>
      <c r="Y21" s="22"/>
      <c r="Z21" s="22"/>
    </row>
    <row r="22" spans="1:26" ht="16.2" thickBot="1">
      <c r="A22" s="113">
        <f ca="1">A15-1</f>
        <v>2020</v>
      </c>
      <c r="B22" s="17" t="s">
        <v>29</v>
      </c>
      <c r="C22" s="85" t="str">
        <f ca="1">"01/01/"&amp;A22</f>
        <v>01/01/2020</v>
      </c>
      <c r="D22" s="60"/>
      <c r="E22" s="60" t="s">
        <v>28</v>
      </c>
      <c r="F22" s="85" t="str">
        <f ca="1">"31/12/"&amp;A22</f>
        <v>31/12/2020</v>
      </c>
      <c r="G22" s="18"/>
      <c r="H22" s="18"/>
      <c r="I22" s="18" t="s">
        <v>46</v>
      </c>
      <c r="J22" s="18"/>
      <c r="K22" s="18"/>
      <c r="L22" s="22"/>
      <c r="M22" s="22"/>
      <c r="N22" s="22"/>
      <c r="O22" s="22"/>
      <c r="P22" s="22"/>
      <c r="Q22" s="22"/>
      <c r="R22" s="22"/>
      <c r="S22" s="22"/>
      <c r="T22" s="22"/>
      <c r="U22" s="22"/>
      <c r="V22" s="22"/>
      <c r="W22" s="22"/>
      <c r="X22" s="22"/>
      <c r="Y22" s="22"/>
      <c r="Z22" s="22"/>
    </row>
    <row r="23" spans="1:26" ht="45.6" thickBot="1">
      <c r="A23" s="86" t="s">
        <v>71</v>
      </c>
      <c r="B23" s="69" t="str">
        <f ca="1">"actions lancées en "&amp;YEAR(C22)</f>
        <v>actions lancées en 2020</v>
      </c>
      <c r="C23" s="70" t="str">
        <f ca="1">"actions clôturées en "&amp;YEAR(C22)</f>
        <v>actions clôturées en 2020</v>
      </c>
      <c r="D23" s="70" t="s">
        <v>38</v>
      </c>
      <c r="E23" s="71" t="s">
        <v>32</v>
      </c>
      <c r="F23" s="71" t="s">
        <v>30</v>
      </c>
      <c r="G23" s="71" t="s">
        <v>31</v>
      </c>
      <c r="H23" s="71" t="s">
        <v>33</v>
      </c>
      <c r="I23" s="72" t="s">
        <v>14</v>
      </c>
      <c r="J23" s="73" t="s">
        <v>39</v>
      </c>
      <c r="K23" s="73" t="s">
        <v>40</v>
      </c>
      <c r="L23" s="22"/>
      <c r="M23" s="22"/>
      <c r="N23" s="22"/>
      <c r="O23" s="22"/>
      <c r="P23" s="22"/>
      <c r="Q23" s="22"/>
      <c r="R23" s="22"/>
      <c r="S23" s="22"/>
      <c r="T23" s="22"/>
      <c r="U23" s="22"/>
      <c r="V23" s="22"/>
      <c r="W23" s="22"/>
      <c r="X23" s="22"/>
      <c r="Y23" s="22"/>
      <c r="Z23" s="22"/>
    </row>
    <row r="24" spans="1:26" ht="16.2" thickBot="1">
      <c r="A24" s="88" t="s">
        <v>47</v>
      </c>
      <c r="B24" s="75">
        <f ca="1">COUNTIFS(origine,A23,date_action,"&gt;="&amp;$C22,date_action,"&lt;="&amp;$F22)</f>
        <v>8</v>
      </c>
      <c r="C24" s="39">
        <f ca="1">COUNTIFS(origine,A23,date_fin,"&gt;="&amp;$C22,date_fin,"&lt;="&amp;$F22,statut,"=5")</f>
        <v>4</v>
      </c>
      <c r="D24" s="66">
        <f ca="1">COUNTIFS(origine,A23,date_fin,"&gt;="&amp;$C22,date_fin,"&lt;="&amp;$F22,statut,"=5",retard,"&gt;0")</f>
        <v>1</v>
      </c>
      <c r="E24" s="77">
        <f ca="1">COUNTIFS(origine,A23,date_action,"&gt;="&amp;$C22,date_action,"&lt;="&amp;$F22,statut,"&lt;5")</f>
        <v>2</v>
      </c>
      <c r="F24" s="78">
        <f ca="1">COUNTIFS(origine,A23,date_action,"&gt;="&amp;$C22,date_action,"&lt;="&amp;$F22,statut,"=4")</f>
        <v>1</v>
      </c>
      <c r="G24" s="78">
        <f ca="1">COUNTIFS(origine,A23,date_action,"&gt;="&amp;$C22,date_action,"&lt;="&amp;$F22,statut,"=3")</f>
        <v>0</v>
      </c>
      <c r="H24" s="78">
        <f ca="1">COUNTIFS(origine,A23,date_action,"&gt;="&amp;$C22,date_action,"&lt;="&amp;$F22,statut,"=1")+COUNTIFS(origine,A23,date_action,"&gt;="&amp;$C22,date_action,"&lt;="&amp;$F22,statut,"=2")</f>
        <v>1</v>
      </c>
      <c r="I24" s="79">
        <f ca="1">COUNTIFS(origine,A23,statut,"&lt;5",retard,"&gt;0")</f>
        <v>2</v>
      </c>
      <c r="J24" s="80">
        <f ca="1">COUNTIFS(origine,A23,date_action,"&gt;="&amp;$C22,date_action,"&lt;="&amp;$F22,Priorité,"")</f>
        <v>0</v>
      </c>
      <c r="K24" s="80">
        <f ca="1">COUNTIFS(origine,A23,date_action,"&gt;="&amp;$C22,date_action,"&lt;="&amp;$F22,statut,"="&amp;"")</f>
        <v>0</v>
      </c>
      <c r="L24" s="22"/>
      <c r="M24" s="22"/>
      <c r="N24" s="22"/>
      <c r="O24" s="22"/>
      <c r="P24" s="22"/>
      <c r="Q24" s="22"/>
      <c r="R24" s="22"/>
      <c r="S24" s="22"/>
      <c r="T24" s="22"/>
      <c r="U24" s="22"/>
      <c r="V24" s="22"/>
      <c r="W24" s="22"/>
      <c r="X24" s="22"/>
      <c r="Y24" s="22"/>
      <c r="Z24" s="22"/>
    </row>
    <row r="25" spans="1:26" ht="15.6" thickBot="1">
      <c r="A25" s="81" t="s">
        <v>37</v>
      </c>
      <c r="B25" s="75">
        <f ca="1">COUNTIFS(Priorité,"P1",origine,A23,date_action,"&gt;="&amp;$C22,date_action,"&lt;="&amp;$F22)</f>
        <v>2</v>
      </c>
      <c r="C25" s="39">
        <f ca="1">COUNTIFS(Priorité,"P1",origine,A23,date_fin,"&gt;="&amp;$C22,date_fin,"&lt;="&amp;$F22,statut,"=5")</f>
        <v>1</v>
      </c>
      <c r="D25" s="66">
        <f ca="1">COUNTIFS(Priorité,"P1",origine,A23,date_fin,"&gt;="&amp;$C22,date_fin,"&lt;="&amp;$F22,statut,"=5",retard,"&gt;0")</f>
        <v>0</v>
      </c>
      <c r="E25" s="77">
        <f ca="1">COUNTIFS(Priorité,"P1",origine,A23,date_action,"&gt;="&amp;$C22,date_action,"&lt;="&amp;$F22,statut,"&lt;5")</f>
        <v>1</v>
      </c>
      <c r="F25" s="78">
        <f ca="1">COUNTIFS(Priorité,"P1",origine,A23,date_action,"&gt;="&amp;$C22,date_action,"&lt;="&amp;$F22,statut,"=4")</f>
        <v>1</v>
      </c>
      <c r="G25" s="78">
        <f ca="1">COUNTIFS(Priorité,"P1",origine,A23,date_action,"&gt;="&amp;$C22,date_action,"&lt;="&amp;$F22,statut,"=3")</f>
        <v>0</v>
      </c>
      <c r="H25" s="78">
        <f ca="1">COUNTIFS(Priorité,"P1",origine,A23,date_action,"&gt;="&amp;$C22,date_action,"&lt;="&amp;$F22,statut,"=1")+COUNTIFS(origine,A23,date_action,"&gt;="&amp;$C22,date_action,"&lt;="&amp;$F22,statut,"=2")</f>
        <v>1</v>
      </c>
      <c r="I25" s="79">
        <f ca="1">COUNTIFS(Priorité,"P1",origine,A23,statut,"&lt;5",retard,"&gt;0")</f>
        <v>0</v>
      </c>
      <c r="J25" s="82" t="s">
        <v>41</v>
      </c>
      <c r="K25" s="82" t="s">
        <v>42</v>
      </c>
      <c r="L25" s="22"/>
      <c r="M25" s="22"/>
      <c r="N25" s="22"/>
      <c r="O25" s="22"/>
      <c r="P25" s="22"/>
      <c r="Q25" s="22"/>
      <c r="R25" s="22"/>
      <c r="S25" s="22"/>
      <c r="T25" s="22"/>
      <c r="U25" s="22"/>
      <c r="V25" s="22"/>
      <c r="W25" s="22"/>
      <c r="X25" s="22"/>
      <c r="Y25" s="22"/>
      <c r="Z25" s="22"/>
    </row>
    <row r="26" spans="1:26" ht="15.6" thickBot="1">
      <c r="A26" s="81" t="s">
        <v>35</v>
      </c>
      <c r="B26" s="75">
        <f ca="1">COUNTIFS(Priorité,"P2",origine,A23,date_action,"&gt;="&amp;$C22,date_action,"&lt;="&amp;$F22)</f>
        <v>6</v>
      </c>
      <c r="C26" s="39">
        <f ca="1">COUNTIFS(Priorité,"P2",origine,A23,date_fin,"&gt;="&amp;$C22,date_fin,"&lt;="&amp;$F22,statut,"=5")</f>
        <v>3</v>
      </c>
      <c r="D26" s="66">
        <f ca="1">COUNTIFS(Priorité,"P2",origine,A23,date_fin,"&gt;="&amp;$C22,date_fin,"&lt;="&amp;$F22,statut,"=5",retard,"&gt;0")</f>
        <v>1</v>
      </c>
      <c r="E26" s="77">
        <f ca="1">COUNTIFS(Priorité,"P2",origine,A23,date_action,"&gt;="&amp;$C22,date_action,"&lt;="&amp;$F22,statut,"&lt;5")</f>
        <v>1</v>
      </c>
      <c r="F26" s="78">
        <f ca="1">COUNTIFS(Priorité,"P2",origine,A23,date_action,"&gt;="&amp;$C22,date_action,"&lt;="&amp;$F22,statut,"=4")</f>
        <v>0</v>
      </c>
      <c r="G26" s="78">
        <f ca="1">COUNTIFS(Priorité,"P2",origine,A23,date_action,"&gt;="&amp;$C22,date_action,"&lt;="&amp;$F22,statut,"=3")</f>
        <v>0</v>
      </c>
      <c r="H26" s="78">
        <f ca="1">COUNTIFS(Priorité,"P1",origine,A23,date_action,"&gt;="&amp;$C23,date_action,"&lt;="&amp;$F23,statut,"=1")+COUNTIFS(origine,A23,date_action,"&gt;="&amp;$C23,date_action,"&lt;="&amp;$F23,statut,"=2")</f>
        <v>0</v>
      </c>
      <c r="I26" s="79">
        <f ca="1">COUNTIFS(Priorité,"P2",origine,A23,statut,"&lt;5",retard,"&gt;0")</f>
        <v>2</v>
      </c>
      <c r="J26" s="83" t="s">
        <v>43</v>
      </c>
      <c r="K26" s="83" t="s">
        <v>44</v>
      </c>
      <c r="L26" s="22"/>
      <c r="M26" s="22"/>
      <c r="N26" s="22"/>
      <c r="O26" s="22"/>
      <c r="P26" s="22"/>
      <c r="Q26" s="22"/>
      <c r="R26" s="22"/>
      <c r="S26" s="22"/>
      <c r="T26" s="22"/>
      <c r="U26" s="22"/>
      <c r="V26" s="22"/>
      <c r="W26" s="22"/>
      <c r="X26" s="22"/>
      <c r="Y26" s="22"/>
      <c r="Z26" s="22"/>
    </row>
    <row r="27" spans="1:26" ht="15.6" thickBot="1">
      <c r="A27" s="81" t="s">
        <v>36</v>
      </c>
      <c r="B27" s="75">
        <f ca="1">COUNTIFS(Priorité,"P3",origine,A23,date_action,"&gt;="&amp;$C22,date_action,"&lt;="&amp;$F22)</f>
        <v>0</v>
      </c>
      <c r="C27" s="39">
        <f ca="1">COUNTIFS(Priorité,"P3",origine,A23,date_fin,"&gt;="&amp;$C22,date_fin,"&lt;="&amp;$F22,statut,"=5")</f>
        <v>0</v>
      </c>
      <c r="D27" s="66">
        <f ca="1">COUNTIFS(Priorité,"P3",origine,A23,date_fin,"&gt;="&amp;$C22,date_fin,"&lt;="&amp;$F22,statut,"=5",retard,"&gt;0")</f>
        <v>0</v>
      </c>
      <c r="E27" s="77">
        <f ca="1">COUNTIFS(Priorité,"P3",origine,A23,date_action,"&gt;="&amp;$C22,date_action,"&lt;="&amp;$F22,statut,"&lt;5")</f>
        <v>0</v>
      </c>
      <c r="F27" s="78">
        <f ca="1">COUNTIFS(Priorité,"P3",origine,A23,date_action,"&gt;="&amp;$C22,date_action,"&lt;="&amp;$F22,statut,"=4")</f>
        <v>0</v>
      </c>
      <c r="G27" s="78">
        <f ca="1">COUNTIFS(Priorité,"P3",origine,A23,date_action,"&gt;="&amp;$C22,date_action,"&lt;="&amp;$F22,statut,"=3")</f>
        <v>0</v>
      </c>
      <c r="H27" s="78">
        <f ca="1">COUNTIFS(Priorité,"P3",origine,A23,date_action,"&gt;="&amp;$C22,date_action,"&lt;="&amp;$F22,statut,"=1")+COUNTIFS(origine,A23,date_action,"&gt;="&amp;$C22,date_action,"&lt;="&amp;$F22,statut,"=2")</f>
        <v>1</v>
      </c>
      <c r="I27" s="79">
        <f>COUNTIFS(Priorité,"P3",origine,A23,statut,"&lt;5",retard,"&gt;0")</f>
        <v>0</v>
      </c>
      <c r="J27" s="80">
        <f ca="1">COUNTIFS(origine,A23,date_action,"&gt;="&amp;$C22,date_action,"&lt;="&amp;$F22,statut,"&lt;"&amp;"4",échéance_révisée,"&lt;&gt;"&amp;"")-G24</f>
        <v>0</v>
      </c>
      <c r="K27" s="80">
        <f ca="1">COUNTIFS(origine,A23,date_action,"&gt;="&amp;$C22,date_action,"&lt;="&amp;$F22,statut,"="&amp;5,date_fin,"="&amp;"")</f>
        <v>0</v>
      </c>
      <c r="L27" s="22"/>
      <c r="M27" s="22"/>
      <c r="N27" s="22"/>
      <c r="O27" s="22"/>
      <c r="P27" s="22"/>
      <c r="Q27" s="22"/>
      <c r="R27" s="22"/>
      <c r="S27" s="22"/>
      <c r="T27" s="22"/>
      <c r="U27" s="22"/>
      <c r="V27" s="22"/>
      <c r="W27" s="22"/>
      <c r="X27" s="22"/>
    </row>
    <row r="28" spans="1:26">
      <c r="A28" s="90"/>
      <c r="B28" s="91"/>
      <c r="C28" s="92"/>
      <c r="D28" s="92"/>
      <c r="E28" s="92"/>
      <c r="F28" s="92"/>
      <c r="G28" s="92"/>
      <c r="H28" s="92"/>
      <c r="I28" s="93"/>
      <c r="J28" s="92"/>
      <c r="K28" s="92"/>
      <c r="L28" s="22"/>
      <c r="M28" s="22"/>
      <c r="N28" s="22"/>
      <c r="O28" s="22"/>
      <c r="P28" s="22"/>
      <c r="Q28" s="22"/>
      <c r="R28" s="22"/>
      <c r="S28" s="22"/>
      <c r="T28" s="22"/>
      <c r="U28" s="22"/>
      <c r="V28" s="22"/>
      <c r="W28" s="22"/>
      <c r="X28" s="22"/>
    </row>
    <row r="29" spans="1:26" ht="16.2" thickBot="1">
      <c r="A29" s="113">
        <f ca="1">A22-1</f>
        <v>2019</v>
      </c>
      <c r="B29" s="17" t="s">
        <v>29</v>
      </c>
      <c r="C29" s="85" t="str">
        <f ca="1">"01/01/"&amp;A29</f>
        <v>01/01/2019</v>
      </c>
      <c r="D29" s="60"/>
      <c r="E29" s="60" t="s">
        <v>28</v>
      </c>
      <c r="F29" s="85" t="str">
        <f ca="1">"31/12/"&amp;A29</f>
        <v>31/12/2019</v>
      </c>
      <c r="G29" s="18"/>
      <c r="H29" s="18"/>
      <c r="I29" s="18" t="s">
        <v>46</v>
      </c>
      <c r="J29" s="18"/>
      <c r="K29" s="18"/>
      <c r="L29" s="22"/>
      <c r="M29" s="22"/>
      <c r="N29" s="22"/>
      <c r="O29" s="22"/>
      <c r="P29" s="22"/>
      <c r="Q29" s="22"/>
      <c r="R29" s="22"/>
      <c r="S29" s="22"/>
      <c r="T29" s="22"/>
      <c r="U29" s="22"/>
      <c r="V29" s="22"/>
      <c r="W29" s="22"/>
      <c r="X29" s="22"/>
    </row>
    <row r="30" spans="1:26" ht="45.6" thickBot="1">
      <c r="A30" s="86" t="s">
        <v>71</v>
      </c>
      <c r="B30" s="69" t="str">
        <f ca="1">"actions lancées en "&amp;YEAR(C29)</f>
        <v>actions lancées en 2019</v>
      </c>
      <c r="C30" s="70" t="str">
        <f ca="1">"actions clôturées en "&amp;YEAR(C29)</f>
        <v>actions clôturées en 2019</v>
      </c>
      <c r="D30" s="70" t="s">
        <v>38</v>
      </c>
      <c r="E30" s="71" t="s">
        <v>32</v>
      </c>
      <c r="F30" s="71" t="s">
        <v>30</v>
      </c>
      <c r="G30" s="71" t="s">
        <v>31</v>
      </c>
      <c r="H30" s="71" t="s">
        <v>33</v>
      </c>
      <c r="I30" s="72" t="s">
        <v>14</v>
      </c>
      <c r="J30" s="73" t="s">
        <v>39</v>
      </c>
      <c r="K30" s="73" t="s">
        <v>40</v>
      </c>
      <c r="L30" s="22"/>
      <c r="M30" s="22"/>
      <c r="N30" s="22"/>
      <c r="O30" s="22"/>
      <c r="P30" s="22"/>
      <c r="Q30" s="22"/>
      <c r="R30" s="22"/>
      <c r="S30" s="22"/>
      <c r="T30" s="22"/>
      <c r="U30" s="22"/>
      <c r="V30" s="22"/>
      <c r="W30" s="22"/>
      <c r="X30" s="22"/>
    </row>
    <row r="31" spans="1:26" ht="16.2" thickBot="1">
      <c r="A31" s="88" t="s">
        <v>47</v>
      </c>
      <c r="B31" s="75">
        <f ca="1">COUNTIFS(origine,A30,date_action,"&gt;="&amp;$C29,date_action,"&lt;="&amp;$F29)</f>
        <v>3</v>
      </c>
      <c r="C31" s="39">
        <f ca="1">COUNTIFS(origine,A30,date_fin,"&gt;="&amp;$C29,date_fin,"&lt;="&amp;$F29,statut,"=5")</f>
        <v>0</v>
      </c>
      <c r="D31" s="66">
        <f ca="1">COUNTIFS(origine,A30,date_fin,"&gt;="&amp;$C29,date_fin,"&lt;="&amp;$F29,statut,"=5",retard,"&gt;0")</f>
        <v>0</v>
      </c>
      <c r="E31" s="77">
        <f ca="1">COUNTIFS(origine,A30,date_action,"&gt;="&amp;$C29,date_action,"&lt;="&amp;$F29,statut,"&lt;5")</f>
        <v>1</v>
      </c>
      <c r="F31" s="78">
        <f ca="1">COUNTIFS(origine,A30,date_action,"&gt;="&amp;$C29,date_action,"&lt;="&amp;$F29,statut,"=4")</f>
        <v>0</v>
      </c>
      <c r="G31" s="78">
        <f ca="1">COUNTIFS(origine,A30,date_action,"&gt;="&amp;$C29,date_action,"&lt;="&amp;$F29,statut,"=3")</f>
        <v>0</v>
      </c>
      <c r="H31" s="78">
        <f ca="1">COUNTIFS(origine,A30,date_action,"&gt;="&amp;$C29,date_action,"&lt;="&amp;$F29,statut,"=1")+COUNTIFS(origine,A30,date_action,"&gt;="&amp;$C29,date_action,"&lt;="&amp;$F29,statut,"=2")</f>
        <v>1</v>
      </c>
      <c r="I31" s="41">
        <f ca="1">COUNTIFS(origine,A30,statut,"&lt;5",retard,"&gt;0")</f>
        <v>2</v>
      </c>
      <c r="J31" s="80">
        <f ca="1">COUNTIFS(origine,A30,date_action,"&gt;="&amp;$C29,date_action,"&lt;="&amp;$F29,Priorité,"")</f>
        <v>0</v>
      </c>
      <c r="K31" s="80">
        <f ca="1">COUNTIFS(origine,A30,date_action,"&gt;="&amp;$C29,date_action,"&lt;="&amp;$F29,statut,"="&amp;"")</f>
        <v>0</v>
      </c>
      <c r="L31" s="22"/>
      <c r="M31" s="22"/>
      <c r="N31" s="22"/>
      <c r="O31" s="22"/>
      <c r="P31" s="22"/>
      <c r="Q31" s="22"/>
      <c r="R31" s="22"/>
      <c r="S31" s="22"/>
      <c r="T31" s="22"/>
      <c r="U31" s="22"/>
      <c r="V31" s="22"/>
      <c r="W31" s="22"/>
      <c r="X31" s="22"/>
    </row>
    <row r="32" spans="1:26" ht="15.6" thickBot="1">
      <c r="A32" s="81" t="s">
        <v>37</v>
      </c>
      <c r="B32" s="75">
        <f ca="1">COUNTIFS(Priorité,"P1",origine,A30,date_action,"&gt;="&amp;$C29,date_action,"&lt;="&amp;$F29)</f>
        <v>1</v>
      </c>
      <c r="C32" s="39">
        <f ca="1">COUNTIFS(Priorité,"P1",origine,A30,date_fin,"&gt;="&amp;$C29,date_fin,"&lt;="&amp;$F29,statut,"=5")</f>
        <v>0</v>
      </c>
      <c r="D32" s="66">
        <f ca="1">COUNTIFS(Priorité,"P1",origine,A30,date_fin,"&gt;="&amp;$C29,date_fin,"&lt;="&amp;$F29,statut,"=5",retard,"&gt;0")</f>
        <v>0</v>
      </c>
      <c r="E32" s="77">
        <f ca="1">COUNTIFS(Priorité,"P1",origine,A30,date_action,"&gt;="&amp;$C29,date_action,"&lt;="&amp;$F29,statut,"&lt;5")</f>
        <v>0</v>
      </c>
      <c r="F32" s="78">
        <f ca="1">COUNTIFS(Priorité,"P1",origine,A30,date_action,"&gt;="&amp;$C29,date_action,"&lt;="&amp;$F29,statut,"=4")</f>
        <v>0</v>
      </c>
      <c r="G32" s="78">
        <f ca="1">COUNTIFS(Priorité,"P1",origine,A30,date_action,"&gt;="&amp;$C29,date_action,"&lt;="&amp;$F29,statut,"=3")</f>
        <v>0</v>
      </c>
      <c r="H32" s="78">
        <f ca="1">COUNTIFS(Priorité,"P1",origine,A30,date_action,"&gt;="&amp;$C29,date_action,"&lt;="&amp;$F29,statut,"=1")+COUNTIFS(origine,A30,date_action,"&gt;="&amp;$C29,date_action,"&lt;="&amp;$F29,statut,"=2")</f>
        <v>0</v>
      </c>
      <c r="I32" s="41">
        <f ca="1">COUNTIFS(Priorité,"P1",origine,A30,statut,"&lt;5",retard,"&gt;0")</f>
        <v>0</v>
      </c>
      <c r="J32" s="82" t="s">
        <v>41</v>
      </c>
      <c r="K32" s="82" t="s">
        <v>42</v>
      </c>
      <c r="L32" s="22"/>
      <c r="M32" s="22"/>
      <c r="N32" s="22"/>
      <c r="O32" s="22"/>
      <c r="P32" s="22"/>
      <c r="Q32" s="22"/>
      <c r="R32" s="22"/>
      <c r="S32" s="22"/>
      <c r="T32" s="22"/>
      <c r="U32" s="22"/>
      <c r="V32" s="22"/>
      <c r="W32" s="22"/>
      <c r="X32" s="22"/>
    </row>
    <row r="33" spans="1:24" ht="15.6" thickBot="1">
      <c r="A33" s="81" t="s">
        <v>35</v>
      </c>
      <c r="B33" s="75">
        <f ca="1">COUNTIFS(Priorité,"P2",origine,A30,date_action,"&gt;="&amp;$C29,date_action,"&lt;="&amp;$F29)</f>
        <v>2</v>
      </c>
      <c r="C33" s="39">
        <f ca="1">COUNTIFS(Priorité,"P2",origine,A30,date_fin,"&gt;="&amp;$C29,date_fin,"&lt;="&amp;$F29,statut,"=5")</f>
        <v>0</v>
      </c>
      <c r="D33" s="66">
        <f ca="1">COUNTIFS(Priorité,"P2",origine,A30,date_fin,"&gt;="&amp;$C29,date_fin,"&lt;="&amp;$F29,statut,"=5",retard,"&gt;0")</f>
        <v>0</v>
      </c>
      <c r="E33" s="77">
        <f ca="1">COUNTIFS(Priorité,"P2",origine,A30,date_action,"&gt;="&amp;$C29,date_action,"&lt;="&amp;$F29,statut,"&lt;5")</f>
        <v>1</v>
      </c>
      <c r="F33" s="78">
        <f ca="1">COUNTIFS(Priorité,"P2",origine,A30,date_action,"&gt;="&amp;$C29,date_action,"&lt;="&amp;$F29,statut,"=4")</f>
        <v>0</v>
      </c>
      <c r="G33" s="78">
        <f ca="1">COUNTIFS(Priorité,"P2",origine,A30,date_action,"&gt;="&amp;$C29,date_action,"&lt;="&amp;$F29,statut,"=3")</f>
        <v>0</v>
      </c>
      <c r="H33" s="78">
        <f ca="1">COUNTIFS(Priorité,"P1",origine,A30,date_action,"&gt;="&amp;$C30,date_action,"&lt;="&amp;$F30,statut,"=1")+COUNTIFS(origine,A30,date_action,"&gt;="&amp;$C30,date_action,"&lt;="&amp;$F30,statut,"=2")</f>
        <v>0</v>
      </c>
      <c r="I33" s="41">
        <f ca="1">COUNTIFS(Priorité,"P2",origine,A30,statut,"&lt;5",retard,"&gt;0")</f>
        <v>2</v>
      </c>
      <c r="J33" s="83" t="s">
        <v>43</v>
      </c>
      <c r="K33" s="83" t="s">
        <v>44</v>
      </c>
      <c r="L33" s="22"/>
      <c r="M33" s="22"/>
      <c r="N33" s="22"/>
      <c r="O33" s="22"/>
      <c r="P33" s="22"/>
      <c r="Q33" s="22"/>
      <c r="R33" s="22"/>
      <c r="S33" s="22"/>
      <c r="T33" s="22"/>
      <c r="U33" s="22"/>
      <c r="V33" s="22"/>
      <c r="W33" s="22"/>
      <c r="X33" s="22"/>
    </row>
    <row r="34" spans="1:24" ht="15.6" thickBot="1">
      <c r="A34" s="81" t="s">
        <v>36</v>
      </c>
      <c r="B34" s="75">
        <f ca="1">COUNTIFS(Priorité,"P3",origine,A30,date_action,"&gt;="&amp;$C29,date_action,"&lt;="&amp;$F29)</f>
        <v>0</v>
      </c>
      <c r="C34" s="39">
        <f ca="1">COUNTIFS(Priorité,"P3",origine,A30,date_fin,"&gt;="&amp;$C29,date_fin,"&lt;="&amp;$F29,statut,"=5")</f>
        <v>0</v>
      </c>
      <c r="D34" s="66">
        <f ca="1">COUNTIFS(Priorité,"P3",origine,A30,date_fin,"&gt;="&amp;$C29,date_fin,"&lt;="&amp;$F29,statut,"=5",retard,"&gt;0")</f>
        <v>0</v>
      </c>
      <c r="E34" s="77">
        <f ca="1">COUNTIFS(Priorité,"P3",origine,A30,date_action,"&gt;="&amp;$C29,date_action,"&lt;="&amp;$F29,statut,"&lt;5")</f>
        <v>0</v>
      </c>
      <c r="F34" s="78">
        <f ca="1">COUNTIFS(Priorité,"P3",origine,A30,date_action,"&gt;="&amp;$C29,date_action,"&lt;="&amp;$F29,statut,"=4")</f>
        <v>0</v>
      </c>
      <c r="G34" s="78">
        <f ca="1">COUNTIFS(Priorité,"P3",origine,A30,date_action,"&gt;="&amp;$C29,date_action,"&lt;="&amp;$F29,statut,"=3")</f>
        <v>0</v>
      </c>
      <c r="H34" s="78">
        <f ca="1">COUNTIFS(Priorité,"P3",origine,A30,date_action,"&gt;="&amp;$C29,date_action,"&lt;="&amp;$F29,statut,"=1")+COUNTIFS(origine,A30,date_action,"&gt;="&amp;$C29,date_action,"&lt;="&amp;$F29,statut,"=2")</f>
        <v>0</v>
      </c>
      <c r="I34" s="41">
        <f>COUNTIFS(Priorité,"P3",origine,A30,statut,"&lt;5",retard,"&gt;0")</f>
        <v>0</v>
      </c>
      <c r="J34" s="80">
        <f ca="1">COUNTIFS(origine,A30,date_action,"&gt;="&amp;$C29,date_action,"&lt;="&amp;$F29,statut,"&lt;"&amp;"4",échéance_révisée,"&lt;&gt;"&amp;"")-G31</f>
        <v>0</v>
      </c>
      <c r="K34" s="80">
        <f ca="1">COUNTIFS(origine,A30,date_action,"&gt;="&amp;$C29,date_action,"&lt;="&amp;$F29,statut,"="&amp;5,date_fin,"="&amp;"")</f>
        <v>0</v>
      </c>
      <c r="L34" s="22"/>
      <c r="M34" s="22"/>
      <c r="N34" s="22"/>
      <c r="O34" s="22"/>
      <c r="P34" s="22"/>
      <c r="Q34" s="22"/>
      <c r="R34" s="22"/>
      <c r="S34" s="22"/>
      <c r="T34" s="22"/>
      <c r="U34" s="22"/>
      <c r="V34" s="22"/>
      <c r="W34" s="22"/>
      <c r="X34" s="22"/>
    </row>
    <row r="35" spans="1:24">
      <c r="A35" s="23"/>
      <c r="B35" s="23"/>
      <c r="C35" s="22"/>
      <c r="D35" s="22"/>
      <c r="E35" s="22"/>
      <c r="F35" s="22"/>
      <c r="G35" s="22"/>
      <c r="H35" s="22"/>
      <c r="I35" s="22"/>
      <c r="J35" s="22"/>
      <c r="K35" s="22"/>
      <c r="L35" s="22"/>
      <c r="M35" s="22"/>
      <c r="N35" s="22"/>
      <c r="O35" s="22"/>
      <c r="P35" s="22"/>
      <c r="Q35" s="22"/>
      <c r="R35" s="22"/>
      <c r="S35" s="22"/>
      <c r="T35" s="22"/>
      <c r="U35" s="22"/>
      <c r="V35" s="22"/>
      <c r="W35" s="22"/>
      <c r="X35" s="22"/>
    </row>
    <row r="36" spans="1:24" ht="16.2" thickBot="1">
      <c r="A36" s="113">
        <f ca="1">A29-1</f>
        <v>2018</v>
      </c>
      <c r="B36" s="17" t="s">
        <v>29</v>
      </c>
      <c r="C36" s="85" t="str">
        <f ca="1">"01/01/"&amp;A36</f>
        <v>01/01/2018</v>
      </c>
      <c r="D36" s="60"/>
      <c r="E36" s="60" t="s">
        <v>28</v>
      </c>
      <c r="F36" s="85" t="str">
        <f ca="1">"31/12/"&amp;A36</f>
        <v>31/12/2018</v>
      </c>
      <c r="G36" s="18"/>
      <c r="H36" s="18"/>
      <c r="I36" s="18" t="s">
        <v>46</v>
      </c>
      <c r="J36" s="18"/>
      <c r="K36" s="18"/>
      <c r="L36" s="22"/>
      <c r="M36" s="22"/>
      <c r="N36" s="22"/>
      <c r="O36" s="22"/>
      <c r="P36" s="22"/>
      <c r="Q36" s="22"/>
      <c r="R36" s="22"/>
      <c r="S36" s="22"/>
      <c r="T36" s="22"/>
      <c r="U36" s="22"/>
      <c r="V36" s="22"/>
      <c r="W36" s="22"/>
      <c r="X36" s="22"/>
    </row>
    <row r="37" spans="1:24" ht="45.6" thickBot="1">
      <c r="A37" s="86" t="s">
        <v>71</v>
      </c>
      <c r="B37" s="69" t="str">
        <f ca="1">"actions lancées en "&amp;YEAR(C36)</f>
        <v>actions lancées en 2018</v>
      </c>
      <c r="C37" s="70" t="str">
        <f ca="1">"actions clôturées en "&amp;YEAR(C36)</f>
        <v>actions clôturées en 2018</v>
      </c>
      <c r="D37" s="70" t="s">
        <v>38</v>
      </c>
      <c r="E37" s="71" t="s">
        <v>32</v>
      </c>
      <c r="F37" s="71" t="s">
        <v>30</v>
      </c>
      <c r="G37" s="71" t="s">
        <v>31</v>
      </c>
      <c r="H37" s="71" t="s">
        <v>33</v>
      </c>
      <c r="I37" s="72" t="s">
        <v>14</v>
      </c>
      <c r="J37" s="73" t="s">
        <v>39</v>
      </c>
      <c r="K37" s="73" t="s">
        <v>40</v>
      </c>
      <c r="L37" s="22"/>
      <c r="M37" s="22"/>
      <c r="N37" s="22"/>
      <c r="O37" s="22"/>
      <c r="P37" s="22"/>
      <c r="Q37" s="22"/>
      <c r="R37" s="22"/>
      <c r="S37" s="22"/>
      <c r="T37" s="22"/>
      <c r="U37" s="22"/>
      <c r="V37" s="22"/>
      <c r="W37" s="22"/>
      <c r="X37" s="22"/>
    </row>
    <row r="38" spans="1:24" ht="16.2" thickBot="1">
      <c r="A38" s="88" t="s">
        <v>47</v>
      </c>
      <c r="B38" s="75">
        <f ca="1">COUNTIFS(origine,A37,date_action,"&gt;="&amp;$C36,date_action,"&lt;="&amp;$F36)</f>
        <v>0</v>
      </c>
      <c r="C38" s="39">
        <f ca="1">COUNTIFS(origine,A37,date_fin,"&gt;="&amp;$C36,date_fin,"&lt;="&amp;$F36,statut,"=5")</f>
        <v>0</v>
      </c>
      <c r="D38" s="66">
        <f ca="1">COUNTIFS(origine,A37,date_fin,"&gt;="&amp;$C36,date_fin,"&lt;="&amp;$F36,statut,"=5",retard,"&gt;0")</f>
        <v>0</v>
      </c>
      <c r="E38" s="77">
        <f ca="1">COUNTIFS(origine,A37,date_action,"&gt;="&amp;$C36,date_action,"&lt;="&amp;$F36,statut,"&lt;5")</f>
        <v>0</v>
      </c>
      <c r="F38" s="78">
        <f ca="1">COUNTIFS(origine,A37,date_action,"&gt;="&amp;$C36,date_action,"&lt;="&amp;$F36,statut,"=4")</f>
        <v>0</v>
      </c>
      <c r="G38" s="78">
        <f ca="1">COUNTIFS(origine,A37,date_action,"&gt;="&amp;$C36,date_action,"&lt;="&amp;$F36,statut,"=3")</f>
        <v>0</v>
      </c>
      <c r="H38" s="78">
        <f ca="1">COUNTIFS(origine,A37,date_action,"&gt;="&amp;$C36,date_action,"&lt;="&amp;$F36,statut,"=1")+COUNTIFS(origine,A37,date_action,"&gt;="&amp;$C36,date_action,"&lt;="&amp;$F36,statut,"=2")</f>
        <v>0</v>
      </c>
      <c r="I38" s="41">
        <f ca="1">COUNTIFS(origine,A37,statut,"&lt;5",retard,"&gt;0")</f>
        <v>2</v>
      </c>
      <c r="J38" s="80">
        <f ca="1">COUNTIFS(origine,A37,date_action,"&gt;="&amp;$C36,date_action,"&lt;="&amp;$F36,Priorité,"")</f>
        <v>0</v>
      </c>
      <c r="K38" s="80">
        <f ca="1">COUNTIFS(origine,A37,date_action,"&gt;="&amp;$C36,date_action,"&lt;="&amp;$F36,statut,"="&amp;"")</f>
        <v>0</v>
      </c>
      <c r="L38" s="22"/>
      <c r="M38" s="22"/>
      <c r="N38" s="22"/>
      <c r="O38" s="22"/>
      <c r="P38" s="22"/>
      <c r="Q38" s="22"/>
      <c r="R38" s="22"/>
      <c r="S38" s="22"/>
      <c r="T38" s="22"/>
      <c r="U38" s="22"/>
      <c r="V38" s="22"/>
      <c r="W38" s="22"/>
      <c r="X38" s="22"/>
    </row>
    <row r="39" spans="1:24" ht="15.6" thickBot="1">
      <c r="A39" s="81" t="s">
        <v>37</v>
      </c>
      <c r="B39" s="75">
        <f ca="1">COUNTIFS(Priorité,"P1",origine,A37,date_action,"&gt;="&amp;$C36,date_action,"&lt;="&amp;$F36)</f>
        <v>0</v>
      </c>
      <c r="C39" s="39">
        <f ca="1">COUNTIFS(Priorité,"P1",origine,A37,date_fin,"&gt;="&amp;$C36,date_fin,"&lt;="&amp;$F36,statut,"=5")</f>
        <v>0</v>
      </c>
      <c r="D39" s="66">
        <f ca="1">COUNTIFS(Priorité,"P1",origine,A37,date_fin,"&gt;="&amp;$C36,date_fin,"&lt;="&amp;$F36,statut,"=5",retard,"&gt;0")</f>
        <v>0</v>
      </c>
      <c r="E39" s="77">
        <f ca="1">COUNTIFS(Priorité,"P1",origine,A37,date_action,"&gt;="&amp;$C36,date_action,"&lt;="&amp;$F36,statut,"&lt;5")</f>
        <v>0</v>
      </c>
      <c r="F39" s="78">
        <f ca="1">COUNTIFS(Priorité,"P1",origine,A37,date_action,"&gt;="&amp;$C36,date_action,"&lt;="&amp;$F36,statut,"=4")</f>
        <v>0</v>
      </c>
      <c r="G39" s="78">
        <f ca="1">COUNTIFS(Priorité,"P1",origine,A37,date_action,"&gt;="&amp;$C36,date_action,"&lt;="&amp;$F36,statut,"=3")</f>
        <v>0</v>
      </c>
      <c r="H39" s="78">
        <f ca="1">COUNTIFS(Priorité,"P1",origine,A37,date_action,"&gt;="&amp;$C36,date_action,"&lt;="&amp;$F36,statut,"=1")+COUNTIFS(origine,A37,date_action,"&gt;="&amp;$C36,date_action,"&lt;="&amp;$F36,statut,"=2")</f>
        <v>0</v>
      </c>
      <c r="I39" s="41">
        <f ca="1">COUNTIFS(Priorité,"P1",origine,A37,statut,"&lt;5",retard,"&gt;0")</f>
        <v>0</v>
      </c>
      <c r="J39" s="82" t="s">
        <v>41</v>
      </c>
      <c r="K39" s="82" t="s">
        <v>42</v>
      </c>
      <c r="L39" s="22"/>
      <c r="M39" s="22"/>
      <c r="N39" s="22"/>
      <c r="O39" s="22"/>
      <c r="P39" s="22"/>
      <c r="Q39" s="22"/>
      <c r="R39" s="22"/>
      <c r="S39" s="22"/>
      <c r="T39" s="22"/>
      <c r="U39" s="22"/>
      <c r="V39" s="22"/>
      <c r="W39" s="22"/>
      <c r="X39" s="22"/>
    </row>
    <row r="40" spans="1:24" ht="15.6" thickBot="1">
      <c r="A40" s="81" t="s">
        <v>35</v>
      </c>
      <c r="B40" s="75">
        <f ca="1">COUNTIFS(Priorité,"P2",origine,A37,date_action,"&gt;="&amp;$C36,date_action,"&lt;="&amp;$F36)</f>
        <v>0</v>
      </c>
      <c r="C40" s="39">
        <f ca="1">COUNTIFS(Priorité,"P2",origine,A37,date_fin,"&gt;="&amp;$C36,date_fin,"&lt;="&amp;$F36,statut,"=5")</f>
        <v>0</v>
      </c>
      <c r="D40" s="66">
        <f ca="1">COUNTIFS(Priorité,"P2",origine,A37,date_fin,"&gt;="&amp;$C36,date_fin,"&lt;="&amp;$F36,statut,"=5",retard,"&gt;0")</f>
        <v>0</v>
      </c>
      <c r="E40" s="77">
        <f ca="1">COUNTIFS(Priorité,"P2",origine,A37,date_action,"&gt;="&amp;$C36,date_action,"&lt;="&amp;$F36,statut,"&lt;5")</f>
        <v>0</v>
      </c>
      <c r="F40" s="78">
        <f ca="1">COUNTIFS(Priorité,"P2",origine,A37,date_action,"&gt;="&amp;$C36,date_action,"&lt;="&amp;$F36,statut,"=4")</f>
        <v>0</v>
      </c>
      <c r="G40" s="78">
        <f ca="1">COUNTIFS(Priorité,"P2",origine,A37,date_action,"&gt;="&amp;$C36,date_action,"&lt;="&amp;$F36,statut,"=3")</f>
        <v>0</v>
      </c>
      <c r="H40" s="78">
        <f ca="1">COUNTIFS(Priorité,"P1",origine,A37,date_action,"&gt;="&amp;$C37,date_action,"&lt;="&amp;$F37,statut,"=1")+COUNTIFS(origine,A37,date_action,"&gt;="&amp;$C37,date_action,"&lt;="&amp;$F37,statut,"=2")</f>
        <v>0</v>
      </c>
      <c r="I40" s="41">
        <f ca="1">COUNTIFS(Priorité,"P2",origine,A37,statut,"&lt;5",retard,"&gt;0")</f>
        <v>2</v>
      </c>
      <c r="J40" s="83" t="s">
        <v>43</v>
      </c>
      <c r="K40" s="83" t="s">
        <v>44</v>
      </c>
      <c r="L40" s="22"/>
      <c r="M40" s="22"/>
      <c r="N40" s="22"/>
      <c r="O40" s="22"/>
      <c r="P40" s="22"/>
      <c r="Q40" s="22"/>
      <c r="R40" s="22"/>
      <c r="S40" s="22"/>
      <c r="T40" s="22"/>
      <c r="U40" s="22"/>
      <c r="V40" s="22"/>
      <c r="W40" s="22"/>
      <c r="X40" s="22"/>
    </row>
    <row r="41" spans="1:24" ht="15.6" thickBot="1">
      <c r="A41" s="81" t="s">
        <v>36</v>
      </c>
      <c r="B41" s="75">
        <f ca="1">COUNTIFS(Priorité,"P3",origine,A37,date_action,"&gt;="&amp;$C36,date_action,"&lt;="&amp;$F36)</f>
        <v>0</v>
      </c>
      <c r="C41" s="39">
        <f ca="1">COUNTIFS(Priorité,"P3",origine,A37,date_fin,"&gt;="&amp;$C36,date_fin,"&lt;="&amp;$F36,statut,"=5")</f>
        <v>0</v>
      </c>
      <c r="D41" s="66">
        <f ca="1">COUNTIFS(Priorité,"P3",origine,A37,date_fin,"&gt;="&amp;$C36,date_fin,"&lt;="&amp;$F36,statut,"=5",retard,"&gt;0")</f>
        <v>0</v>
      </c>
      <c r="E41" s="77">
        <f ca="1">COUNTIFS(Priorité,"P3",origine,A37,date_action,"&gt;="&amp;$C36,date_action,"&lt;="&amp;$F36,statut,"&lt;5")</f>
        <v>0</v>
      </c>
      <c r="F41" s="78">
        <f ca="1">COUNTIFS(Priorité,"P3",origine,A37,date_action,"&gt;="&amp;$C36,date_action,"&lt;="&amp;$F36,statut,"=4")</f>
        <v>0</v>
      </c>
      <c r="G41" s="78">
        <f ca="1">COUNTIFS(Priorité,"P3",origine,A37,date_action,"&gt;="&amp;$C36,date_action,"&lt;="&amp;$F36,statut,"=3")</f>
        <v>0</v>
      </c>
      <c r="H41" s="78">
        <f ca="1">COUNTIFS(Priorité,"P3",origine,A37,date_action,"&gt;="&amp;$C36,date_action,"&lt;="&amp;$F36,statut,"=1")+COUNTIFS(origine,A37,date_action,"&gt;="&amp;$C36,date_action,"&lt;="&amp;$F36,statut,"=2")</f>
        <v>0</v>
      </c>
      <c r="I41" s="41">
        <f>COUNTIFS(Priorité,"P3",origine,A37,statut,"&lt;5",retard,"&gt;0")</f>
        <v>0</v>
      </c>
      <c r="J41" s="80">
        <f ca="1">COUNTIFS(origine,A37,date_action,"&gt;="&amp;$C36,date_action,"&lt;="&amp;$F36,statut,"&lt;"&amp;"4",échéance_révisée,"&lt;&gt;"&amp;"")-G38</f>
        <v>0</v>
      </c>
      <c r="K41" s="80">
        <f ca="1">COUNTIFS(origine,A37,date_action,"&gt;="&amp;$C36,date_action,"&lt;="&amp;$F36,statut,"="&amp;5,date_fin,"="&amp;"")</f>
        <v>0</v>
      </c>
      <c r="L41" s="22"/>
      <c r="M41" s="22"/>
      <c r="N41" s="22"/>
      <c r="O41" s="22"/>
      <c r="P41" s="22"/>
      <c r="Q41" s="22"/>
      <c r="R41" s="22"/>
      <c r="S41" s="22"/>
      <c r="T41" s="22"/>
      <c r="U41" s="22"/>
      <c r="V41" s="22"/>
      <c r="W41" s="22"/>
      <c r="X41" s="22"/>
    </row>
    <row r="42" spans="1:24" ht="15.6" thickBot="1">
      <c r="A42" s="23"/>
      <c r="B42" s="23"/>
      <c r="C42" s="22"/>
      <c r="D42" s="22"/>
      <c r="E42" s="22"/>
      <c r="F42" s="22"/>
      <c r="G42" s="22"/>
      <c r="H42" s="22"/>
      <c r="I42" s="22"/>
      <c r="J42" s="22"/>
      <c r="K42" s="22"/>
      <c r="L42" s="22"/>
      <c r="M42" s="22"/>
      <c r="N42" s="22"/>
      <c r="O42" s="22"/>
      <c r="P42" s="22"/>
      <c r="Q42" s="22"/>
      <c r="R42" s="22"/>
      <c r="S42" s="22"/>
      <c r="T42" s="22"/>
      <c r="U42" s="22"/>
      <c r="V42" s="22"/>
      <c r="W42" s="22"/>
      <c r="X42" s="22"/>
    </row>
    <row r="43" spans="1:24" ht="16.2" thickTop="1" thickBot="1">
      <c r="A43" s="114"/>
      <c r="B43" s="114"/>
      <c r="C43" s="115"/>
      <c r="D43" s="115"/>
      <c r="E43" s="115"/>
      <c r="F43" s="115"/>
      <c r="G43" s="115"/>
      <c r="H43" s="115"/>
      <c r="I43" s="115"/>
      <c r="J43" s="115"/>
      <c r="K43" s="115"/>
      <c r="L43" s="22"/>
      <c r="M43" s="22"/>
      <c r="N43" s="22"/>
      <c r="O43" s="22"/>
      <c r="P43" s="22"/>
      <c r="Q43" s="22"/>
      <c r="R43" s="22"/>
      <c r="S43" s="22"/>
      <c r="T43" s="22"/>
      <c r="U43" s="22"/>
      <c r="V43" s="22"/>
      <c r="W43" s="22"/>
      <c r="X43" s="22"/>
    </row>
    <row r="44" spans="1:24" ht="45">
      <c r="A44" s="43" t="s">
        <v>53</v>
      </c>
      <c r="B44" s="63" t="str">
        <f>"actions lancées"</f>
        <v>actions lancées</v>
      </c>
      <c r="C44" s="19" t="s">
        <v>3</v>
      </c>
      <c r="D44" s="65" t="s">
        <v>38</v>
      </c>
      <c r="E44" s="42" t="s">
        <v>32</v>
      </c>
      <c r="F44" s="42" t="s">
        <v>30</v>
      </c>
      <c r="G44" s="42" t="s">
        <v>31</v>
      </c>
      <c r="H44" s="42" t="s">
        <v>33</v>
      </c>
      <c r="I44" s="20" t="s">
        <v>14</v>
      </c>
      <c r="J44" s="94" t="s">
        <v>39</v>
      </c>
      <c r="K44" s="95"/>
      <c r="L44" s="22"/>
      <c r="M44" s="22"/>
      <c r="N44" s="22"/>
      <c r="O44" s="22"/>
      <c r="P44" s="22"/>
      <c r="Q44" s="22"/>
      <c r="R44" s="22"/>
      <c r="S44" s="22"/>
      <c r="T44" s="22"/>
      <c r="U44" s="22"/>
      <c r="V44" s="22"/>
      <c r="W44" s="22"/>
      <c r="X44" s="22"/>
    </row>
    <row r="45" spans="1:24" ht="16.2" thickBot="1">
      <c r="A45" s="88" t="s">
        <v>47</v>
      </c>
      <c r="B45" s="64">
        <f t="shared" ref="B45:J45" ca="1" si="0">B56+B63+B70</f>
        <v>2</v>
      </c>
      <c r="C45" s="39">
        <f t="shared" ca="1" si="0"/>
        <v>0</v>
      </c>
      <c r="D45" s="66">
        <f t="shared" ca="1" si="0"/>
        <v>0</v>
      </c>
      <c r="E45" s="44">
        <f t="shared" ca="1" si="0"/>
        <v>2</v>
      </c>
      <c r="F45" s="40">
        <f t="shared" ca="1" si="0"/>
        <v>0</v>
      </c>
      <c r="G45" s="40">
        <f t="shared" ca="1" si="0"/>
        <v>1</v>
      </c>
      <c r="H45" s="40">
        <f t="shared" ca="1" si="0"/>
        <v>1</v>
      </c>
      <c r="I45" s="41">
        <f t="shared" ca="1" si="0"/>
        <v>0</v>
      </c>
      <c r="J45" s="96">
        <f t="shared" ca="1" si="0"/>
        <v>0</v>
      </c>
      <c r="K45" s="92"/>
      <c r="L45" s="22"/>
      <c r="M45" s="22"/>
      <c r="N45" s="22"/>
      <c r="O45" s="22"/>
      <c r="P45" s="22"/>
      <c r="Q45" s="22"/>
      <c r="R45" s="22"/>
      <c r="S45" s="22"/>
      <c r="T45" s="22"/>
      <c r="U45" s="22"/>
      <c r="V45" s="22"/>
      <c r="W45" s="22"/>
      <c r="X45" s="22"/>
    </row>
    <row r="46" spans="1:24" ht="15.6">
      <c r="A46" s="97"/>
      <c r="B46" s="91"/>
      <c r="C46" s="92"/>
      <c r="D46" s="92"/>
      <c r="E46" s="92"/>
      <c r="F46" s="92"/>
      <c r="G46" s="92"/>
      <c r="H46" s="92"/>
      <c r="I46" s="93"/>
      <c r="J46" s="92"/>
      <c r="K46" s="92"/>
      <c r="L46" s="22"/>
      <c r="M46" s="22"/>
      <c r="N46" s="22"/>
      <c r="O46" s="22"/>
      <c r="P46" s="22"/>
      <c r="Q46" s="22"/>
      <c r="R46" s="22"/>
      <c r="S46" s="22"/>
      <c r="T46" s="22"/>
      <c r="U46" s="22"/>
      <c r="V46" s="22"/>
      <c r="W46" s="22"/>
      <c r="X46" s="22"/>
    </row>
    <row r="47" spans="1:24" ht="23.4" thickBot="1">
      <c r="A47" s="84" t="s">
        <v>45</v>
      </c>
      <c r="B47" s="17" t="s">
        <v>29</v>
      </c>
      <c r="C47" s="85" t="str">
        <f ca="1">C68</f>
        <v>01/01/2019</v>
      </c>
      <c r="D47" s="60"/>
      <c r="E47" s="60" t="s">
        <v>28</v>
      </c>
      <c r="F47" s="85" t="str">
        <f ca="1">F54</f>
        <v>31/12/2021</v>
      </c>
      <c r="G47" s="18"/>
      <c r="H47" s="18"/>
      <c r="I47" s="18" t="s">
        <v>46</v>
      </c>
      <c r="J47" s="18"/>
      <c r="K47" s="18"/>
      <c r="L47" s="33"/>
      <c r="M47" s="34"/>
      <c r="N47" s="35"/>
      <c r="O47" s="35"/>
      <c r="P47" s="35"/>
      <c r="Q47" s="35"/>
      <c r="R47" s="35"/>
      <c r="S47" s="35"/>
      <c r="T47" s="35"/>
      <c r="U47" s="35"/>
      <c r="V47" s="35"/>
      <c r="W47" s="35"/>
      <c r="X47" s="35"/>
    </row>
    <row r="48" spans="1:24" ht="45.6" thickBot="1">
      <c r="A48" s="86" t="s">
        <v>52</v>
      </c>
      <c r="B48" s="69" t="str">
        <f ca="1">"actions lancées depuis "&amp;YEAR(C47)</f>
        <v>actions lancées depuis 2019</v>
      </c>
      <c r="C48" s="70" t="str">
        <f>"actions clôturées"</f>
        <v>actions clôturées</v>
      </c>
      <c r="D48" s="70" t="s">
        <v>38</v>
      </c>
      <c r="E48" s="71" t="s">
        <v>32</v>
      </c>
      <c r="F48" s="71" t="s">
        <v>30</v>
      </c>
      <c r="G48" s="71" t="s">
        <v>31</v>
      </c>
      <c r="H48" s="71" t="s">
        <v>33</v>
      </c>
      <c r="I48" s="72" t="s">
        <v>14</v>
      </c>
      <c r="J48" s="73" t="s">
        <v>39</v>
      </c>
      <c r="K48" s="73" t="s">
        <v>40</v>
      </c>
      <c r="L48" s="87"/>
      <c r="M48" s="37"/>
      <c r="N48" s="35"/>
      <c r="O48" s="35"/>
      <c r="P48" s="35"/>
      <c r="Q48" s="35"/>
      <c r="R48" s="35"/>
      <c r="S48" s="35"/>
      <c r="T48" s="35"/>
      <c r="U48" s="35"/>
      <c r="V48" s="35"/>
      <c r="W48" s="35"/>
      <c r="X48" s="35"/>
    </row>
    <row r="49" spans="1:24" ht="23.4" thickBot="1">
      <c r="A49" s="88" t="s">
        <v>47</v>
      </c>
      <c r="B49" s="75">
        <f ca="1">COUNTIFS(origine,A48,date_action,"&gt;="&amp;$C47,date_action,"&lt;="&amp;$F47)</f>
        <v>2</v>
      </c>
      <c r="C49" s="39">
        <f ca="1">COUNTIFS(origine,A48,date_fin,"&gt;="&amp;$C47,date_fin,"&lt;="&amp;$F47,statut,"=5")</f>
        <v>0</v>
      </c>
      <c r="D49" s="66">
        <f ca="1">COUNTIFS(origine,A48,date_fin,"&gt;="&amp;$C47,date_fin,"&lt;="&amp;$F47,statut,"=5",retard,"&gt;0")</f>
        <v>0</v>
      </c>
      <c r="E49" s="77">
        <f ca="1">COUNTIFS(origine,A48,date_action,"&gt;="&amp;$C47,date_action,"&lt;="&amp;$F47,statut,"&lt;5")</f>
        <v>2</v>
      </c>
      <c r="F49" s="78">
        <f ca="1">COUNTIFS(origine,A48,date_action,"&gt;="&amp;$C47,date_action,"&lt;="&amp;$F47,statut,"=4")</f>
        <v>0</v>
      </c>
      <c r="G49" s="78">
        <f ca="1">COUNTIFS(origine,A48,date_action,"&gt;="&amp;$C47,date_action,"&lt;="&amp;$F47,statut,"=3")</f>
        <v>1</v>
      </c>
      <c r="H49" s="78">
        <f ca="1">COUNTIFS(origine,A48,date_action,"&gt;="&amp;$C47,date_action,"&lt;="&amp;$F47,statut,"=1")+COUNTIFS(origine,A48,date_action,"&gt;="&amp;$C47,date_action,"&lt;="&amp;$F47,statut,"=2")</f>
        <v>1</v>
      </c>
      <c r="I49" s="41">
        <f ca="1">COUNTIFS(origine,A48,statut,"&lt;5",retard,"&gt;0")</f>
        <v>0</v>
      </c>
      <c r="J49" s="80">
        <f ca="1">COUNTIFS(origine,A48,date_action,"&gt;="&amp;$C47,date_action,"&lt;="&amp;$F47,Priorité,"")</f>
        <v>0</v>
      </c>
      <c r="K49" s="80">
        <f ca="1">COUNTIFS(origine,A48,date_action,"&gt;="&amp;$C47,date_action,"&lt;="&amp;$F47,statut,"="&amp;"")</f>
        <v>0</v>
      </c>
      <c r="L49" s="89"/>
      <c r="M49" s="37"/>
      <c r="N49" s="35"/>
      <c r="O49" s="35"/>
      <c r="P49" s="35"/>
      <c r="Q49" s="35"/>
      <c r="R49" s="35"/>
      <c r="S49" s="35"/>
      <c r="T49" s="35"/>
      <c r="U49" s="35"/>
      <c r="V49" s="35"/>
      <c r="W49" s="35"/>
      <c r="X49" s="35"/>
    </row>
    <row r="50" spans="1:24" ht="15.6" thickBot="1">
      <c r="A50" s="81" t="s">
        <v>37</v>
      </c>
      <c r="B50" s="75">
        <f ca="1">COUNTIFS(Priorité,"P1",origine,A48,date_action,"&gt;="&amp;$C47,date_action,"&lt;="&amp;$F47)</f>
        <v>0</v>
      </c>
      <c r="C50" s="39">
        <f ca="1">COUNTIFS(Priorité,"P1",origine,A48,date_fin,"&gt;="&amp;$C47,date_fin,"&lt;="&amp;$F47,statut,"=5")</f>
        <v>0</v>
      </c>
      <c r="D50" s="66">
        <f ca="1">COUNTIFS(Priorité,"P1",origine,A48,date_fin,"&gt;="&amp;$C47,date_fin,"&lt;="&amp;$F47,statut,"=5",retard,"&gt;0")</f>
        <v>0</v>
      </c>
      <c r="E50" s="77">
        <f ca="1">COUNTIFS(Priorité,"P1",origine,A48,date_action,"&gt;="&amp;$C47,date_action,"&lt;="&amp;$F47,statut,"&lt;5")</f>
        <v>0</v>
      </c>
      <c r="F50" s="78">
        <f ca="1">COUNTIFS(Priorité,"P1",origine,A48,date_action,"&gt;="&amp;$C47,date_action,"&lt;="&amp;$F47,statut,"=4")</f>
        <v>0</v>
      </c>
      <c r="G50" s="78">
        <f ca="1">COUNTIFS(Priorité,"P1",origine,A48,date_action,"&gt;="&amp;$C47,date_action,"&lt;="&amp;$F47,statut,"=3")</f>
        <v>0</v>
      </c>
      <c r="H50" s="78">
        <f ca="1">COUNTIFS(Priorité,"P1",origine,A48,date_action,"&gt;="&amp;$C47,date_action,"&lt;="&amp;$F47,statut,"=1")+COUNTIFS(origine,A48,date_action,"&gt;="&amp;$C47,date_action,"&lt;="&amp;$F47,statut,"=2")</f>
        <v>0</v>
      </c>
      <c r="I50" s="41">
        <f>COUNTIFS(Priorité,"P1",origine,A48,statut,"&lt;5",retard,"&gt;0")</f>
        <v>0</v>
      </c>
      <c r="J50" s="82" t="s">
        <v>41</v>
      </c>
      <c r="K50" s="82" t="s">
        <v>42</v>
      </c>
      <c r="L50" s="38"/>
      <c r="M50" s="38"/>
      <c r="N50" s="22"/>
      <c r="O50" s="22"/>
      <c r="P50" s="22"/>
      <c r="Q50" s="22"/>
      <c r="R50" s="22"/>
      <c r="S50" s="22"/>
      <c r="T50" s="22"/>
      <c r="U50" s="22"/>
      <c r="V50" s="22"/>
      <c r="W50" s="22"/>
      <c r="X50" s="22"/>
    </row>
    <row r="51" spans="1:24" ht="15.6" thickBot="1">
      <c r="A51" s="81" t="s">
        <v>35</v>
      </c>
      <c r="B51" s="75">
        <f ca="1">COUNTIFS(Priorité,"P2",origine,A48,date_action,"&gt;="&amp;$C47,date_action,"&lt;="&amp;$F47)</f>
        <v>2</v>
      </c>
      <c r="C51" s="39">
        <f ca="1">COUNTIFS(Priorité,"P2",origine,A48,date_fin,"&gt;="&amp;$C47,date_fin,"&lt;="&amp;$F47,statut,"=5")</f>
        <v>0</v>
      </c>
      <c r="D51" s="66">
        <f ca="1">COUNTIFS(Priorité,"P2",origine,A48,date_fin,"&gt;="&amp;$C47,date_fin,"&lt;="&amp;$F47,statut,"=5",retard,"&gt;0")</f>
        <v>0</v>
      </c>
      <c r="E51" s="77">
        <f ca="1">COUNTIFS(Priorité,"P2",origine,A48,date_action,"&gt;="&amp;$C47,date_action,"&lt;="&amp;$F47,statut,"&lt;5")</f>
        <v>2</v>
      </c>
      <c r="F51" s="78">
        <f ca="1">COUNTIFS(Priorité,"P2",origine,A48,date_action,"&gt;="&amp;$C47,date_action,"&lt;="&amp;$F47,statut,"=4")</f>
        <v>0</v>
      </c>
      <c r="G51" s="78">
        <f ca="1">COUNTIFS(Priorité,"P2",origine,A48,date_action,"&gt;="&amp;$C47,date_action,"&lt;="&amp;$F47,statut,"=3")</f>
        <v>1</v>
      </c>
      <c r="H51" s="78">
        <f>COUNTIFS(Priorité,"P1",origine,A48,date_action,"&gt;="&amp;$C48,date_action,"&lt;="&amp;$F48,statut,"=1")+COUNTIFS(origine,A48,date_action,"&gt;="&amp;$C48,date_action,"&lt;="&amp;$F48,statut,"=2")</f>
        <v>0</v>
      </c>
      <c r="I51" s="41">
        <f ca="1">COUNTIFS(Priorité,"P2",origine,A48,statut,"&lt;5",retard,"&gt;0")</f>
        <v>0</v>
      </c>
      <c r="J51" s="83" t="s">
        <v>43</v>
      </c>
      <c r="K51" s="83" t="s">
        <v>44</v>
      </c>
      <c r="L51" s="38"/>
      <c r="M51" s="38"/>
      <c r="N51" s="22"/>
      <c r="O51" s="22"/>
      <c r="P51" s="22"/>
      <c r="Q51" s="22"/>
      <c r="R51" s="22"/>
      <c r="S51" s="22"/>
      <c r="T51" s="22"/>
      <c r="U51" s="22"/>
      <c r="V51" s="22"/>
      <c r="W51" s="22"/>
      <c r="X51" s="22"/>
    </row>
    <row r="52" spans="1:24" ht="15.6" thickBot="1">
      <c r="A52" s="81" t="s">
        <v>36</v>
      </c>
      <c r="B52" s="75">
        <f ca="1">COUNTIFS(Priorité,"P3",origine,A48,date_action,"&gt;="&amp;$C47,date_action,"&lt;="&amp;$F47)</f>
        <v>0</v>
      </c>
      <c r="C52" s="39">
        <f ca="1">COUNTIFS(Priorité,"P3",origine,A48,date_fin,"&gt;="&amp;$C47,date_fin,"&lt;="&amp;$F47,statut,"=5")</f>
        <v>0</v>
      </c>
      <c r="D52" s="66">
        <f ca="1">COUNTIFS(Priorité,"P3",origine,A48,date_fin,"&gt;="&amp;$C47,date_fin,"&lt;="&amp;$F47,statut,"=5",retard,"&gt;0")</f>
        <v>0</v>
      </c>
      <c r="E52" s="77">
        <f ca="1">COUNTIFS(Priorité,"P3",origine,A48,date_action,"&gt;="&amp;$C47,date_action,"&lt;="&amp;$F47,statut,"&lt;5")</f>
        <v>0</v>
      </c>
      <c r="F52" s="78">
        <f ca="1">COUNTIFS(Priorité,"P3",origine,A48,date_action,"&gt;="&amp;$C47,date_action,"&lt;="&amp;$F47,statut,"=4")</f>
        <v>0</v>
      </c>
      <c r="G52" s="78">
        <f ca="1">COUNTIFS(Priorité,"P3",origine,A48,date_action,"&gt;="&amp;$C47,date_action,"&lt;="&amp;$F47,statut,"=3")</f>
        <v>0</v>
      </c>
      <c r="H52" s="78">
        <f ca="1">COUNTIFS(Priorité,"P3",origine,A48,date_action,"&gt;="&amp;$C47,date_action,"&lt;="&amp;$F47,statut,"=1")+COUNTIFS(origine,A48,date_action,"&gt;="&amp;$C47,date_action,"&lt;="&amp;$F47,statut,"=2")</f>
        <v>0</v>
      </c>
      <c r="I52" s="41">
        <f>COUNTIFS(Priorité,"P3",origine,A48,statut,"&lt;5",retard,"&gt;0")</f>
        <v>0</v>
      </c>
      <c r="J52" s="80">
        <f ca="1">COUNTIFS(origine,A48,date_action,"&gt;="&amp;$C47,date_action,"&lt;="&amp;$F47,statut,"&lt;"&amp;"4",échéance_révisée,"&lt;&gt;"&amp;"")-G49</f>
        <v>0</v>
      </c>
      <c r="K52" s="80">
        <f ca="1">COUNTIFS(origine,A48,date_action,"&gt;="&amp;$C47,date_action,"&lt;="&amp;$F47,statut,"="&amp;5,date_fin,"="&amp;"")</f>
        <v>0</v>
      </c>
      <c r="L52" s="38"/>
      <c r="M52" s="38"/>
      <c r="N52" s="22"/>
      <c r="O52" s="22"/>
      <c r="P52" s="22"/>
      <c r="Q52" s="22"/>
      <c r="R52" s="22"/>
      <c r="S52" s="22"/>
      <c r="T52" s="22"/>
      <c r="U52" s="22"/>
      <c r="V52" s="22"/>
      <c r="W52" s="22"/>
      <c r="X52" s="22"/>
    </row>
    <row r="53" spans="1:24" ht="15.6">
      <c r="A53" s="98"/>
      <c r="B53" s="99"/>
      <c r="C53" s="17"/>
      <c r="D53" s="17"/>
      <c r="E53" s="100"/>
      <c r="F53" s="100"/>
      <c r="G53" s="100"/>
      <c r="H53" s="100"/>
      <c r="I53" s="17"/>
      <c r="J53" s="95"/>
      <c r="K53" s="95"/>
      <c r="L53" s="22"/>
      <c r="M53" s="22"/>
      <c r="N53" s="22"/>
      <c r="O53" s="22"/>
      <c r="P53" s="22"/>
      <c r="Q53" s="22"/>
      <c r="R53" s="22"/>
      <c r="S53" s="22"/>
      <c r="T53" s="22"/>
      <c r="U53" s="22"/>
      <c r="V53" s="22"/>
      <c r="W53" s="22"/>
      <c r="X53" s="22"/>
    </row>
    <row r="54" spans="1:24" ht="16.2" thickBot="1">
      <c r="A54" s="113">
        <f ca="1">YEAR(TODAY())</f>
        <v>2021</v>
      </c>
      <c r="B54" s="17" t="s">
        <v>29</v>
      </c>
      <c r="C54" s="85" t="str">
        <f ca="1">"01/01/"&amp;A54</f>
        <v>01/01/2021</v>
      </c>
      <c r="D54" s="60"/>
      <c r="E54" s="60" t="s">
        <v>28</v>
      </c>
      <c r="F54" s="85" t="str">
        <f ca="1">"31/12/"&amp;A54</f>
        <v>31/12/2021</v>
      </c>
      <c r="G54" s="18"/>
      <c r="H54" s="18"/>
      <c r="I54" s="18" t="s">
        <v>46</v>
      </c>
      <c r="J54" s="18"/>
      <c r="K54" s="18"/>
      <c r="L54" s="22"/>
      <c r="M54" s="22"/>
      <c r="N54" s="22"/>
      <c r="O54" s="22"/>
      <c r="P54" s="22"/>
      <c r="Q54" s="22"/>
      <c r="R54" s="22"/>
      <c r="S54" s="22"/>
      <c r="T54" s="22"/>
      <c r="U54" s="22"/>
      <c r="V54" s="22"/>
      <c r="W54" s="22"/>
      <c r="X54" s="22"/>
    </row>
    <row r="55" spans="1:24" ht="45.6" thickBot="1">
      <c r="A55" s="86" t="s">
        <v>52</v>
      </c>
      <c r="B55" s="69" t="str">
        <f ca="1">"actions lancées en "&amp;YEAR(C54)</f>
        <v>actions lancées en 2021</v>
      </c>
      <c r="C55" s="70" t="str">
        <f ca="1">"actions clôturées en "&amp;YEAR(C54)</f>
        <v>actions clôturées en 2021</v>
      </c>
      <c r="D55" s="70" t="s">
        <v>38</v>
      </c>
      <c r="E55" s="71" t="s">
        <v>32</v>
      </c>
      <c r="F55" s="71" t="s">
        <v>30</v>
      </c>
      <c r="G55" s="71" t="s">
        <v>31</v>
      </c>
      <c r="H55" s="71" t="s">
        <v>33</v>
      </c>
      <c r="I55" s="72" t="s">
        <v>14</v>
      </c>
      <c r="J55" s="73" t="s">
        <v>39</v>
      </c>
      <c r="K55" s="73" t="s">
        <v>40</v>
      </c>
      <c r="L55" s="22"/>
      <c r="M55" s="22"/>
      <c r="N55" s="22"/>
      <c r="O55" s="22"/>
      <c r="P55" s="22"/>
      <c r="Q55" s="22"/>
      <c r="R55" s="22"/>
      <c r="S55" s="22"/>
      <c r="T55" s="22"/>
      <c r="U55" s="22"/>
      <c r="V55" s="22"/>
      <c r="W55" s="22"/>
      <c r="X55" s="22"/>
    </row>
    <row r="56" spans="1:24" ht="16.2" thickBot="1">
      <c r="A56" s="88" t="s">
        <v>47</v>
      </c>
      <c r="B56" s="75">
        <f ca="1">COUNTIFS(origine,A55,date_action,"&gt;="&amp;$C54,date_action,"&lt;="&amp;$F54)</f>
        <v>0</v>
      </c>
      <c r="C56" s="39">
        <f ca="1">COUNTIFS(origine,A55,date_fin,"&gt;="&amp;$C54,date_fin,"&lt;="&amp;$F54,statut,"=5")</f>
        <v>0</v>
      </c>
      <c r="D56" s="66">
        <f ca="1">COUNTIFS(origine,A55,date_fin,"&gt;="&amp;$C54,date_fin,"&lt;="&amp;$F54,statut,"=5",retard,"&gt;0")</f>
        <v>0</v>
      </c>
      <c r="E56" s="77">
        <f ca="1">COUNTIFS(origine,A55,date_action,"&gt;="&amp;$C54,date_action,"&lt;="&amp;$F54,statut,"&lt;5")</f>
        <v>0</v>
      </c>
      <c r="F56" s="78">
        <f ca="1">COUNTIFS(origine,A55,date_action,"&gt;="&amp;$C54,date_action,"&lt;="&amp;$F54,statut,"=4")</f>
        <v>0</v>
      </c>
      <c r="G56" s="78">
        <f ca="1">COUNTIFS(origine,A55,date_action,"&gt;="&amp;$C54,date_action,"&lt;="&amp;$F54,statut,"=3")</f>
        <v>0</v>
      </c>
      <c r="H56" s="78">
        <f ca="1">COUNTIFS(origine,A55,date_action,"&gt;="&amp;$C54,date_action,"&lt;="&amp;$F54,statut,"=1")+COUNTIFS(origine,A55,date_action,"&gt;="&amp;$C54,date_action,"&lt;="&amp;$F54,statut,"=2")</f>
        <v>0</v>
      </c>
      <c r="I56" s="41">
        <f ca="1">COUNTIFS(origine,A55,statut,"&lt;5",retard,"&gt;0")</f>
        <v>0</v>
      </c>
      <c r="J56" s="80">
        <f ca="1">COUNTIFS(origine,A55,date_action,"&gt;="&amp;$C54,date_action,"&lt;="&amp;$F54,Priorité,"")</f>
        <v>0</v>
      </c>
      <c r="K56" s="80">
        <f ca="1">COUNTIFS(origine,A55,date_action,"&gt;="&amp;$C54,date_action,"&lt;="&amp;$F54,statut,"="&amp;"")</f>
        <v>0</v>
      </c>
      <c r="L56" s="22"/>
      <c r="M56" s="22"/>
      <c r="N56" s="22"/>
      <c r="O56" s="22"/>
      <c r="P56" s="22"/>
      <c r="Q56" s="22"/>
      <c r="R56" s="22"/>
      <c r="S56" s="22"/>
      <c r="T56" s="22"/>
      <c r="U56" s="22"/>
      <c r="V56" s="22"/>
      <c r="W56" s="22"/>
      <c r="X56" s="22"/>
    </row>
    <row r="57" spans="1:24" ht="15.6" thickBot="1">
      <c r="A57" s="81" t="s">
        <v>37</v>
      </c>
      <c r="B57" s="75">
        <f ca="1">COUNTIFS(Priorité,"P1",origine,A55,date_action,"&gt;="&amp;$C54,date_action,"&lt;="&amp;$F54)</f>
        <v>0</v>
      </c>
      <c r="C57" s="39">
        <f ca="1">COUNTIFS(Priorité,"P1",origine,A55,date_fin,"&gt;="&amp;$C54,date_fin,"&lt;="&amp;$F54,statut,"=5")</f>
        <v>0</v>
      </c>
      <c r="D57" s="66">
        <f ca="1">COUNTIFS(Priorité,"P1",origine,A55,date_fin,"&gt;="&amp;$C54,date_fin,"&lt;="&amp;$F54,statut,"=5",retard,"&gt;0")</f>
        <v>0</v>
      </c>
      <c r="E57" s="77">
        <f ca="1">COUNTIFS(Priorité,"P1",origine,A55,date_action,"&gt;="&amp;$C54,date_action,"&lt;="&amp;$F54,statut,"&lt;5")</f>
        <v>0</v>
      </c>
      <c r="F57" s="78">
        <f ca="1">COUNTIFS(Priorité,"P1",origine,A55,date_action,"&gt;="&amp;$C54,date_action,"&lt;="&amp;$F54,statut,"=4")</f>
        <v>0</v>
      </c>
      <c r="G57" s="78">
        <f ca="1">COUNTIFS(Priorité,"P1",origine,A55,date_action,"&gt;="&amp;$C54,date_action,"&lt;="&amp;$F54,statut,"=3")</f>
        <v>0</v>
      </c>
      <c r="H57" s="78">
        <f ca="1">COUNTIFS(Priorité,"P1",origine,A55,date_action,"&gt;="&amp;$C54,date_action,"&lt;="&amp;$F54,statut,"=1")+COUNTIFS(origine,A55,date_action,"&gt;="&amp;$C54,date_action,"&lt;="&amp;$F54,statut,"=2")</f>
        <v>0</v>
      </c>
      <c r="I57" s="41">
        <f>COUNTIFS(Priorité,"P1",origine,A55,statut,"&lt;5",retard,"&gt;0")</f>
        <v>0</v>
      </c>
      <c r="J57" s="82" t="s">
        <v>41</v>
      </c>
      <c r="K57" s="82" t="s">
        <v>42</v>
      </c>
      <c r="L57" s="22"/>
      <c r="M57" s="22"/>
      <c r="N57" s="22"/>
      <c r="O57" s="22"/>
      <c r="P57" s="22"/>
      <c r="Q57" s="22"/>
      <c r="R57" s="22"/>
      <c r="S57" s="22"/>
      <c r="T57" s="22"/>
      <c r="U57" s="22"/>
      <c r="V57" s="22"/>
      <c r="W57" s="22"/>
      <c r="X57" s="22"/>
    </row>
    <row r="58" spans="1:24" ht="15.6" thickBot="1">
      <c r="A58" s="81" t="s">
        <v>35</v>
      </c>
      <c r="B58" s="75">
        <f ca="1">COUNTIFS(Priorité,"P2",origine,A55,date_action,"&gt;="&amp;$C54,date_action,"&lt;="&amp;$F54)</f>
        <v>0</v>
      </c>
      <c r="C58" s="39">
        <f ca="1">COUNTIFS(Priorité,"P2",origine,A55,date_fin,"&gt;="&amp;$C54,date_fin,"&lt;="&amp;$F54,statut,"=5")</f>
        <v>0</v>
      </c>
      <c r="D58" s="66">
        <f ca="1">COUNTIFS(Priorité,"P2",origine,A55,date_fin,"&gt;="&amp;$C54,date_fin,"&lt;="&amp;$F54,statut,"=5",retard,"&gt;0")</f>
        <v>0</v>
      </c>
      <c r="E58" s="77">
        <f ca="1">COUNTIFS(Priorité,"P2",origine,A55,date_action,"&gt;="&amp;$C54,date_action,"&lt;="&amp;$F54,statut,"&lt;5")</f>
        <v>0</v>
      </c>
      <c r="F58" s="78">
        <f ca="1">COUNTIFS(Priorité,"P2",origine,A55,date_action,"&gt;="&amp;$C54,date_action,"&lt;="&amp;$F54,statut,"=4")</f>
        <v>0</v>
      </c>
      <c r="G58" s="78">
        <f ca="1">COUNTIFS(Priorité,"P2",origine,A55,date_action,"&gt;="&amp;$C54,date_action,"&lt;="&amp;$F54,statut,"=3")</f>
        <v>0</v>
      </c>
      <c r="H58" s="78">
        <f ca="1">COUNTIFS(Priorité,"P1",origine,A55,date_action,"&gt;="&amp;$C55,date_action,"&lt;="&amp;$F55,statut,"=1")+COUNTIFS(origine,A55,date_action,"&gt;="&amp;$C55,date_action,"&lt;="&amp;$F55,statut,"=2")</f>
        <v>0</v>
      </c>
      <c r="I58" s="41">
        <f ca="1">COUNTIFS(Priorité,"P2",origine,A55,statut,"&lt;5",retard,"&gt;0")</f>
        <v>0</v>
      </c>
      <c r="J58" s="83" t="s">
        <v>43</v>
      </c>
      <c r="K58" s="83" t="s">
        <v>44</v>
      </c>
      <c r="L58" s="22"/>
      <c r="M58" s="22"/>
      <c r="N58" s="22"/>
      <c r="O58" s="22"/>
      <c r="P58" s="22"/>
      <c r="Q58" s="22"/>
      <c r="R58" s="22"/>
      <c r="S58" s="22"/>
      <c r="T58" s="22"/>
      <c r="U58" s="22"/>
      <c r="V58" s="22"/>
      <c r="W58" s="22"/>
      <c r="X58" s="22"/>
    </row>
    <row r="59" spans="1:24" ht="15.6" thickBot="1">
      <c r="A59" s="81" t="s">
        <v>36</v>
      </c>
      <c r="B59" s="75">
        <f ca="1">COUNTIFS(Priorité,"P3",origine,A55,date_action,"&gt;="&amp;$C54,date_action,"&lt;="&amp;$F54)</f>
        <v>0</v>
      </c>
      <c r="C59" s="39">
        <f ca="1">COUNTIFS(Priorité,"P3",origine,A55,date_fin,"&gt;="&amp;$C54,date_fin,"&lt;="&amp;$F54,statut,"=5")</f>
        <v>0</v>
      </c>
      <c r="D59" s="66">
        <f ca="1">COUNTIFS(Priorité,"P3",origine,A55,date_fin,"&gt;="&amp;$C54,date_fin,"&lt;="&amp;$F54,statut,"=5",retard,"&gt;0")</f>
        <v>0</v>
      </c>
      <c r="E59" s="77">
        <f ca="1">COUNTIFS(Priorité,"P3",origine,A55,date_action,"&gt;="&amp;$C54,date_action,"&lt;="&amp;$F54,statut,"&lt;5")</f>
        <v>0</v>
      </c>
      <c r="F59" s="78">
        <f ca="1">COUNTIFS(Priorité,"P3",origine,A55,date_action,"&gt;="&amp;$C54,date_action,"&lt;="&amp;$F54,statut,"=4")</f>
        <v>0</v>
      </c>
      <c r="G59" s="78">
        <f ca="1">COUNTIFS(Priorité,"P3",origine,A55,date_action,"&gt;="&amp;$C54,date_action,"&lt;="&amp;$F54,statut,"=3")</f>
        <v>0</v>
      </c>
      <c r="H59" s="78">
        <f ca="1">COUNTIFS(Priorité,"P3",origine,A55,date_action,"&gt;="&amp;$C54,date_action,"&lt;="&amp;$F54,statut,"=1")+COUNTIFS(origine,A55,date_action,"&gt;="&amp;$C54,date_action,"&lt;="&amp;$F54,statut,"=2")</f>
        <v>0</v>
      </c>
      <c r="I59" s="41">
        <f>COUNTIFS(Priorité,"P3",origine,A55,statut,"&lt;5",retard,"&gt;0")</f>
        <v>0</v>
      </c>
      <c r="J59" s="80">
        <f ca="1">COUNTIFS(origine,A55,date_action,"&gt;="&amp;$C54,date_action,"&lt;="&amp;$F54,statut,"&lt;"&amp;"4",échéance_révisée,"&lt;&gt;"&amp;"")-G56</f>
        <v>0</v>
      </c>
      <c r="K59" s="80">
        <f ca="1">COUNTIFS(origine,A55,date_action,"&gt;="&amp;$C54,date_action,"&lt;="&amp;$F54,statut,"="&amp;5,date_fin,"="&amp;"")</f>
        <v>0</v>
      </c>
      <c r="L59" s="22"/>
      <c r="M59" s="22"/>
      <c r="N59" s="22"/>
      <c r="O59" s="22"/>
      <c r="P59" s="22"/>
      <c r="Q59" s="22"/>
      <c r="R59" s="22"/>
      <c r="S59" s="22"/>
      <c r="T59" s="22"/>
      <c r="U59" s="22"/>
      <c r="V59" s="22"/>
      <c r="W59" s="22"/>
      <c r="X59" s="22"/>
    </row>
    <row r="60" spans="1:24">
      <c r="T60" s="22"/>
      <c r="U60" s="22"/>
      <c r="V60" s="22"/>
      <c r="W60" s="22"/>
      <c r="X60" s="22"/>
    </row>
    <row r="61" spans="1:24" ht="23.4" thickBot="1">
      <c r="A61" s="113">
        <f ca="1">A54-1</f>
        <v>2020</v>
      </c>
      <c r="B61" s="17" t="s">
        <v>29</v>
      </c>
      <c r="C61" s="85" t="str">
        <f ca="1">"01/01/"&amp;A61</f>
        <v>01/01/2020</v>
      </c>
      <c r="D61" s="60"/>
      <c r="E61" s="60" t="s">
        <v>28</v>
      </c>
      <c r="F61" s="85" t="str">
        <f ca="1">"31/12/"&amp;A61</f>
        <v>31/12/2020</v>
      </c>
      <c r="G61" s="18"/>
      <c r="H61" s="18"/>
      <c r="I61" s="18" t="s">
        <v>46</v>
      </c>
      <c r="J61" s="18"/>
      <c r="K61" s="18"/>
      <c r="L61" s="33"/>
      <c r="M61" s="34"/>
      <c r="N61" s="35"/>
      <c r="O61" s="35"/>
      <c r="P61" s="35"/>
      <c r="Q61" s="35"/>
      <c r="R61" s="35"/>
      <c r="S61" s="35"/>
      <c r="T61" s="35"/>
      <c r="U61" s="35"/>
      <c r="V61" s="35"/>
      <c r="W61" s="35"/>
      <c r="X61" s="35"/>
    </row>
    <row r="62" spans="1:24" ht="45.6" thickBot="1">
      <c r="A62" s="86" t="s">
        <v>52</v>
      </c>
      <c r="B62" s="69" t="str">
        <f ca="1">"actions lancées en "&amp;YEAR(C61)</f>
        <v>actions lancées en 2020</v>
      </c>
      <c r="C62" s="70" t="str">
        <f ca="1">"actions clôturées en "&amp;YEAR(C61)</f>
        <v>actions clôturées en 2020</v>
      </c>
      <c r="D62" s="70" t="s">
        <v>38</v>
      </c>
      <c r="E62" s="71" t="s">
        <v>32</v>
      </c>
      <c r="F62" s="71" t="s">
        <v>30</v>
      </c>
      <c r="G62" s="71" t="s">
        <v>31</v>
      </c>
      <c r="H62" s="71" t="s">
        <v>33</v>
      </c>
      <c r="I62" s="72" t="s">
        <v>14</v>
      </c>
      <c r="J62" s="73" t="s">
        <v>39</v>
      </c>
      <c r="K62" s="73" t="s">
        <v>40</v>
      </c>
      <c r="L62" s="36"/>
      <c r="M62" s="37"/>
      <c r="N62" s="35"/>
      <c r="O62" s="35"/>
      <c r="P62" s="35"/>
      <c r="Q62" s="35"/>
      <c r="R62" s="35"/>
      <c r="S62" s="35"/>
      <c r="T62" s="35"/>
      <c r="U62" s="35"/>
      <c r="V62" s="35"/>
      <c r="W62" s="35"/>
      <c r="X62" s="35"/>
    </row>
    <row r="63" spans="1:24" ht="23.4" thickBot="1">
      <c r="A63" s="88" t="s">
        <v>47</v>
      </c>
      <c r="B63" s="75">
        <f ca="1">COUNTIFS(origine,A62,date_action,"&gt;="&amp;$C61,date_action,"&lt;="&amp;$F61)</f>
        <v>2</v>
      </c>
      <c r="C63" s="39">
        <f ca="1">COUNTIFS(origine,A62,date_fin,"&gt;="&amp;$C61,date_fin,"&lt;="&amp;$F61,statut,"=5")</f>
        <v>0</v>
      </c>
      <c r="D63" s="66">
        <f ca="1">COUNTIFS(origine,A62,date_fin,"&gt;="&amp;$C61,date_fin,"&lt;="&amp;$F61,statut,"=5",retard,"&gt;0")</f>
        <v>0</v>
      </c>
      <c r="E63" s="77">
        <f ca="1">COUNTIFS(origine,A62,date_action,"&gt;="&amp;$C61,date_action,"&lt;="&amp;$F61,statut,"&lt;5")</f>
        <v>2</v>
      </c>
      <c r="F63" s="78">
        <f ca="1">COUNTIFS(origine,A62,date_action,"&gt;="&amp;$C61,date_action,"&lt;="&amp;$F61,statut,"=4")</f>
        <v>0</v>
      </c>
      <c r="G63" s="78">
        <f ca="1">COUNTIFS(origine,A62,date_action,"&gt;="&amp;$C61,date_action,"&lt;="&amp;$F61,statut,"=3")</f>
        <v>1</v>
      </c>
      <c r="H63" s="78">
        <f ca="1">COUNTIFS(origine,A62,date_action,"&gt;="&amp;$C61,date_action,"&lt;="&amp;$F61,statut,"=1")+COUNTIFS(origine,A62,date_action,"&gt;="&amp;$C61,date_action,"&lt;="&amp;$F61,statut,"=2")</f>
        <v>1</v>
      </c>
      <c r="I63" s="41">
        <f ca="1">COUNTIFS(origine,A62,statut,"&lt;5",retard,"&gt;0")</f>
        <v>0</v>
      </c>
      <c r="J63" s="80">
        <f ca="1">COUNTIFS(origine,A62,date_action,"&gt;="&amp;$C61,date_action,"&lt;="&amp;$F61,Priorité,"")</f>
        <v>0</v>
      </c>
      <c r="K63" s="80">
        <f ca="1">COUNTIFS(origine,A62,date_action,"&gt;="&amp;$C61,date_action,"&lt;="&amp;$F61,statut,"="&amp;"")</f>
        <v>0</v>
      </c>
      <c r="L63" s="36"/>
      <c r="M63" s="37"/>
      <c r="N63" s="35"/>
      <c r="O63" s="35"/>
      <c r="P63" s="35"/>
      <c r="Q63" s="35"/>
      <c r="R63" s="35"/>
      <c r="S63" s="35"/>
      <c r="T63" s="35"/>
      <c r="U63" s="35"/>
      <c r="V63" s="35"/>
      <c r="W63" s="35"/>
      <c r="X63" s="35"/>
    </row>
    <row r="64" spans="1:24" ht="15.6" thickBot="1">
      <c r="A64" s="81" t="s">
        <v>37</v>
      </c>
      <c r="B64" s="75">
        <f ca="1">COUNTIFS(Priorité,"P1",origine,A62,date_action,"&gt;="&amp;$C61,date_action,"&lt;="&amp;$F61)</f>
        <v>0</v>
      </c>
      <c r="C64" s="39">
        <f ca="1">COUNTIFS(Priorité,"P1",origine,A62,date_fin,"&gt;="&amp;$C61,date_fin,"&lt;="&amp;$F61,statut,"=5")</f>
        <v>0</v>
      </c>
      <c r="D64" s="66">
        <f ca="1">COUNTIFS(Priorité,"P1",origine,A62,date_fin,"&gt;="&amp;$C61,date_fin,"&lt;="&amp;$F61,statut,"=5",retard,"&gt;0")</f>
        <v>0</v>
      </c>
      <c r="E64" s="77">
        <f ca="1">COUNTIFS(Priorité,"P1",origine,A62,date_action,"&gt;="&amp;$C61,date_action,"&lt;="&amp;$F61,statut,"&lt;5")</f>
        <v>0</v>
      </c>
      <c r="F64" s="78">
        <f ca="1">COUNTIFS(Priorité,"P1",origine,A62,date_action,"&gt;="&amp;$C61,date_action,"&lt;="&amp;$F61,statut,"=4")</f>
        <v>0</v>
      </c>
      <c r="G64" s="78">
        <f ca="1">COUNTIFS(Priorité,"P1",origine,A62,date_action,"&gt;="&amp;$C61,date_action,"&lt;="&amp;$F61,statut,"=3")</f>
        <v>0</v>
      </c>
      <c r="H64" s="78">
        <f ca="1">COUNTIFS(Priorité,"P1",origine,A62,date_action,"&gt;="&amp;$C61,date_action,"&lt;="&amp;$F61,statut,"=1")+COUNTIFS(origine,A62,date_action,"&gt;="&amp;$C61,date_action,"&lt;="&amp;$F61,statut,"=2")</f>
        <v>0</v>
      </c>
      <c r="I64" s="41">
        <f>COUNTIFS(Priorité,"P1",origine,A62,statut,"&lt;5",retard,"&gt;0")</f>
        <v>0</v>
      </c>
      <c r="J64" s="82" t="s">
        <v>41</v>
      </c>
      <c r="K64" s="82" t="s">
        <v>42</v>
      </c>
      <c r="L64" s="38"/>
      <c r="M64" s="38"/>
      <c r="N64" s="22"/>
      <c r="O64" s="22"/>
      <c r="P64" s="22"/>
      <c r="Q64" s="22"/>
      <c r="R64" s="22"/>
      <c r="S64" s="22"/>
      <c r="T64" s="22"/>
      <c r="U64" s="22"/>
      <c r="V64" s="22"/>
      <c r="W64" s="22"/>
      <c r="X64" s="22"/>
    </row>
    <row r="65" spans="1:24" ht="15.6" thickBot="1">
      <c r="A65" s="81" t="s">
        <v>35</v>
      </c>
      <c r="B65" s="75">
        <f ca="1">COUNTIFS(Priorité,"P2",origine,A62,date_action,"&gt;="&amp;$C61,date_action,"&lt;="&amp;$F61)</f>
        <v>2</v>
      </c>
      <c r="C65" s="39">
        <f ca="1">COUNTIFS(Priorité,"P2",origine,A62,date_fin,"&gt;="&amp;$C61,date_fin,"&lt;="&amp;$F61,statut,"=5")</f>
        <v>0</v>
      </c>
      <c r="D65" s="66">
        <f ca="1">COUNTIFS(Priorité,"P2",origine,A62,date_fin,"&gt;="&amp;$C61,date_fin,"&lt;="&amp;$F61,statut,"=5",retard,"&gt;0")</f>
        <v>0</v>
      </c>
      <c r="E65" s="77">
        <f ca="1">COUNTIFS(Priorité,"P2",origine,A62,date_action,"&gt;="&amp;$C61,date_action,"&lt;="&amp;$F61,statut,"&lt;5")</f>
        <v>2</v>
      </c>
      <c r="F65" s="78">
        <f ca="1">COUNTIFS(Priorité,"P2",origine,A62,date_action,"&gt;="&amp;$C61,date_action,"&lt;="&amp;$F61,statut,"=4")</f>
        <v>0</v>
      </c>
      <c r="G65" s="78">
        <f ca="1">COUNTIFS(Priorité,"P2",origine,A62,date_action,"&gt;="&amp;$C61,date_action,"&lt;="&amp;$F61,statut,"=3")</f>
        <v>1</v>
      </c>
      <c r="H65" s="78">
        <f ca="1">COUNTIFS(Priorité,"P1",origine,A62,date_action,"&gt;="&amp;$C62,date_action,"&lt;="&amp;$F62,statut,"=1")+COUNTIFS(origine,A62,date_action,"&gt;="&amp;$C62,date_action,"&lt;="&amp;$F62,statut,"=2")</f>
        <v>0</v>
      </c>
      <c r="I65" s="41">
        <f ca="1">COUNTIFS(Priorité,"P2",origine,A62,statut,"&lt;5",retard,"&gt;0")</f>
        <v>0</v>
      </c>
      <c r="J65" s="83" t="s">
        <v>43</v>
      </c>
      <c r="K65" s="83" t="s">
        <v>44</v>
      </c>
      <c r="L65" s="38"/>
      <c r="M65" s="38"/>
      <c r="N65" s="22"/>
      <c r="O65" s="22"/>
      <c r="P65" s="22"/>
      <c r="Q65" s="22"/>
      <c r="R65" s="22"/>
      <c r="S65" s="22"/>
      <c r="T65" s="22"/>
      <c r="U65" s="22"/>
      <c r="V65" s="22"/>
      <c r="W65" s="22"/>
      <c r="X65" s="22"/>
    </row>
    <row r="66" spans="1:24" ht="15.6" thickBot="1">
      <c r="A66" s="81" t="s">
        <v>36</v>
      </c>
      <c r="B66" s="75">
        <f ca="1">COUNTIFS(Priorité,"P3",origine,A62,date_action,"&gt;="&amp;$C61,date_action,"&lt;="&amp;$F61)</f>
        <v>0</v>
      </c>
      <c r="C66" s="39">
        <f ca="1">COUNTIFS(Priorité,"P3",origine,A62,date_fin,"&gt;="&amp;$C61,date_fin,"&lt;="&amp;$F61,statut,"=5")</f>
        <v>0</v>
      </c>
      <c r="D66" s="66">
        <f ca="1">COUNTIFS(Priorité,"P3",origine,A62,date_fin,"&gt;="&amp;$C61,date_fin,"&lt;="&amp;$F61,statut,"=5",retard,"&gt;0")</f>
        <v>0</v>
      </c>
      <c r="E66" s="77">
        <f ca="1">COUNTIFS(Priorité,"P3",origine,A62,date_action,"&gt;="&amp;$C61,date_action,"&lt;="&amp;$F61,statut,"&lt;5")</f>
        <v>0</v>
      </c>
      <c r="F66" s="78">
        <f ca="1">COUNTIFS(Priorité,"P3",origine,A62,date_action,"&gt;="&amp;$C61,date_action,"&lt;="&amp;$F61,statut,"=4")</f>
        <v>0</v>
      </c>
      <c r="G66" s="78">
        <f ca="1">COUNTIFS(Priorité,"P3",origine,A62,date_action,"&gt;="&amp;$C61,date_action,"&lt;="&amp;$F61,statut,"=3")</f>
        <v>0</v>
      </c>
      <c r="H66" s="78">
        <f ca="1">COUNTIFS(Priorité,"P3",origine,A62,date_action,"&gt;="&amp;$C61,date_action,"&lt;="&amp;$F61,statut,"=1")+COUNTIFS(origine,A62,date_action,"&gt;="&amp;$C61,date_action,"&lt;="&amp;$F61,statut,"=2")</f>
        <v>0</v>
      </c>
      <c r="I66" s="41">
        <f>COUNTIFS(Priorité,"P3",origine,A62,statut,"&lt;5",retard,"&gt;0")</f>
        <v>0</v>
      </c>
      <c r="J66" s="80">
        <f ca="1">COUNTIFS(origine,A62,date_action,"&gt;="&amp;$C61,date_action,"&lt;="&amp;$F61,statut,"&lt;"&amp;"4",échéance_révisée,"&lt;&gt;"&amp;"")-G63</f>
        <v>0</v>
      </c>
      <c r="K66" s="80">
        <f ca="1">COUNTIFS(origine,A62,date_action,"&gt;="&amp;$C61,date_action,"&lt;="&amp;$F61,statut,"="&amp;5,date_fin,"="&amp;"")</f>
        <v>0</v>
      </c>
      <c r="L66" s="38"/>
      <c r="M66" s="38"/>
      <c r="N66" s="22"/>
      <c r="O66" s="22"/>
      <c r="P66" s="22"/>
      <c r="Q66" s="22"/>
      <c r="R66" s="22"/>
      <c r="S66" s="22"/>
      <c r="T66" s="22"/>
      <c r="U66" s="22"/>
      <c r="V66" s="22"/>
      <c r="W66" s="22"/>
      <c r="X66" s="22"/>
    </row>
    <row r="68" spans="1:24" ht="16.2" thickBot="1">
      <c r="A68" s="113">
        <f ca="1">A61-1</f>
        <v>2019</v>
      </c>
      <c r="B68" s="17" t="s">
        <v>29</v>
      </c>
      <c r="C68" s="85" t="str">
        <f ca="1">"01/01/"&amp;A68</f>
        <v>01/01/2019</v>
      </c>
      <c r="D68" s="60"/>
      <c r="E68" s="60" t="s">
        <v>28</v>
      </c>
      <c r="F68" s="85" t="str">
        <f ca="1">"31/12/"&amp;A68</f>
        <v>31/12/2019</v>
      </c>
      <c r="G68" s="18"/>
      <c r="H68" s="18"/>
      <c r="I68" s="18" t="s">
        <v>46</v>
      </c>
      <c r="J68" s="18"/>
      <c r="K68" s="18"/>
    </row>
    <row r="69" spans="1:24" ht="45.6" thickBot="1">
      <c r="A69" s="86" t="s">
        <v>52</v>
      </c>
      <c r="B69" s="69" t="str">
        <f ca="1">"actions lancées en "&amp;YEAR(C68)</f>
        <v>actions lancées en 2019</v>
      </c>
      <c r="C69" s="70" t="str">
        <f ca="1">"actions clôturées en "&amp;YEAR(C68)</f>
        <v>actions clôturées en 2019</v>
      </c>
      <c r="D69" s="70" t="s">
        <v>38</v>
      </c>
      <c r="E69" s="71" t="s">
        <v>32</v>
      </c>
      <c r="F69" s="71" t="s">
        <v>30</v>
      </c>
      <c r="G69" s="71" t="s">
        <v>31</v>
      </c>
      <c r="H69" s="71" t="s">
        <v>33</v>
      </c>
      <c r="I69" s="72" t="s">
        <v>14</v>
      </c>
      <c r="J69" s="73" t="s">
        <v>39</v>
      </c>
      <c r="K69" s="73" t="s">
        <v>40</v>
      </c>
    </row>
    <row r="70" spans="1:24" ht="16.2" thickBot="1">
      <c r="A70" s="88" t="s">
        <v>47</v>
      </c>
      <c r="B70" s="75">
        <f ca="1">COUNTIFS(origine,A69,date_action,"&gt;="&amp;$C68,date_action,"&lt;="&amp;$F68)</f>
        <v>0</v>
      </c>
      <c r="C70" s="39">
        <f ca="1">COUNTIFS(origine,A69,date_fin,"&gt;="&amp;$C68,date_fin,"&lt;="&amp;$F68,statut,"=5")</f>
        <v>0</v>
      </c>
      <c r="D70" s="66">
        <f ca="1">COUNTIFS(origine,A69,date_fin,"&gt;="&amp;$C68,date_fin,"&lt;="&amp;$F68,statut,"=5",retard,"&gt;0")</f>
        <v>0</v>
      </c>
      <c r="E70" s="77">
        <f ca="1">COUNTIFS(origine,A69,date_action,"&gt;="&amp;$C68,date_action,"&lt;="&amp;$F68,statut,"&lt;5")</f>
        <v>0</v>
      </c>
      <c r="F70" s="78">
        <f ca="1">COUNTIFS(origine,A69,date_action,"&gt;="&amp;$C68,date_action,"&lt;="&amp;$F68,statut,"=4")</f>
        <v>0</v>
      </c>
      <c r="G70" s="78">
        <f ca="1">COUNTIFS(origine,A69,date_action,"&gt;="&amp;$C68,date_action,"&lt;="&amp;$F68,statut,"=3")</f>
        <v>0</v>
      </c>
      <c r="H70" s="78">
        <f ca="1">COUNTIFS(origine,A69,date_action,"&gt;="&amp;$C68,date_action,"&lt;="&amp;$F68,statut,"=1")+COUNTIFS(origine,A69,date_action,"&gt;="&amp;$C68,date_action,"&lt;="&amp;$F68,statut,"=2")</f>
        <v>0</v>
      </c>
      <c r="I70" s="41">
        <f ca="1">COUNTIFS(origine,A69,statut,"&lt;5",retard,"&gt;0")</f>
        <v>0</v>
      </c>
      <c r="J70" s="80">
        <f ca="1">COUNTIFS(origine,A69,date_action,"&gt;="&amp;$C68,date_action,"&lt;="&amp;$F68,Priorité,"")</f>
        <v>0</v>
      </c>
      <c r="K70" s="80">
        <f ca="1">COUNTIFS(origine,A69,date_action,"&gt;="&amp;$C68,date_action,"&lt;="&amp;$F68,statut,"="&amp;"")</f>
        <v>0</v>
      </c>
    </row>
    <row r="71" spans="1:24" ht="15.6" thickBot="1">
      <c r="A71" s="81" t="s">
        <v>37</v>
      </c>
      <c r="B71" s="75">
        <f ca="1">COUNTIFS(Priorité,"P1",origine,A69,date_action,"&gt;="&amp;$C68,date_action,"&lt;="&amp;$F68)</f>
        <v>0</v>
      </c>
      <c r="C71" s="39">
        <f ca="1">COUNTIFS(Priorité,"P1",origine,A69,date_fin,"&gt;="&amp;$C68,date_fin,"&lt;="&amp;$F68,statut,"=5")</f>
        <v>0</v>
      </c>
      <c r="D71" s="66">
        <f ca="1">COUNTIFS(Priorité,"P1",origine,A69,date_fin,"&gt;="&amp;$C68,date_fin,"&lt;="&amp;$F68,statut,"=5",retard,"&gt;0")</f>
        <v>0</v>
      </c>
      <c r="E71" s="77">
        <f ca="1">COUNTIFS(Priorité,"P1",origine,A69,date_action,"&gt;="&amp;$C68,date_action,"&lt;="&amp;$F68,statut,"&lt;5")</f>
        <v>0</v>
      </c>
      <c r="F71" s="78">
        <f ca="1">COUNTIFS(Priorité,"P1",origine,A69,date_action,"&gt;="&amp;$C68,date_action,"&lt;="&amp;$F68,statut,"=4")</f>
        <v>0</v>
      </c>
      <c r="G71" s="78">
        <f ca="1">COUNTIFS(Priorité,"P1",origine,A69,date_action,"&gt;="&amp;$C68,date_action,"&lt;="&amp;$F68,statut,"=3")</f>
        <v>0</v>
      </c>
      <c r="H71" s="78">
        <f ca="1">COUNTIFS(Priorité,"P1",origine,A69,date_action,"&gt;="&amp;$C68,date_action,"&lt;="&amp;$F68,statut,"=1")+COUNTIFS(origine,A69,date_action,"&gt;="&amp;$C68,date_action,"&lt;="&amp;$F68,statut,"=2")</f>
        <v>0</v>
      </c>
      <c r="I71" s="41">
        <f>COUNTIFS(Priorité,"P1",origine,A69,statut,"&lt;5",retard,"&gt;0")</f>
        <v>0</v>
      </c>
      <c r="J71" s="82" t="s">
        <v>41</v>
      </c>
      <c r="K71" s="82" t="s">
        <v>42</v>
      </c>
    </row>
    <row r="72" spans="1:24" ht="15.6" thickBot="1">
      <c r="A72" s="81" t="s">
        <v>35</v>
      </c>
      <c r="B72" s="75">
        <f ca="1">COUNTIFS(Priorité,"P2",origine,A69,date_action,"&gt;="&amp;$C68,date_action,"&lt;="&amp;$F68)</f>
        <v>0</v>
      </c>
      <c r="C72" s="39">
        <f ca="1">COUNTIFS(Priorité,"P2",origine,A69,date_fin,"&gt;="&amp;$C68,date_fin,"&lt;="&amp;$F68,statut,"=5")</f>
        <v>0</v>
      </c>
      <c r="D72" s="66">
        <f ca="1">COUNTIFS(Priorité,"P2",origine,A69,date_fin,"&gt;="&amp;$C68,date_fin,"&lt;="&amp;$F68,statut,"=5",retard,"&gt;0")</f>
        <v>0</v>
      </c>
      <c r="E72" s="77">
        <f ca="1">COUNTIFS(Priorité,"P2",origine,A69,date_action,"&gt;="&amp;$C68,date_action,"&lt;="&amp;$F68,statut,"&lt;5")</f>
        <v>0</v>
      </c>
      <c r="F72" s="78">
        <f ca="1">COUNTIFS(Priorité,"P2",origine,A69,date_action,"&gt;="&amp;$C68,date_action,"&lt;="&amp;$F68,statut,"=4")</f>
        <v>0</v>
      </c>
      <c r="G72" s="78">
        <f ca="1">COUNTIFS(Priorité,"P2",origine,A69,date_action,"&gt;="&amp;$C68,date_action,"&lt;="&amp;$F68,statut,"=3")</f>
        <v>0</v>
      </c>
      <c r="H72" s="78">
        <f ca="1">COUNTIFS(Priorité,"P1",origine,A69,date_action,"&gt;="&amp;$C69,date_action,"&lt;="&amp;$F69,statut,"=1")+COUNTIFS(origine,A69,date_action,"&gt;="&amp;$C69,date_action,"&lt;="&amp;$F69,statut,"=2")</f>
        <v>0</v>
      </c>
      <c r="I72" s="41">
        <f ca="1">COUNTIFS(Priorité,"P2",origine,A69,statut,"&lt;5",retard,"&gt;0")</f>
        <v>0</v>
      </c>
      <c r="J72" s="83" t="s">
        <v>43</v>
      </c>
      <c r="K72" s="83" t="s">
        <v>44</v>
      </c>
    </row>
    <row r="73" spans="1:24" ht="15.6" thickBot="1">
      <c r="A73" s="81" t="s">
        <v>36</v>
      </c>
      <c r="B73" s="75">
        <f ca="1">COUNTIFS(Priorité,"P3",origine,A69,date_action,"&gt;="&amp;$C68,date_action,"&lt;="&amp;$F68)</f>
        <v>0</v>
      </c>
      <c r="C73" s="39">
        <f ca="1">COUNTIFS(Priorité,"P3",origine,A69,date_fin,"&gt;="&amp;$C68,date_fin,"&lt;="&amp;$F68,statut,"=5")</f>
        <v>0</v>
      </c>
      <c r="D73" s="66">
        <f ca="1">COUNTIFS(Priorité,"P3",origine,A69,date_fin,"&gt;="&amp;$C68,date_fin,"&lt;="&amp;$F68,statut,"=5",retard,"&gt;0")</f>
        <v>0</v>
      </c>
      <c r="E73" s="77">
        <f ca="1">COUNTIFS(Priorité,"P3",origine,A69,date_action,"&gt;="&amp;$C68,date_action,"&lt;="&amp;$F68,statut,"&lt;5")</f>
        <v>0</v>
      </c>
      <c r="F73" s="78">
        <f ca="1">COUNTIFS(Priorité,"P3",origine,A69,date_action,"&gt;="&amp;$C68,date_action,"&lt;="&amp;$F68,statut,"=4")</f>
        <v>0</v>
      </c>
      <c r="G73" s="78">
        <f ca="1">COUNTIFS(Priorité,"P3",origine,A69,date_action,"&gt;="&amp;$C68,date_action,"&lt;="&amp;$F68,statut,"=3")</f>
        <v>0</v>
      </c>
      <c r="H73" s="78">
        <f ca="1">COUNTIFS(Priorité,"P3",origine,A69,date_action,"&gt;="&amp;$C68,date_action,"&lt;="&amp;$F68,statut,"=1")+COUNTIFS(origine,A69,date_action,"&gt;="&amp;$C68,date_action,"&lt;="&amp;$F68,statut,"=2")</f>
        <v>0</v>
      </c>
      <c r="I73" s="41">
        <f>COUNTIFS(Priorité,"P3",origine,A69,statut,"&lt;5",retard,"&gt;0")</f>
        <v>0</v>
      </c>
      <c r="J73" s="80">
        <f ca="1">COUNTIFS(origine,A69,date_action,"&gt;="&amp;$C68,date_action,"&lt;="&amp;$F68,statut,"&lt;"&amp;"4",échéance_révisée,"&lt;&gt;"&amp;"")-G70</f>
        <v>0</v>
      </c>
      <c r="K73" s="80">
        <f ca="1">COUNTIFS(origine,A69,date_action,"&gt;="&amp;$C68,date_action,"&lt;="&amp;$F68,statut,"="&amp;5,date_fin,"="&amp;"")</f>
        <v>0</v>
      </c>
    </row>
    <row r="75" spans="1:24" ht="16.2" thickBot="1">
      <c r="A75" s="113">
        <f ca="1">A68-1</f>
        <v>2018</v>
      </c>
      <c r="B75" s="17" t="s">
        <v>29</v>
      </c>
      <c r="C75" s="85" t="str">
        <f ca="1">"01/01/"&amp;A75</f>
        <v>01/01/2018</v>
      </c>
      <c r="D75" s="60"/>
      <c r="E75" s="60" t="s">
        <v>28</v>
      </c>
      <c r="F75" s="85" t="str">
        <f ca="1">"31/12/"&amp;A75</f>
        <v>31/12/2018</v>
      </c>
      <c r="G75" s="18"/>
      <c r="H75" s="18"/>
      <c r="I75" s="18" t="s">
        <v>46</v>
      </c>
      <c r="J75" s="18"/>
      <c r="K75" s="18"/>
    </row>
    <row r="76" spans="1:24" ht="45.6" thickBot="1">
      <c r="A76" s="86" t="s">
        <v>52</v>
      </c>
      <c r="B76" s="69" t="str">
        <f ca="1">"actions lancées en "&amp;YEAR(C75)</f>
        <v>actions lancées en 2018</v>
      </c>
      <c r="C76" s="70" t="str">
        <f ca="1">"actions clôturées en "&amp;YEAR(C75)</f>
        <v>actions clôturées en 2018</v>
      </c>
      <c r="D76" s="70" t="s">
        <v>38</v>
      </c>
      <c r="E76" s="71" t="s">
        <v>32</v>
      </c>
      <c r="F76" s="71" t="s">
        <v>30</v>
      </c>
      <c r="G76" s="71" t="s">
        <v>31</v>
      </c>
      <c r="H76" s="71" t="s">
        <v>33</v>
      </c>
      <c r="I76" s="72" t="s">
        <v>14</v>
      </c>
      <c r="J76" s="73" t="s">
        <v>39</v>
      </c>
      <c r="K76" s="73" t="s">
        <v>40</v>
      </c>
    </row>
    <row r="77" spans="1:24" ht="16.2" thickBot="1">
      <c r="A77" s="88" t="s">
        <v>47</v>
      </c>
      <c r="B77" s="101">
        <f ca="1">COUNTIFS(origine,A76,date_action,"&gt;="&amp;$C75,date_action,"&lt;="&amp;$F75)</f>
        <v>0</v>
      </c>
      <c r="C77" s="102">
        <f ca="1">COUNTIFS(origine,A76,date_fin,"&gt;="&amp;$C75,date_fin,"&lt;="&amp;$F75,statut,"=5")</f>
        <v>0</v>
      </c>
      <c r="D77" s="103">
        <f ca="1">COUNTIFS(origine,A76,date_fin,"&gt;="&amp;$C75,date_fin,"&lt;="&amp;$F75,statut,"=5",retard,"&gt;0")</f>
        <v>0</v>
      </c>
      <c r="E77" s="104">
        <f ca="1">COUNTIFS(origine,A76,date_action,"&gt;="&amp;$C75,date_action,"&lt;="&amp;$F75,statut,"&lt;5")</f>
        <v>0</v>
      </c>
      <c r="F77" s="105">
        <f ca="1">COUNTIFS(origine,A76,date_action,"&gt;="&amp;$C75,date_action,"&lt;="&amp;$F75,statut,"=4")</f>
        <v>0</v>
      </c>
      <c r="G77" s="105">
        <f ca="1">COUNTIFS(origine,A76,date_action,"&gt;="&amp;$C75,date_action,"&lt;="&amp;$F75,statut,"=3")</f>
        <v>0</v>
      </c>
      <c r="H77" s="78">
        <f ca="1">COUNTIFS(origine,A76,date_action,"&gt;="&amp;$C75,date_action,"&lt;="&amp;$F75,statut,"=1")+COUNTIFS(origine,A76,date_action,"&gt;="&amp;$C75,date_action,"&lt;="&amp;$F75,statut,"=2")</f>
        <v>0</v>
      </c>
      <c r="I77" s="106">
        <f ca="1">COUNTIFS(origine,A76,statut,"&lt;5",retard,"&gt;0")</f>
        <v>0</v>
      </c>
      <c r="J77" s="80">
        <f ca="1">COUNTIFS(origine,A76,date_action,"&gt;="&amp;$C75,date_action,"&lt;="&amp;$F75,Priorité,"")</f>
        <v>0</v>
      </c>
      <c r="K77" s="80">
        <f ca="1">COUNTIFS(origine,A76,date_action,"&gt;="&amp;$C75,date_action,"&lt;="&amp;$F75,statut,"="&amp;"")</f>
        <v>0</v>
      </c>
    </row>
    <row r="78" spans="1:24" ht="15.6" thickBot="1">
      <c r="A78" s="81" t="s">
        <v>37</v>
      </c>
      <c r="B78" s="75">
        <f ca="1">COUNTIFS(Priorité,"P1",origine,A76,date_action,"&gt;="&amp;$C75,date_action,"&lt;="&amp;$F75)</f>
        <v>0</v>
      </c>
      <c r="C78" s="39">
        <f ca="1">COUNTIFS(Priorité,"P1",origine,A76,date_fin,"&gt;="&amp;$C75,date_fin,"&lt;="&amp;$F75,statut,"=5")</f>
        <v>0</v>
      </c>
      <c r="D78" s="66">
        <f ca="1">COUNTIFS(Priorité,"P1",origine,A76,date_fin,"&gt;="&amp;$C75,date_fin,"&lt;="&amp;$F75,statut,"=5",retard,"&gt;0")</f>
        <v>0</v>
      </c>
      <c r="E78" s="77">
        <f ca="1">COUNTIFS(Priorité,"P1",origine,A76,date_action,"&gt;="&amp;$C75,date_action,"&lt;="&amp;$F75,statut,"&lt;5")</f>
        <v>0</v>
      </c>
      <c r="F78" s="78">
        <f ca="1">COUNTIFS(Priorité,"P1",origine,A76,date_action,"&gt;="&amp;$C75,date_action,"&lt;="&amp;$F75,statut,"=4")</f>
        <v>0</v>
      </c>
      <c r="G78" s="78">
        <f ca="1">COUNTIFS(Priorité,"P1",origine,A76,date_action,"&gt;="&amp;$C75,date_action,"&lt;="&amp;$F75,statut,"=3")</f>
        <v>0</v>
      </c>
      <c r="H78" s="78">
        <f ca="1">COUNTIFS(Priorité,"P1",origine,A76,date_action,"&gt;="&amp;$C75,date_action,"&lt;="&amp;$F75,statut,"=1")+COUNTIFS(origine,A76,date_action,"&gt;="&amp;$C75,date_action,"&lt;="&amp;$F75,statut,"=2")</f>
        <v>0</v>
      </c>
      <c r="I78" s="41">
        <f>COUNTIFS(Priorité,"P1",origine,A76,statut,"&lt;5",retard,"&gt;0")</f>
        <v>0</v>
      </c>
      <c r="J78" s="82" t="s">
        <v>41</v>
      </c>
      <c r="K78" s="82" t="s">
        <v>42</v>
      </c>
    </row>
    <row r="79" spans="1:24" ht="15.6" thickBot="1">
      <c r="A79" s="81" t="s">
        <v>35</v>
      </c>
      <c r="B79" s="75">
        <f ca="1">COUNTIFS(Priorité,"P2",origine,A76,date_action,"&gt;="&amp;$C75,date_action,"&lt;="&amp;$F75)</f>
        <v>0</v>
      </c>
      <c r="C79" s="39">
        <f ca="1">COUNTIFS(Priorité,"P2",origine,A76,date_fin,"&gt;="&amp;$C75,date_fin,"&lt;="&amp;$F75,statut,"=5")</f>
        <v>0</v>
      </c>
      <c r="D79" s="66">
        <f ca="1">COUNTIFS(Priorité,"P2",origine,A76,date_fin,"&gt;="&amp;$C75,date_fin,"&lt;="&amp;$F75,statut,"=5",retard,"&gt;0")</f>
        <v>0</v>
      </c>
      <c r="E79" s="77">
        <f ca="1">COUNTIFS(Priorité,"P2",origine,A76,date_action,"&gt;="&amp;$C75,date_action,"&lt;="&amp;$F75,statut,"&lt;5")</f>
        <v>0</v>
      </c>
      <c r="F79" s="78">
        <f ca="1">COUNTIFS(Priorité,"P2",origine,A76,date_action,"&gt;="&amp;$C75,date_action,"&lt;="&amp;$F75,statut,"=4")</f>
        <v>0</v>
      </c>
      <c r="G79" s="78">
        <f ca="1">COUNTIFS(Priorité,"P2",origine,A76,date_action,"&gt;="&amp;$C75,date_action,"&lt;="&amp;$F75,statut,"=3")</f>
        <v>0</v>
      </c>
      <c r="H79" s="78">
        <f ca="1">COUNTIFS(Priorité,"P1",origine,A76,date_action,"&gt;="&amp;$C76,date_action,"&lt;="&amp;$F76,statut,"=1")+COUNTIFS(origine,A76,date_action,"&gt;="&amp;$C76,date_action,"&lt;="&amp;$F76,statut,"=2")</f>
        <v>0</v>
      </c>
      <c r="I79" s="41">
        <f ca="1">COUNTIFS(Priorité,"P2",origine,A76,statut,"&lt;5",retard,"&gt;0")</f>
        <v>0</v>
      </c>
      <c r="J79" s="83" t="s">
        <v>43</v>
      </c>
      <c r="K79" s="83" t="s">
        <v>44</v>
      </c>
    </row>
    <row r="80" spans="1:24" ht="15.6" thickBot="1">
      <c r="A80" s="81" t="s">
        <v>36</v>
      </c>
      <c r="B80" s="75">
        <f ca="1">COUNTIFS(Priorité,"P3",origine,A76,date_action,"&gt;="&amp;$C75,date_action,"&lt;="&amp;$F75)</f>
        <v>0</v>
      </c>
      <c r="C80" s="39">
        <f ca="1">COUNTIFS(Priorité,"P3",origine,A76,date_fin,"&gt;="&amp;$C75,date_fin,"&lt;="&amp;$F75,statut,"=5")</f>
        <v>0</v>
      </c>
      <c r="D80" s="66">
        <f ca="1">COUNTIFS(Priorité,"P3",origine,A76,date_fin,"&gt;="&amp;$C75,date_fin,"&lt;="&amp;$F75,statut,"=5",retard,"&gt;0")</f>
        <v>0</v>
      </c>
      <c r="E80" s="77">
        <f ca="1">COUNTIFS(Priorité,"P3",origine,A76,date_action,"&gt;="&amp;$C75,date_action,"&lt;="&amp;$F75,statut,"&lt;5")</f>
        <v>0</v>
      </c>
      <c r="F80" s="78">
        <f ca="1">COUNTIFS(Priorité,"P3",origine,A76,date_action,"&gt;="&amp;$C75,date_action,"&lt;="&amp;$F75,statut,"=4")</f>
        <v>0</v>
      </c>
      <c r="G80" s="78">
        <f ca="1">COUNTIFS(Priorité,"P3",origine,A76,date_action,"&gt;="&amp;$C75,date_action,"&lt;="&amp;$F75,statut,"=3")</f>
        <v>0</v>
      </c>
      <c r="H80" s="78">
        <f ca="1">COUNTIFS(Priorité,"P3",origine,A76,date_action,"&gt;="&amp;$C75,date_action,"&lt;="&amp;$F75,statut,"=1")+COUNTIFS(origine,A76,date_action,"&gt;="&amp;$C75,date_action,"&lt;="&amp;$F75,statut,"=2")</f>
        <v>0</v>
      </c>
      <c r="I80" s="41">
        <f>COUNTIFS(Priorité,"P3",origine,A76,statut,"&lt;5",retard,"&gt;0")</f>
        <v>0</v>
      </c>
      <c r="J80" s="80">
        <f ca="1">COUNTIFS(origine,A76,date_action,"&gt;="&amp;$C75,date_action,"&lt;="&amp;$F75,statut,"&lt;"&amp;"4",échéance_révisée,"&lt;&gt;"&amp;"")-G77</f>
        <v>0</v>
      </c>
      <c r="K80" s="80">
        <f ca="1">COUNTIFS(origine,A76,date_action,"&gt;="&amp;$C75,date_action,"&lt;="&amp;$F75,statut,"="&amp;5,date_fin,"="&amp;"")</f>
        <v>0</v>
      </c>
    </row>
  </sheetData>
  <phoneticPr fontId="3" type="noConversion"/>
  <conditionalFormatting sqref="J6">
    <cfRule type="cellIs" dxfId="102" priority="99" stopIfTrue="1" operator="notEqual">
      <formula>0</formula>
    </cfRule>
  </conditionalFormatting>
  <conditionalFormatting sqref="J3">
    <cfRule type="cellIs" dxfId="101" priority="98" stopIfTrue="1" operator="greaterThan">
      <formula>0</formula>
    </cfRule>
  </conditionalFormatting>
  <conditionalFormatting sqref="J24">
    <cfRule type="cellIs" dxfId="100" priority="96" stopIfTrue="1" operator="greaterThan">
      <formula>0</formula>
    </cfRule>
  </conditionalFormatting>
  <conditionalFormatting sqref="J17">
    <cfRule type="cellIs" dxfId="99" priority="97" stopIfTrue="1" operator="greaterThan">
      <formula>0</formula>
    </cfRule>
  </conditionalFormatting>
  <conditionalFormatting sqref="J31">
    <cfRule type="cellIs" dxfId="98" priority="95" stopIfTrue="1" operator="greaterThan">
      <formula>0</formula>
    </cfRule>
  </conditionalFormatting>
  <conditionalFormatting sqref="J56">
    <cfRule type="cellIs" dxfId="97" priority="94" stopIfTrue="1" operator="greaterThan">
      <formula>0</formula>
    </cfRule>
  </conditionalFormatting>
  <conditionalFormatting sqref="J63">
    <cfRule type="cellIs" dxfId="96" priority="93" stopIfTrue="1" operator="greaterThan">
      <formula>0</formula>
    </cfRule>
  </conditionalFormatting>
  <conditionalFormatting sqref="J70">
    <cfRule type="cellIs" dxfId="95" priority="92" stopIfTrue="1" operator="greaterThan">
      <formula>0</formula>
    </cfRule>
  </conditionalFormatting>
  <conditionalFormatting sqref="J77">
    <cfRule type="cellIs" dxfId="94" priority="91" stopIfTrue="1" operator="greaterThan">
      <formula>0</formula>
    </cfRule>
  </conditionalFormatting>
  <conditionalFormatting sqref="J10">
    <cfRule type="cellIs" dxfId="93" priority="90" stopIfTrue="1" operator="greaterThan">
      <formula>0</formula>
    </cfRule>
  </conditionalFormatting>
  <conditionalFormatting sqref="J49">
    <cfRule type="cellIs" dxfId="92" priority="89" stopIfTrue="1" operator="greaterThan">
      <formula>0</formula>
    </cfRule>
  </conditionalFormatting>
  <conditionalFormatting sqref="J13">
    <cfRule type="cellIs" dxfId="91" priority="88" stopIfTrue="1" operator="notEqual">
      <formula>0</formula>
    </cfRule>
  </conditionalFormatting>
  <conditionalFormatting sqref="J20">
    <cfRule type="cellIs" dxfId="90" priority="87" stopIfTrue="1" operator="notEqual">
      <formula>0</formula>
    </cfRule>
  </conditionalFormatting>
  <conditionalFormatting sqref="J27">
    <cfRule type="cellIs" dxfId="89" priority="86" stopIfTrue="1" operator="notEqual">
      <formula>0</formula>
    </cfRule>
  </conditionalFormatting>
  <conditionalFormatting sqref="J34">
    <cfRule type="cellIs" dxfId="88" priority="85" stopIfTrue="1" operator="notEqual">
      <formula>0</formula>
    </cfRule>
  </conditionalFormatting>
  <conditionalFormatting sqref="J52">
    <cfRule type="cellIs" dxfId="87" priority="84" stopIfTrue="1" operator="notEqual">
      <formula>0</formula>
    </cfRule>
  </conditionalFormatting>
  <conditionalFormatting sqref="J59">
    <cfRule type="cellIs" dxfId="86" priority="83" stopIfTrue="1" operator="notEqual">
      <formula>0</formula>
    </cfRule>
  </conditionalFormatting>
  <conditionalFormatting sqref="J66">
    <cfRule type="cellIs" dxfId="85" priority="82" stopIfTrue="1" operator="notEqual">
      <formula>0</formula>
    </cfRule>
  </conditionalFormatting>
  <conditionalFormatting sqref="J73">
    <cfRule type="cellIs" dxfId="84" priority="81" stopIfTrue="1" operator="notEqual">
      <formula>0</formula>
    </cfRule>
  </conditionalFormatting>
  <conditionalFormatting sqref="J80">
    <cfRule type="cellIs" dxfId="83" priority="80" stopIfTrue="1" operator="notEqual">
      <formula>0</formula>
    </cfRule>
  </conditionalFormatting>
  <conditionalFormatting sqref="B3">
    <cfRule type="cellIs" dxfId="82" priority="79" stopIfTrue="1" operator="notEqual">
      <formula>$B$4+$B$5+$B$6</formula>
    </cfRule>
  </conditionalFormatting>
  <conditionalFormatting sqref="C3">
    <cfRule type="cellIs" dxfId="81" priority="78" stopIfTrue="1" operator="notEqual">
      <formula>$B$4+$B$5+$B$6</formula>
    </cfRule>
  </conditionalFormatting>
  <conditionalFormatting sqref="B10">
    <cfRule type="cellIs" dxfId="80" priority="77" stopIfTrue="1" operator="notEqual">
      <formula>$B11+$B12+$B13</formula>
    </cfRule>
  </conditionalFormatting>
  <conditionalFormatting sqref="C10">
    <cfRule type="cellIs" dxfId="79" priority="76" stopIfTrue="1" operator="notEqual">
      <formula>$C11+$C12+$C13</formula>
    </cfRule>
  </conditionalFormatting>
  <conditionalFormatting sqref="B17">
    <cfRule type="cellIs" dxfId="78" priority="75" stopIfTrue="1" operator="notEqual">
      <formula>$B18+$B19+$B20</formula>
    </cfRule>
  </conditionalFormatting>
  <conditionalFormatting sqref="C17">
    <cfRule type="cellIs" dxfId="77" priority="74" stopIfTrue="1" operator="notEqual">
      <formula>$C18+$C19+$C20</formula>
    </cfRule>
  </conditionalFormatting>
  <conditionalFormatting sqref="B24">
    <cfRule type="cellIs" dxfId="76" priority="73" stopIfTrue="1" operator="notEqual">
      <formula>$B25+$B26+$B27</formula>
    </cfRule>
  </conditionalFormatting>
  <conditionalFormatting sqref="C24">
    <cfRule type="cellIs" dxfId="75" priority="72" stopIfTrue="1" operator="notEqual">
      <formula>$C25+$C26+$C27</formula>
    </cfRule>
  </conditionalFormatting>
  <conditionalFormatting sqref="E24">
    <cfRule type="cellIs" dxfId="74" priority="71" stopIfTrue="1" operator="notEqual">
      <formula>$E27+$E25+$E26</formula>
    </cfRule>
  </conditionalFormatting>
  <conditionalFormatting sqref="E17">
    <cfRule type="cellIs" dxfId="73" priority="70" stopIfTrue="1" operator="notEqual">
      <formula>$E20+$E18+$E19</formula>
    </cfRule>
  </conditionalFormatting>
  <conditionalFormatting sqref="E10">
    <cfRule type="cellIs" dxfId="72" priority="69" stopIfTrue="1" operator="notEqual">
      <formula>$E13+$E11+$E12</formula>
    </cfRule>
  </conditionalFormatting>
  <conditionalFormatting sqref="B31">
    <cfRule type="cellIs" dxfId="71" priority="68" stopIfTrue="1" operator="notEqual">
      <formula>$B32+$B33+$B34</formula>
    </cfRule>
  </conditionalFormatting>
  <conditionalFormatting sqref="C31">
    <cfRule type="cellIs" dxfId="70" priority="67" stopIfTrue="1" operator="notEqual">
      <formula>$C32+$C33+$C34</formula>
    </cfRule>
  </conditionalFormatting>
  <conditionalFormatting sqref="E31">
    <cfRule type="cellIs" dxfId="69" priority="66" stopIfTrue="1" operator="notEqual">
      <formula>$E34+$E32+$E33</formula>
    </cfRule>
  </conditionalFormatting>
  <conditionalFormatting sqref="B49">
    <cfRule type="cellIs" dxfId="68" priority="65" stopIfTrue="1" operator="notEqual">
      <formula>$B50+$B51+$B52</formula>
    </cfRule>
  </conditionalFormatting>
  <conditionalFormatting sqref="C49">
    <cfRule type="cellIs" dxfId="67" priority="64" stopIfTrue="1" operator="notEqual">
      <formula>$C50+$C51+$C52</formula>
    </cfRule>
  </conditionalFormatting>
  <conditionalFormatting sqref="E49">
    <cfRule type="cellIs" dxfId="66" priority="63" stopIfTrue="1" operator="notEqual">
      <formula>$E52+$E50+$E51</formula>
    </cfRule>
  </conditionalFormatting>
  <conditionalFormatting sqref="B56">
    <cfRule type="cellIs" dxfId="65" priority="62" stopIfTrue="1" operator="notEqual">
      <formula>$B57+$B58+$B59</formula>
    </cfRule>
  </conditionalFormatting>
  <conditionalFormatting sqref="C56">
    <cfRule type="cellIs" dxfId="64" priority="61" stopIfTrue="1" operator="notEqual">
      <formula>$C57+$C58+$C59</formula>
    </cfRule>
  </conditionalFormatting>
  <conditionalFormatting sqref="E56">
    <cfRule type="cellIs" dxfId="63" priority="60" stopIfTrue="1" operator="notEqual">
      <formula>$E59+$E57+$E58</formula>
    </cfRule>
  </conditionalFormatting>
  <conditionalFormatting sqref="B63">
    <cfRule type="cellIs" dxfId="62" priority="59" stopIfTrue="1" operator="notEqual">
      <formula>$B64+$B65+$B66</formula>
    </cfRule>
  </conditionalFormatting>
  <conditionalFormatting sqref="C63">
    <cfRule type="cellIs" dxfId="61" priority="58" stopIfTrue="1" operator="notEqual">
      <formula>$C64+$C65+$C66</formula>
    </cfRule>
  </conditionalFormatting>
  <conditionalFormatting sqref="E63">
    <cfRule type="cellIs" dxfId="60" priority="57" stopIfTrue="1" operator="notEqual">
      <formula>$E66+$E64+$E65</formula>
    </cfRule>
  </conditionalFormatting>
  <conditionalFormatting sqref="B70">
    <cfRule type="cellIs" dxfId="59" priority="56" stopIfTrue="1" operator="notEqual">
      <formula>$B71+$B72+$B73</formula>
    </cfRule>
  </conditionalFormatting>
  <conditionalFormatting sqref="C70">
    <cfRule type="cellIs" dxfId="58" priority="55" stopIfTrue="1" operator="notEqual">
      <formula>$C71+$C72+$C73</formula>
    </cfRule>
  </conditionalFormatting>
  <conditionalFormatting sqref="E70">
    <cfRule type="cellIs" dxfId="57" priority="54" stopIfTrue="1" operator="notEqual">
      <formula>$E73+$E71+$E72</formula>
    </cfRule>
  </conditionalFormatting>
  <conditionalFormatting sqref="B77">
    <cfRule type="cellIs" dxfId="56" priority="53" stopIfTrue="1" operator="notEqual">
      <formula>$B78+$B79+$B80</formula>
    </cfRule>
  </conditionalFormatting>
  <conditionalFormatting sqref="C77">
    <cfRule type="cellIs" dxfId="55" priority="52" stopIfTrue="1" operator="notEqual">
      <formula>$C78+$C79+$C80</formula>
    </cfRule>
  </conditionalFormatting>
  <conditionalFormatting sqref="E77">
    <cfRule type="cellIs" dxfId="54" priority="51" stopIfTrue="1" operator="notEqual">
      <formula>$E80+$E78+$E79</formula>
    </cfRule>
  </conditionalFormatting>
  <conditionalFormatting sqref="K3">
    <cfRule type="cellIs" dxfId="53" priority="50" stopIfTrue="1" operator="greaterThan">
      <formula>0</formula>
    </cfRule>
  </conditionalFormatting>
  <conditionalFormatting sqref="K6">
    <cfRule type="cellIs" dxfId="52" priority="49" stopIfTrue="1" operator="greaterThan">
      <formula>0</formula>
    </cfRule>
  </conditionalFormatting>
  <conditionalFormatting sqref="K10">
    <cfRule type="cellIs" dxfId="51" priority="46" stopIfTrue="1" operator="greaterThan">
      <formula>0</formula>
    </cfRule>
    <cfRule type="cellIs" dxfId="50" priority="48" stopIfTrue="1" operator="greaterThan">
      <formula>0</formula>
    </cfRule>
  </conditionalFormatting>
  <conditionalFormatting sqref="K13">
    <cfRule type="cellIs" dxfId="49" priority="45" stopIfTrue="1" operator="greaterThan">
      <formula>0</formula>
    </cfRule>
    <cfRule type="cellIs" dxfId="48" priority="47" stopIfTrue="1" operator="greaterThan">
      <formula>0</formula>
    </cfRule>
  </conditionalFormatting>
  <conditionalFormatting sqref="K17">
    <cfRule type="cellIs" dxfId="47" priority="42" stopIfTrue="1" operator="greaterThan">
      <formula>0</formula>
    </cfRule>
    <cfRule type="cellIs" dxfId="46" priority="44" stopIfTrue="1" operator="greaterThan">
      <formula>0</formula>
    </cfRule>
  </conditionalFormatting>
  <conditionalFormatting sqref="K20">
    <cfRule type="cellIs" dxfId="45" priority="41" stopIfTrue="1" operator="greaterThan">
      <formula>0</formula>
    </cfRule>
    <cfRule type="cellIs" dxfId="44" priority="43" stopIfTrue="1" operator="greaterThan">
      <formula>0</formula>
    </cfRule>
  </conditionalFormatting>
  <conditionalFormatting sqref="K24">
    <cfRule type="cellIs" dxfId="43" priority="38" stopIfTrue="1" operator="greaterThan">
      <formula>0</formula>
    </cfRule>
    <cfRule type="cellIs" dxfId="42" priority="40" stopIfTrue="1" operator="greaterThan">
      <formula>0</formula>
    </cfRule>
  </conditionalFormatting>
  <conditionalFormatting sqref="K27">
    <cfRule type="cellIs" dxfId="41" priority="37" stopIfTrue="1" operator="greaterThan">
      <formula>0</formula>
    </cfRule>
    <cfRule type="cellIs" dxfId="40" priority="39" stopIfTrue="1" operator="greaterThan">
      <formula>0</formula>
    </cfRule>
  </conditionalFormatting>
  <conditionalFormatting sqref="K31">
    <cfRule type="cellIs" dxfId="39" priority="34" stopIfTrue="1" operator="greaterThan">
      <formula>0</formula>
    </cfRule>
    <cfRule type="cellIs" dxfId="38" priority="36" stopIfTrue="1" operator="greaterThan">
      <formula>0</formula>
    </cfRule>
  </conditionalFormatting>
  <conditionalFormatting sqref="K34">
    <cfRule type="cellIs" dxfId="37" priority="33" stopIfTrue="1" operator="greaterThan">
      <formula>0</formula>
    </cfRule>
    <cfRule type="cellIs" dxfId="36" priority="35" stopIfTrue="1" operator="greaterThan">
      <formula>0</formula>
    </cfRule>
  </conditionalFormatting>
  <conditionalFormatting sqref="K49">
    <cfRule type="cellIs" dxfId="35" priority="30" stopIfTrue="1" operator="greaterThan">
      <formula>0</formula>
    </cfRule>
    <cfRule type="cellIs" dxfId="34" priority="32" stopIfTrue="1" operator="greaterThan">
      <formula>0</formula>
    </cfRule>
  </conditionalFormatting>
  <conditionalFormatting sqref="K52">
    <cfRule type="cellIs" dxfId="33" priority="29" stopIfTrue="1" operator="greaterThan">
      <formula>0</formula>
    </cfRule>
    <cfRule type="cellIs" dxfId="32" priority="31" stopIfTrue="1" operator="greaterThan">
      <formula>0</formula>
    </cfRule>
  </conditionalFormatting>
  <conditionalFormatting sqref="K56">
    <cfRule type="cellIs" dxfId="31" priority="26" stopIfTrue="1" operator="greaterThan">
      <formula>0</formula>
    </cfRule>
    <cfRule type="cellIs" dxfId="30" priority="28" stopIfTrue="1" operator="greaterThan">
      <formula>0</formula>
    </cfRule>
  </conditionalFormatting>
  <conditionalFormatting sqref="K59">
    <cfRule type="cellIs" dxfId="29" priority="25" stopIfTrue="1" operator="greaterThan">
      <formula>0</formula>
    </cfRule>
    <cfRule type="cellIs" dxfId="28" priority="27" stopIfTrue="1" operator="greaterThan">
      <formula>0</formula>
    </cfRule>
  </conditionalFormatting>
  <conditionalFormatting sqref="K63">
    <cfRule type="cellIs" dxfId="27" priority="22" stopIfTrue="1" operator="greaterThan">
      <formula>0</formula>
    </cfRule>
    <cfRule type="cellIs" dxfId="26" priority="24" stopIfTrue="1" operator="greaterThan">
      <formula>0</formula>
    </cfRule>
  </conditionalFormatting>
  <conditionalFormatting sqref="K66">
    <cfRule type="cellIs" dxfId="25" priority="21" stopIfTrue="1" operator="greaterThan">
      <formula>0</formula>
    </cfRule>
    <cfRule type="cellIs" dxfId="24" priority="23" stopIfTrue="1" operator="greaterThan">
      <formula>0</formula>
    </cfRule>
  </conditionalFormatting>
  <conditionalFormatting sqref="K70">
    <cfRule type="cellIs" dxfId="23" priority="18" stopIfTrue="1" operator="greaterThan">
      <formula>0</formula>
    </cfRule>
    <cfRule type="cellIs" dxfId="22" priority="20" stopIfTrue="1" operator="greaterThan">
      <formula>0</formula>
    </cfRule>
  </conditionalFormatting>
  <conditionalFormatting sqref="K73">
    <cfRule type="cellIs" dxfId="21" priority="17" stopIfTrue="1" operator="greaterThan">
      <formula>0</formula>
    </cfRule>
    <cfRule type="cellIs" dxfId="20" priority="19" stopIfTrue="1" operator="greaterThan">
      <formula>0</formula>
    </cfRule>
  </conditionalFormatting>
  <conditionalFormatting sqref="K77">
    <cfRule type="cellIs" dxfId="19" priority="14" stopIfTrue="1" operator="greaterThan">
      <formula>0</formula>
    </cfRule>
    <cfRule type="cellIs" dxfId="18" priority="16" stopIfTrue="1" operator="greaterThan">
      <formula>0</formula>
    </cfRule>
  </conditionalFormatting>
  <conditionalFormatting sqref="K80">
    <cfRule type="cellIs" dxfId="17" priority="13" stopIfTrue="1" operator="greaterThan">
      <formula>0</formula>
    </cfRule>
    <cfRule type="cellIs" dxfId="16" priority="15" stopIfTrue="1" operator="greaterThan">
      <formula>0</formula>
    </cfRule>
  </conditionalFormatting>
  <conditionalFormatting sqref="J38">
    <cfRule type="cellIs" dxfId="15" priority="9" stopIfTrue="1" operator="greaterThan">
      <formula>0</formula>
    </cfRule>
  </conditionalFormatting>
  <conditionalFormatting sqref="J41">
    <cfRule type="cellIs" dxfId="14" priority="8" stopIfTrue="1" operator="notEqual">
      <formula>0</formula>
    </cfRule>
  </conditionalFormatting>
  <conditionalFormatting sqref="B38">
    <cfRule type="cellIs" dxfId="13" priority="7" stopIfTrue="1" operator="notEqual">
      <formula>$B39+$B40+$B41</formula>
    </cfRule>
  </conditionalFormatting>
  <conditionalFormatting sqref="C38">
    <cfRule type="cellIs" dxfId="12" priority="6" stopIfTrue="1" operator="notEqual">
      <formula>$C39+$C40+$C41</formula>
    </cfRule>
  </conditionalFormatting>
  <conditionalFormatting sqref="E38">
    <cfRule type="cellIs" dxfId="11" priority="5" stopIfTrue="1" operator="notEqual">
      <formula>$E41+$E39+$E40</formula>
    </cfRule>
  </conditionalFormatting>
  <conditionalFormatting sqref="K38">
    <cfRule type="cellIs" dxfId="10" priority="2" stopIfTrue="1" operator="greaterThan">
      <formula>0</formula>
    </cfRule>
    <cfRule type="cellIs" dxfId="9" priority="4" stopIfTrue="1" operator="greaterThan">
      <formula>0</formula>
    </cfRule>
  </conditionalFormatting>
  <conditionalFormatting sqref="K41">
    <cfRule type="cellIs" dxfId="8" priority="1" stopIfTrue="1" operator="greaterThan">
      <formula>0</formula>
    </cfRule>
    <cfRule type="cellIs" dxfId="7" priority="3" stopIfTrue="1" operator="greaterThan">
      <formula>0</formula>
    </cfRule>
  </conditionalFormatting>
  <pageMargins left="0.78740157499999996" right="0.78740157499999996" top="0.984251969" bottom="0.984251969" header="0.4921259845" footer="0.4921259845"/>
  <pageSetup paperSize="9" orientation="landscape" r:id="rId1"/>
  <headerFooter alignWithMargins="0"/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K18"/>
  <sheetViews>
    <sheetView workbookViewId="0">
      <selection activeCell="A15" sqref="A15"/>
    </sheetView>
  </sheetViews>
  <sheetFormatPr baseColWidth="10" defaultRowHeight="13.2"/>
  <cols>
    <col min="1" max="1" width="112.109375" customWidth="1"/>
    <col min="2" max="2" width="43.6640625" customWidth="1"/>
    <col min="3" max="3" width="78.109375" customWidth="1"/>
    <col min="4" max="4" width="105.88671875" customWidth="1"/>
  </cols>
  <sheetData>
    <row r="1" spans="1:11" ht="16.2">
      <c r="A1" s="117" t="s">
        <v>149</v>
      </c>
      <c r="B1" s="171" t="s">
        <v>57</v>
      </c>
    </row>
    <row r="2" spans="1:11" ht="15">
      <c r="A2" s="1"/>
      <c r="B2" s="172" t="s">
        <v>61</v>
      </c>
      <c r="C2" s="121"/>
      <c r="D2" s="121"/>
      <c r="E2" s="121"/>
      <c r="F2" s="121"/>
      <c r="G2" s="121"/>
      <c r="H2" s="121"/>
      <c r="I2" s="121"/>
      <c r="J2" s="121"/>
      <c r="K2" s="121"/>
    </row>
    <row r="3" spans="1:11" ht="36">
      <c r="A3" s="118" t="s">
        <v>55</v>
      </c>
      <c r="B3" s="172" t="s">
        <v>147</v>
      </c>
      <c r="C3" s="121"/>
      <c r="D3" s="121"/>
      <c r="E3" s="121"/>
      <c r="F3" s="121"/>
      <c r="G3" s="121"/>
      <c r="H3" s="121"/>
      <c r="I3" s="121"/>
      <c r="J3" s="121"/>
    </row>
    <row r="4" spans="1:11" ht="37.5" customHeight="1">
      <c r="A4" s="118" t="s">
        <v>54</v>
      </c>
      <c r="B4" s="172" t="s">
        <v>63</v>
      </c>
      <c r="C4" s="121"/>
      <c r="D4" s="121"/>
      <c r="E4" s="121"/>
      <c r="F4" s="121"/>
      <c r="G4" s="121"/>
      <c r="H4" s="121"/>
      <c r="I4" s="122" t="s">
        <v>56</v>
      </c>
    </row>
    <row r="5" spans="1:11" ht="18">
      <c r="A5" s="119"/>
      <c r="B5" s="116"/>
      <c r="C5" s="116"/>
    </row>
    <row r="6" spans="1:11" ht="18.600000000000001" thickBot="1">
      <c r="A6" s="119"/>
      <c r="C6" s="116"/>
    </row>
    <row r="7" spans="1:11" ht="18">
      <c r="A7" s="119"/>
      <c r="B7" s="168"/>
      <c r="C7" s="116"/>
    </row>
    <row r="8" spans="1:11" ht="15.6">
      <c r="A8" s="119"/>
      <c r="B8" s="169"/>
    </row>
    <row r="9" spans="1:11" ht="15">
      <c r="A9" s="1"/>
      <c r="B9" s="169"/>
    </row>
    <row r="10" spans="1:11" ht="15.6">
      <c r="A10" s="118" t="s">
        <v>60</v>
      </c>
      <c r="B10" s="173" t="s">
        <v>148</v>
      </c>
    </row>
    <row r="11" spans="1:11" ht="16.2" thickBot="1">
      <c r="A11" s="119"/>
      <c r="B11" s="170"/>
    </row>
    <row r="12" spans="1:11" ht="15.6">
      <c r="A12" s="119"/>
    </row>
    <row r="13" spans="1:11" ht="15">
      <c r="A13" s="1"/>
    </row>
    <row r="14" spans="1:11" ht="16.2" thickBot="1">
      <c r="A14" s="118"/>
    </row>
    <row r="15" spans="1:11" ht="15.6">
      <c r="A15" s="120"/>
      <c r="B15" s="175"/>
    </row>
    <row r="16" spans="1:11">
      <c r="B16" s="176"/>
    </row>
    <row r="17" spans="2:2">
      <c r="B17" s="176"/>
    </row>
    <row r="18" spans="2:2" ht="14.4" thickBot="1">
      <c r="B18" s="177" t="s">
        <v>146</v>
      </c>
    </row>
  </sheetData>
  <pageMargins left="0.7" right="0.7" top="0.75" bottom="0.75" header="0.3" footer="0.3"/>
  <pageSetup paperSize="9" orientation="portrait" verticalDpi="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D29"/>
  <sheetViews>
    <sheetView tabSelected="1" zoomScaleNormal="100" workbookViewId="0">
      <selection activeCell="B1" sqref="B1"/>
    </sheetView>
  </sheetViews>
  <sheetFormatPr baseColWidth="10" defaultRowHeight="13.2"/>
  <cols>
    <col min="1" max="1" width="48.5546875" customWidth="1"/>
    <col min="2" max="2" width="100.33203125" customWidth="1"/>
    <col min="3" max="3" width="3.88671875" customWidth="1"/>
    <col min="4" max="4" width="13.33203125" customWidth="1"/>
  </cols>
  <sheetData>
    <row r="1" spans="1:4">
      <c r="A1" s="198" t="s">
        <v>131</v>
      </c>
      <c r="B1" s="199"/>
    </row>
    <row r="2" spans="1:4">
      <c r="A2" s="112" t="s">
        <v>132</v>
      </c>
      <c r="B2" s="125"/>
    </row>
    <row r="3" spans="1:4">
      <c r="A3" s="112" t="s">
        <v>133</v>
      </c>
      <c r="B3" s="125"/>
    </row>
    <row r="4" spans="1:4">
      <c r="A4" s="112" t="s">
        <v>134</v>
      </c>
      <c r="B4" s="125"/>
    </row>
    <row r="5" spans="1:4">
      <c r="A5" s="112" t="s">
        <v>62</v>
      </c>
      <c r="B5" s="125"/>
    </row>
    <row r="6" spans="1:4">
      <c r="A6" s="112" t="s">
        <v>135</v>
      </c>
      <c r="B6" s="125"/>
    </row>
    <row r="7" spans="1:4">
      <c r="A7" s="112" t="s">
        <v>136</v>
      </c>
      <c r="B7" s="125"/>
      <c r="D7" s="124"/>
    </row>
    <row r="8" spans="1:4">
      <c r="A8" s="112" t="s">
        <v>136</v>
      </c>
      <c r="B8" s="125"/>
      <c r="D8" s="124"/>
    </row>
    <row r="9" spans="1:4">
      <c r="A9" s="126" t="s">
        <v>136</v>
      </c>
      <c r="B9" s="125"/>
      <c r="D9" s="124"/>
    </row>
    <row r="10" spans="1:4">
      <c r="A10" s="112" t="s">
        <v>136</v>
      </c>
      <c r="B10" s="125"/>
      <c r="D10" s="124" t="s">
        <v>146</v>
      </c>
    </row>
    <row r="11" spans="1:4">
      <c r="A11" s="112" t="s">
        <v>136</v>
      </c>
      <c r="B11" s="125"/>
    </row>
    <row r="12" spans="1:4">
      <c r="A12" s="112" t="s">
        <v>136</v>
      </c>
      <c r="B12" s="125"/>
    </row>
    <row r="14" spans="1:4" s="54" customFormat="1">
      <c r="A14" s="195" t="s">
        <v>27</v>
      </c>
      <c r="B14" s="123" t="s">
        <v>137</v>
      </c>
    </row>
    <row r="15" spans="1:4" s="54" customFormat="1">
      <c r="A15" s="196" t="s">
        <v>0</v>
      </c>
      <c r="B15" s="123" t="s">
        <v>19</v>
      </c>
    </row>
    <row r="16" spans="1:4" s="54" customFormat="1">
      <c r="A16" s="195" t="s">
        <v>4</v>
      </c>
      <c r="B16" s="123" t="s">
        <v>138</v>
      </c>
    </row>
    <row r="17" spans="1:3" s="54" customFormat="1">
      <c r="A17" s="195" t="s">
        <v>10</v>
      </c>
      <c r="B17" s="123" t="s">
        <v>139</v>
      </c>
    </row>
    <row r="18" spans="1:3" s="54" customFormat="1" ht="24">
      <c r="A18" s="195" t="s">
        <v>8</v>
      </c>
      <c r="B18" s="123" t="s">
        <v>59</v>
      </c>
    </row>
    <row r="19" spans="1:3" s="54" customFormat="1" ht="24">
      <c r="A19" s="195" t="s">
        <v>5</v>
      </c>
      <c r="B19" s="123" t="s">
        <v>26</v>
      </c>
      <c r="C19" s="174">
        <v>3</v>
      </c>
    </row>
    <row r="20" spans="1:3" s="54" customFormat="1" ht="28.5" customHeight="1">
      <c r="A20" s="197" t="s">
        <v>9</v>
      </c>
      <c r="B20" s="123" t="s">
        <v>140</v>
      </c>
      <c r="C20" s="174">
        <v>2</v>
      </c>
    </row>
    <row r="21" spans="1:3" s="54" customFormat="1">
      <c r="A21" s="197" t="s">
        <v>16</v>
      </c>
      <c r="B21" s="123" t="s">
        <v>141</v>
      </c>
      <c r="C21" s="174">
        <v>1</v>
      </c>
    </row>
    <row r="22" spans="1:3" s="54" customFormat="1">
      <c r="A22" s="195" t="s">
        <v>24</v>
      </c>
      <c r="B22" s="123" t="s">
        <v>20</v>
      </c>
    </row>
    <row r="23" spans="1:3" s="54" customFormat="1" ht="24">
      <c r="A23" s="195" t="s">
        <v>17</v>
      </c>
      <c r="B23" s="123" t="s">
        <v>142</v>
      </c>
    </row>
    <row r="24" spans="1:3" s="54" customFormat="1">
      <c r="A24" s="196" t="s">
        <v>1</v>
      </c>
      <c r="B24" s="123" t="s">
        <v>19</v>
      </c>
    </row>
    <row r="25" spans="1:3" s="54" customFormat="1">
      <c r="A25" s="195" t="s">
        <v>25</v>
      </c>
      <c r="B25" s="123" t="s">
        <v>143</v>
      </c>
    </row>
    <row r="26" spans="1:3" s="54" customFormat="1" ht="48">
      <c r="A26" s="195" t="s">
        <v>23</v>
      </c>
      <c r="B26" s="123" t="s">
        <v>144</v>
      </c>
    </row>
    <row r="27" spans="1:3" s="54" customFormat="1" ht="24">
      <c r="A27" s="195" t="s">
        <v>22</v>
      </c>
      <c r="B27" s="123" t="s">
        <v>145</v>
      </c>
    </row>
    <row r="28" spans="1:3" s="54" customFormat="1" ht="24">
      <c r="A28" s="195" t="s">
        <v>58</v>
      </c>
      <c r="B28" s="123" t="s">
        <v>19</v>
      </c>
    </row>
    <row r="29" spans="1:3" s="54" customFormat="1">
      <c r="A29" s="195" t="s">
        <v>13</v>
      </c>
      <c r="B29" s="123" t="s">
        <v>21</v>
      </c>
    </row>
  </sheetData>
  <pageMargins left="0.7" right="0.7" top="0.75" bottom="0.75" header="0.3" footer="0.3"/>
  <pageSetup paperSize="9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7"/>
  <sheetViews>
    <sheetView workbookViewId="0">
      <selection activeCell="A2" sqref="A2:A14"/>
    </sheetView>
  </sheetViews>
  <sheetFormatPr baseColWidth="10" defaultRowHeight="13.2"/>
  <cols>
    <col min="1" max="1" width="15.88671875" customWidth="1"/>
    <col min="2" max="2" width="59.5546875" customWidth="1"/>
    <col min="5" max="5" width="8.109375" customWidth="1"/>
  </cols>
  <sheetData>
    <row r="1" spans="1:6" ht="29.4" customHeight="1">
      <c r="A1" s="180" t="s">
        <v>64</v>
      </c>
    </row>
    <row r="2" spans="1:6" ht="24">
      <c r="A2" s="51" t="s">
        <v>7</v>
      </c>
      <c r="B2" s="56"/>
    </row>
    <row r="3" spans="1:6">
      <c r="A3" s="52" t="s">
        <v>0</v>
      </c>
      <c r="B3" s="11"/>
    </row>
    <row r="4" spans="1:6">
      <c r="A4" s="51" t="s">
        <v>4</v>
      </c>
      <c r="B4" s="8"/>
    </row>
    <row r="5" spans="1:6" ht="36">
      <c r="A5" s="51" t="s">
        <v>10</v>
      </c>
      <c r="B5" s="8"/>
      <c r="D5" s="178"/>
      <c r="E5" s="178"/>
      <c r="F5" s="178"/>
    </row>
    <row r="6" spans="1:6" ht="48">
      <c r="A6" s="51" t="s">
        <v>8</v>
      </c>
      <c r="B6" s="8"/>
      <c r="D6" s="178"/>
      <c r="E6" s="179"/>
      <c r="F6" s="178"/>
    </row>
    <row r="7" spans="1:6" ht="48">
      <c r="A7" s="51" t="s">
        <v>5</v>
      </c>
      <c r="B7" s="45"/>
      <c r="D7" s="178"/>
      <c r="E7" s="178"/>
      <c r="F7" s="178"/>
    </row>
    <row r="8" spans="1:6" ht="36">
      <c r="A8" s="53" t="s">
        <v>9</v>
      </c>
      <c r="B8" s="45"/>
      <c r="D8" s="178"/>
      <c r="E8" s="178"/>
      <c r="F8" s="178"/>
    </row>
    <row r="9" spans="1:6" ht="48">
      <c r="A9" s="53" t="s">
        <v>16</v>
      </c>
      <c r="B9" s="45"/>
    </row>
    <row r="10" spans="1:6" ht="36">
      <c r="A10" s="51" t="s">
        <v>24</v>
      </c>
      <c r="B10" s="11"/>
    </row>
    <row r="11" spans="1:6" ht="24">
      <c r="A11" s="51" t="s">
        <v>17</v>
      </c>
      <c r="B11" s="12"/>
    </row>
    <row r="12" spans="1:6">
      <c r="A12" s="52" t="s">
        <v>1</v>
      </c>
      <c r="B12" s="11"/>
    </row>
    <row r="13" spans="1:6" ht="24">
      <c r="A13" s="51" t="s">
        <v>2</v>
      </c>
      <c r="B13" s="58"/>
    </row>
    <row r="14" spans="1:6" ht="108">
      <c r="A14" s="51" t="s">
        <v>11</v>
      </c>
      <c r="B14" s="57"/>
    </row>
    <row r="15" spans="1:6">
      <c r="B15" s="55"/>
    </row>
    <row r="16" spans="1:6">
      <c r="B16" s="11"/>
    </row>
    <row r="17" spans="2:2">
      <c r="B17" s="9"/>
    </row>
  </sheetData>
  <conditionalFormatting sqref="B15">
    <cfRule type="containsText" dxfId="6" priority="11" operator="containsText" text="ANNULE">
      <formula>NOT(ISERROR(SEARCH("ANNULE",B15)))</formula>
    </cfRule>
  </conditionalFormatting>
  <conditionalFormatting sqref="B17">
    <cfRule type="cellIs" dxfId="5" priority="12" stopIfTrue="1" operator="greaterThan">
      <formula>0</formula>
    </cfRule>
  </conditionalFormatting>
  <conditionalFormatting sqref="B13">
    <cfRule type="cellIs" dxfId="4" priority="1" stopIfTrue="1" operator="equal">
      <formula>"OUI"</formula>
    </cfRule>
  </conditionalFormatting>
  <conditionalFormatting sqref="B12">
    <cfRule type="expression" dxfId="3" priority="2" stopIfTrue="1">
      <formula>AND(B12&lt;=#REF!,#REF!="NON")</formula>
    </cfRule>
    <cfRule type="cellIs" dxfId="2" priority="3" stopIfTrue="1" operator="equal">
      <formula>#REF!</formula>
    </cfRule>
  </conditionalFormatting>
  <conditionalFormatting sqref="B10">
    <cfRule type="expression" dxfId="1" priority="4" stopIfTrue="1">
      <formula>AND(B10&lt;=#REF!,D10="NON")</formula>
    </cfRule>
    <cfRule type="cellIs" dxfId="0" priority="5" stopIfTrue="1" operator="equal">
      <formula>#REF!</formula>
    </cfRule>
  </conditionalFormatting>
  <pageMargins left="0.7" right="0.7" top="0.75" bottom="0.75" header="0.3" footer="0.3"/>
  <pageSetup paperSize="9" orientation="portrait" verticalDpi="0" r:id="rId1"/>
  <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TaxCatchAll xmlns="e8e8d8eb-6ca0-4d08-a1f7-524884689898">
      <Value>33</Value>
      <Value>13</Value>
      <Value>11</Value>
      <Value>3</Value>
      <Value>36</Value>
      <Value>35</Value>
      <Value>34</Value>
    </TaxCatchAll>
    <DGA_ExtraColumns_Comments xmlns="3a167b9b-010f-4d95-836b-23c86d1a7b06" xsi:nil="true"/>
    <DGA_ExtraColumns_Description xmlns="3a167b9b-010f-4d95-836b-23c86d1a7b06" xsi:nil="true"/>
    <DGA_ExtraColumns_KeyWords_Note xmlns="http://schemas.microsoft.com/sharepoint/v3/fields">
      <Terms xmlns="http://schemas.microsoft.com/office/infopath/2007/PartnerControls">
        <TermInfo xmlns="http://schemas.microsoft.com/office/infopath/2007/PartnerControls">
          <TermName xmlns="http://schemas.microsoft.com/office/infopath/2007/PartnerControls">COQUA</TermName>
          <TermId xmlns="http://schemas.microsoft.com/office/infopath/2007/PartnerControls">4c6ac4b1-af1f-41b0-bd65-5b6c8065b047</TermId>
        </TermInfo>
        <TermInfo xmlns="http://schemas.microsoft.com/office/infopath/2007/PartnerControls">
          <TermName xmlns="http://schemas.microsoft.com/office/infopath/2007/PartnerControls">RF</TermName>
          <TermId xmlns="http://schemas.microsoft.com/office/infopath/2007/PartnerControls">6ac17f18-e7a9-43e7-a888-de42626ed8d9</TermId>
        </TermInfo>
        <TermInfo xmlns="http://schemas.microsoft.com/office/infopath/2007/PartnerControls">
          <TermName xmlns="http://schemas.microsoft.com/office/infopath/2007/PartnerControls">DPQUA</TermName>
          <TermId xmlns="http://schemas.microsoft.com/office/infopath/2007/PartnerControls">8a2385c9-8dbe-467e-8929-81f604358d20</TermId>
        </TermInfo>
        <TermInfo xmlns="http://schemas.microsoft.com/office/infopath/2007/PartnerControls">
          <TermName xmlns="http://schemas.microsoft.com/office/infopath/2007/PartnerControls">DGA EM</TermName>
          <TermId xmlns="http://schemas.microsoft.com/office/infopath/2007/PartnerControls">945d3717-1fca-4dd9-a687-7dc2bb76947c</TermId>
        </TermInfo>
      </Terms>
    </DGA_ExtraColumns_KeyWords_Note>
    <DGA_ExtraColumns_Sources_Note xmlns="http://schemas.microsoft.com/sharepoint/v3/fields">
      <Terms xmlns="http://schemas.microsoft.com/office/infopath/2007/PartnerControls">
        <TermInfo xmlns="http://schemas.microsoft.com/office/infopath/2007/PartnerControls">
          <TermName xmlns="http://schemas.microsoft.com/office/infopath/2007/PartnerControls">COQUA</TermName>
          <TermId xmlns="http://schemas.microsoft.com/office/infopath/2007/PartnerControls">b8c11ddb-6766-4b8c-89d4-0d6c16e5d8db</TermId>
        </TermInfo>
        <TermInfo xmlns="http://schemas.microsoft.com/office/infopath/2007/PartnerControls">
          <TermName xmlns="http://schemas.microsoft.com/office/infopath/2007/PartnerControls">RF</TermName>
          <TermId xmlns="http://schemas.microsoft.com/office/infopath/2007/PartnerControls">86f426bf-13f1-4d5b-b0e2-046651386439</TermId>
        </TermInfo>
        <TermInfo xmlns="http://schemas.microsoft.com/office/infopath/2007/PartnerControls">
          <TermName xmlns="http://schemas.microsoft.com/office/infopath/2007/PartnerControls">DPQUA</TermName>
          <TermId xmlns="http://schemas.microsoft.com/office/infopath/2007/PartnerControls">7e34bfa8-b922-4e2a-beb0-f90dab253313</TermId>
        </TermInfo>
      </Terms>
    </DGA_ExtraColumns_Sources_Note>
  </documentManagement>
</p:properti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61E393BE039E5446B264F69FAAFC8D2A" ma:contentTypeVersion="5" ma:contentTypeDescription="Crée un document." ma:contentTypeScope="" ma:versionID="7e5dd7bb9fa3991f4efb33e60bf20236">
  <xsd:schema xmlns:xsd="http://www.w3.org/2001/XMLSchema" xmlns:xs="http://www.w3.org/2001/XMLSchema" xmlns:p="http://schemas.microsoft.com/office/2006/metadata/properties" xmlns:ns2="3a167b9b-010f-4d95-836b-23c86d1a7b06" xmlns:ns3="http://schemas.microsoft.com/sharepoint/v3/fields" xmlns:ns4="e8e8d8eb-6ca0-4d08-a1f7-524884689898" targetNamespace="http://schemas.microsoft.com/office/2006/metadata/properties" ma:root="true" ma:fieldsID="f297fdcd860cb06197ce6a9cec5c1326" ns2:_="" ns3:_="" ns4:_="">
    <xsd:import namespace="3a167b9b-010f-4d95-836b-23c86d1a7b06"/>
    <xsd:import namespace="http://schemas.microsoft.com/sharepoint/v3/fields"/>
    <xsd:import namespace="e8e8d8eb-6ca0-4d08-a1f7-524884689898"/>
    <xsd:element name="properties">
      <xsd:complexType>
        <xsd:sequence>
          <xsd:element name="documentManagement">
            <xsd:complexType>
              <xsd:all>
                <xsd:element ref="ns3:DGA_ExtraColumns_KeyWords_Note" minOccurs="0"/>
                <xsd:element ref="ns4:TaxCatchAll" minOccurs="0"/>
                <xsd:element ref="ns2:DGA_ExtraColumns_Comments" minOccurs="0"/>
                <xsd:element ref="ns2:DGA_ExtraColumns_Description" minOccurs="0"/>
                <xsd:element ref="ns3:DGA_ExtraColumns_Sources_Note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3a167b9b-010f-4d95-836b-23c86d1a7b06" elementFormDefault="qualified">
    <xsd:import namespace="http://schemas.microsoft.com/office/2006/documentManagement/types"/>
    <xsd:import namespace="http://schemas.microsoft.com/office/infopath/2007/PartnerControls"/>
    <xsd:element name="DGA_ExtraColumns_Comments" ma:index="11" nillable="true" ma:displayName="Commentaires" ma:description="Commentaire" ma:internalName="DGA_ExtraColumns_Comments">
      <xsd:simpleType>
        <xsd:restriction base="dms:Note">
          <xsd:maxLength value="255"/>
        </xsd:restriction>
      </xsd:simpleType>
    </xsd:element>
    <xsd:element name="DGA_ExtraColumns_Description" ma:index="12" nillable="true" ma:displayName="Description" ma:description="Description" ma:internalName="DGA_ExtraColumns_Description">
      <xsd:simpleType>
        <xsd:restriction base="dms:Note">
          <xsd:maxLength value="255"/>
        </xsd:restriction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http://schemas.microsoft.com/sharepoint/v3/fields" elementFormDefault="qualified">
    <xsd:import namespace="http://schemas.microsoft.com/office/2006/documentManagement/types"/>
    <xsd:import namespace="http://schemas.microsoft.com/office/infopath/2007/PartnerControls"/>
    <xsd:element name="DGA_ExtraColumns_KeyWords_Note" ma:index="9" nillable="true" ma:taxonomy="true" ma:internalName="DGA_ExtraColumns_KeyWords_Note" ma:taxonomyFieldName="DGA_ExtraColumns_KeyWords" ma:displayName="Mots Clés" ma:fieldId="{7409a513-33be-4508-9e9d-3da9a7f11d46}" ma:taxonomyMulti="true" ma:sspId="1684a1c5-86f9-41a7-b4c6-c3dc341934bb" ma:termSetId="ca231239-144d-43af-92e7-8bfb7f9c60ec" ma:anchorId="00000000-0000-0000-0000-000000000000" ma:open="true" ma:isKeyword="false">
      <xsd:complexType>
        <xsd:sequence>
          <xsd:element ref="pc:Terms" minOccurs="0" maxOccurs="1"/>
        </xsd:sequence>
      </xsd:complexType>
    </xsd:element>
    <xsd:element name="DGA_ExtraColumns_Sources_Note" ma:index="14" nillable="true" ma:taxonomy="true" ma:internalName="DGA_ExtraColumns_Sources_Note" ma:taxonomyFieldName="DGA_ExtraColumns_Sources" ma:displayName="Sources" ma:fieldId="{06d0f940-732d-4e98-a883-6625b4896b4c}" ma:taxonomyMulti="true" ma:sspId="1684a1c5-86f9-41a7-b4c6-c3dc341934bb" ma:termSetId="dea93f1c-381e-4873-ba85-bc1520f820ed" ma:anchorId="00000000-0000-0000-0000-000000000000" ma:open="true" ma:isKeyword="false">
      <xsd:complexType>
        <xsd:sequence>
          <xsd:element ref="pc:Terms" minOccurs="0" maxOccurs="1"/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e8e8d8eb-6ca0-4d08-a1f7-524884689898" elementFormDefault="qualified">
    <xsd:import namespace="http://schemas.microsoft.com/office/2006/documentManagement/types"/>
    <xsd:import namespace="http://schemas.microsoft.com/office/infopath/2007/PartnerControls"/>
    <xsd:element name="TaxCatchAll" ma:index="10" nillable="true" ma:displayName="Taxonomy Catch All Column" ma:hidden="true" ma:list="{08e9fff7-3ded-4e65-973c-ef98579848bc}" ma:internalName="TaxCatchAll" ma:showField="CatchAllData" ma:web="e8e8d8eb-6ca0-4d08-a1f7-524884689898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LongProperties xmlns="http://schemas.microsoft.com/office/2006/metadata/longProperties">
  <LongProp xmlns="" name="TaxCatchAll"><![CDATA[33;#COQUA|4c6ac4b1-af1f-41b0-bd65-5b6c8065b047;#13;#DPQUA|7e34bfa8-b922-4e2a-beb0-f90dab253313;#11;#DPQUA|8a2385c9-8dbe-467e-8929-81f604358d20;#3;#DGA EM|945d3717-1fca-4dd9-a687-7dc2bb76947c;#36;#RF|86f426bf-13f1-4d5b-b0e2-046651386439;#35;#RF|6ac17f18-e7a9-43e7-a888-de42626ed8d9;#34;#COQUA|b8c11ddb-6766-4b8c-89d4-0d6c16e5d8db]]></LongProp>
</LongProperties>
</file>

<file path=customXml/item4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A297A271-95D1-4BA0-A0D3-E1CD026651BF}">
  <ds:schemaRefs>
    <ds:schemaRef ds:uri="http://schemas.microsoft.com/office/2006/documentManagement/types"/>
    <ds:schemaRef ds:uri="http://www.w3.org/XML/1998/namespace"/>
    <ds:schemaRef ds:uri="3a167b9b-010f-4d95-836b-23c86d1a7b06"/>
    <ds:schemaRef ds:uri="http://schemas.microsoft.com/office/infopath/2007/PartnerControls"/>
    <ds:schemaRef ds:uri="http://purl.org/dc/elements/1.1/"/>
    <ds:schemaRef ds:uri="http://schemas.openxmlformats.org/package/2006/metadata/core-properties"/>
    <ds:schemaRef ds:uri="e8e8d8eb-6ca0-4d08-a1f7-524884689898"/>
    <ds:schemaRef ds:uri="http://purl.org/dc/terms/"/>
    <ds:schemaRef ds:uri="http://schemas.microsoft.com/sharepoint/v3/fields"/>
    <ds:schemaRef ds:uri="http://schemas.microsoft.com/office/2006/metadata/properties"/>
    <ds:schemaRef ds:uri="http://purl.org/dc/dcmitype/"/>
  </ds:schemaRefs>
</ds:datastoreItem>
</file>

<file path=customXml/itemProps2.xml><?xml version="1.0" encoding="utf-8"?>
<ds:datastoreItem xmlns:ds="http://schemas.openxmlformats.org/officeDocument/2006/customXml" ds:itemID="{EF52B968-8924-40AB-B5C2-6F30E4944D86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3a167b9b-010f-4d95-836b-23c86d1a7b06"/>
    <ds:schemaRef ds:uri="http://schemas.microsoft.com/sharepoint/v3/fields"/>
    <ds:schemaRef ds:uri="e8e8d8eb-6ca0-4d08-a1f7-524884689898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00B60116-7C43-45FC-B628-0B41C3BD4B7F}">
  <ds:schemaRefs>
    <ds:schemaRef ds:uri="http://schemas.microsoft.com/office/2006/metadata/longProperties"/>
    <ds:schemaRef ds:uri=""/>
  </ds:schemaRefs>
</ds:datastoreItem>
</file>

<file path=customXml/itemProps4.xml><?xml version="1.0" encoding="utf-8"?>
<ds:datastoreItem xmlns:ds="http://schemas.openxmlformats.org/officeDocument/2006/customXml" ds:itemID="{F7289598-9A7E-4B2D-B16C-880937E00D16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13</vt:i4>
      </vt:variant>
    </vt:vector>
  </HeadingPairs>
  <TitlesOfParts>
    <vt:vector size="18" baseType="lpstr">
      <vt:lpstr>Actions</vt:lpstr>
      <vt:lpstr>Indicateurs Actions</vt:lpstr>
      <vt:lpstr>Guide Simplifié</vt:lpstr>
      <vt:lpstr>Guide rédaction</vt:lpstr>
      <vt:lpstr>Export_Actions</vt:lpstr>
      <vt:lpstr>date_action</vt:lpstr>
      <vt:lpstr>date_fin</vt:lpstr>
      <vt:lpstr>échéance</vt:lpstr>
      <vt:lpstr>échéance_révisée</vt:lpstr>
      <vt:lpstr>Actions!Impression_des_titres</vt:lpstr>
      <vt:lpstr>Actions!OLE_LINK8</vt:lpstr>
      <vt:lpstr>origine</vt:lpstr>
      <vt:lpstr>Priorité</vt:lpstr>
      <vt:lpstr>retard</vt:lpstr>
      <vt:lpstr>stats</vt:lpstr>
      <vt:lpstr>statut</vt:lpstr>
      <vt:lpstr>Actions!Zone_d_impression</vt:lpstr>
      <vt:lpstr>'Indicateurs Actions'!Zone_d_impression</vt:lpstr>
    </vt:vector>
  </TitlesOfParts>
  <Manager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creator>jim bart</dc:creator>
  <dc:description/>
  <cp:lastModifiedBy>jim bart</cp:lastModifiedBy>
  <cp:lastPrinted>2018-11-29T10:55:58Z</cp:lastPrinted>
  <dcterms:created xsi:type="dcterms:W3CDTF">1998-08-12T16:40:20Z</dcterms:created>
  <dcterms:modified xsi:type="dcterms:W3CDTF">2021-01-19T10:17:00Z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ots Clés">
    <vt:lpwstr/>
  </property>
  <property fmtid="{D5CDD505-2E9C-101B-9397-08002B2CF9AE}" pid="3" name="Sources">
    <vt:lpwstr/>
  </property>
  <property fmtid="{D5CDD505-2E9C-101B-9397-08002B2CF9AE}" pid="4" name="ContentTypeId">
    <vt:lpwstr>0x0101003DC81CE222D68E428B6F27AB634AFBE2</vt:lpwstr>
  </property>
  <property fmtid="{D5CDD505-2E9C-101B-9397-08002B2CF9AE}" pid="5" name="Informations">
    <vt:lpwstr/>
  </property>
  <property fmtid="{D5CDD505-2E9C-101B-9397-08002B2CF9AE}" pid="6" name="NotesTimeStamp">
    <vt:lpwstr/>
  </property>
  <property fmtid="{D5CDD505-2E9C-101B-9397-08002B2CF9AE}" pid="7" name="NotesUNID">
    <vt:lpwstr/>
  </property>
  <property fmtid="{D5CDD505-2E9C-101B-9397-08002B2CF9AE}" pid="8" name="NotesPart">
    <vt:lpwstr/>
  </property>
  <property fmtid="{D5CDD505-2E9C-101B-9397-08002B2CF9AE}" pid="9" name="DGA_ExtraColumns_Informaions">
    <vt:lpwstr/>
  </property>
  <property fmtid="{D5CDD505-2E9C-101B-9397-08002B2CF9AE}" pid="10" name="DGA_ExtraColumns_KeyWords">
    <vt:lpwstr>33;#COQUA|4c6ac4b1-af1f-41b0-bd65-5b6c8065b047;#35;#RF|6ac17f18-e7a9-43e7-a888-de42626ed8d9;#11;#DPQUA|8a2385c9-8dbe-467e-8929-81f604358d20;#3;#DGA EM|945d3717-1fca-4dd9-a687-7dc2bb76947c</vt:lpwstr>
  </property>
  <property fmtid="{D5CDD505-2E9C-101B-9397-08002B2CF9AE}" pid="11" name="DGA_ExtraColumns_Sources">
    <vt:lpwstr>34;#COQUA|b8c11ddb-6766-4b8c-89d4-0d6c16e5d8db;#36;#RF|86f426bf-13f1-4d5b-b0e2-046651386439;#13;#DPQUA|7e34bfa8-b922-4e2a-beb0-f90dab253313</vt:lpwstr>
  </property>
  <property fmtid="{D5CDD505-2E9C-101B-9397-08002B2CF9AE}" pid="12" name="display_urn:schemas-microsoft-com:office:office#Editor">
    <vt:lpwstr>BARRET Jean-Michel IEF MINDEF</vt:lpwstr>
  </property>
  <property fmtid="{D5CDD505-2E9C-101B-9397-08002B2CF9AE}" pid="13" name="Order">
    <vt:lpwstr>300.000000000000</vt:lpwstr>
  </property>
  <property fmtid="{D5CDD505-2E9C-101B-9397-08002B2CF9AE}" pid="14" name="display_urn:schemas-microsoft-com:office:office#Author">
    <vt:lpwstr>BARRET Jean-Michel IEF MINDEF</vt:lpwstr>
  </property>
</Properties>
</file>