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.diffine\Desktop\"/>
    </mc:Choice>
  </mc:AlternateContent>
  <xr:revisionPtr revIDLastSave="0" documentId="13_ncr:1_{8A72EEB2-BA01-4994-A7F7-43EF273AA728}" xr6:coauthVersionLast="45" xr6:coauthVersionMax="45" xr10:uidLastSave="{00000000-0000-0000-0000-000000000000}"/>
  <bookViews>
    <workbookView xWindow="28680" yWindow="-120" windowWidth="29040" windowHeight="15840" activeTab="1" xr2:uid="{00000000-000D-0000-FFFF-FFFF00000000}"/>
  </bookViews>
  <sheets>
    <sheet name="ANALYSE" sheetId="6" r:id="rId1"/>
    <sheet name="SURELEVATION" sheetId="1" r:id="rId2"/>
    <sheet name="01-EXTENSION" sheetId="3" r:id="rId3"/>
    <sheet name="02-MOB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8" i="1" l="1"/>
  <c r="C69" i="1"/>
  <c r="C70" i="1"/>
  <c r="C71" i="1"/>
  <c r="C72" i="1"/>
  <c r="C73" i="1"/>
  <c r="C74" i="1"/>
  <c r="C67" i="1"/>
  <c r="C77" i="3"/>
  <c r="C78" i="3"/>
  <c r="C79" i="3"/>
  <c r="C80" i="3"/>
  <c r="C81" i="3"/>
  <c r="C82" i="3"/>
  <c r="C83" i="3"/>
  <c r="C84" i="3"/>
  <c r="C76" i="3"/>
  <c r="C98" i="5"/>
  <c r="C89" i="5"/>
  <c r="C90" i="5"/>
  <c r="C91" i="5"/>
  <c r="C92" i="5"/>
  <c r="C93" i="5"/>
  <c r="C94" i="5"/>
  <c r="C95" i="5"/>
  <c r="C96" i="5"/>
  <c r="C88" i="5"/>
  <c r="C87" i="5"/>
  <c r="C58" i="5"/>
  <c r="D58" i="5"/>
  <c r="E58" i="5"/>
  <c r="F58" i="5"/>
  <c r="G58" i="5"/>
  <c r="H58" i="5"/>
  <c r="I58" i="5"/>
  <c r="J58" i="5"/>
  <c r="K58" i="5"/>
  <c r="L58" i="5"/>
  <c r="M58" i="5"/>
  <c r="N58" i="5"/>
  <c r="P58" i="5"/>
  <c r="Q58" i="5"/>
  <c r="R58" i="5"/>
  <c r="S58" i="5"/>
  <c r="T58" i="5"/>
  <c r="C54" i="5"/>
  <c r="D54" i="5"/>
  <c r="D37" i="5"/>
  <c r="E37" i="5"/>
  <c r="F37" i="5"/>
  <c r="G37" i="5"/>
  <c r="H37" i="5"/>
  <c r="I37" i="5"/>
  <c r="J37" i="5"/>
  <c r="K37" i="5"/>
  <c r="L37" i="5"/>
  <c r="M37" i="5"/>
  <c r="N37" i="5"/>
  <c r="P37" i="5"/>
  <c r="Q37" i="5"/>
  <c r="R37" i="5"/>
  <c r="S37" i="5"/>
  <c r="T37" i="5"/>
  <c r="C37" i="5"/>
  <c r="C65" i="5"/>
  <c r="C76" i="5" s="1"/>
  <c r="D35" i="5"/>
  <c r="E35" i="5"/>
  <c r="F35" i="5"/>
  <c r="G35" i="5"/>
  <c r="H35" i="5"/>
  <c r="I35" i="5"/>
  <c r="J35" i="5"/>
  <c r="K35" i="5"/>
  <c r="L35" i="5"/>
  <c r="M35" i="5"/>
  <c r="N35" i="5"/>
  <c r="P35" i="5"/>
  <c r="Q35" i="5"/>
  <c r="R35" i="5"/>
  <c r="S35" i="5"/>
  <c r="T35" i="5"/>
  <c r="C35" i="5"/>
  <c r="C73" i="5"/>
  <c r="C71" i="5"/>
  <c r="C82" i="5" s="1"/>
  <c r="C70" i="5"/>
  <c r="C81" i="5" s="1"/>
  <c r="C68" i="5"/>
  <c r="C79" i="5" s="1"/>
  <c r="C67" i="5"/>
  <c r="C78" i="5" s="1"/>
  <c r="C72" i="5"/>
  <c r="C83" i="5" s="1"/>
  <c r="C69" i="5"/>
  <c r="C80" i="5" s="1"/>
  <c r="C86" i="3" l="1"/>
  <c r="C76" i="1"/>
  <c r="C67" i="3"/>
  <c r="C68" i="3"/>
  <c r="C71" i="3"/>
  <c r="E28" i="3"/>
  <c r="D28" i="3"/>
  <c r="C60" i="3"/>
  <c r="C57" i="3"/>
  <c r="C56" i="3"/>
  <c r="C63" i="1"/>
  <c r="C62" i="1"/>
  <c r="C61" i="1"/>
  <c r="C60" i="1"/>
  <c r="C57" i="1"/>
  <c r="C56" i="1"/>
  <c r="C55" i="1"/>
  <c r="C54" i="1"/>
  <c r="C75" i="3"/>
  <c r="S45" i="5"/>
  <c r="S7" i="5" l="1"/>
  <c r="K7" i="5"/>
  <c r="S14" i="5"/>
  <c r="S17" i="5"/>
  <c r="S11" i="5"/>
  <c r="S12" i="5"/>
  <c r="S13" i="5"/>
  <c r="I30" i="5"/>
  <c r="I31" i="5"/>
  <c r="I12" i="5" l="1"/>
  <c r="I11" i="5"/>
  <c r="I17" i="5"/>
  <c r="I21" i="5"/>
  <c r="P48" i="5"/>
  <c r="P12" i="5"/>
  <c r="P45" i="5"/>
  <c r="P44" i="5"/>
  <c r="P30" i="5"/>
  <c r="O12" i="5" l="1"/>
  <c r="O17" i="5"/>
  <c r="O11" i="5"/>
  <c r="O56" i="5"/>
  <c r="O54" i="5"/>
  <c r="O41" i="5"/>
  <c r="O34" i="5"/>
  <c r="O35" i="5" s="1"/>
  <c r="O24" i="5"/>
  <c r="O25" i="5" s="1"/>
  <c r="P11" i="5"/>
  <c r="P14" i="5"/>
  <c r="P17" i="5"/>
  <c r="P9" i="5"/>
  <c r="Q15" i="5"/>
  <c r="Q14" i="5"/>
  <c r="Q12" i="5"/>
  <c r="Q11" i="5"/>
  <c r="T19" i="5"/>
  <c r="T60" i="5"/>
  <c r="T17" i="5"/>
  <c r="T44" i="5"/>
  <c r="T45" i="5"/>
  <c r="T31" i="5"/>
  <c r="C84" i="5" l="1"/>
  <c r="O37" i="5"/>
  <c r="O58" i="5" s="1"/>
  <c r="N15" i="5"/>
  <c r="N14" i="5"/>
  <c r="T15" i="5"/>
  <c r="T14" i="5"/>
  <c r="T48" i="5"/>
  <c r="T12" i="5"/>
  <c r="T11" i="5"/>
  <c r="T24" i="5" l="1"/>
  <c r="T25" i="5" s="1"/>
  <c r="N44" i="5"/>
  <c r="N43" i="5"/>
  <c r="N45" i="5"/>
  <c r="N33" i="5"/>
  <c r="N48" i="5"/>
  <c r="N11" i="5"/>
  <c r="M11" i="5"/>
  <c r="N31" i="5"/>
  <c r="D34" i="5"/>
  <c r="E34" i="5"/>
  <c r="F34" i="5"/>
  <c r="G34" i="5"/>
  <c r="I34" i="5"/>
  <c r="J34" i="5"/>
  <c r="K34" i="5"/>
  <c r="L34" i="5"/>
  <c r="M34" i="5"/>
  <c r="P34" i="5"/>
  <c r="Q34" i="5"/>
  <c r="R34" i="5"/>
  <c r="S34" i="5"/>
  <c r="T34" i="5"/>
  <c r="C34" i="5"/>
  <c r="N30" i="5"/>
  <c r="N34" i="5" s="1"/>
  <c r="N17" i="5" l="1"/>
  <c r="N12" i="5"/>
  <c r="N9" i="5"/>
  <c r="M17" i="5"/>
  <c r="M12" i="5"/>
  <c r="M56" i="5"/>
  <c r="M54" i="5"/>
  <c r="M41" i="5"/>
  <c r="E54" i="5"/>
  <c r="F54" i="5"/>
  <c r="G54" i="5"/>
  <c r="I54" i="5"/>
  <c r="J54" i="5"/>
  <c r="K54" i="5"/>
  <c r="L54" i="5"/>
  <c r="N54" i="5"/>
  <c r="P54" i="5"/>
  <c r="Q54" i="5"/>
  <c r="R54" i="5"/>
  <c r="S54" i="5"/>
  <c r="T54" i="5"/>
  <c r="H45" i="5"/>
  <c r="H54" i="5" s="1"/>
  <c r="H19" i="5"/>
  <c r="H30" i="5"/>
  <c r="H34" i="5" s="1"/>
  <c r="H48" i="5"/>
  <c r="M24" i="5" l="1"/>
  <c r="H12" i="5"/>
  <c r="H17" i="5"/>
  <c r="H15" i="5"/>
  <c r="H14" i="5"/>
  <c r="G17" i="5"/>
  <c r="F12" i="5"/>
  <c r="G12" i="5"/>
  <c r="G9" i="5"/>
  <c r="F17" i="5"/>
  <c r="G15" i="5"/>
  <c r="F41" i="5"/>
  <c r="F56" i="5"/>
  <c r="K15" i="5"/>
  <c r="K14" i="5"/>
  <c r="K17" i="5"/>
  <c r="K12" i="5"/>
  <c r="L12" i="5"/>
  <c r="D25" i="5"/>
  <c r="I24" i="5"/>
  <c r="N24" i="5"/>
  <c r="P24" i="5"/>
  <c r="Q24" i="5"/>
  <c r="Q25" i="5" s="1"/>
  <c r="S24" i="5"/>
  <c r="L17" i="5"/>
  <c r="L11" i="5"/>
  <c r="K56" i="5"/>
  <c r="K41" i="5"/>
  <c r="Q41" i="5"/>
  <c r="R41" i="5"/>
  <c r="S41" i="5"/>
  <c r="T41" i="5"/>
  <c r="Q56" i="5"/>
  <c r="R56" i="5"/>
  <c r="S56" i="5"/>
  <c r="T56" i="5"/>
  <c r="R17" i="5"/>
  <c r="R12" i="5"/>
  <c r="R11" i="5"/>
  <c r="J12" i="5"/>
  <c r="J14" i="5"/>
  <c r="E12" i="5"/>
  <c r="E13" i="5"/>
  <c r="E11" i="5"/>
  <c r="P56" i="5"/>
  <c r="N56" i="5"/>
  <c r="L56" i="5"/>
  <c r="J56" i="5"/>
  <c r="I56" i="5"/>
  <c r="H56" i="5"/>
  <c r="G56" i="5"/>
  <c r="E56" i="5"/>
  <c r="C56" i="5"/>
  <c r="D56" i="5"/>
  <c r="P41" i="5"/>
  <c r="N41" i="5"/>
  <c r="L41" i="5"/>
  <c r="J41" i="5"/>
  <c r="I41" i="5"/>
  <c r="H41" i="5"/>
  <c r="G41" i="5"/>
  <c r="E41" i="5"/>
  <c r="D41" i="5"/>
  <c r="C41" i="5"/>
  <c r="H13" i="3"/>
  <c r="H23" i="3"/>
  <c r="L46" i="3"/>
  <c r="K46" i="3"/>
  <c r="J46" i="3"/>
  <c r="L44" i="3"/>
  <c r="K44" i="3"/>
  <c r="J44" i="3"/>
  <c r="I44" i="3"/>
  <c r="I46" i="3" s="1"/>
  <c r="H44" i="3"/>
  <c r="H46" i="3" s="1"/>
  <c r="G44" i="3"/>
  <c r="G46" i="3" s="1"/>
  <c r="F44" i="3"/>
  <c r="F46" i="3" s="1"/>
  <c r="E44" i="3"/>
  <c r="C44" i="3"/>
  <c r="C46" i="3" s="1"/>
  <c r="E8" i="3"/>
  <c r="E7" i="3"/>
  <c r="E46" i="3" l="1"/>
  <c r="P25" i="5"/>
  <c r="N25" i="5"/>
  <c r="M25" i="5"/>
  <c r="S25" i="5"/>
  <c r="I25" i="5"/>
  <c r="K24" i="5"/>
  <c r="E24" i="5"/>
  <c r="L24" i="5"/>
  <c r="R24" i="5"/>
  <c r="F24" i="5"/>
  <c r="G24" i="5"/>
  <c r="H24" i="5"/>
  <c r="J24" i="5"/>
  <c r="C25" i="5"/>
  <c r="E18" i="3"/>
  <c r="E12" i="3"/>
  <c r="E13" i="3"/>
  <c r="C66" i="5" l="1"/>
  <c r="C77" i="5" s="1"/>
  <c r="K25" i="5"/>
  <c r="G25" i="5"/>
  <c r="R25" i="5"/>
  <c r="F25" i="5"/>
  <c r="L25" i="5"/>
  <c r="H25" i="5"/>
  <c r="J25" i="5"/>
  <c r="E25" i="5"/>
  <c r="J46" i="1"/>
  <c r="K46" i="1"/>
  <c r="L46" i="1"/>
  <c r="D7" i="3"/>
  <c r="D42" i="3"/>
  <c r="D35" i="3"/>
  <c r="D44" i="3" l="1"/>
  <c r="D46" i="3" s="1"/>
  <c r="D19" i="3"/>
  <c r="D18" i="3"/>
  <c r="D13" i="3"/>
  <c r="G7" i="3"/>
  <c r="G13" i="3"/>
  <c r="G12" i="3"/>
  <c r="F14" i="3"/>
  <c r="F12" i="3"/>
  <c r="F13" i="3"/>
  <c r="C12" i="3"/>
  <c r="C13" i="3"/>
  <c r="L33" i="3"/>
  <c r="K33" i="3"/>
  <c r="J33" i="3"/>
  <c r="I33" i="3"/>
  <c r="H33" i="3"/>
  <c r="G33" i="3"/>
  <c r="F33" i="3"/>
  <c r="E33" i="3"/>
  <c r="D33" i="3"/>
  <c r="C33" i="3"/>
  <c r="L23" i="3"/>
  <c r="K23" i="3"/>
  <c r="J23" i="3"/>
  <c r="G35" i="1"/>
  <c r="D23" i="3" l="1"/>
  <c r="K25" i="3"/>
  <c r="K27" i="3"/>
  <c r="L27" i="3"/>
  <c r="L25" i="3"/>
  <c r="L26" i="3" s="1"/>
  <c r="L48" i="3" s="1"/>
  <c r="C23" i="3"/>
  <c r="G23" i="3"/>
  <c r="D27" i="3"/>
  <c r="D25" i="3"/>
  <c r="D26" i="3" s="1"/>
  <c r="D48" i="3" s="1"/>
  <c r="J27" i="3"/>
  <c r="J25" i="3"/>
  <c r="C70" i="3" s="1"/>
  <c r="F23" i="3"/>
  <c r="E23" i="3"/>
  <c r="I23" i="3"/>
  <c r="I34" i="1"/>
  <c r="I36" i="1"/>
  <c r="K26" i="3" l="1"/>
  <c r="K48" i="3" s="1"/>
  <c r="J26" i="3"/>
  <c r="J48" i="3" s="1"/>
  <c r="C59" i="3"/>
  <c r="F27" i="3"/>
  <c r="F25" i="3"/>
  <c r="I27" i="3"/>
  <c r="I25" i="3"/>
  <c r="G27" i="3"/>
  <c r="G25" i="3"/>
  <c r="G26" i="3" s="1"/>
  <c r="G48" i="3" s="1"/>
  <c r="E25" i="3"/>
  <c r="E26" i="3" s="1"/>
  <c r="E48" i="3" s="1"/>
  <c r="E27" i="3"/>
  <c r="C27" i="3"/>
  <c r="C25" i="3"/>
  <c r="C64" i="3" s="1"/>
  <c r="H27" i="3"/>
  <c r="H25" i="3"/>
  <c r="H26" i="3" s="1"/>
  <c r="H48" i="3" s="1"/>
  <c r="F7" i="1"/>
  <c r="E7" i="1"/>
  <c r="C7" i="1"/>
  <c r="I18" i="1"/>
  <c r="I13" i="1"/>
  <c r="I12" i="1"/>
  <c r="I23" i="1" s="1"/>
  <c r="J23" i="1"/>
  <c r="J27" i="1" s="1"/>
  <c r="K23" i="1"/>
  <c r="L23" i="1"/>
  <c r="H18" i="1"/>
  <c r="H13" i="1"/>
  <c r="H12" i="1"/>
  <c r="G28" i="1"/>
  <c r="G18" i="1"/>
  <c r="G13" i="1"/>
  <c r="G14" i="1"/>
  <c r="G12" i="1"/>
  <c r="C66" i="3" l="1"/>
  <c r="C61" i="3"/>
  <c r="C72" i="3"/>
  <c r="C69" i="3"/>
  <c r="C58" i="3"/>
  <c r="I26" i="3"/>
  <c r="I48" i="3" s="1"/>
  <c r="C65" i="3"/>
  <c r="C54" i="3"/>
  <c r="C26" i="3"/>
  <c r="C53" i="3"/>
  <c r="F26" i="3"/>
  <c r="F48" i="3" s="1"/>
  <c r="C55" i="3"/>
  <c r="I27" i="1"/>
  <c r="I25" i="1"/>
  <c r="I26" i="1" s="1"/>
  <c r="K27" i="1"/>
  <c r="K25" i="1"/>
  <c r="K26" i="1" s="1"/>
  <c r="K48" i="1" s="1"/>
  <c r="L27" i="1"/>
  <c r="L25" i="1"/>
  <c r="L26" i="1" s="1"/>
  <c r="L48" i="1" s="1"/>
  <c r="J25" i="1"/>
  <c r="J26" i="1" s="1"/>
  <c r="H23" i="1"/>
  <c r="G23" i="1"/>
  <c r="C48" i="3" l="1"/>
  <c r="H27" i="1"/>
  <c r="H25" i="1"/>
  <c r="H26" i="1" s="1"/>
  <c r="G27" i="1"/>
  <c r="G25" i="1"/>
  <c r="G26" i="1" s="1"/>
  <c r="J48" i="1"/>
  <c r="F8" i="1"/>
  <c r="F18" i="1"/>
  <c r="F13" i="1"/>
  <c r="E44" i="1"/>
  <c r="E46" i="1" s="1"/>
  <c r="F44" i="1"/>
  <c r="F46" i="1" s="1"/>
  <c r="G44" i="1"/>
  <c r="G46" i="1" s="1"/>
  <c r="H44" i="1"/>
  <c r="H46" i="1" s="1"/>
  <c r="I44" i="1"/>
  <c r="I46" i="1" s="1"/>
  <c r="I48" i="1" s="1"/>
  <c r="J44" i="1"/>
  <c r="K44" i="1"/>
  <c r="L44" i="1"/>
  <c r="E10" i="1"/>
  <c r="E13" i="1"/>
  <c r="E14" i="1"/>
  <c r="E12" i="1"/>
  <c r="E18" i="1"/>
  <c r="E11" i="1"/>
  <c r="G48" i="1" l="1"/>
  <c r="H48" i="1"/>
  <c r="F23" i="1"/>
  <c r="E23" i="1"/>
  <c r="D11" i="1"/>
  <c r="D18" i="1"/>
  <c r="D13" i="1"/>
  <c r="C36" i="1"/>
  <c r="C35" i="1"/>
  <c r="C34" i="1"/>
  <c r="C66" i="1" s="1"/>
  <c r="D44" i="1"/>
  <c r="D46" i="1" s="1"/>
  <c r="C11" i="1"/>
  <c r="C13" i="1"/>
  <c r="F27" i="1" l="1"/>
  <c r="F25" i="1"/>
  <c r="F26" i="1" s="1"/>
  <c r="E27" i="1"/>
  <c r="E25" i="1"/>
  <c r="E26" i="1" s="1"/>
  <c r="E48" i="1" s="1"/>
  <c r="C23" i="1"/>
  <c r="D23" i="1"/>
  <c r="C44" i="1"/>
  <c r="C46" i="1" s="1"/>
  <c r="D33" i="1"/>
  <c r="E33" i="1"/>
  <c r="F33" i="1"/>
  <c r="G33" i="1"/>
  <c r="H33" i="1"/>
  <c r="I33" i="1"/>
  <c r="J33" i="1"/>
  <c r="K33" i="1"/>
  <c r="L33" i="1"/>
  <c r="C33" i="1"/>
  <c r="D27" i="1" l="1"/>
  <c r="D25" i="1"/>
  <c r="D26" i="1" s="1"/>
  <c r="F48" i="1"/>
  <c r="C27" i="1"/>
  <c r="C25" i="1"/>
  <c r="C26" i="1" s="1"/>
  <c r="D48" i="1" l="1"/>
  <c r="C48" i="1"/>
</calcChain>
</file>

<file path=xl/sharedStrings.xml><?xml version="1.0" encoding="utf-8"?>
<sst xmlns="http://schemas.openxmlformats.org/spreadsheetml/2006/main" count="350" uniqueCount="150">
  <si>
    <t>Isolation mur</t>
  </si>
  <si>
    <t>Menuiserie exterieure</t>
  </si>
  <si>
    <t>Enduit exterieur</t>
  </si>
  <si>
    <t>GALICY</t>
  </si>
  <si>
    <t>BOURDE</t>
  </si>
  <si>
    <t>ARNAUD</t>
  </si>
  <si>
    <t>BENSA</t>
  </si>
  <si>
    <t>CAPELLE</t>
  </si>
  <si>
    <t>00</t>
  </si>
  <si>
    <t>02</t>
  </si>
  <si>
    <t>01</t>
  </si>
  <si>
    <t>03</t>
  </si>
  <si>
    <t>04</t>
  </si>
  <si>
    <t>05</t>
  </si>
  <si>
    <t>06</t>
  </si>
  <si>
    <t xml:space="preserve">Plancher </t>
  </si>
  <si>
    <t>07</t>
  </si>
  <si>
    <t>ANALYSE COUT SURELEVATION</t>
  </si>
  <si>
    <t>PARTIE 1 : GROS ŒUVRE</t>
  </si>
  <si>
    <t>08</t>
  </si>
  <si>
    <t>PARTIE 2 : Second Œuvre</t>
  </si>
  <si>
    <t>09</t>
  </si>
  <si>
    <t>10</t>
  </si>
  <si>
    <t>11</t>
  </si>
  <si>
    <t>12</t>
  </si>
  <si>
    <t>13</t>
  </si>
  <si>
    <t>14</t>
  </si>
  <si>
    <t>15</t>
  </si>
  <si>
    <t>16</t>
  </si>
  <si>
    <t>Escalier</t>
  </si>
  <si>
    <t xml:space="preserve">Platrerie </t>
  </si>
  <si>
    <t xml:space="preserve">Electricité </t>
  </si>
  <si>
    <t xml:space="preserve">Plomberie </t>
  </si>
  <si>
    <t>Intervention sur existant</t>
  </si>
  <si>
    <t>Charpente + Couverture + zinguerie..</t>
  </si>
  <si>
    <t>Menuiserie Intérieur ( porte )</t>
  </si>
  <si>
    <t>Isolation charpente</t>
  </si>
  <si>
    <t>Isolation Plancher</t>
  </si>
  <si>
    <t>Volet bois</t>
  </si>
  <si>
    <t xml:space="preserve">Menuiserie Interieur ( Parquet + placard ..) </t>
  </si>
  <si>
    <t xml:space="preserve">Total </t>
  </si>
  <si>
    <t xml:space="preserve">Superficie intérieure en m² ( Déclarée ) </t>
  </si>
  <si>
    <t>Carrelage</t>
  </si>
  <si>
    <t>17</t>
  </si>
  <si>
    <t>18</t>
  </si>
  <si>
    <t>19</t>
  </si>
  <si>
    <t>20</t>
  </si>
  <si>
    <t>21</t>
  </si>
  <si>
    <t>RIBEIRO</t>
  </si>
  <si>
    <t>DAVERAT</t>
  </si>
  <si>
    <t>UHALDE</t>
  </si>
  <si>
    <t>Platrerie</t>
  </si>
  <si>
    <t>Poele</t>
  </si>
  <si>
    <t xml:space="preserve">Peinture ext </t>
  </si>
  <si>
    <t>ESCUDERO</t>
  </si>
  <si>
    <t>LESCOP G</t>
  </si>
  <si>
    <t>ST BOIS</t>
  </si>
  <si>
    <t xml:space="preserve">Etude de sol </t>
  </si>
  <si>
    <t>UZZAN</t>
  </si>
  <si>
    <t>Peinture int</t>
  </si>
  <si>
    <t xml:space="preserve">Installation de chantier </t>
  </si>
  <si>
    <t xml:space="preserve">Echafaudage direct </t>
  </si>
  <si>
    <t>22</t>
  </si>
  <si>
    <t xml:space="preserve">Terrasse ext </t>
  </si>
  <si>
    <t>Travaux de maçonnerie ( Arrase + cheminée +)</t>
  </si>
  <si>
    <t>4P F</t>
  </si>
  <si>
    <t>2P T</t>
  </si>
  <si>
    <t>4P T</t>
  </si>
  <si>
    <t>Typologie ( 2P T , 4P T,  2P F , 4P F)</t>
  </si>
  <si>
    <t xml:space="preserve">Projet </t>
  </si>
  <si>
    <t>MORLAES</t>
  </si>
  <si>
    <t xml:space="preserve">Huissier </t>
  </si>
  <si>
    <t xml:space="preserve">Superficie plancher </t>
  </si>
  <si>
    <t>2P F</t>
  </si>
  <si>
    <t>VIDEGAIN</t>
  </si>
  <si>
    <t xml:space="preserve">Mur (  + bardage si pas enduit ) </t>
  </si>
  <si>
    <t>23</t>
  </si>
  <si>
    <t>FAVRE</t>
  </si>
  <si>
    <t>RENAUDIN</t>
  </si>
  <si>
    <t>TETON</t>
  </si>
  <si>
    <t>FIAUD E</t>
  </si>
  <si>
    <t>FIAUD G</t>
  </si>
  <si>
    <t>Ratio / m² TTC - tot 2nd œuvre</t>
  </si>
  <si>
    <t>Chape</t>
  </si>
  <si>
    <t>Ratio / m² TTC - total + Go+ 2 nd</t>
  </si>
  <si>
    <t>Superficie plancher (ext )</t>
  </si>
  <si>
    <t>Ratio cout travaux TTC/m² ( ext )</t>
  </si>
  <si>
    <t>Ratio  TTC/ m²( déclaré ) + maçon + huissier</t>
  </si>
  <si>
    <t xml:space="preserve">Ratio TTC / m² ( charpente ) </t>
  </si>
  <si>
    <t>Ratio cout travaux TTC/m² ( ext ) M+ H</t>
  </si>
  <si>
    <t>Ratio  TTC/ m²( déclaré ) + Maçon + Huissier</t>
  </si>
  <si>
    <t>ANALYSE COUT EXTENSION</t>
  </si>
  <si>
    <t>DOLLEANS</t>
  </si>
  <si>
    <t>ARRIOL</t>
  </si>
  <si>
    <t>JOUVE</t>
  </si>
  <si>
    <t>VOLPE</t>
  </si>
  <si>
    <t>CRIADO</t>
  </si>
  <si>
    <t>LESCOP</t>
  </si>
  <si>
    <t>PINNA</t>
  </si>
  <si>
    <t xml:space="preserve">Bardage </t>
  </si>
  <si>
    <t>Iso FB ext</t>
  </si>
  <si>
    <t>Type ( PP ; ETG ; PP PLB ;ETG PLB ) 145/220</t>
  </si>
  <si>
    <t>ETG145</t>
  </si>
  <si>
    <t>PP145</t>
  </si>
  <si>
    <t>PP220</t>
  </si>
  <si>
    <t>ETG220</t>
  </si>
  <si>
    <t>PP PLB145</t>
  </si>
  <si>
    <t>DEDUN M</t>
  </si>
  <si>
    <t>DEDUN G</t>
  </si>
  <si>
    <t>ETG PLB220</t>
  </si>
  <si>
    <t>Etude Bois</t>
  </si>
  <si>
    <t xml:space="preserve">Etude Béton </t>
  </si>
  <si>
    <t>Terrassier</t>
  </si>
  <si>
    <t>Test Acte2b</t>
  </si>
  <si>
    <t>G145</t>
  </si>
  <si>
    <t>Total ht</t>
  </si>
  <si>
    <t xml:space="preserve">Suivi de travaux </t>
  </si>
  <si>
    <t>Annexe  ( pierre …)</t>
  </si>
  <si>
    <t xml:space="preserve">Maçon ( ou techno pieux ) </t>
  </si>
  <si>
    <t>UHALDE G</t>
  </si>
  <si>
    <t xml:space="preserve">Mur + anti thermite ( Sapa ou autre ) 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</si>
  <si>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</si>
  <si>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</si>
  <si>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</si>
  <si>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</si>
  <si>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</si>
  <si>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</si>
  <si>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</si>
  <si>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</si>
  <si>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</si>
  <si>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Analyse</t>
  </si>
  <si>
    <t>2 pentes sur Tradi</t>
  </si>
  <si>
    <t>4 pentes sur Tradi</t>
  </si>
  <si>
    <t>2 pentes sur fermettes</t>
  </si>
  <si>
    <t>4 pentes sur fermettes</t>
  </si>
  <si>
    <t xml:space="preserve">Escalier ( forfait ) </t>
  </si>
  <si>
    <t>FORFAIT- RATIO 2nd œuvre TTC/m² hab</t>
  </si>
  <si>
    <t>Chape + TMS</t>
  </si>
  <si>
    <t xml:space="preserve">RATIO - MOYENNE SUR CHANTIER ( m² hab) - TTC - STRUCTURE </t>
  </si>
  <si>
    <t xml:space="preserve">RATIO - MOYENNE SUR CHANTIER ( m² ext - TTC - STRUCTURE </t>
  </si>
  <si>
    <t>Ratio TTC / m² ( charpente ) declaré</t>
  </si>
  <si>
    <t>Escalier Forfait</t>
  </si>
  <si>
    <t>ETG PLB145</t>
  </si>
  <si>
    <t>PP PLB220</t>
  </si>
  <si>
    <t xml:space="preserve">RATIO - MOY CHANTIER ( m² hab) - TTC - STRUCTURE </t>
  </si>
  <si>
    <t>RATIO - MOY CHANTIER ( m² hab) - TTC - STRUC +MAÇONNERIE</t>
  </si>
  <si>
    <r>
      <t xml:space="preserve">Travaux de maçonnerie Dalle/autre </t>
    </r>
    <r>
      <rPr>
        <b/>
        <sz val="11"/>
        <color theme="1"/>
        <rFont val="Calibri"/>
        <family val="2"/>
        <scheme val="minor"/>
      </rPr>
      <t>TTC</t>
    </r>
  </si>
  <si>
    <t>RATIO - MOY CHANTIER ( m² hab) - TTC - STRUCTURE BOIS</t>
  </si>
  <si>
    <t>Ratio m² TTC</t>
  </si>
  <si>
    <r>
      <t xml:space="preserve">Escalier </t>
    </r>
    <r>
      <rPr>
        <b/>
        <sz val="11"/>
        <color theme="1"/>
        <rFont val="Calibri"/>
        <family val="2"/>
        <scheme val="minor"/>
      </rPr>
      <t>Forfait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</si>
</sst>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_-;\-* #,##0_-;_-* &quot;-&quot;??_-;_-@_-"/>
    <numFmt numFmtId="166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6633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43">
    <xf numFmtId="0" fontId="0" fillId="0" borderId="0" xfId="0"/>
    <xf numFmtId="0" fontId="0" fillId="0" borderId="1" xfId="0" applyBorder="1"/>
    <xf numFmtId="49" fontId="0" fillId="0" borderId="0" xfId="0" applyNumberFormat="1"/>
    <xf numFmtId="0" fontId="0" fillId="0" borderId="8" xfId="0" applyBorder="1"/>
    <xf numFmtId="0" fontId="0" fillId="0" borderId="10" xfId="0" applyBorder="1"/>
    <xf numFmtId="0" fontId="0" fillId="0" borderId="11" xfId="0" applyBorder="1"/>
    <xf numFmtId="49" fontId="0" fillId="0" borderId="9" xfId="0" applyNumberFormat="1" applyBorder="1"/>
    <xf numFmtId="49" fontId="0" fillId="0" borderId="10" xfId="0" applyNumberFormat="1" applyBorder="1"/>
    <xf numFmtId="0" fontId="0" fillId="0" borderId="12" xfId="0" applyBorder="1"/>
    <xf numFmtId="0" fontId="1" fillId="2" borderId="2" xfId="0" applyFont="1" applyFill="1" applyBorder="1"/>
    <xf numFmtId="49" fontId="0" fillId="0" borderId="2" xfId="0" applyNumberFormat="1" applyBorder="1"/>
    <xf numFmtId="0" fontId="0" fillId="0" borderId="9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49" fontId="0" fillId="0" borderId="0" xfId="0" applyNumberFormat="1" applyBorder="1"/>
    <xf numFmtId="0" fontId="0" fillId="0" borderId="0" xfId="0" applyBorder="1"/>
    <xf numFmtId="0" fontId="0" fillId="0" borderId="21" xfId="0" applyBorder="1"/>
    <xf numFmtId="0" fontId="0" fillId="0" borderId="20" xfId="0" applyBorder="1"/>
    <xf numFmtId="0" fontId="0" fillId="0" borderId="0" xfId="0" applyFill="1" applyBorder="1"/>
    <xf numFmtId="0" fontId="1" fillId="2" borderId="2" xfId="0" applyFont="1" applyFill="1" applyBorder="1" applyAlignment="1">
      <alignment horizontal="right"/>
    </xf>
    <xf numFmtId="0" fontId="0" fillId="0" borderId="22" xfId="0" applyBorder="1"/>
    <xf numFmtId="1" fontId="1" fillId="2" borderId="4" xfId="0" applyNumberFormat="1" applyFont="1" applyFill="1" applyBorder="1" applyAlignment="1">
      <alignment horizontal="center" vertical="center"/>
    </xf>
    <xf numFmtId="0" fontId="0" fillId="0" borderId="10" xfId="0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0" fillId="0" borderId="7" xfId="0" applyBorder="1"/>
    <xf numFmtId="0" fontId="0" fillId="0" borderId="3" xfId="0" applyBorder="1"/>
    <xf numFmtId="0" fontId="1" fillId="2" borderId="2" xfId="0" applyFont="1" applyFill="1" applyBorder="1" applyAlignment="1">
      <alignment horizontal="left"/>
    </xf>
    <xf numFmtId="0" fontId="0" fillId="0" borderId="1" xfId="0" applyFill="1" applyBorder="1"/>
    <xf numFmtId="0" fontId="0" fillId="0" borderId="3" xfId="0" applyFont="1" applyFill="1" applyBorder="1" applyAlignment="1">
      <alignment horizontal="center"/>
    </xf>
    <xf numFmtId="0" fontId="0" fillId="0" borderId="2" xfId="0" applyBorder="1"/>
    <xf numFmtId="0" fontId="1" fillId="3" borderId="4" xfId="0" applyFont="1" applyFill="1" applyBorder="1"/>
    <xf numFmtId="0" fontId="0" fillId="3" borderId="2" xfId="0" applyFill="1" applyBorder="1"/>
    <xf numFmtId="49" fontId="0" fillId="0" borderId="17" xfId="0" applyNumberFormat="1" applyBorder="1"/>
    <xf numFmtId="0" fontId="1" fillId="3" borderId="5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/>
    </xf>
    <xf numFmtId="0" fontId="0" fillId="0" borderId="37" xfId="0" applyBorder="1"/>
    <xf numFmtId="0" fontId="0" fillId="0" borderId="38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" fillId="3" borderId="39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0" fillId="3" borderId="29" xfId="0" applyFill="1" applyBorder="1"/>
    <xf numFmtId="0" fontId="0" fillId="0" borderId="12" xfId="0" applyFont="1" applyFill="1" applyBorder="1"/>
    <xf numFmtId="0" fontId="1" fillId="2" borderId="6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3" borderId="3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49" fontId="0" fillId="0" borderId="13" xfId="0" applyNumberFormat="1" applyBorder="1"/>
    <xf numFmtId="0" fontId="0" fillId="3" borderId="13" xfId="0" applyFill="1" applyBorder="1"/>
    <xf numFmtId="0" fontId="6" fillId="2" borderId="2" xfId="0" applyFont="1" applyFill="1" applyBorder="1"/>
    <xf numFmtId="0" fontId="1" fillId="3" borderId="6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2" fontId="1" fillId="3" borderId="30" xfId="0" applyNumberFormat="1" applyFont="1" applyFill="1" applyBorder="1" applyAlignment="1">
      <alignment horizontal="center"/>
    </xf>
    <xf numFmtId="2" fontId="1" fillId="3" borderId="39" xfId="0" applyNumberFormat="1" applyFont="1" applyFill="1" applyBorder="1" applyAlignment="1">
      <alignment horizontal="center"/>
    </xf>
    <xf numFmtId="1" fontId="6" fillId="2" borderId="2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6" fillId="2" borderId="13" xfId="0" applyFont="1" applyFill="1" applyBorder="1"/>
    <xf numFmtId="0" fontId="0" fillId="0" borderId="1" xfId="0" applyBorder="1" applyAlignment="1">
      <alignment horizontal="right"/>
    </xf>
    <xf numFmtId="0" fontId="0" fillId="4" borderId="3" xfId="0" applyFont="1" applyFill="1" applyBorder="1" applyAlignment="1">
      <alignment horizontal="right"/>
    </xf>
    <xf numFmtId="0" fontId="0" fillId="0" borderId="27" xfId="0" applyBorder="1" applyAlignment="1">
      <alignment horizontal="right"/>
    </xf>
    <xf numFmtId="0" fontId="8" fillId="2" borderId="13" xfId="0" applyFont="1" applyFill="1" applyBorder="1"/>
    <xf numFmtId="0" fontId="1" fillId="2" borderId="34" xfId="0" applyFont="1" applyFill="1" applyBorder="1" applyAlignment="1">
      <alignment horizontal="center"/>
    </xf>
    <xf numFmtId="0" fontId="0" fillId="0" borderId="40" xfId="0" applyBorder="1"/>
    <xf numFmtId="0" fontId="7" fillId="3" borderId="34" xfId="0" applyFont="1" applyFill="1" applyBorder="1" applyAlignment="1">
      <alignment horizontal="center"/>
    </xf>
    <xf numFmtId="0" fontId="7" fillId="3" borderId="39" xfId="0" applyFont="1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4" xfId="0" applyBorder="1" applyAlignment="1">
      <alignment horizontal="right"/>
    </xf>
    <xf numFmtId="0" fontId="0" fillId="0" borderId="41" xfId="0" applyBorder="1"/>
    <xf numFmtId="0" fontId="0" fillId="0" borderId="25" xfId="0" applyBorder="1"/>
    <xf numFmtId="0" fontId="0" fillId="0" borderId="35" xfId="0" applyBorder="1"/>
    <xf numFmtId="0" fontId="0" fillId="0" borderId="3" xfId="0" applyBorder="1" applyAlignment="1">
      <alignment horizontal="right"/>
    </xf>
    <xf numFmtId="0" fontId="0" fillId="0" borderId="36" xfId="0" applyBorder="1"/>
    <xf numFmtId="0" fontId="9" fillId="0" borderId="8" xfId="0" applyFont="1" applyBorder="1"/>
    <xf numFmtId="0" fontId="9" fillId="0" borderId="1" xfId="0" applyFont="1" applyBorder="1"/>
    <xf numFmtId="0" fontId="1" fillId="4" borderId="0" xfId="0" applyFont="1" applyFill="1" applyBorder="1" applyAlignment="1">
      <alignment horizontal="left"/>
    </xf>
    <xf numFmtId="0" fontId="0" fillId="0" borderId="33" xfId="0" applyFill="1" applyBorder="1"/>
    <xf numFmtId="0" fontId="0" fillId="4" borderId="23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right"/>
    </xf>
    <xf numFmtId="0" fontId="0" fillId="0" borderId="24" xfId="0" applyFont="1" applyFill="1" applyBorder="1" applyAlignment="1">
      <alignment horizontal="center"/>
    </xf>
    <xf numFmtId="0" fontId="0" fillId="0" borderId="41" xfId="0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/>
    </xf>
    <xf numFmtId="164" fontId="0" fillId="0" borderId="9" xfId="0" applyNumberFormat="1" applyBorder="1"/>
    <xf numFmtId="0" fontId="0" fillId="0" borderId="2" xfId="0" applyFill="1" applyBorder="1" applyAlignment="1">
      <alignment horizontal="center"/>
    </xf>
    <xf numFmtId="0" fontId="0" fillId="2" borderId="13" xfId="0" applyFill="1" applyBorder="1"/>
    <xf numFmtId="0" fontId="0" fillId="2" borderId="43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6" fillId="2" borderId="2" xfId="0" applyNumberFormat="1" applyFont="1" applyFill="1" applyBorder="1" applyAlignment="1">
      <alignment horizontal="center"/>
    </xf>
    <xf numFmtId="43" fontId="0" fillId="0" borderId="2" xfId="1" applyFont="1" applyBorder="1"/>
    <xf numFmtId="43" fontId="0" fillId="0" borderId="26" xfId="1" applyFont="1" applyBorder="1"/>
    <xf numFmtId="1" fontId="1" fillId="0" borderId="4" xfId="0" applyNumberFormat="1" applyFont="1" applyFill="1" applyBorder="1" applyAlignment="1">
      <alignment horizontal="center" vertical="center"/>
    </xf>
    <xf numFmtId="43" fontId="0" fillId="0" borderId="10" xfId="1" applyFont="1" applyBorder="1"/>
    <xf numFmtId="43" fontId="0" fillId="0" borderId="11" xfId="1" applyFont="1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9" xfId="0" applyNumberFormat="1" applyBorder="1"/>
    <xf numFmtId="166" fontId="0" fillId="0" borderId="10" xfId="0" applyNumberFormat="1" applyBorder="1"/>
    <xf numFmtId="0" fontId="0" fillId="0" borderId="10" xfId="0" applyNumberFormat="1" applyBorder="1"/>
    <xf numFmtId="0" fontId="0" fillId="0" borderId="11" xfId="0" applyNumberFormat="1" applyBorder="1"/>
    <xf numFmtId="165" fontId="0" fillId="0" borderId="10" xfId="1" applyNumberFormat="1" applyFont="1" applyBorder="1" applyAlignment="1"/>
    <xf numFmtId="165" fontId="0" fillId="0" borderId="11" xfId="1" applyNumberFormat="1" applyFont="1" applyBorder="1" applyAlignment="1"/>
    <xf numFmtId="165" fontId="0" fillId="0" borderId="12" xfId="1" applyNumberFormat="1" applyFont="1" applyBorder="1" applyAlignment="1"/>
    <xf numFmtId="43" fontId="0" fillId="0" borderId="2" xfId="0" applyNumberFormat="1" applyBorder="1"/>
    <xf numFmtId="0" fontId="6" fillId="0" borderId="2" xfId="0" applyFont="1" applyFill="1" applyBorder="1"/>
    <xf numFmtId="43" fontId="4" fillId="0" borderId="2" xfId="1" applyFont="1" applyFill="1" applyBorder="1" applyAlignment="1">
      <alignment horizontal="center"/>
    </xf>
    <xf numFmtId="0" fontId="0" fillId="0" borderId="49" xfId="0" applyBorder="1"/>
    <xf numFmtId="0" fontId="0" fillId="0" borderId="44" xfId="0" applyBorder="1"/>
    <xf numFmtId="0" fontId="6" fillId="2" borderId="13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1" fillId="2" borderId="32" xfId="0" applyFont="1" applyFill="1" applyBorder="1" applyAlignment="1">
      <alignment horizontal="left"/>
    </xf>
    <xf numFmtId="0" fontId="1" fillId="2" borderId="42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1">
    <dxf>
      <numFmt numFmtId="167" formatCode=";;;"/>
    </dxf>
  </dxfs>
  <tableStyles count="0" defaultTableStyle="TableStyleMedium2" defaultPivotStyle="PivotStyleLight16"/>
  <colors>
    <mruColors>
      <color rgb="FF663300"/>
      <color rgb="FF996633"/>
      <color rgb="FFF49B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E5C3B-27A2-4B1F-BD06-2FD094FD7A4C}">
  <sheetPr codeName="Feuil1"/>
  <dimension ref="A1"/>
  <sheetViews>
    <sheetView workbookViewId="0">
      <selection activeCell="E38" sqref="E38"/>
    </sheetView>
  </sheetViews>
  <sheetFormatPr baseColWidth="10" defaultRowHeight="14.4" x14ac:dyDescent="0.3"/>
  <sheetData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V76"/>
  <sheetViews>
    <sheetView tabSelected="1" topLeftCell="B31" workbookViewId="0">
      <selection activeCell="B83" sqref="B83"/>
    </sheetView>
  </sheetViews>
  <sheetFormatPr baseColWidth="10" defaultColWidth="9.109375" defaultRowHeight="14.4" x14ac:dyDescent="0.3"/>
  <cols>
    <col min="1" max="1" width="5" style="2" customWidth="1"/>
    <col min="2" max="2" width="42.5546875" customWidth="1"/>
    <col min="3" max="13" width="10.6640625" customWidth="1"/>
  </cols>
  <sheetData>
    <row r="1" spans="1:12" ht="20.100000000000001" customHeight="1" thickBot="1" x14ac:dyDescent="0.35">
      <c r="B1" s="125" t="s">
        <v>17</v>
      </c>
      <c r="C1" s="126"/>
      <c r="D1" s="126"/>
      <c r="E1" s="126"/>
      <c r="F1" s="126"/>
      <c r="G1" s="126"/>
      <c r="H1" s="126"/>
      <c r="I1" s="126"/>
      <c r="J1" s="126"/>
      <c r="K1" s="126"/>
      <c r="L1" s="127"/>
    </row>
    <row r="2" spans="1:12" ht="15" thickBot="1" x14ac:dyDescent="0.35"/>
    <row r="3" spans="1:12" ht="15" thickBot="1" x14ac:dyDescent="0.35">
      <c r="B3" s="128" t="s">
        <v>18</v>
      </c>
      <c r="C3" s="129"/>
      <c r="D3" s="129"/>
      <c r="E3" s="129"/>
      <c r="F3" s="129"/>
      <c r="G3" s="129"/>
      <c r="H3" s="129"/>
      <c r="I3" s="129"/>
      <c r="J3" s="129"/>
      <c r="K3" s="129"/>
      <c r="L3" s="130"/>
    </row>
    <row r="4" spans="1:12" ht="15" thickBot="1" x14ac:dyDescent="0.35"/>
    <row r="5" spans="1:12" ht="15" thickBot="1" x14ac:dyDescent="0.35">
      <c r="B5" s="46" t="s">
        <v>69</v>
      </c>
      <c r="C5" s="52" t="s">
        <v>3</v>
      </c>
      <c r="D5" s="53" t="s">
        <v>4</v>
      </c>
      <c r="E5" s="53" t="s">
        <v>5</v>
      </c>
      <c r="F5" s="53" t="s">
        <v>6</v>
      </c>
      <c r="G5" s="53" t="s">
        <v>7</v>
      </c>
      <c r="H5" s="35" t="s">
        <v>70</v>
      </c>
      <c r="I5" s="35" t="s">
        <v>74</v>
      </c>
      <c r="J5" s="35"/>
      <c r="K5" s="35"/>
      <c r="L5" s="60"/>
    </row>
    <row r="6" spans="1:12" ht="15" thickBot="1" x14ac:dyDescent="0.35">
      <c r="B6" s="33" t="s">
        <v>68</v>
      </c>
      <c r="C6" s="44" t="s">
        <v>65</v>
      </c>
      <c r="D6" s="45" t="s">
        <v>67</v>
      </c>
      <c r="E6" s="45" t="s">
        <v>67</v>
      </c>
      <c r="F6" s="45" t="s">
        <v>66</v>
      </c>
      <c r="G6" s="45" t="s">
        <v>66</v>
      </c>
      <c r="H6" s="45" t="s">
        <v>66</v>
      </c>
      <c r="I6" s="45" t="s">
        <v>73</v>
      </c>
      <c r="J6" s="45"/>
      <c r="K6" s="45"/>
      <c r="L6" s="61"/>
    </row>
    <row r="7" spans="1:12" ht="15" thickBot="1" x14ac:dyDescent="0.35">
      <c r="B7" s="33" t="s">
        <v>72</v>
      </c>
      <c r="C7" s="63">
        <f>6.8*7.13</f>
        <v>48.483999999999995</v>
      </c>
      <c r="D7" s="45">
        <v>71</v>
      </c>
      <c r="E7" s="62">
        <f>5.69*6.58</f>
        <v>37.440200000000004</v>
      </c>
      <c r="F7" s="45">
        <f>5.1*7.3</f>
        <v>37.229999999999997</v>
      </c>
      <c r="G7" s="45">
        <v>60.28</v>
      </c>
      <c r="H7" s="45">
        <v>33.840000000000003</v>
      </c>
      <c r="I7" s="45">
        <v>42.8</v>
      </c>
      <c r="J7" s="45"/>
      <c r="K7" s="45"/>
      <c r="L7" s="61"/>
    </row>
    <row r="8" spans="1:12" ht="15" thickBot="1" x14ac:dyDescent="0.35">
      <c r="B8" s="9" t="s">
        <v>41</v>
      </c>
      <c r="C8" s="24">
        <v>36.299999999999997</v>
      </c>
      <c r="D8" s="25">
        <v>54.53</v>
      </c>
      <c r="E8" s="25">
        <v>28.51</v>
      </c>
      <c r="F8" s="25">
        <f>24.8</f>
        <v>24.8</v>
      </c>
      <c r="G8" s="25">
        <v>48</v>
      </c>
      <c r="H8" s="25">
        <v>19.5</v>
      </c>
      <c r="I8" s="25">
        <v>32.770000000000003</v>
      </c>
      <c r="J8" s="25"/>
      <c r="K8" s="25"/>
      <c r="L8" s="48"/>
    </row>
    <row r="9" spans="1:12" ht="15" thickBot="1" x14ac:dyDescent="0.35">
      <c r="B9" s="47" t="s">
        <v>61</v>
      </c>
      <c r="C9" s="37"/>
      <c r="D9" s="36"/>
      <c r="E9" s="36"/>
      <c r="F9" s="36"/>
      <c r="G9" s="30">
        <v>3914.6</v>
      </c>
      <c r="H9" s="30"/>
      <c r="I9" s="30"/>
      <c r="J9" s="30"/>
      <c r="K9" s="30"/>
      <c r="L9" s="38"/>
    </row>
    <row r="10" spans="1:12" x14ac:dyDescent="0.3">
      <c r="A10" s="6" t="s">
        <v>8</v>
      </c>
      <c r="B10" s="8" t="s">
        <v>60</v>
      </c>
      <c r="C10" s="39">
        <v>2032</v>
      </c>
      <c r="D10" s="1">
        <v>6769.3</v>
      </c>
      <c r="E10" s="1">
        <f>778.58+6144.86</f>
        <v>6923.44</v>
      </c>
      <c r="F10" s="1">
        <v>1967.61</v>
      </c>
      <c r="G10" s="1">
        <v>905.89</v>
      </c>
      <c r="H10" s="1">
        <v>4505.28</v>
      </c>
      <c r="I10" s="1">
        <v>2931.46</v>
      </c>
      <c r="J10" s="1"/>
      <c r="K10" s="1"/>
      <c r="L10" s="40"/>
    </row>
    <row r="11" spans="1:12" x14ac:dyDescent="0.3">
      <c r="A11" s="7" t="s">
        <v>10</v>
      </c>
      <c r="B11" s="8" t="s">
        <v>33</v>
      </c>
      <c r="C11" s="39">
        <f>2607.13+1367.61+382.23</f>
        <v>4356.9699999999993</v>
      </c>
      <c r="D11" s="1">
        <f>4961.62+933.36</f>
        <v>5894.98</v>
      </c>
      <c r="E11" s="1">
        <f>4750.83</f>
        <v>4750.83</v>
      </c>
      <c r="F11" s="1">
        <v>3985.61</v>
      </c>
      <c r="G11" s="1">
        <v>4261.37</v>
      </c>
      <c r="H11" s="1">
        <v>4149.63</v>
      </c>
      <c r="I11" s="1">
        <v>4704.22</v>
      </c>
      <c r="J11" s="1"/>
      <c r="K11" s="1"/>
      <c r="L11" s="40"/>
    </row>
    <row r="12" spans="1:12" x14ac:dyDescent="0.3">
      <c r="A12" s="7" t="s">
        <v>9</v>
      </c>
      <c r="B12" s="4" t="s">
        <v>75</v>
      </c>
      <c r="C12" s="39">
        <v>6733.88</v>
      </c>
      <c r="D12" s="1">
        <v>8140.04</v>
      </c>
      <c r="E12" s="1">
        <f>6936.89+422.43+2558.04</f>
        <v>9917.36</v>
      </c>
      <c r="F12" s="1">
        <v>5000.95</v>
      </c>
      <c r="G12" s="1">
        <f>9764.18+2914.13</f>
        <v>12678.310000000001</v>
      </c>
      <c r="H12" s="1">
        <f>2967.21+4613.22</f>
        <v>7580.43</v>
      </c>
      <c r="I12" s="1">
        <f>5724.31+7238.22</f>
        <v>12962.53</v>
      </c>
      <c r="J12" s="1"/>
      <c r="K12" s="1"/>
      <c r="L12" s="40"/>
    </row>
    <row r="13" spans="1:12" x14ac:dyDescent="0.3">
      <c r="A13" s="7" t="s">
        <v>11</v>
      </c>
      <c r="B13" s="4" t="s">
        <v>34</v>
      </c>
      <c r="C13" s="39">
        <f>5944.87+896.98+1015.34+2875.19+2015.98</f>
        <v>12748.36</v>
      </c>
      <c r="D13" s="1">
        <f>7510.86+2357.92+13051.71+4379.58</f>
        <v>27300.07</v>
      </c>
      <c r="E13" s="1">
        <f>6382.82+421.34+578.6+458.2+931.2+2215.12+58.31+244.1+344.35+376.39+1002.45</f>
        <v>13012.88</v>
      </c>
      <c r="F13" s="1">
        <f>5837.34+1040.21+3875.1+2946.79</f>
        <v>13699.439999999999</v>
      </c>
      <c r="G13" s="1">
        <f>7027.426+925.27+1423.16+4789.98+3954.9+5883.02</f>
        <v>24003.756000000001</v>
      </c>
      <c r="H13" s="1">
        <f>4398.83+1654.32+3855.6+2645.62</f>
        <v>12554.369999999999</v>
      </c>
      <c r="I13" s="1">
        <f>5229.59+2168.72+4041.54+3175.1</f>
        <v>14614.949999999999</v>
      </c>
      <c r="J13" s="1"/>
      <c r="K13" s="1"/>
      <c r="L13" s="40"/>
    </row>
    <row r="14" spans="1:12" x14ac:dyDescent="0.3">
      <c r="A14" s="7" t="s">
        <v>12</v>
      </c>
      <c r="B14" s="4" t="s">
        <v>15</v>
      </c>
      <c r="C14" s="39">
        <v>9936.4699999999993</v>
      </c>
      <c r="D14" s="1">
        <v>15840.3</v>
      </c>
      <c r="E14" s="1">
        <f>363.13+1258.44+1377.35+385.68+168.5+423.89+166.57+1708.78+662.96</f>
        <v>6515.2999999999993</v>
      </c>
      <c r="F14" s="1">
        <v>7071.96</v>
      </c>
      <c r="G14" s="1">
        <f>13881.15</f>
        <v>13881.15</v>
      </c>
      <c r="H14" s="1">
        <v>7279.26</v>
      </c>
      <c r="I14" s="1">
        <v>8850.7800000000007</v>
      </c>
      <c r="J14" s="1"/>
      <c r="K14" s="1"/>
      <c r="L14" s="40"/>
    </row>
    <row r="15" spans="1:12" x14ac:dyDescent="0.3">
      <c r="A15" s="7" t="s">
        <v>13</v>
      </c>
      <c r="B15" s="4" t="s">
        <v>0</v>
      </c>
      <c r="C15" s="39">
        <v>1602.22</v>
      </c>
      <c r="D15" s="1">
        <v>2179.38</v>
      </c>
      <c r="E15" s="1">
        <v>1790.82</v>
      </c>
      <c r="F15" s="1"/>
      <c r="G15" s="1">
        <v>2957.9</v>
      </c>
      <c r="H15" s="1">
        <v>957.61</v>
      </c>
      <c r="I15" s="1">
        <v>1773.96</v>
      </c>
      <c r="J15" s="1"/>
      <c r="K15" s="1"/>
      <c r="L15" s="40"/>
    </row>
    <row r="16" spans="1:12" x14ac:dyDescent="0.3">
      <c r="A16" s="7" t="s">
        <v>14</v>
      </c>
      <c r="B16" s="4" t="s">
        <v>36</v>
      </c>
      <c r="C16" s="39">
        <v>1963.43</v>
      </c>
      <c r="D16" s="1">
        <v>2349.71</v>
      </c>
      <c r="E16" s="1">
        <v>2136.37</v>
      </c>
      <c r="F16" s="1"/>
      <c r="G16" s="1">
        <v>2678.41</v>
      </c>
      <c r="H16" s="1">
        <v>1450.92</v>
      </c>
      <c r="I16" s="1">
        <v>2276.2199999999998</v>
      </c>
      <c r="J16" s="1"/>
      <c r="K16" s="1"/>
      <c r="L16" s="40"/>
    </row>
    <row r="17" spans="1:14" x14ac:dyDescent="0.3">
      <c r="A17" s="7" t="s">
        <v>16</v>
      </c>
      <c r="B17" s="4" t="s">
        <v>37</v>
      </c>
      <c r="C17" s="39">
        <v>794.36</v>
      </c>
      <c r="D17" s="1">
        <v>1875.5</v>
      </c>
      <c r="E17" s="1">
        <v>1058.04</v>
      </c>
      <c r="F17" s="1"/>
      <c r="G17" s="1"/>
      <c r="H17" s="1">
        <v>1142.5999999999999</v>
      </c>
      <c r="I17" s="1">
        <v>1077.78</v>
      </c>
      <c r="J17" s="1"/>
      <c r="K17" s="1"/>
      <c r="L17" s="40"/>
    </row>
    <row r="18" spans="1:14" x14ac:dyDescent="0.3">
      <c r="A18" s="7" t="s">
        <v>19</v>
      </c>
      <c r="B18" s="4" t="s">
        <v>1</v>
      </c>
      <c r="C18" s="39">
        <v>1811.14</v>
      </c>
      <c r="D18" s="1">
        <f>642.2+4851.43</f>
        <v>5493.63</v>
      </c>
      <c r="E18" s="1">
        <f>4426.78+510.24</f>
        <v>4937.0199999999995</v>
      </c>
      <c r="F18" s="1">
        <f>849.51</f>
        <v>849.51</v>
      </c>
      <c r="G18" s="1">
        <f>873.82+9544.02</f>
        <v>10417.84</v>
      </c>
      <c r="H18" s="1">
        <f>204.91+2770.91</f>
        <v>2975.8199999999997</v>
      </c>
      <c r="I18" s="1">
        <f>163.14+2762.33</f>
        <v>2925.47</v>
      </c>
      <c r="J18" s="1"/>
      <c r="K18" s="1"/>
      <c r="L18" s="40"/>
    </row>
    <row r="19" spans="1:14" x14ac:dyDescent="0.3">
      <c r="A19" s="7" t="s">
        <v>21</v>
      </c>
      <c r="B19" s="18" t="s">
        <v>38</v>
      </c>
      <c r="C19" s="39"/>
      <c r="D19" s="1">
        <v>2040.04</v>
      </c>
      <c r="E19" s="1">
        <v>769.96</v>
      </c>
      <c r="F19" s="1"/>
      <c r="G19" s="1"/>
      <c r="H19" s="1"/>
      <c r="I19" s="1"/>
      <c r="J19" s="1"/>
      <c r="K19" s="1"/>
      <c r="L19" s="40"/>
    </row>
    <row r="20" spans="1:14" x14ac:dyDescent="0.3">
      <c r="A20" s="7" t="s">
        <v>22</v>
      </c>
      <c r="B20" s="18" t="s">
        <v>2</v>
      </c>
      <c r="C20" s="39">
        <v>5079.6400000000003</v>
      </c>
      <c r="D20" s="1">
        <v>6420.27</v>
      </c>
      <c r="E20" s="1">
        <v>5744.09</v>
      </c>
      <c r="F20" s="1"/>
      <c r="G20" s="1">
        <v>8639.57</v>
      </c>
      <c r="H20" s="1"/>
      <c r="I20" s="1"/>
      <c r="J20" s="1"/>
      <c r="K20" s="1"/>
      <c r="L20" s="40"/>
    </row>
    <row r="21" spans="1:14" ht="15" thickBot="1" x14ac:dyDescent="0.35">
      <c r="A21" s="34" t="s">
        <v>23</v>
      </c>
      <c r="B21" s="5" t="s">
        <v>63</v>
      </c>
      <c r="C21" s="41">
        <v>5079.6400000000003</v>
      </c>
      <c r="D21" s="42">
        <v>6420.27</v>
      </c>
      <c r="E21" s="42">
        <v>5744.09</v>
      </c>
      <c r="F21" s="42"/>
      <c r="G21" s="42">
        <v>1664.23</v>
      </c>
      <c r="H21" s="42"/>
      <c r="I21" s="42"/>
      <c r="J21" s="42"/>
      <c r="K21" s="42"/>
      <c r="L21" s="43"/>
    </row>
    <row r="22" spans="1:14" ht="15" thickBot="1" x14ac:dyDescent="0.3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4" ht="15" thickBot="1" x14ac:dyDescent="0.35">
      <c r="A23" s="15"/>
      <c r="B23" s="20" t="s">
        <v>40</v>
      </c>
      <c r="C23" s="56">
        <f>SUM(C9:C21)</f>
        <v>52138.11</v>
      </c>
      <c r="D23" s="56">
        <f t="shared" ref="D23:G23" si="0">SUM(D9:D21)</f>
        <v>90723.49000000002</v>
      </c>
      <c r="E23" s="56">
        <f t="shared" si="0"/>
        <v>63300.2</v>
      </c>
      <c r="F23" s="56">
        <f t="shared" si="0"/>
        <v>32575.079999999998</v>
      </c>
      <c r="G23" s="56">
        <f t="shared" si="0"/>
        <v>86003.025999999998</v>
      </c>
      <c r="H23" s="56">
        <f>SUM(H9:H21)+H29</f>
        <v>43019.11</v>
      </c>
      <c r="I23" s="56">
        <f t="shared" ref="I23:L23" si="1">SUM(I9:I21)+I29</f>
        <v>52524.1</v>
      </c>
      <c r="J23" s="56">
        <f t="shared" si="1"/>
        <v>0</v>
      </c>
      <c r="K23" s="56">
        <f t="shared" si="1"/>
        <v>0</v>
      </c>
      <c r="L23" s="56">
        <f t="shared" si="1"/>
        <v>0</v>
      </c>
    </row>
    <row r="24" spans="1:14" ht="15" thickBot="1" x14ac:dyDescent="0.35"/>
    <row r="25" spans="1:14" ht="15" thickBot="1" x14ac:dyDescent="0.35">
      <c r="B25" s="72" t="s">
        <v>88</v>
      </c>
      <c r="C25" s="22">
        <f>(C23*1.2)/C8</f>
        <v>1723.5738842975206</v>
      </c>
      <c r="D25" s="22">
        <f t="shared" ref="D25:L25" si="2">(D23*1.2)/D8</f>
        <v>1996.4824500275081</v>
      </c>
      <c r="E25" s="22">
        <f t="shared" si="2"/>
        <v>2664.3367239565059</v>
      </c>
      <c r="F25" s="22">
        <f t="shared" si="2"/>
        <v>1576.2135483870966</v>
      </c>
      <c r="G25" s="22">
        <f t="shared" si="2"/>
        <v>2150.0756499999998</v>
      </c>
      <c r="H25" s="22">
        <f t="shared" si="2"/>
        <v>2647.3298461538461</v>
      </c>
      <c r="I25" s="22">
        <f t="shared" si="2"/>
        <v>1923.3725968873969</v>
      </c>
      <c r="J25" s="22" t="e">
        <f t="shared" si="2"/>
        <v>#DIV/0!</v>
      </c>
      <c r="K25" s="22" t="e">
        <f t="shared" si="2"/>
        <v>#DIV/0!</v>
      </c>
      <c r="L25" s="22" t="e">
        <f t="shared" si="2"/>
        <v>#DIV/0!</v>
      </c>
      <c r="N25" s="95"/>
    </row>
    <row r="26" spans="1:14" ht="15" thickBot="1" x14ac:dyDescent="0.35">
      <c r="B26" s="59" t="s">
        <v>90</v>
      </c>
      <c r="C26" s="54">
        <f>C25+((C28+C29)/C8)</f>
        <v>1723.5738842975206</v>
      </c>
      <c r="D26" s="54">
        <f t="shared" ref="D26:L26" si="3">D25+((D28+D29)/D8)</f>
        <v>2034.2715569411337</v>
      </c>
      <c r="E26" s="54">
        <f t="shared" si="3"/>
        <v>2809.8084882497365</v>
      </c>
      <c r="F26" s="54">
        <f t="shared" si="3"/>
        <v>1576.2135483870966</v>
      </c>
      <c r="G26" s="54">
        <f t="shared" si="3"/>
        <v>2223.1798166666663</v>
      </c>
      <c r="H26" s="54">
        <f t="shared" si="3"/>
        <v>2669.0318974358975</v>
      </c>
      <c r="I26" s="54">
        <f t="shared" si="3"/>
        <v>1935.7842538907537</v>
      </c>
      <c r="J26" s="54" t="e">
        <f t="shared" si="3"/>
        <v>#DIV/0!</v>
      </c>
      <c r="K26" s="54" t="e">
        <f t="shared" si="3"/>
        <v>#DIV/0!</v>
      </c>
      <c r="L26" s="54" t="e">
        <f t="shared" si="3"/>
        <v>#DIV/0!</v>
      </c>
    </row>
    <row r="27" spans="1:14" ht="15" thickBot="1" x14ac:dyDescent="0.35">
      <c r="B27" s="59" t="s">
        <v>89</v>
      </c>
      <c r="C27" s="54">
        <f>((C23+C28+C29)*1.2)/C7</f>
        <v>1290.4408052140914</v>
      </c>
      <c r="D27" s="54">
        <f t="shared" ref="D27:L27" si="4">((D23+D28+D29)*1.2)/D7</f>
        <v>1568.1824788732397</v>
      </c>
      <c r="E27" s="54">
        <f t="shared" si="4"/>
        <v>2161.7705033626949</v>
      </c>
      <c r="F27" s="54">
        <f t="shared" si="4"/>
        <v>1049.9622884770347</v>
      </c>
      <c r="G27" s="54">
        <f t="shared" si="4"/>
        <v>1781.9248706038486</v>
      </c>
      <c r="H27" s="54">
        <f t="shared" si="4"/>
        <v>1540.5070921985814</v>
      </c>
      <c r="I27" s="54">
        <f t="shared" si="4"/>
        <v>1484.0419626168225</v>
      </c>
      <c r="J27" s="54" t="e">
        <f t="shared" si="4"/>
        <v>#DIV/0!</v>
      </c>
      <c r="K27" s="54" t="e">
        <f t="shared" si="4"/>
        <v>#DIV/0!</v>
      </c>
      <c r="L27" s="54" t="e">
        <f t="shared" si="4"/>
        <v>#DIV/0!</v>
      </c>
    </row>
    <row r="28" spans="1:14" ht="15" thickBot="1" x14ac:dyDescent="0.35">
      <c r="A28" s="10" t="s">
        <v>24</v>
      </c>
      <c r="B28" s="58" t="s">
        <v>64</v>
      </c>
      <c r="C28" s="55">
        <v>0</v>
      </c>
      <c r="D28" s="55">
        <v>2060.64</v>
      </c>
      <c r="E28" s="55">
        <v>4147.3999999999996</v>
      </c>
      <c r="F28" s="55"/>
      <c r="G28" s="55">
        <f>1287+836+528+440+264+154</f>
        <v>3509</v>
      </c>
      <c r="H28" s="55"/>
      <c r="I28" s="55"/>
      <c r="J28" s="55"/>
      <c r="K28" s="55"/>
      <c r="L28" s="55"/>
    </row>
    <row r="29" spans="1:14" ht="15" thickBot="1" x14ac:dyDescent="0.35">
      <c r="A29" s="57" t="s">
        <v>25</v>
      </c>
      <c r="B29" s="33" t="s">
        <v>71</v>
      </c>
      <c r="C29" s="55"/>
      <c r="D29" s="55"/>
      <c r="E29" s="55"/>
      <c r="F29" s="55"/>
      <c r="G29" s="55"/>
      <c r="H29" s="55">
        <v>423.19</v>
      </c>
      <c r="I29" s="55">
        <v>406.73</v>
      </c>
      <c r="J29" s="55"/>
      <c r="K29" s="55"/>
      <c r="L29" s="55"/>
    </row>
    <row r="30" spans="1:14" ht="15" thickBot="1" x14ac:dyDescent="0.35"/>
    <row r="31" spans="1:14" ht="15" thickBot="1" x14ac:dyDescent="0.35">
      <c r="B31" s="128" t="s">
        <v>20</v>
      </c>
      <c r="C31" s="129"/>
      <c r="D31" s="129"/>
      <c r="E31" s="129"/>
      <c r="F31" s="129"/>
      <c r="G31" s="129"/>
      <c r="H31" s="129"/>
      <c r="I31" s="129"/>
      <c r="J31" s="129"/>
      <c r="K31" s="129"/>
      <c r="L31" s="130"/>
    </row>
    <row r="32" spans="1:14" ht="15" thickBot="1" x14ac:dyDescent="0.35"/>
    <row r="33" spans="1:22" ht="15" thickBot="1" x14ac:dyDescent="0.35">
      <c r="C33" s="65" t="str">
        <f t="shared" ref="C33:L33" si="5">C5</f>
        <v>GALICY</v>
      </c>
      <c r="D33" s="65" t="str">
        <f t="shared" si="5"/>
        <v>BOURDE</v>
      </c>
      <c r="E33" s="65" t="str">
        <f t="shared" si="5"/>
        <v>ARNAUD</v>
      </c>
      <c r="F33" s="65" t="str">
        <f t="shared" si="5"/>
        <v>BENSA</v>
      </c>
      <c r="G33" s="65" t="str">
        <f t="shared" si="5"/>
        <v>CAPELLE</v>
      </c>
      <c r="H33" s="66" t="str">
        <f t="shared" si="5"/>
        <v>MORLAES</v>
      </c>
      <c r="I33" s="66" t="str">
        <f t="shared" si="5"/>
        <v>VIDEGAIN</v>
      </c>
      <c r="J33" s="32">
        <f t="shared" si="5"/>
        <v>0</v>
      </c>
      <c r="K33" s="32">
        <f t="shared" si="5"/>
        <v>0</v>
      </c>
      <c r="L33" s="32">
        <f t="shared" si="5"/>
        <v>0</v>
      </c>
    </row>
    <row r="34" spans="1:22" ht="15" thickBot="1" x14ac:dyDescent="0.35">
      <c r="A34" s="6" t="s">
        <v>26</v>
      </c>
      <c r="B34" s="21" t="s">
        <v>29</v>
      </c>
      <c r="C34" s="49">
        <f>3050.99+869.74</f>
        <v>3920.7299999999996</v>
      </c>
      <c r="D34" s="50">
        <v>5535.75</v>
      </c>
      <c r="E34" s="50"/>
      <c r="F34" s="50"/>
      <c r="G34" s="50"/>
      <c r="H34" s="50"/>
      <c r="I34" s="50">
        <f>1500+790</f>
        <v>2290</v>
      </c>
      <c r="J34" s="1"/>
      <c r="K34" s="1"/>
      <c r="L34" s="1"/>
    </row>
    <row r="35" spans="1:22" ht="15" thickBot="1" x14ac:dyDescent="0.35">
      <c r="A35" s="6" t="s">
        <v>27</v>
      </c>
      <c r="B35" s="12" t="s">
        <v>30</v>
      </c>
      <c r="C35" s="49">
        <f>5576.32+415.4</f>
        <v>5991.7199999999993</v>
      </c>
      <c r="D35" s="50">
        <v>10789.92</v>
      </c>
      <c r="E35" s="50"/>
      <c r="F35" s="50"/>
      <c r="G35" s="50">
        <f>6395.2+792</f>
        <v>7187.2</v>
      </c>
      <c r="H35" s="50"/>
      <c r="I35" s="50">
        <v>6572</v>
      </c>
      <c r="J35" s="1"/>
      <c r="K35" s="1"/>
      <c r="L35" s="1"/>
      <c r="M35" s="88"/>
      <c r="N35" s="19"/>
      <c r="O35" s="19"/>
      <c r="P35" s="19"/>
      <c r="Q35" s="19"/>
      <c r="R35" s="19"/>
      <c r="S35" s="19"/>
      <c r="T35" s="19"/>
      <c r="U35" s="19"/>
      <c r="V35" s="19"/>
    </row>
    <row r="36" spans="1:22" ht="15" thickBot="1" x14ac:dyDescent="0.35">
      <c r="A36" s="6" t="s">
        <v>28</v>
      </c>
      <c r="B36" s="13" t="s">
        <v>31</v>
      </c>
      <c r="C36" s="49">
        <f>2850.55+663.12</f>
        <v>3513.67</v>
      </c>
      <c r="D36" s="50">
        <v>8661.34</v>
      </c>
      <c r="E36" s="50">
        <v>0</v>
      </c>
      <c r="F36" s="50"/>
      <c r="G36" s="50">
        <v>4814.66</v>
      </c>
      <c r="H36" s="50"/>
      <c r="I36" s="50">
        <f>1245.55+1193.8</f>
        <v>2439.35</v>
      </c>
      <c r="J36" s="1"/>
      <c r="K36" s="1"/>
      <c r="L36" s="1"/>
    </row>
    <row r="37" spans="1:22" ht="15" thickBot="1" x14ac:dyDescent="0.35">
      <c r="A37" s="6" t="s">
        <v>43</v>
      </c>
      <c r="B37" s="13" t="s">
        <v>32</v>
      </c>
      <c r="C37" s="49">
        <v>1450.56</v>
      </c>
      <c r="D37" s="50">
        <v>17268.900000000001</v>
      </c>
      <c r="E37" s="50"/>
      <c r="F37" s="50"/>
      <c r="G37" s="50">
        <v>8798.8700000000008</v>
      </c>
      <c r="H37" s="50"/>
      <c r="I37" s="50"/>
      <c r="J37" s="1"/>
      <c r="K37" s="1"/>
      <c r="L37" s="1"/>
    </row>
    <row r="38" spans="1:22" ht="15" thickBot="1" x14ac:dyDescent="0.35">
      <c r="A38" s="6" t="s">
        <v>44</v>
      </c>
      <c r="B38" s="13" t="s">
        <v>35</v>
      </c>
      <c r="C38" s="49">
        <v>571.44000000000005</v>
      </c>
      <c r="D38" s="50">
        <v>687.22</v>
      </c>
      <c r="E38" s="50"/>
      <c r="F38" s="50"/>
      <c r="G38" s="50"/>
      <c r="H38" s="50"/>
      <c r="I38" s="50"/>
      <c r="J38" s="1"/>
      <c r="K38" s="1"/>
      <c r="L38" s="1"/>
    </row>
    <row r="39" spans="1:22" ht="15" thickBot="1" x14ac:dyDescent="0.35">
      <c r="A39" s="6" t="s">
        <v>45</v>
      </c>
      <c r="B39" s="13" t="s">
        <v>39</v>
      </c>
      <c r="C39" s="49">
        <v>0</v>
      </c>
      <c r="D39" s="50">
        <v>10377.030000000001</v>
      </c>
      <c r="E39" s="50"/>
      <c r="F39" s="50"/>
      <c r="G39" s="50"/>
      <c r="H39" s="50"/>
      <c r="I39" s="50"/>
      <c r="J39" s="1"/>
      <c r="K39" s="1"/>
      <c r="L39" s="1"/>
    </row>
    <row r="40" spans="1:22" ht="15" thickBot="1" x14ac:dyDescent="0.35">
      <c r="A40" s="6" t="s">
        <v>46</v>
      </c>
      <c r="B40" s="13" t="s">
        <v>42</v>
      </c>
      <c r="C40" s="49"/>
      <c r="D40" s="50">
        <v>1226.45</v>
      </c>
      <c r="E40" s="50"/>
      <c r="F40" s="50"/>
      <c r="G40" s="50"/>
      <c r="H40" s="50"/>
      <c r="I40" s="50"/>
      <c r="J40" s="1"/>
      <c r="K40" s="1"/>
      <c r="L40" s="1"/>
    </row>
    <row r="41" spans="1:22" ht="15" thickBot="1" x14ac:dyDescent="0.35">
      <c r="A41" s="6" t="s">
        <v>47</v>
      </c>
      <c r="B41" s="17" t="s">
        <v>53</v>
      </c>
      <c r="C41" s="51"/>
      <c r="D41" s="50"/>
      <c r="E41" s="50"/>
      <c r="F41" s="50"/>
      <c r="G41" s="50">
        <v>3052.07</v>
      </c>
      <c r="H41" s="50"/>
      <c r="I41" s="50"/>
      <c r="J41" s="1"/>
      <c r="K41" s="1"/>
      <c r="L41" s="1"/>
    </row>
    <row r="42" spans="1:22" ht="15" thickBot="1" x14ac:dyDescent="0.35">
      <c r="A42" s="6" t="s">
        <v>62</v>
      </c>
      <c r="B42" s="17" t="s">
        <v>59</v>
      </c>
      <c r="C42" s="51"/>
      <c r="D42" s="50"/>
      <c r="E42" s="50"/>
      <c r="F42" s="50"/>
      <c r="G42" s="50">
        <v>6221.35</v>
      </c>
      <c r="H42" s="50"/>
      <c r="I42" s="50"/>
      <c r="J42" s="1"/>
      <c r="K42" s="1"/>
      <c r="L42" s="1"/>
    </row>
    <row r="43" spans="1:22" ht="15" thickBot="1" x14ac:dyDescent="0.35">
      <c r="A43" s="6" t="s">
        <v>76</v>
      </c>
      <c r="B43" s="14"/>
      <c r="C43" s="51"/>
      <c r="D43" s="50"/>
      <c r="E43" s="50"/>
      <c r="F43" s="50"/>
      <c r="G43" s="50"/>
      <c r="H43" s="50"/>
      <c r="I43" s="50"/>
      <c r="J43" s="1"/>
      <c r="K43" s="1"/>
      <c r="L43" s="1"/>
    </row>
    <row r="44" spans="1:22" ht="15" thickBot="1" x14ac:dyDescent="0.35">
      <c r="A44" s="15"/>
      <c r="B44" s="16"/>
      <c r="C44" s="33">
        <f>SUM(C34:C43)</f>
        <v>15448.119999999999</v>
      </c>
      <c r="D44" s="33">
        <f>SUM(D34:D43)</f>
        <v>54546.61</v>
      </c>
      <c r="E44" s="33">
        <f t="shared" ref="E44:L44" si="6">SUM(E34:E43)</f>
        <v>0</v>
      </c>
      <c r="F44" s="33">
        <f t="shared" si="6"/>
        <v>0</v>
      </c>
      <c r="G44" s="33">
        <f t="shared" si="6"/>
        <v>30074.15</v>
      </c>
      <c r="H44" s="33">
        <f t="shared" si="6"/>
        <v>0</v>
      </c>
      <c r="I44" s="33">
        <f t="shared" si="6"/>
        <v>11301.35</v>
      </c>
      <c r="J44" s="33">
        <f t="shared" si="6"/>
        <v>0</v>
      </c>
      <c r="K44" s="33">
        <f t="shared" si="6"/>
        <v>0</v>
      </c>
      <c r="L44" s="33">
        <f t="shared" si="6"/>
        <v>0</v>
      </c>
    </row>
    <row r="45" spans="1:22" ht="15" thickBot="1" x14ac:dyDescent="0.35"/>
    <row r="46" spans="1:22" ht="15" thickBot="1" x14ac:dyDescent="0.35">
      <c r="B46" s="68" t="s">
        <v>82</v>
      </c>
      <c r="C46" s="64">
        <f>(C44*1.2)/C8</f>
        <v>510.681652892562</v>
      </c>
      <c r="D46" s="64">
        <f t="shared" ref="D46:I46" si="7">(D44*1.2)/D8</f>
        <v>1200.3655235650101</v>
      </c>
      <c r="E46" s="64">
        <f t="shared" si="7"/>
        <v>0</v>
      </c>
      <c r="F46" s="64">
        <f t="shared" si="7"/>
        <v>0</v>
      </c>
      <c r="G46" s="64">
        <f t="shared" si="7"/>
        <v>751.8537500000001</v>
      </c>
      <c r="H46" s="64">
        <f t="shared" si="7"/>
        <v>0</v>
      </c>
      <c r="I46" s="64">
        <f t="shared" si="7"/>
        <v>413.84253890753735</v>
      </c>
      <c r="J46" s="64" t="e">
        <f t="shared" ref="J46:L46" si="8">(SUM(J34:J43)/J8)*1.2</f>
        <v>#DIV/0!</v>
      </c>
      <c r="K46" s="64" t="e">
        <f t="shared" si="8"/>
        <v>#DIV/0!</v>
      </c>
      <c r="L46" s="64" t="e">
        <f t="shared" si="8"/>
        <v>#DIV/0!</v>
      </c>
    </row>
    <row r="47" spans="1:22" ht="15" thickBot="1" x14ac:dyDescent="0.35"/>
    <row r="48" spans="1:22" ht="15" thickBot="1" x14ac:dyDescent="0.35">
      <c r="B48" s="68" t="s">
        <v>84</v>
      </c>
      <c r="C48" s="64">
        <f>C46+C26</f>
        <v>2234.2555371900826</v>
      </c>
      <c r="D48" s="64">
        <f t="shared" ref="D48:L48" si="9">D46+D26</f>
        <v>3234.6370805061438</v>
      </c>
      <c r="E48" s="64">
        <f t="shared" si="9"/>
        <v>2809.8084882497365</v>
      </c>
      <c r="F48" s="64">
        <f t="shared" si="9"/>
        <v>1576.2135483870966</v>
      </c>
      <c r="G48" s="64">
        <f t="shared" si="9"/>
        <v>2975.0335666666665</v>
      </c>
      <c r="H48" s="64">
        <f t="shared" si="9"/>
        <v>2669.0318974358975</v>
      </c>
      <c r="I48" s="64">
        <f t="shared" si="9"/>
        <v>2349.6267927982908</v>
      </c>
      <c r="J48" s="64" t="e">
        <f t="shared" si="9"/>
        <v>#DIV/0!</v>
      </c>
      <c r="K48" s="64" t="e">
        <f t="shared" si="9"/>
        <v>#DIV/0!</v>
      </c>
      <c r="L48" s="64" t="e">
        <f t="shared" si="9"/>
        <v>#DIV/0!</v>
      </c>
    </row>
    <row r="50" spans="2:14" ht="15" thickBot="1" x14ac:dyDescent="0.35"/>
    <row r="51" spans="2:14" ht="15" thickBot="1" x14ac:dyDescent="0.35">
      <c r="B51" s="131" t="s">
        <v>130</v>
      </c>
      <c r="C51" s="132"/>
      <c r="D51" s="132"/>
      <c r="E51" s="132"/>
      <c r="F51" s="132"/>
      <c r="G51" s="132"/>
      <c r="H51" s="132"/>
      <c r="I51" s="132"/>
      <c r="J51" s="132"/>
      <c r="K51" s="132"/>
      <c r="L51" s="133"/>
    </row>
    <row r="52" spans="2:14" ht="15" thickBot="1" x14ac:dyDescent="0.35"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</row>
    <row r="53" spans="2:14" ht="15" thickBot="1" x14ac:dyDescent="0.35">
      <c r="B53" s="122" t="s">
        <v>138</v>
      </c>
      <c r="C53" s="124"/>
    </row>
    <row r="54" spans="2:14" x14ac:dyDescent="0.3">
      <c r="B54" s="11" t="s">
        <v>131</v>
      </c>
      <c r="C54" s="11">
        <f>AVERAGEIF($C$6:$L$6,"2P T",C26:L26)</f>
        <v>2156.14175416322</v>
      </c>
    </row>
    <row r="55" spans="2:14" x14ac:dyDescent="0.3">
      <c r="B55" s="4" t="s">
        <v>132</v>
      </c>
      <c r="C55" s="4">
        <f>AVERAGEIF(C6:L6,"4P T",C26:L26)</f>
        <v>2422.0400225954349</v>
      </c>
    </row>
    <row r="56" spans="2:14" x14ac:dyDescent="0.3">
      <c r="B56" s="4" t="s">
        <v>133</v>
      </c>
      <c r="C56" s="4">
        <f>AVERAGEIF(C6:L6,"2P F",C26:L26)</f>
        <v>1935.7842538907537</v>
      </c>
    </row>
    <row r="57" spans="2:14" ht="15" thickBot="1" x14ac:dyDescent="0.35">
      <c r="B57" s="5" t="s">
        <v>134</v>
      </c>
      <c r="C57" s="5">
        <f>AVERAGEIF(C6:L6,"4P F",C26:L26)</f>
        <v>1723.5738842975206</v>
      </c>
    </row>
    <row r="58" spans="2:14" ht="15" thickBot="1" x14ac:dyDescent="0.35">
      <c r="J58" s="16"/>
      <c r="K58" s="16"/>
      <c r="L58" s="16"/>
      <c r="M58" s="16"/>
      <c r="N58" s="16"/>
    </row>
    <row r="59" spans="2:14" ht="15" thickBot="1" x14ac:dyDescent="0.35">
      <c r="B59" s="122" t="s">
        <v>139</v>
      </c>
      <c r="C59" s="124"/>
      <c r="J59" s="16"/>
      <c r="K59" s="16"/>
      <c r="L59" s="16"/>
      <c r="M59" s="16"/>
      <c r="N59" s="16"/>
    </row>
    <row r="60" spans="2:14" x14ac:dyDescent="0.3">
      <c r="B60" s="107" t="s">
        <v>131</v>
      </c>
      <c r="C60" s="8">
        <f>AVERAGEIF($C$6:$L$6,"2P T",$C$27:$L$27)</f>
        <v>1457.4647504264883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2:14" x14ac:dyDescent="0.3">
      <c r="B61" s="108" t="s">
        <v>132</v>
      </c>
      <c r="C61" s="4">
        <f>AVERAGEIF($C$6:$L$6,"4P T",$C$27:$L$27)</f>
        <v>1864.9764911179673</v>
      </c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2:14" x14ac:dyDescent="0.3">
      <c r="B62" s="108" t="s">
        <v>133</v>
      </c>
      <c r="C62" s="4">
        <f>AVERAGEIF($C$6:$L$6,"2P F",$C$27:$L$27)</f>
        <v>1484.0419626168225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spans="2:14" ht="15" thickBot="1" x14ac:dyDescent="0.35">
      <c r="B63" s="109" t="s">
        <v>134</v>
      </c>
      <c r="C63" s="5">
        <f>AVERAGEIF($C$6:$L$6,"4P F",$C$27:$L$27)</f>
        <v>1290.4408052140914</v>
      </c>
      <c r="J63" s="16"/>
      <c r="K63" s="16"/>
      <c r="L63" s="16"/>
      <c r="M63" s="16"/>
      <c r="N63" s="16"/>
    </row>
    <row r="64" spans="2:14" ht="15" thickBot="1" x14ac:dyDescent="0.35">
      <c r="J64" s="16"/>
      <c r="K64" s="16"/>
      <c r="L64" s="16"/>
      <c r="M64" s="16"/>
      <c r="N64" s="16"/>
    </row>
    <row r="65" spans="2:14" ht="15" thickBot="1" x14ac:dyDescent="0.35">
      <c r="B65" s="122" t="s">
        <v>136</v>
      </c>
      <c r="C65" s="123"/>
      <c r="J65" s="16"/>
      <c r="K65" s="16"/>
      <c r="L65" s="16"/>
      <c r="M65" s="16"/>
      <c r="N65" s="16"/>
    </row>
    <row r="66" spans="2:14" x14ac:dyDescent="0.3">
      <c r="B66" s="107" t="s">
        <v>135</v>
      </c>
      <c r="C66" s="11">
        <f>AVERAGE(C34:L34)</f>
        <v>3915.4933333333333</v>
      </c>
      <c r="J66" s="16"/>
      <c r="K66" s="16"/>
      <c r="L66" s="16"/>
      <c r="M66" s="16"/>
      <c r="N66" s="16"/>
    </row>
    <row r="67" spans="2:14" x14ac:dyDescent="0.3">
      <c r="B67" s="108" t="s">
        <v>51</v>
      </c>
      <c r="C67" s="105">
        <f>SUM(C35:S35)/SUMIFS($C$8:$S$8,C35:S35,"&gt;0")</f>
        <v>177.97692307692307</v>
      </c>
      <c r="J67" s="16"/>
      <c r="K67" s="16"/>
      <c r="L67" s="16"/>
      <c r="M67" s="16"/>
      <c r="N67" s="16"/>
    </row>
    <row r="68" spans="2:14" x14ac:dyDescent="0.3">
      <c r="B68" s="108" t="s">
        <v>31</v>
      </c>
      <c r="C68" s="105">
        <f t="shared" ref="C68:C74" si="10">SUM(C36:S36)/SUMIFS($C$8:$S$8,C36:S36,"&gt;0")</f>
        <v>113.22272727272725</v>
      </c>
      <c r="J68" s="16"/>
      <c r="K68" s="16"/>
      <c r="L68" s="16"/>
      <c r="M68" s="16"/>
      <c r="N68" s="16"/>
    </row>
    <row r="69" spans="2:14" x14ac:dyDescent="0.3">
      <c r="B69" s="108" t="s">
        <v>32</v>
      </c>
      <c r="C69" s="105">
        <f t="shared" si="10"/>
        <v>198.21601959230716</v>
      </c>
    </row>
    <row r="70" spans="2:14" x14ac:dyDescent="0.3">
      <c r="B70" s="108" t="s">
        <v>35</v>
      </c>
      <c r="C70" s="105">
        <f t="shared" si="10"/>
        <v>13.857315864802379</v>
      </c>
    </row>
    <row r="71" spans="2:14" x14ac:dyDescent="0.3">
      <c r="B71" s="108" t="s">
        <v>39</v>
      </c>
      <c r="C71" s="105">
        <f t="shared" si="10"/>
        <v>190.29946818265176</v>
      </c>
    </row>
    <row r="72" spans="2:14" x14ac:dyDescent="0.3">
      <c r="B72" s="108" t="s">
        <v>42</v>
      </c>
      <c r="C72" s="105">
        <f t="shared" si="10"/>
        <v>22.491289198606271</v>
      </c>
    </row>
    <row r="73" spans="2:14" x14ac:dyDescent="0.3">
      <c r="B73" s="108" t="s">
        <v>53</v>
      </c>
      <c r="C73" s="105">
        <f t="shared" si="10"/>
        <v>63.584791666666668</v>
      </c>
    </row>
    <row r="74" spans="2:14" ht="15" thickBot="1" x14ac:dyDescent="0.35">
      <c r="B74" s="109" t="s">
        <v>59</v>
      </c>
      <c r="C74" s="106">
        <f t="shared" si="10"/>
        <v>129.61145833333333</v>
      </c>
    </row>
    <row r="75" spans="2:14" ht="15" thickBot="1" x14ac:dyDescent="0.35"/>
    <row r="76" spans="2:14" ht="15" thickBot="1" x14ac:dyDescent="0.35">
      <c r="C76" s="31">
        <f>SUM(C67:C74)</f>
        <v>909.25999318801792</v>
      </c>
    </row>
  </sheetData>
  <mergeCells count="7">
    <mergeCell ref="B65:C65"/>
    <mergeCell ref="B59:C59"/>
    <mergeCell ref="B1:L1"/>
    <mergeCell ref="B3:L3"/>
    <mergeCell ref="B31:L31"/>
    <mergeCell ref="B51:L51"/>
    <mergeCell ref="B53:C53"/>
  </mergeCells>
  <phoneticPr fontId="2" type="noConversion"/>
  <conditionalFormatting sqref="C34:L43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8F85F-496C-40EE-92D0-A05E0D48B987}">
  <sheetPr codeName="Feuil3"/>
  <dimension ref="A1:L86"/>
  <sheetViews>
    <sheetView topLeftCell="A62" workbookViewId="0">
      <selection activeCell="F88" sqref="F88"/>
    </sheetView>
  </sheetViews>
  <sheetFormatPr baseColWidth="10" defaultColWidth="9.109375" defaultRowHeight="14.4" x14ac:dyDescent="0.3"/>
  <cols>
    <col min="1" max="1" width="5" style="2" customWidth="1"/>
    <col min="2" max="2" width="42.5546875" customWidth="1"/>
    <col min="3" max="13" width="10.6640625" customWidth="1"/>
  </cols>
  <sheetData>
    <row r="1" spans="1:12" ht="20.100000000000001" customHeight="1" thickBot="1" x14ac:dyDescent="0.35">
      <c r="B1" s="125" t="s">
        <v>91</v>
      </c>
      <c r="C1" s="126"/>
      <c r="D1" s="126"/>
      <c r="E1" s="126"/>
      <c r="F1" s="126"/>
      <c r="G1" s="126"/>
      <c r="H1" s="126"/>
      <c r="I1" s="126"/>
      <c r="J1" s="126"/>
      <c r="K1" s="126"/>
      <c r="L1" s="127"/>
    </row>
    <row r="2" spans="1:12" ht="15" thickBot="1" x14ac:dyDescent="0.35"/>
    <row r="3" spans="1:12" ht="15" thickBot="1" x14ac:dyDescent="0.35">
      <c r="B3" s="128" t="s">
        <v>18</v>
      </c>
      <c r="C3" s="129"/>
      <c r="D3" s="129"/>
      <c r="E3" s="129"/>
      <c r="F3" s="129"/>
      <c r="G3" s="129"/>
      <c r="H3" s="129"/>
      <c r="I3" s="129"/>
      <c r="J3" s="129"/>
      <c r="K3" s="129"/>
      <c r="L3" s="130"/>
    </row>
    <row r="4" spans="1:12" ht="15" thickBot="1" x14ac:dyDescent="0.35"/>
    <row r="5" spans="1:12" ht="15" thickBot="1" x14ac:dyDescent="0.35">
      <c r="B5" s="46" t="s">
        <v>69</v>
      </c>
      <c r="C5" s="52" t="s">
        <v>77</v>
      </c>
      <c r="D5" s="53" t="s">
        <v>78</v>
      </c>
      <c r="E5" s="53" t="s">
        <v>79</v>
      </c>
      <c r="F5" s="53" t="s">
        <v>80</v>
      </c>
      <c r="G5" s="53" t="s">
        <v>81</v>
      </c>
      <c r="H5" s="53" t="s">
        <v>6</v>
      </c>
      <c r="I5" s="35"/>
      <c r="J5" s="35"/>
      <c r="K5" s="35"/>
      <c r="L5" s="60"/>
    </row>
    <row r="6" spans="1:12" ht="15" thickBot="1" x14ac:dyDescent="0.35">
      <c r="B6" s="46" t="s">
        <v>101</v>
      </c>
      <c r="C6" s="76" t="s">
        <v>103</v>
      </c>
      <c r="D6" s="76" t="s">
        <v>103</v>
      </c>
      <c r="E6" s="76" t="s">
        <v>103</v>
      </c>
      <c r="F6" s="76" t="s">
        <v>106</v>
      </c>
      <c r="G6" s="76" t="s">
        <v>114</v>
      </c>
      <c r="H6" s="76" t="s">
        <v>106</v>
      </c>
      <c r="I6" s="76"/>
      <c r="J6" s="76"/>
      <c r="K6" s="76"/>
      <c r="L6" s="76"/>
    </row>
    <row r="7" spans="1:12" ht="15" thickBot="1" x14ac:dyDescent="0.35">
      <c r="B7" s="33" t="s">
        <v>85</v>
      </c>
      <c r="C7" s="63">
        <v>39.950000000000003</v>
      </c>
      <c r="D7" s="45">
        <f>6.42*5.5</f>
        <v>35.31</v>
      </c>
      <c r="E7" s="62">
        <f>8.78*3.18</f>
        <v>27.920400000000001</v>
      </c>
      <c r="F7" s="45">
        <v>55</v>
      </c>
      <c r="G7" s="45">
        <f>5.04*6.11</f>
        <v>30.794400000000003</v>
      </c>
      <c r="H7" s="45">
        <v>15</v>
      </c>
      <c r="I7" s="45"/>
      <c r="J7" s="45"/>
      <c r="K7" s="45"/>
      <c r="L7" s="61"/>
    </row>
    <row r="8" spans="1:12" ht="15" thickBot="1" x14ac:dyDescent="0.35">
      <c r="B8" s="9" t="s">
        <v>41</v>
      </c>
      <c r="C8" s="24">
        <v>35.049999999999997</v>
      </c>
      <c r="D8" s="25">
        <v>29.3</v>
      </c>
      <c r="E8" s="25">
        <f>(8.78-0.145-0.1-0.045-0.145-0.1-0.045)*(3.18-0.145-0.1-0.045)</f>
        <v>23.698000000000004</v>
      </c>
      <c r="F8" s="25">
        <v>49.13</v>
      </c>
      <c r="G8" s="25">
        <v>24.85</v>
      </c>
      <c r="H8" s="25">
        <v>12</v>
      </c>
      <c r="I8" s="25"/>
      <c r="J8" s="25"/>
      <c r="K8" s="25"/>
      <c r="L8" s="48"/>
    </row>
    <row r="9" spans="1:12" ht="15" thickBot="1" x14ac:dyDescent="0.35">
      <c r="B9" s="47" t="s">
        <v>61</v>
      </c>
      <c r="C9" s="37"/>
      <c r="D9" s="36"/>
      <c r="E9" s="70">
        <v>1140.25</v>
      </c>
      <c r="F9" s="36"/>
      <c r="G9" s="30"/>
      <c r="H9" s="30"/>
      <c r="I9" s="30"/>
      <c r="J9" s="30"/>
      <c r="K9" s="30"/>
      <c r="L9" s="38"/>
    </row>
    <row r="10" spans="1:12" x14ac:dyDescent="0.3">
      <c r="A10" s="6" t="s">
        <v>8</v>
      </c>
      <c r="B10" s="8" t="s">
        <v>60</v>
      </c>
      <c r="C10" s="39">
        <v>659.27</v>
      </c>
      <c r="D10" s="1">
        <v>954.71</v>
      </c>
      <c r="E10" s="69">
        <v>640</v>
      </c>
      <c r="F10" s="1">
        <v>2077.3200000000002</v>
      </c>
      <c r="G10" s="1">
        <v>360.09</v>
      </c>
      <c r="H10" s="1">
        <v>386.79</v>
      </c>
      <c r="I10" s="1"/>
      <c r="J10" s="1"/>
      <c r="K10" s="1"/>
      <c r="L10" s="40"/>
    </row>
    <row r="11" spans="1:12" x14ac:dyDescent="0.3">
      <c r="A11" s="7" t="s">
        <v>10</v>
      </c>
      <c r="B11" s="8" t="s">
        <v>33</v>
      </c>
      <c r="C11" s="39">
        <v>1107.93</v>
      </c>
      <c r="D11" s="1"/>
      <c r="E11" s="69">
        <v>1054.6199999999999</v>
      </c>
      <c r="F11" s="1"/>
      <c r="G11" s="1"/>
      <c r="H11" s="1"/>
      <c r="I11" s="1"/>
      <c r="J11" s="1"/>
      <c r="K11" s="1"/>
      <c r="L11" s="40"/>
    </row>
    <row r="12" spans="1:12" x14ac:dyDescent="0.3">
      <c r="A12" s="7" t="s">
        <v>9</v>
      </c>
      <c r="B12" s="4" t="s">
        <v>75</v>
      </c>
      <c r="C12" s="39">
        <f>7510.23+5899.08+1625</f>
        <v>15034.31</v>
      </c>
      <c r="D12" s="1">
        <v>4412.49</v>
      </c>
      <c r="E12" s="69">
        <f>232.86+4534.29+1784.38</f>
        <v>6551.53</v>
      </c>
      <c r="F12" s="1">
        <f>9254.08+4744.47</f>
        <v>13998.55</v>
      </c>
      <c r="G12" s="1">
        <f>6529.63</f>
        <v>6529.63</v>
      </c>
      <c r="H12" s="1">
        <v>4181.1400000000003</v>
      </c>
      <c r="I12" s="1"/>
      <c r="J12" s="1"/>
      <c r="K12" s="1"/>
      <c r="L12" s="40"/>
    </row>
    <row r="13" spans="1:12" x14ac:dyDescent="0.3">
      <c r="A13" s="7" t="s">
        <v>11</v>
      </c>
      <c r="B13" s="4" t="s">
        <v>34</v>
      </c>
      <c r="C13" s="39">
        <f>5384.7+2640.77+801.37</f>
        <v>8826.84</v>
      </c>
      <c r="D13" s="1">
        <f>5593.52+1373.01+3020.52+2522.56</f>
        <v>12509.61</v>
      </c>
      <c r="E13" s="69">
        <f>3456.17+736.98+2848.1+901.3</f>
        <v>7942.55</v>
      </c>
      <c r="F13" s="1">
        <f>12494.8+3415.38+5544.33+184.63</f>
        <v>21639.140000000003</v>
      </c>
      <c r="G13" s="1">
        <f>2153.25+999.34+3289.33+1192.82</f>
        <v>7634.74</v>
      </c>
      <c r="H13" s="1">
        <f>2622.62+615.93+1933.97+832.01</f>
        <v>6004.53</v>
      </c>
      <c r="I13" s="1"/>
      <c r="J13" s="1"/>
      <c r="K13" s="1"/>
      <c r="L13" s="40"/>
    </row>
    <row r="14" spans="1:12" x14ac:dyDescent="0.3">
      <c r="A14" s="7" t="s">
        <v>12</v>
      </c>
      <c r="B14" s="4" t="s">
        <v>15</v>
      </c>
      <c r="C14" s="39"/>
      <c r="D14" s="1"/>
      <c r="E14" s="69"/>
      <c r="F14" s="1">
        <f>17989.46+1297.6</f>
        <v>19287.059999999998</v>
      </c>
      <c r="G14" s="1"/>
      <c r="H14" s="1">
        <v>7873.54</v>
      </c>
      <c r="I14" s="1"/>
      <c r="J14" s="1"/>
      <c r="K14" s="1"/>
      <c r="L14" s="40"/>
    </row>
    <row r="15" spans="1:12" x14ac:dyDescent="0.3">
      <c r="A15" s="7" t="s">
        <v>13</v>
      </c>
      <c r="B15" s="4" t="s">
        <v>0</v>
      </c>
      <c r="C15" s="39">
        <v>1849.51</v>
      </c>
      <c r="D15" s="1">
        <v>2996.59</v>
      </c>
      <c r="E15" s="69">
        <v>2618.2399999999998</v>
      </c>
      <c r="F15" s="1"/>
      <c r="G15" s="1"/>
      <c r="H15" s="1"/>
      <c r="I15" s="1"/>
      <c r="J15" s="1"/>
      <c r="K15" s="1"/>
      <c r="L15" s="40"/>
    </row>
    <row r="16" spans="1:12" x14ac:dyDescent="0.3">
      <c r="A16" s="7" t="s">
        <v>14</v>
      </c>
      <c r="B16" s="4" t="s">
        <v>36</v>
      </c>
      <c r="C16" s="39"/>
      <c r="D16" s="1"/>
      <c r="E16" s="69"/>
      <c r="F16" s="1">
        <v>7184.35</v>
      </c>
      <c r="G16" s="1"/>
      <c r="H16" s="1"/>
      <c r="I16" s="1"/>
      <c r="J16" s="1"/>
      <c r="K16" s="1"/>
      <c r="L16" s="40"/>
    </row>
    <row r="17" spans="1:12" x14ac:dyDescent="0.3">
      <c r="A17" s="7" t="s">
        <v>16</v>
      </c>
      <c r="B17" s="4" t="s">
        <v>37</v>
      </c>
      <c r="C17" s="39"/>
      <c r="D17" s="1"/>
      <c r="E17" s="69"/>
      <c r="F17" s="1"/>
      <c r="G17" s="1"/>
      <c r="H17" s="1"/>
      <c r="I17" s="1"/>
      <c r="J17" s="1"/>
      <c r="K17" s="1"/>
      <c r="L17" s="40"/>
    </row>
    <row r="18" spans="1:12" x14ac:dyDescent="0.3">
      <c r="A18" s="7" t="s">
        <v>19</v>
      </c>
      <c r="B18" s="4" t="s">
        <v>1</v>
      </c>
      <c r="C18" s="39"/>
      <c r="D18" s="1">
        <f>4381.13+612.22</f>
        <v>4993.3500000000004</v>
      </c>
      <c r="E18" s="69">
        <f>580.49+1782.12+1599.6</f>
        <v>3962.2099999999996</v>
      </c>
      <c r="F18" s="1"/>
      <c r="G18" s="1"/>
      <c r="H18" s="1"/>
      <c r="I18" s="1"/>
      <c r="J18" s="1"/>
      <c r="K18" s="1"/>
      <c r="L18" s="40"/>
    </row>
    <row r="19" spans="1:12" x14ac:dyDescent="0.3">
      <c r="A19" s="7" t="s">
        <v>21</v>
      </c>
      <c r="B19" s="18" t="s">
        <v>38</v>
      </c>
      <c r="C19" s="39"/>
      <c r="D19" s="1">
        <f>596.8+103.31</f>
        <v>700.1099999999999</v>
      </c>
      <c r="E19" s="69"/>
      <c r="F19" s="1"/>
      <c r="G19" s="1"/>
      <c r="H19" s="1"/>
      <c r="I19" s="1"/>
      <c r="J19" s="1"/>
      <c r="K19" s="1"/>
      <c r="L19" s="40"/>
    </row>
    <row r="20" spans="1:12" x14ac:dyDescent="0.3">
      <c r="A20" s="7" t="s">
        <v>22</v>
      </c>
      <c r="B20" s="18" t="s">
        <v>2</v>
      </c>
      <c r="C20" s="39"/>
      <c r="D20" s="1">
        <v>3791.95</v>
      </c>
      <c r="E20" s="69">
        <v>3249.82</v>
      </c>
      <c r="F20" s="1"/>
      <c r="G20" s="1"/>
      <c r="H20" s="1"/>
      <c r="I20" s="1"/>
      <c r="J20" s="1"/>
      <c r="K20" s="1"/>
      <c r="L20" s="40"/>
    </row>
    <row r="21" spans="1:12" ht="15" thickBot="1" x14ac:dyDescent="0.35">
      <c r="A21" s="34" t="s">
        <v>23</v>
      </c>
      <c r="B21" s="5" t="s">
        <v>63</v>
      </c>
      <c r="C21" s="41"/>
      <c r="D21" s="42"/>
      <c r="E21" s="71"/>
      <c r="F21" s="42"/>
      <c r="G21" s="42"/>
      <c r="H21" s="42"/>
      <c r="I21" s="42"/>
      <c r="J21" s="42"/>
      <c r="K21" s="42"/>
      <c r="L21" s="43"/>
    </row>
    <row r="22" spans="1:12" ht="15" thickBot="1" x14ac:dyDescent="0.3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ht="15" thickBot="1" x14ac:dyDescent="0.35">
      <c r="A23" s="15"/>
      <c r="B23" s="28" t="s">
        <v>40</v>
      </c>
      <c r="C23" s="56">
        <f>SUM(C9:C21)</f>
        <v>27477.859999999997</v>
      </c>
      <c r="D23" s="56">
        <f>SUM(D9:D21)</f>
        <v>30358.81</v>
      </c>
      <c r="E23" s="56">
        <f t="shared" ref="E23" si="0">SUM(E9:E21)</f>
        <v>27159.22</v>
      </c>
      <c r="F23" s="56">
        <f>SUM(F9:F21)</f>
        <v>64186.42</v>
      </c>
      <c r="G23" s="56">
        <f>SUM(G9:G21)</f>
        <v>14524.46</v>
      </c>
      <c r="H23" s="56">
        <f>SUM(H9:H21)</f>
        <v>18446</v>
      </c>
      <c r="I23" s="56">
        <f t="shared" ref="I23:L23" si="1">SUM(I9:I21)+I29</f>
        <v>0</v>
      </c>
      <c r="J23" s="56">
        <f t="shared" si="1"/>
        <v>0</v>
      </c>
      <c r="K23" s="56">
        <f t="shared" si="1"/>
        <v>0</v>
      </c>
      <c r="L23" s="56">
        <f t="shared" si="1"/>
        <v>0</v>
      </c>
    </row>
    <row r="24" spans="1:12" ht="15" thickBot="1" x14ac:dyDescent="0.35"/>
    <row r="25" spans="1:12" ht="15" thickBot="1" x14ac:dyDescent="0.35">
      <c r="B25" s="72" t="s">
        <v>140</v>
      </c>
      <c r="C25" s="22">
        <f>(C23*1.2)/C8</f>
        <v>940.7541226818829</v>
      </c>
      <c r="D25" s="22">
        <f t="shared" ref="D25:L25" si="2">(D23*1.2)/D8</f>
        <v>1243.3642320819113</v>
      </c>
      <c r="E25" s="22">
        <f t="shared" si="2"/>
        <v>1375.266435986159</v>
      </c>
      <c r="F25" s="22">
        <f t="shared" si="2"/>
        <v>1567.7529818847954</v>
      </c>
      <c r="G25" s="22">
        <f t="shared" si="2"/>
        <v>701.38237424547276</v>
      </c>
      <c r="H25" s="22">
        <f t="shared" si="2"/>
        <v>1844.6000000000001</v>
      </c>
      <c r="I25" s="22" t="e">
        <f t="shared" si="2"/>
        <v>#DIV/0!</v>
      </c>
      <c r="J25" s="22" t="e">
        <f t="shared" si="2"/>
        <v>#DIV/0!</v>
      </c>
      <c r="K25" s="22" t="e">
        <f t="shared" si="2"/>
        <v>#DIV/0!</v>
      </c>
      <c r="L25" s="22" t="e">
        <f t="shared" si="2"/>
        <v>#DIV/0!</v>
      </c>
    </row>
    <row r="26" spans="1:12" ht="15" thickBot="1" x14ac:dyDescent="0.35">
      <c r="B26" s="59" t="s">
        <v>87</v>
      </c>
      <c r="C26" s="54">
        <f>C25+((C28+C29)/C8)</f>
        <v>940.7541226818829</v>
      </c>
      <c r="D26" s="54">
        <f t="shared" ref="D26:L26" si="3">D25+((D28+D29)/D8)</f>
        <v>1811.0002730375427</v>
      </c>
      <c r="E26" s="54">
        <f t="shared" si="3"/>
        <v>1833.5413958983877</v>
      </c>
      <c r="F26" s="54">
        <f t="shared" si="3"/>
        <v>1567.7529818847954</v>
      </c>
      <c r="G26" s="54">
        <f t="shared" si="3"/>
        <v>701.38237424547276</v>
      </c>
      <c r="H26" s="54">
        <f t="shared" si="3"/>
        <v>1844.6000000000001</v>
      </c>
      <c r="I26" s="54" t="e">
        <f t="shared" si="3"/>
        <v>#DIV/0!</v>
      </c>
      <c r="J26" s="54" t="e">
        <f t="shared" si="3"/>
        <v>#DIV/0!</v>
      </c>
      <c r="K26" s="54" t="e">
        <f t="shared" si="3"/>
        <v>#DIV/0!</v>
      </c>
      <c r="L26" s="54" t="e">
        <f t="shared" si="3"/>
        <v>#DIV/0!</v>
      </c>
    </row>
    <row r="27" spans="1:12" ht="15" thickBot="1" x14ac:dyDescent="0.35">
      <c r="B27" s="59" t="s">
        <v>86</v>
      </c>
      <c r="C27" s="54">
        <f>((C23+C28+C29)*1.2)/C7</f>
        <v>825.36750938673322</v>
      </c>
      <c r="D27" s="54">
        <f t="shared" ref="D27:L27" si="4">((D23+D28+D29)*1.2)/D7</f>
        <v>1596.9599320305861</v>
      </c>
      <c r="E27" s="54">
        <f t="shared" si="4"/>
        <v>1634.0490823913697</v>
      </c>
      <c r="F27" s="54">
        <f t="shared" si="4"/>
        <v>1400.4309818181819</v>
      </c>
      <c r="G27" s="54">
        <f t="shared" si="4"/>
        <v>565.99095939521465</v>
      </c>
      <c r="H27" s="54">
        <f t="shared" si="4"/>
        <v>1475.68</v>
      </c>
      <c r="I27" s="54" t="e">
        <f t="shared" si="4"/>
        <v>#DIV/0!</v>
      </c>
      <c r="J27" s="54" t="e">
        <f t="shared" si="4"/>
        <v>#DIV/0!</v>
      </c>
      <c r="K27" s="54" t="e">
        <f t="shared" si="4"/>
        <v>#DIV/0!</v>
      </c>
      <c r="L27" s="54" t="e">
        <f t="shared" si="4"/>
        <v>#DIV/0!</v>
      </c>
    </row>
    <row r="28" spans="1:12" ht="15" thickBot="1" x14ac:dyDescent="0.35">
      <c r="A28" s="10" t="s">
        <v>24</v>
      </c>
      <c r="B28" s="98" t="s">
        <v>146</v>
      </c>
      <c r="C28" s="97"/>
      <c r="D28" s="97">
        <f>(12995.78+864)*1.2</f>
        <v>16631.736000000001</v>
      </c>
      <c r="E28" s="97">
        <f>(6218.5+2540)*1.2</f>
        <v>10510.199999999999</v>
      </c>
      <c r="F28" s="97"/>
      <c r="G28" s="97"/>
      <c r="H28" s="97"/>
      <c r="I28" s="97">
        <v>6500</v>
      </c>
      <c r="J28" s="97"/>
      <c r="K28" s="97"/>
      <c r="L28" s="97"/>
    </row>
    <row r="29" spans="1:12" ht="15" thickBot="1" x14ac:dyDescent="0.35">
      <c r="A29" s="57" t="s">
        <v>25</v>
      </c>
      <c r="B29" s="33" t="s">
        <v>71</v>
      </c>
      <c r="C29" s="55"/>
      <c r="D29" s="55"/>
      <c r="E29" s="55">
        <v>350</v>
      </c>
      <c r="F29" s="55"/>
      <c r="G29" s="55"/>
      <c r="H29" s="55"/>
      <c r="I29" s="55"/>
      <c r="J29" s="55"/>
      <c r="K29" s="55"/>
      <c r="L29" s="55"/>
    </row>
    <row r="30" spans="1:12" ht="15" thickBot="1" x14ac:dyDescent="0.35"/>
    <row r="31" spans="1:12" ht="15" thickBot="1" x14ac:dyDescent="0.35">
      <c r="B31" s="128" t="s">
        <v>20</v>
      </c>
      <c r="C31" s="129"/>
      <c r="D31" s="129"/>
      <c r="E31" s="129"/>
      <c r="F31" s="129"/>
      <c r="G31" s="129"/>
      <c r="H31" s="129"/>
      <c r="I31" s="129"/>
      <c r="J31" s="129"/>
      <c r="K31" s="129"/>
      <c r="L31" s="130"/>
    </row>
    <row r="32" spans="1:12" ht="15" thickBot="1" x14ac:dyDescent="0.35"/>
    <row r="33" spans="1:12" ht="15" thickBot="1" x14ac:dyDescent="0.35">
      <c r="C33" s="65" t="str">
        <f t="shared" ref="C33:L33" si="5">C5</f>
        <v>FAVRE</v>
      </c>
      <c r="D33" s="65" t="str">
        <f t="shared" si="5"/>
        <v>RENAUDIN</v>
      </c>
      <c r="E33" s="65" t="str">
        <f t="shared" si="5"/>
        <v>TETON</v>
      </c>
      <c r="F33" s="65" t="str">
        <f t="shared" si="5"/>
        <v>FIAUD E</v>
      </c>
      <c r="G33" s="65" t="str">
        <f t="shared" si="5"/>
        <v>FIAUD G</v>
      </c>
      <c r="H33" s="65" t="str">
        <f t="shared" si="5"/>
        <v>BENSA</v>
      </c>
      <c r="I33" s="66">
        <f t="shared" si="5"/>
        <v>0</v>
      </c>
      <c r="J33" s="66">
        <f t="shared" si="5"/>
        <v>0</v>
      </c>
      <c r="K33" s="66">
        <f t="shared" si="5"/>
        <v>0</v>
      </c>
      <c r="L33" s="66">
        <f t="shared" si="5"/>
        <v>0</v>
      </c>
    </row>
    <row r="34" spans="1:12" ht="15" thickBot="1" x14ac:dyDescent="0.35">
      <c r="A34" s="6" t="s">
        <v>26</v>
      </c>
      <c r="B34" s="21" t="s">
        <v>29</v>
      </c>
      <c r="C34" s="49"/>
      <c r="D34" s="69">
        <v>0</v>
      </c>
      <c r="E34" s="69"/>
      <c r="F34" s="1"/>
      <c r="G34" s="1"/>
      <c r="H34" s="1"/>
      <c r="I34" s="1"/>
      <c r="J34" s="1"/>
      <c r="K34" s="1"/>
      <c r="L34" s="1"/>
    </row>
    <row r="35" spans="1:12" ht="15" thickBot="1" x14ac:dyDescent="0.35">
      <c r="A35" s="6" t="s">
        <v>27</v>
      </c>
      <c r="B35" s="12" t="s">
        <v>30</v>
      </c>
      <c r="C35" s="49"/>
      <c r="D35" s="69">
        <f>1070+4123</f>
        <v>5193</v>
      </c>
      <c r="E35" s="69">
        <v>5015.2700000000004</v>
      </c>
      <c r="F35" s="1"/>
      <c r="G35" s="1"/>
      <c r="H35" s="1"/>
      <c r="I35" s="1"/>
      <c r="J35" s="1"/>
      <c r="K35" s="1"/>
      <c r="L35" s="1"/>
    </row>
    <row r="36" spans="1:12" ht="15" thickBot="1" x14ac:dyDescent="0.35">
      <c r="A36" s="6" t="s">
        <v>28</v>
      </c>
      <c r="B36" s="13" t="s">
        <v>31</v>
      </c>
      <c r="C36" s="49"/>
      <c r="D36" s="69">
        <v>4897.3999999999996</v>
      </c>
      <c r="E36" s="69">
        <v>2624.29</v>
      </c>
      <c r="F36" s="1"/>
      <c r="G36" s="1"/>
      <c r="H36" s="1"/>
      <c r="I36" s="1"/>
      <c r="J36" s="1"/>
      <c r="K36" s="1"/>
      <c r="L36" s="1"/>
    </row>
    <row r="37" spans="1:12" ht="15" thickBot="1" x14ac:dyDescent="0.35">
      <c r="A37" s="6" t="s">
        <v>43</v>
      </c>
      <c r="B37" s="13" t="s">
        <v>32</v>
      </c>
      <c r="C37" s="49"/>
      <c r="D37" s="69">
        <v>4814.8100000000004</v>
      </c>
      <c r="E37" s="69">
        <v>5046.5</v>
      </c>
      <c r="F37" s="1"/>
      <c r="G37" s="1"/>
      <c r="H37" s="1"/>
      <c r="I37" s="1"/>
      <c r="J37" s="1"/>
      <c r="K37" s="1"/>
      <c r="L37" s="1"/>
    </row>
    <row r="38" spans="1:12" ht="15" thickBot="1" x14ac:dyDescent="0.35">
      <c r="A38" s="6" t="s">
        <v>44</v>
      </c>
      <c r="B38" s="13" t="s">
        <v>35</v>
      </c>
      <c r="C38" s="49"/>
      <c r="D38" s="69">
        <v>502.31</v>
      </c>
      <c r="E38" s="69">
        <v>736.93</v>
      </c>
      <c r="F38" s="1"/>
      <c r="G38" s="1"/>
      <c r="H38" s="1"/>
      <c r="I38" s="1"/>
      <c r="J38" s="1"/>
      <c r="K38" s="1"/>
      <c r="L38" s="1"/>
    </row>
    <row r="39" spans="1:12" ht="15" thickBot="1" x14ac:dyDescent="0.35">
      <c r="A39" s="6" t="s">
        <v>45</v>
      </c>
      <c r="B39" s="13" t="s">
        <v>39</v>
      </c>
      <c r="C39" s="49"/>
      <c r="D39" s="69">
        <v>1530.32</v>
      </c>
      <c r="E39" s="69"/>
      <c r="F39" s="1"/>
      <c r="G39" s="1"/>
      <c r="H39" s="1"/>
      <c r="I39" s="1"/>
      <c r="J39" s="1"/>
      <c r="K39" s="1"/>
      <c r="L39" s="1"/>
    </row>
    <row r="40" spans="1:12" ht="15" thickBot="1" x14ac:dyDescent="0.35">
      <c r="A40" s="6" t="s">
        <v>46</v>
      </c>
      <c r="B40" s="13" t="s">
        <v>42</v>
      </c>
      <c r="C40" s="49"/>
      <c r="D40" s="69">
        <v>2028.2</v>
      </c>
      <c r="E40" s="69">
        <v>810</v>
      </c>
      <c r="F40" s="1"/>
      <c r="G40" s="1"/>
      <c r="H40" s="1"/>
      <c r="I40" s="1"/>
      <c r="J40" s="1"/>
      <c r="K40" s="1"/>
      <c r="L40" s="1"/>
    </row>
    <row r="41" spans="1:12" ht="15" thickBot="1" x14ac:dyDescent="0.35">
      <c r="A41" s="6" t="s">
        <v>47</v>
      </c>
      <c r="B41" s="17" t="s">
        <v>53</v>
      </c>
      <c r="C41" s="51"/>
      <c r="D41" s="69">
        <v>810</v>
      </c>
      <c r="E41" s="69"/>
      <c r="F41" s="1"/>
      <c r="G41" s="1"/>
      <c r="H41" s="1"/>
      <c r="I41" s="1"/>
      <c r="J41" s="1"/>
      <c r="K41" s="1"/>
      <c r="L41" s="1"/>
    </row>
    <row r="42" spans="1:12" ht="15" thickBot="1" x14ac:dyDescent="0.35">
      <c r="A42" s="6" t="s">
        <v>62</v>
      </c>
      <c r="B42" s="17" t="s">
        <v>59</v>
      </c>
      <c r="C42" s="51"/>
      <c r="D42" s="69">
        <f>2015+310</f>
        <v>2325</v>
      </c>
      <c r="E42" s="69"/>
      <c r="F42" s="1"/>
      <c r="G42" s="1"/>
      <c r="H42" s="1"/>
      <c r="I42" s="1"/>
      <c r="J42" s="1"/>
      <c r="K42" s="1"/>
      <c r="L42" s="1"/>
    </row>
    <row r="43" spans="1:12" ht="15" thickBot="1" x14ac:dyDescent="0.35">
      <c r="A43" s="10" t="s">
        <v>76</v>
      </c>
      <c r="B43" s="14" t="s">
        <v>137</v>
      </c>
      <c r="C43" s="51"/>
      <c r="D43" s="69"/>
      <c r="E43" s="69">
        <v>1529.5</v>
      </c>
      <c r="F43" s="1"/>
      <c r="G43" s="1"/>
      <c r="H43" s="1"/>
      <c r="I43" s="1"/>
      <c r="J43" s="1"/>
      <c r="K43" s="1"/>
      <c r="L43" s="1"/>
    </row>
    <row r="44" spans="1:12" ht="15" thickBot="1" x14ac:dyDescent="0.35">
      <c r="A44" s="15"/>
      <c r="B44" s="16"/>
      <c r="C44" s="33">
        <f>SUM(C34:C43)</f>
        <v>0</v>
      </c>
      <c r="D44" s="33">
        <f>SUM(D34:D43)</f>
        <v>22101.040000000001</v>
      </c>
      <c r="E44" s="33">
        <f t="shared" ref="E44:L44" si="6">SUM(E34:E43)</f>
        <v>15762.490000000002</v>
      </c>
      <c r="F44" s="33">
        <f t="shared" si="6"/>
        <v>0</v>
      </c>
      <c r="G44" s="33">
        <f t="shared" si="6"/>
        <v>0</v>
      </c>
      <c r="H44" s="33">
        <f t="shared" si="6"/>
        <v>0</v>
      </c>
      <c r="I44" s="33">
        <f t="shared" si="6"/>
        <v>0</v>
      </c>
      <c r="J44" s="33">
        <f t="shared" si="6"/>
        <v>0</v>
      </c>
      <c r="K44" s="33">
        <f t="shared" si="6"/>
        <v>0</v>
      </c>
      <c r="L44" s="33">
        <f t="shared" si="6"/>
        <v>0</v>
      </c>
    </row>
    <row r="45" spans="1:12" ht="15" thickBot="1" x14ac:dyDescent="0.35"/>
    <row r="46" spans="1:12" ht="15" thickBot="1" x14ac:dyDescent="0.35">
      <c r="B46" s="68" t="s">
        <v>82</v>
      </c>
      <c r="C46" s="64">
        <f>(C44*1.2)/C8</f>
        <v>0</v>
      </c>
      <c r="D46" s="64">
        <f t="shared" ref="D46:I46" si="7">(D44*1.2)/D8</f>
        <v>905.16204778156998</v>
      </c>
      <c r="E46" s="64">
        <f t="shared" si="7"/>
        <v>798.16811545278074</v>
      </c>
      <c r="F46" s="64">
        <f t="shared" si="7"/>
        <v>0</v>
      </c>
      <c r="G46" s="64">
        <f t="shared" si="7"/>
        <v>0</v>
      </c>
      <c r="H46" s="64">
        <f t="shared" si="7"/>
        <v>0</v>
      </c>
      <c r="I46" s="64" t="e">
        <f t="shared" si="7"/>
        <v>#DIV/0!</v>
      </c>
      <c r="J46" s="64" t="e">
        <f t="shared" ref="J46:L46" si="8">(SUM(J34:J43)/J8)*1.2</f>
        <v>#DIV/0!</v>
      </c>
      <c r="K46" s="64" t="e">
        <f t="shared" si="8"/>
        <v>#DIV/0!</v>
      </c>
      <c r="L46" s="64" t="e">
        <f t="shared" si="8"/>
        <v>#DIV/0!</v>
      </c>
    </row>
    <row r="47" spans="1:12" ht="15" thickBot="1" x14ac:dyDescent="0.35"/>
    <row r="48" spans="1:12" ht="15" thickBot="1" x14ac:dyDescent="0.35">
      <c r="B48" s="68" t="s">
        <v>84</v>
      </c>
      <c r="C48" s="64">
        <f>C46+C26</f>
        <v>940.7541226818829</v>
      </c>
      <c r="D48" s="64">
        <f t="shared" ref="D48:L48" si="9">D46+D26</f>
        <v>2716.1623208191127</v>
      </c>
      <c r="E48" s="64">
        <f t="shared" si="9"/>
        <v>2631.7095113511687</v>
      </c>
      <c r="F48" s="64">
        <f t="shared" si="9"/>
        <v>1567.7529818847954</v>
      </c>
      <c r="G48" s="64">
        <f t="shared" si="9"/>
        <v>701.38237424547276</v>
      </c>
      <c r="H48" s="64">
        <f t="shared" si="9"/>
        <v>1844.6000000000001</v>
      </c>
      <c r="I48" s="64" t="e">
        <f t="shared" si="9"/>
        <v>#DIV/0!</v>
      </c>
      <c r="J48" s="64" t="e">
        <f t="shared" si="9"/>
        <v>#DIV/0!</v>
      </c>
      <c r="K48" s="64" t="e">
        <f t="shared" si="9"/>
        <v>#DIV/0!</v>
      </c>
      <c r="L48" s="64" t="e">
        <f t="shared" si="9"/>
        <v>#DIV/0!</v>
      </c>
    </row>
    <row r="49" spans="2:12" ht="15" thickBot="1" x14ac:dyDescent="0.35"/>
    <row r="50" spans="2:12" ht="15" thickBot="1" x14ac:dyDescent="0.35">
      <c r="B50" s="137" t="s">
        <v>130</v>
      </c>
      <c r="C50" s="138"/>
      <c r="D50" s="138"/>
      <c r="E50" s="138"/>
      <c r="F50" s="138"/>
      <c r="G50" s="138"/>
      <c r="H50" s="138"/>
      <c r="I50" s="138"/>
      <c r="J50" s="138"/>
      <c r="K50" s="138"/>
      <c r="L50" s="139"/>
    </row>
    <row r="51" spans="2:12" ht="15" thickBot="1" x14ac:dyDescent="0.35"/>
    <row r="52" spans="2:12" ht="15" thickBot="1" x14ac:dyDescent="0.35">
      <c r="B52" s="122" t="s">
        <v>144</v>
      </c>
      <c r="C52" s="124"/>
      <c r="E52" s="136"/>
      <c r="F52" s="136"/>
      <c r="G52" s="19"/>
    </row>
    <row r="53" spans="2:12" x14ac:dyDescent="0.3">
      <c r="B53" s="82" t="s">
        <v>103</v>
      </c>
      <c r="C53" s="84">
        <f>AVERAGEIF($C$6:$L$6,"PP145",$C$25:$L$25)</f>
        <v>1186.4615969166509</v>
      </c>
      <c r="E53" s="19"/>
      <c r="F53" s="19"/>
      <c r="G53" s="19"/>
    </row>
    <row r="54" spans="2:12" x14ac:dyDescent="0.3">
      <c r="B54" s="39" t="s">
        <v>102</v>
      </c>
      <c r="C54" s="40" t="e">
        <f>AVERAGEIF($C$6:$L$6,"ETG145",$C$25:$L$25)</f>
        <v>#DIV/0!</v>
      </c>
      <c r="E54" s="19"/>
      <c r="F54" s="19"/>
      <c r="G54" s="19"/>
    </row>
    <row r="55" spans="2:12" x14ac:dyDescent="0.3">
      <c r="B55" s="39" t="s">
        <v>106</v>
      </c>
      <c r="C55" s="40">
        <f>AVERAGEIF($C$6:$L$6,"PP PLB145",$C$25:$L$25)</f>
        <v>1706.1764909423978</v>
      </c>
      <c r="E55" s="19"/>
      <c r="F55" s="19"/>
      <c r="G55" s="19"/>
    </row>
    <row r="56" spans="2:12" x14ac:dyDescent="0.3">
      <c r="B56" s="39" t="s">
        <v>142</v>
      </c>
      <c r="C56" s="40" t="e">
        <f>AVERAGEIF($C$6:$L$6,"ETG PLB145",$C$25:$L$25)</f>
        <v>#DIV/0!</v>
      </c>
      <c r="E56" s="19"/>
      <c r="F56" s="19"/>
      <c r="G56" s="19"/>
    </row>
    <row r="57" spans="2:12" x14ac:dyDescent="0.3">
      <c r="B57" s="39" t="s">
        <v>104</v>
      </c>
      <c r="C57" s="40" t="e">
        <f>AVERAGEIF($C$6:$L$6,"PP220",$C$25:$L$25)</f>
        <v>#DIV/0!</v>
      </c>
      <c r="E57" s="19"/>
      <c r="F57" s="19"/>
      <c r="G57" s="19"/>
    </row>
    <row r="58" spans="2:12" x14ac:dyDescent="0.3">
      <c r="B58" s="39" t="s">
        <v>105</v>
      </c>
      <c r="C58" s="40" t="e">
        <f>AVERAGEIF($C$6:$L$6,"ETG220",$C$25:$L$25)</f>
        <v>#DIV/0!</v>
      </c>
      <c r="E58" s="19"/>
      <c r="F58" s="19"/>
      <c r="G58" s="19"/>
    </row>
    <row r="59" spans="2:12" x14ac:dyDescent="0.3">
      <c r="B59" s="39" t="s">
        <v>143</v>
      </c>
      <c r="C59" s="40" t="e">
        <f>AVERAGEIF($C$6:$L$6,"PP PLB220",$C$25:$L$25)</f>
        <v>#DIV/0!</v>
      </c>
      <c r="E59" s="19"/>
      <c r="F59" s="19"/>
      <c r="G59" s="19"/>
    </row>
    <row r="60" spans="2:12" x14ac:dyDescent="0.3">
      <c r="B60" s="39" t="s">
        <v>109</v>
      </c>
      <c r="C60" s="40" t="e">
        <f>AVERAGEIF($C$6:$L$6,"ETG PLB220",$C$25:$L$25)</f>
        <v>#DIV/0!</v>
      </c>
      <c r="E60" s="19"/>
      <c r="F60" s="19"/>
      <c r="G60" s="19"/>
    </row>
    <row r="61" spans="2:12" ht="15" thickBot="1" x14ac:dyDescent="0.35">
      <c r="B61" s="41" t="s">
        <v>114</v>
      </c>
      <c r="C61" s="43">
        <f>AVERAGEIF($C$6:$L$6,"G145",$C$25:$L$25)</f>
        <v>701.38237424547276</v>
      </c>
      <c r="E61" s="19"/>
      <c r="F61" s="19"/>
      <c r="G61" s="19"/>
    </row>
    <row r="62" spans="2:12" ht="15" thickBot="1" x14ac:dyDescent="0.35">
      <c r="B62" s="16"/>
      <c r="C62" s="16"/>
    </row>
    <row r="63" spans="2:12" ht="15" thickBot="1" x14ac:dyDescent="0.35">
      <c r="B63" s="122" t="s">
        <v>145</v>
      </c>
      <c r="C63" s="124"/>
    </row>
    <row r="64" spans="2:12" x14ac:dyDescent="0.3">
      <c r="B64" s="82" t="s">
        <v>103</v>
      </c>
      <c r="C64" s="84">
        <f>AVERAGEIF($C$6:$L$6,"PP145",$C$25:$L$25)+(((AVERAGEIF($C$6:$L$6,"PP145",$C$28:$L$28)))/AVERAGEIFS($C$8:$L$8,$C$6:$L$6,"PP145",$C$28:$L$28,"&lt;&gt;"))</f>
        <v>1698.592922627055</v>
      </c>
    </row>
    <row r="65" spans="2:3" x14ac:dyDescent="0.3">
      <c r="B65" s="39" t="s">
        <v>102</v>
      </c>
      <c r="C65" s="40" t="e">
        <f>(AVERAGEIF($C$6:$L$6,"ETG145",$C$25:$L$25))+(AVERAGEIF($C$6:$L$6,"ETG145",$C$28:$L$28))/AVERAGEIFS($C$8:$L$8,$C$6:$L$6,"ETG145",$C$28:$L$28,"&lt;&gt;")</f>
        <v>#DIV/0!</v>
      </c>
    </row>
    <row r="66" spans="2:3" x14ac:dyDescent="0.3">
      <c r="B66" s="39" t="s">
        <v>106</v>
      </c>
      <c r="C66" s="40" t="e">
        <f>(AVERAGEIF($C$6:$L$6,"PP PLB145",$C$25:$L$25))+((AVERAGEIF($C$6:$L$6,"PP PLB145",$C$28:$L$28))/AVERAGEIFS($C$8:$L$8,$C$6:$L$6,"PP PLB145",$C$28:$L$28,"&lt;&gt;"))</f>
        <v>#DIV/0!</v>
      </c>
    </row>
    <row r="67" spans="2:3" x14ac:dyDescent="0.3">
      <c r="B67" s="39" t="s">
        <v>142</v>
      </c>
      <c r="C67" s="40" t="e">
        <f>(AVERAGEIF($C$6:$L$6,"ETG PLB145",$C$25:$L$25))+((AVERAGEIF($C$6:$L$6,"ETG PLB145",$C$28:$L$28))/(AVERAGEIFS($C$8:$L$8,$C$6:$L$6,"ETG PLB145",$C$28:$L$28,"&lt;&gt;")))</f>
        <v>#DIV/0!</v>
      </c>
    </row>
    <row r="68" spans="2:3" x14ac:dyDescent="0.3">
      <c r="B68" s="39" t="s">
        <v>104</v>
      </c>
      <c r="C68" s="40" t="e">
        <f>(AVERAGEIF($C$6:$L$6,"PP220",$C$25:$L$25))+((AVERAGEIF($C$6:$L$6,"PP220",$C$28:$L$28))/(AVERAGEIFS($C$8:$L$8,$C$6:$L$6,"PP220",$C$28:$L$28,"&lt;&gt;")))</f>
        <v>#DIV/0!</v>
      </c>
    </row>
    <row r="69" spans="2:3" x14ac:dyDescent="0.3">
      <c r="B69" s="39" t="s">
        <v>105</v>
      </c>
      <c r="C69" s="40" t="e">
        <f>(AVERAGEIF($C$6:$L$6,"ETG220",$C$25:$L$25))+((AVERAGEIF($C$6:$L$6,"ETG220",$C$28:$L$28))/(AVERAGEIFS($C$8:$L$8,$C$6:$L$6,"ETG220",$C$28:$L$28,"&lt;&gt;")))</f>
        <v>#DIV/0!</v>
      </c>
    </row>
    <row r="70" spans="2:3" x14ac:dyDescent="0.3">
      <c r="B70" s="39" t="s">
        <v>143</v>
      </c>
      <c r="C70" s="40" t="e">
        <f>(AVERAGEIF($C$6:$L$6,"PP PLB220",$C$25:$L$25))+((AVERAGEIF($C$6:$L$6,"PP PLB220",$C$28:$L$28))/(AVERAGEIFS($C$8:$L$8,$C$6:$L$6,"PP PLB220",$C$28:$L$28,"&lt;&gt;")))</f>
        <v>#DIV/0!</v>
      </c>
    </row>
    <row r="71" spans="2:3" x14ac:dyDescent="0.3">
      <c r="B71" s="39" t="s">
        <v>109</v>
      </c>
      <c r="C71" s="40" t="e">
        <f>(AVERAGEIF($C$6:$L$6,"ETG PLB220",$C$25:$L$25))+((AVERAGEIF($C$6:$L$6,"ETG PLB220",$C$28:$L$28))/((AVERAGEIFS($C$8:$L$8,$C$6:$L$6,"ETG PLB220",$C$28:$L$28,"&lt;&gt;"))))</f>
        <v>#DIV/0!</v>
      </c>
    </row>
    <row r="72" spans="2:3" ht="15" thickBot="1" x14ac:dyDescent="0.35">
      <c r="B72" s="41" t="s">
        <v>114</v>
      </c>
      <c r="C72" s="43" t="e">
        <f>(AVERAGEIF($C$6:$L$6,"G145",$C$25:$L$25))+((AVERAGEIF($C$6:$L$6,"G145",$C$28:$L$28))/((AVERAGEIFS($C$8:$L$8,$C$6:$L$6,"G145",$C$28:$L$28,"&lt;&gt;"))))</f>
        <v>#DIV/0!</v>
      </c>
    </row>
    <row r="73" spans="2:3" ht="15" thickBot="1" x14ac:dyDescent="0.35"/>
    <row r="74" spans="2:3" ht="15" thickBot="1" x14ac:dyDescent="0.35">
      <c r="B74" s="134" t="s">
        <v>136</v>
      </c>
      <c r="C74" s="135"/>
    </row>
    <row r="75" spans="2:3" x14ac:dyDescent="0.3">
      <c r="B75" s="121" t="s">
        <v>141</v>
      </c>
      <c r="C75" s="96">
        <f>SUM(C34:L34)/COUNT(C34:L34)</f>
        <v>0</v>
      </c>
    </row>
    <row r="76" spans="2:3" x14ac:dyDescent="0.3">
      <c r="B76" s="107" t="s">
        <v>30</v>
      </c>
      <c r="C76" s="105">
        <f>SUM(C35:L35)/SUMIFS($C$8:$L$8,C35:L35,"&gt;0")</f>
        <v>192.61613645797954</v>
      </c>
    </row>
    <row r="77" spans="2:3" x14ac:dyDescent="0.3">
      <c r="B77" s="108" t="s">
        <v>31</v>
      </c>
      <c r="C77" s="105">
        <f t="shared" ref="C77:C84" si="10">SUM(C36:L36)/SUMIFS($C$8:$L$8,C36:L36,"&gt;0")</f>
        <v>141.92403486924033</v>
      </c>
    </row>
    <row r="78" spans="2:3" x14ac:dyDescent="0.3">
      <c r="B78" s="108" t="s">
        <v>32</v>
      </c>
      <c r="C78" s="105">
        <f t="shared" si="10"/>
        <v>186.06947431978566</v>
      </c>
    </row>
    <row r="79" spans="2:3" x14ac:dyDescent="0.3">
      <c r="B79" s="108" t="s">
        <v>35</v>
      </c>
      <c r="C79" s="105">
        <f t="shared" si="10"/>
        <v>23.382769161100416</v>
      </c>
    </row>
    <row r="80" spans="2:3" x14ac:dyDescent="0.3">
      <c r="B80" s="108" t="s">
        <v>39</v>
      </c>
      <c r="C80" s="105">
        <f t="shared" si="10"/>
        <v>52.229351535836173</v>
      </c>
    </row>
    <row r="81" spans="2:3" x14ac:dyDescent="0.3">
      <c r="B81" s="108" t="s">
        <v>42</v>
      </c>
      <c r="C81" s="105">
        <f t="shared" si="10"/>
        <v>53.552964262802362</v>
      </c>
    </row>
    <row r="82" spans="2:3" x14ac:dyDescent="0.3">
      <c r="B82" s="120" t="s">
        <v>53</v>
      </c>
      <c r="C82" s="105">
        <f t="shared" si="10"/>
        <v>27.645051194539249</v>
      </c>
    </row>
    <row r="83" spans="2:3" x14ac:dyDescent="0.3">
      <c r="B83" s="120" t="s">
        <v>59</v>
      </c>
      <c r="C83" s="105">
        <f t="shared" si="10"/>
        <v>79.351535836177476</v>
      </c>
    </row>
    <row r="84" spans="2:3" ht="15" thickBot="1" x14ac:dyDescent="0.35">
      <c r="B84" s="109" t="s">
        <v>83</v>
      </c>
      <c r="C84" s="106">
        <f t="shared" si="10"/>
        <v>64.541311503080422</v>
      </c>
    </row>
    <row r="85" spans="2:3" ht="15" thickBot="1" x14ac:dyDescent="0.35"/>
    <row r="86" spans="2:3" ht="15" thickBot="1" x14ac:dyDescent="0.35">
      <c r="C86" s="31">
        <f>SUM(C76:C84)</f>
        <v>821.31262914054173</v>
      </c>
    </row>
  </sheetData>
  <mergeCells count="8">
    <mergeCell ref="B74:C74"/>
    <mergeCell ref="B52:C52"/>
    <mergeCell ref="E52:F52"/>
    <mergeCell ref="B63:C63"/>
    <mergeCell ref="B1:L1"/>
    <mergeCell ref="B3:L3"/>
    <mergeCell ref="B31:L31"/>
    <mergeCell ref="B50:L50"/>
  </mergeCells>
  <phoneticPr fontId="2" type="noConversion"/>
  <dataValidations count="1">
    <dataValidation type="list" allowBlank="1" showInputMessage="1" showErrorMessage="1" sqref="C6:L6" xr:uid="{5A84788E-9BE3-4140-9CD4-4DDB34F5C6FA}">
      <formula1>"PP145,ETG145,PP PLB145,ETG PLB145,PP220,ETG220,PP PLB220,ETG PLB220,G145"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CC38-CF19-4360-BF3E-80EE786C63D2}">
  <sheetPr codeName="Feuil4"/>
  <dimension ref="A1:T98"/>
  <sheetViews>
    <sheetView topLeftCell="B28" workbookViewId="0">
      <selection activeCell="B55" sqref="B55"/>
    </sheetView>
  </sheetViews>
  <sheetFormatPr baseColWidth="10" defaultColWidth="9.109375" defaultRowHeight="14.4" x14ac:dyDescent="0.3"/>
  <cols>
    <col min="1" max="1" width="5" style="2" customWidth="1"/>
    <col min="2" max="2" width="42.5546875" customWidth="1"/>
    <col min="3" max="13" width="10.6640625" customWidth="1"/>
    <col min="14" max="14" width="11.77734375" customWidth="1"/>
    <col min="15" max="17" width="10.6640625" customWidth="1"/>
    <col min="18" max="18" width="9.33203125" bestFit="1" customWidth="1"/>
    <col min="19" max="19" width="10.21875" bestFit="1" customWidth="1"/>
    <col min="20" max="20" width="12" customWidth="1"/>
  </cols>
  <sheetData>
    <row r="1" spans="1:20" ht="20.100000000000001" customHeight="1" thickBot="1" x14ac:dyDescent="0.35">
      <c r="B1" s="125" t="s">
        <v>17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7"/>
    </row>
    <row r="2" spans="1:20" ht="15" thickBot="1" x14ac:dyDescent="0.35"/>
    <row r="3" spans="1:20" ht="15" thickBot="1" x14ac:dyDescent="0.35">
      <c r="B3" s="128" t="s">
        <v>18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30"/>
    </row>
    <row r="4" spans="1:20" ht="15" thickBot="1" x14ac:dyDescent="0.35"/>
    <row r="5" spans="1:20" ht="15" thickBot="1" x14ac:dyDescent="0.35">
      <c r="B5" s="46" t="s">
        <v>69</v>
      </c>
      <c r="C5" s="75" t="s">
        <v>48</v>
      </c>
      <c r="D5" s="67" t="s">
        <v>92</v>
      </c>
      <c r="E5" s="67" t="s">
        <v>93</v>
      </c>
      <c r="F5" s="67" t="s">
        <v>54</v>
      </c>
      <c r="G5" s="67" t="s">
        <v>54</v>
      </c>
      <c r="H5" s="67" t="s">
        <v>94</v>
      </c>
      <c r="I5" s="67" t="s">
        <v>95</v>
      </c>
      <c r="J5" s="67" t="s">
        <v>96</v>
      </c>
      <c r="K5" s="67" t="s">
        <v>107</v>
      </c>
      <c r="L5" s="67" t="s">
        <v>108</v>
      </c>
      <c r="M5" s="67" t="s">
        <v>55</v>
      </c>
      <c r="N5" s="67" t="s">
        <v>97</v>
      </c>
      <c r="O5" s="67" t="s">
        <v>119</v>
      </c>
      <c r="P5" s="67" t="s">
        <v>50</v>
      </c>
      <c r="Q5" s="75" t="s">
        <v>56</v>
      </c>
      <c r="R5" s="67" t="s">
        <v>49</v>
      </c>
      <c r="S5" s="67" t="s">
        <v>58</v>
      </c>
      <c r="T5" s="67" t="s">
        <v>98</v>
      </c>
    </row>
    <row r="6" spans="1:20" ht="15" thickBot="1" x14ac:dyDescent="0.35">
      <c r="B6" s="46" t="s">
        <v>101</v>
      </c>
      <c r="C6" s="76" t="s">
        <v>142</v>
      </c>
      <c r="D6" s="76"/>
      <c r="E6" s="76" t="s">
        <v>102</v>
      </c>
      <c r="F6" s="76" t="s">
        <v>114</v>
      </c>
      <c r="G6" s="76" t="s">
        <v>105</v>
      </c>
      <c r="H6" s="76" t="s">
        <v>105</v>
      </c>
      <c r="I6" s="76" t="s">
        <v>104</v>
      </c>
      <c r="J6" s="76" t="s">
        <v>104</v>
      </c>
      <c r="K6" s="76" t="s">
        <v>103</v>
      </c>
      <c r="L6" s="76" t="s">
        <v>114</v>
      </c>
      <c r="M6" s="76" t="s">
        <v>114</v>
      </c>
      <c r="N6" s="76" t="s">
        <v>104</v>
      </c>
      <c r="O6" s="76" t="s">
        <v>114</v>
      </c>
      <c r="P6" s="76" t="s">
        <v>104</v>
      </c>
      <c r="Q6" s="76" t="s">
        <v>106</v>
      </c>
      <c r="R6" s="76" t="s">
        <v>104</v>
      </c>
      <c r="S6" s="76" t="s">
        <v>105</v>
      </c>
      <c r="T6" s="76" t="s">
        <v>104</v>
      </c>
    </row>
    <row r="7" spans="1:20" ht="15" thickBot="1" x14ac:dyDescent="0.35">
      <c r="B7" s="9" t="s">
        <v>41</v>
      </c>
      <c r="C7" s="24"/>
      <c r="D7" s="25"/>
      <c r="E7" s="25">
        <v>149.22</v>
      </c>
      <c r="F7" s="25">
        <v>24.21</v>
      </c>
      <c r="G7" s="25">
        <v>147.41</v>
      </c>
      <c r="H7" s="25">
        <v>125.37</v>
      </c>
      <c r="I7" s="25">
        <v>149</v>
      </c>
      <c r="J7" s="25">
        <v>110.81</v>
      </c>
      <c r="K7" s="25">
        <f>(6.79*4.13)</f>
        <v>28.0427</v>
      </c>
      <c r="L7" s="25">
        <v>32.270000000000003</v>
      </c>
      <c r="M7" s="25">
        <v>59</v>
      </c>
      <c r="N7" s="25">
        <v>253</v>
      </c>
      <c r="O7" s="25">
        <v>27.5</v>
      </c>
      <c r="P7" s="25">
        <v>119.78</v>
      </c>
      <c r="Q7" s="73">
        <v>49.9</v>
      </c>
      <c r="R7" s="25">
        <v>97.27</v>
      </c>
      <c r="S7" s="25">
        <f>14.53+7.28+9.69+8.33+12.45+10.18+13.32+22.19+11.01+10.81+24.22+5.24+7.63+25.29+10.49+1.39+6.75+11.32</f>
        <v>212.11999999999998</v>
      </c>
      <c r="T7" s="48">
        <v>135.47</v>
      </c>
    </row>
    <row r="8" spans="1:20" ht="15" thickBot="1" x14ac:dyDescent="0.35">
      <c r="B8" s="47" t="s">
        <v>61</v>
      </c>
      <c r="C8" s="89"/>
      <c r="D8" s="90"/>
      <c r="E8" s="91"/>
      <c r="F8" s="90"/>
      <c r="G8" s="90"/>
      <c r="H8" s="92"/>
      <c r="I8" s="92"/>
      <c r="J8" s="92"/>
      <c r="K8" s="92"/>
      <c r="L8" s="92"/>
      <c r="M8" s="92"/>
      <c r="N8" s="92"/>
      <c r="O8" s="92"/>
      <c r="P8" s="92"/>
      <c r="Q8" s="93"/>
      <c r="R8" s="92"/>
      <c r="S8" s="92"/>
      <c r="T8" s="94">
        <v>6299.68</v>
      </c>
    </row>
    <row r="9" spans="1:20" ht="15" thickBot="1" x14ac:dyDescent="0.35">
      <c r="A9" s="10" t="s">
        <v>8</v>
      </c>
      <c r="B9" s="8" t="s">
        <v>60</v>
      </c>
      <c r="C9" s="39"/>
      <c r="D9" s="1"/>
      <c r="E9" s="69">
        <v>3687.35</v>
      </c>
      <c r="F9" s="1"/>
      <c r="G9" s="1">
        <f>3625.45+434.7</f>
        <v>4060.1499999999996</v>
      </c>
      <c r="H9" s="1">
        <v>4270.3</v>
      </c>
      <c r="I9" s="1">
        <v>1676.88</v>
      </c>
      <c r="J9" s="1">
        <v>2001.51</v>
      </c>
      <c r="K9" s="1">
        <v>849.15</v>
      </c>
      <c r="L9" s="1"/>
      <c r="M9" s="1"/>
      <c r="N9" s="1">
        <f>5975.03</f>
        <v>5975.03</v>
      </c>
      <c r="O9" s="1"/>
      <c r="P9" s="1">
        <f>5231.46</f>
        <v>5231.46</v>
      </c>
      <c r="Q9" s="3">
        <v>3251.84</v>
      </c>
      <c r="R9" s="1">
        <v>4807.7700000000004</v>
      </c>
      <c r="S9" s="1">
        <v>9917.39</v>
      </c>
      <c r="T9" s="40">
        <v>585.76</v>
      </c>
    </row>
    <row r="10" spans="1:20" ht="15" thickBot="1" x14ac:dyDescent="0.35">
      <c r="A10" s="10" t="s">
        <v>10</v>
      </c>
      <c r="B10" s="8" t="s">
        <v>33</v>
      </c>
      <c r="C10" s="39"/>
      <c r="D10" s="1"/>
      <c r="E10" s="69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3"/>
      <c r="R10" s="1"/>
      <c r="S10" s="1"/>
      <c r="T10" s="40"/>
    </row>
    <row r="11" spans="1:20" ht="15" thickBot="1" x14ac:dyDescent="0.35">
      <c r="A11" s="10" t="s">
        <v>9</v>
      </c>
      <c r="B11" s="4" t="s">
        <v>120</v>
      </c>
      <c r="C11" s="39"/>
      <c r="D11" s="1"/>
      <c r="E11" s="69">
        <f>17054.19</f>
        <v>17054.189999999999</v>
      </c>
      <c r="F11" s="1">
        <v>2868.35</v>
      </c>
      <c r="G11" s="1">
        <v>16176.93</v>
      </c>
      <c r="H11" s="1">
        <v>23184.15</v>
      </c>
      <c r="I11" s="1">
        <f>31044+1481.21</f>
        <v>32525.21</v>
      </c>
      <c r="J11" s="1">
        <v>13667.8</v>
      </c>
      <c r="K11" s="1">
        <v>7668.72</v>
      </c>
      <c r="L11" s="1">
        <f>8156.13</f>
        <v>8156.13</v>
      </c>
      <c r="M11" s="1">
        <f>388.26+8397.11+3138.59</f>
        <v>11923.960000000001</v>
      </c>
      <c r="N11" s="1">
        <f>1375.3+39388.57+1442.66</f>
        <v>42206.530000000006</v>
      </c>
      <c r="O11" s="1">
        <f>206.08+4141.47</f>
        <v>4347.55</v>
      </c>
      <c r="P11" s="1">
        <f>15530.07+3257.01+707.91</f>
        <v>19494.990000000002</v>
      </c>
      <c r="Q11" s="3">
        <f>7755.19</f>
        <v>7755.19</v>
      </c>
      <c r="R11" s="1">
        <f>631.06+11563.13</f>
        <v>12194.189999999999</v>
      </c>
      <c r="S11" s="1">
        <f>1024.06+26671.55+12056.61+1624.31</f>
        <v>41376.53</v>
      </c>
      <c r="T11" s="40">
        <f>27859.99</f>
        <v>27859.99</v>
      </c>
    </row>
    <row r="12" spans="1:20" ht="15" thickBot="1" x14ac:dyDescent="0.35">
      <c r="A12" s="10" t="s">
        <v>11</v>
      </c>
      <c r="B12" s="4" t="s">
        <v>34</v>
      </c>
      <c r="C12" s="39"/>
      <c r="D12" s="1"/>
      <c r="E12" s="69">
        <f>12291+1609.55+9149.15+1844.67</f>
        <v>24894.369999999995</v>
      </c>
      <c r="F12" s="1">
        <f>1775.1+1948.37+296.35+141.73+118.18</f>
        <v>4279.7299999999996</v>
      </c>
      <c r="G12" s="1">
        <f>12781.28+3117.88+1191.35+10701.99+1340.55+1236.69+186.22+479.21</f>
        <v>31035.17</v>
      </c>
      <c r="H12" s="1">
        <f>11325.51+13721.2+4372.09+11382.27+3691.61+543.8</f>
        <v>45036.480000000003</v>
      </c>
      <c r="I12" s="1">
        <f>12991.7+12681.78+794.53+7209.04+7889.8+229.94+1416+9182</f>
        <v>52394.790000000008</v>
      </c>
      <c r="J12" s="1">
        <f>10252.62+5882.36+2395.43+1974.83+1482.73</f>
        <v>21987.969999999998</v>
      </c>
      <c r="K12" s="1">
        <f>5521.68+2236.04+422.72+1115.5</f>
        <v>9295.94</v>
      </c>
      <c r="L12" s="1">
        <f>2118.67+396.1+2232.4</f>
        <v>4747.17</v>
      </c>
      <c r="M12" s="1">
        <f>9461.33+2141.66+8174.8+1183.28</f>
        <v>20961.07</v>
      </c>
      <c r="N12" s="1">
        <f>38431.94+8410.63+30916.2+5971.63</f>
        <v>83730.400000000009</v>
      </c>
      <c r="O12" s="1">
        <f>4272.82+1653.35+4222.78+853.9</f>
        <v>11002.85</v>
      </c>
      <c r="P12" s="1">
        <f>19549.68+3539.4+12716.47+2751.76+2730.4</f>
        <v>41287.710000000006</v>
      </c>
      <c r="Q12" s="3">
        <f>7976.7+1716.5+5803.12+1013.36</f>
        <v>16509.68</v>
      </c>
      <c r="R12" s="1">
        <f>14606.19+3602.14+11242.09+2373.34</f>
        <v>31823.760000000002</v>
      </c>
      <c r="S12" s="1">
        <f>9901.24+13390.77+4987.66+17918.85+4850.31+7738.78-199.67</f>
        <v>58587.94</v>
      </c>
      <c r="T12" s="40">
        <f>25190.67+8568+17919+4898.67</f>
        <v>56576.34</v>
      </c>
    </row>
    <row r="13" spans="1:20" ht="15" thickBot="1" x14ac:dyDescent="0.35">
      <c r="A13" s="10" t="s">
        <v>12</v>
      </c>
      <c r="B13" s="4" t="s">
        <v>15</v>
      </c>
      <c r="C13" s="39"/>
      <c r="D13" s="1"/>
      <c r="E13" s="69">
        <f>3255.73</f>
        <v>3255.73</v>
      </c>
      <c r="F13" s="1"/>
      <c r="G13" s="1">
        <v>4137.8900000000003</v>
      </c>
      <c r="H13" s="1">
        <v>4265.93</v>
      </c>
      <c r="I13" s="1"/>
      <c r="J13" s="1"/>
      <c r="K13" s="1"/>
      <c r="L13" s="1"/>
      <c r="M13" s="1"/>
      <c r="N13" s="1"/>
      <c r="O13" s="1"/>
      <c r="P13" s="1"/>
      <c r="Q13" s="3">
        <v>14157.32</v>
      </c>
      <c r="R13" s="1"/>
      <c r="S13" s="1">
        <f>20309.33+3700.54</f>
        <v>24009.870000000003</v>
      </c>
      <c r="T13" s="40"/>
    </row>
    <row r="14" spans="1:20" ht="15" thickBot="1" x14ac:dyDescent="0.35">
      <c r="A14" s="10" t="s">
        <v>13</v>
      </c>
      <c r="B14" s="4" t="s">
        <v>0</v>
      </c>
      <c r="C14" s="39"/>
      <c r="D14" s="1"/>
      <c r="E14" s="69">
        <v>5632.24</v>
      </c>
      <c r="F14" s="1"/>
      <c r="G14" s="1"/>
      <c r="H14" s="1">
        <f>3799.64+1727.11+413.42+396.32</f>
        <v>6336.49</v>
      </c>
      <c r="I14" s="1">
        <v>9664.7000000000007</v>
      </c>
      <c r="J14" s="1">
        <f>4010.7</f>
        <v>4010.7</v>
      </c>
      <c r="K14" s="1">
        <f>1434.5+(16.18*64.71)</f>
        <v>2481.5077999999999</v>
      </c>
      <c r="L14" s="1"/>
      <c r="M14" s="1"/>
      <c r="N14" s="1">
        <f>8695.99+3952+574.43+810.25</f>
        <v>14032.67</v>
      </c>
      <c r="O14" s="1"/>
      <c r="P14" s="1">
        <f>5564.54+1214.67</f>
        <v>6779.21</v>
      </c>
      <c r="Q14" s="85">
        <f>2517.28</f>
        <v>2517.2800000000002</v>
      </c>
      <c r="R14" s="1">
        <v>4363.67</v>
      </c>
      <c r="S14" s="1">
        <f>12605.54+4554.99</f>
        <v>17160.53</v>
      </c>
      <c r="T14" s="40">
        <f>3912.07+1778.35+916.03+852.88</f>
        <v>7459.33</v>
      </c>
    </row>
    <row r="15" spans="1:20" ht="15" thickBot="1" x14ac:dyDescent="0.35">
      <c r="A15" s="10" t="s">
        <v>14</v>
      </c>
      <c r="B15" s="4" t="s">
        <v>36</v>
      </c>
      <c r="C15" s="39"/>
      <c r="D15" s="1"/>
      <c r="E15" s="69">
        <v>6095.39</v>
      </c>
      <c r="F15" s="1"/>
      <c r="G15" s="1">
        <f>6903.46+1413.22</f>
        <v>8316.68</v>
      </c>
      <c r="H15" s="1">
        <f>2300.46+1977.93</f>
        <v>4278.3900000000003</v>
      </c>
      <c r="I15" s="1"/>
      <c r="J15" s="1">
        <v>4477.2299999999996</v>
      </c>
      <c r="K15" s="1">
        <f>779.84+(16.18*30)</f>
        <v>1265.24</v>
      </c>
      <c r="L15" s="1"/>
      <c r="M15" s="1"/>
      <c r="N15" s="29">
        <f>2310.64+1986.68</f>
        <v>4297.32</v>
      </c>
      <c r="O15" s="1"/>
      <c r="P15" s="1">
        <v>7334.31</v>
      </c>
      <c r="Q15" s="3">
        <f>3047.75</f>
        <v>3047.75</v>
      </c>
      <c r="R15" s="1">
        <v>5700.25</v>
      </c>
      <c r="S15" s="1">
        <v>28589.43</v>
      </c>
      <c r="T15" s="40">
        <f>8178.78</f>
        <v>8178.78</v>
      </c>
    </row>
    <row r="16" spans="1:20" ht="15" thickBot="1" x14ac:dyDescent="0.35">
      <c r="A16" s="10" t="s">
        <v>16</v>
      </c>
      <c r="B16" s="4" t="s">
        <v>37</v>
      </c>
      <c r="C16" s="39"/>
      <c r="D16" s="1"/>
      <c r="E16" s="69">
        <v>1782.14</v>
      </c>
      <c r="F16" s="1"/>
      <c r="G16" s="1"/>
      <c r="H16" s="1"/>
      <c r="I16" s="1"/>
      <c r="J16" s="1"/>
      <c r="K16" s="1"/>
      <c r="L16" s="1"/>
      <c r="M16" s="1"/>
      <c r="N16" s="1"/>
      <c r="O16" s="29"/>
      <c r="P16" s="29"/>
      <c r="Q16" s="3"/>
      <c r="R16" s="1"/>
      <c r="S16" s="1"/>
      <c r="T16" s="40"/>
    </row>
    <row r="17" spans="1:20" ht="15" thickBot="1" x14ac:dyDescent="0.35">
      <c r="A17" s="10" t="s">
        <v>19</v>
      </c>
      <c r="B17" s="4" t="s">
        <v>1</v>
      </c>
      <c r="C17" s="39"/>
      <c r="D17" s="1"/>
      <c r="E17" s="69">
        <v>5749.97</v>
      </c>
      <c r="F17" s="1">
        <f>2505.34</f>
        <v>2505.34</v>
      </c>
      <c r="G17" s="1">
        <f>14972.18+745.78</f>
        <v>15717.960000000001</v>
      </c>
      <c r="H17" s="1">
        <f>19590.77+2763.34+735.28+267.37</f>
        <v>23356.76</v>
      </c>
      <c r="I17" s="1">
        <f>24119.39</f>
        <v>24119.39</v>
      </c>
      <c r="J17" s="1">
        <v>13096.91</v>
      </c>
      <c r="K17" s="1">
        <f>3575.93+1016.19+884.21</f>
        <v>5476.33</v>
      </c>
      <c r="L17" s="1">
        <f>1648.22+60.99</f>
        <v>1709.21</v>
      </c>
      <c r="M17" s="1">
        <f>7108.32+276.52</f>
        <v>7384.84</v>
      </c>
      <c r="N17" s="1">
        <f>29530.54+3555.91</f>
        <v>33086.449999999997</v>
      </c>
      <c r="O17" s="1">
        <f>2538.83</f>
        <v>2538.83</v>
      </c>
      <c r="P17" s="1">
        <f>17622.98+2760.85</f>
        <v>20383.829999999998</v>
      </c>
      <c r="Q17" s="3">
        <v>1144.74</v>
      </c>
      <c r="R17" s="1">
        <f>2248.14+14577.79+124.66</f>
        <v>16950.59</v>
      </c>
      <c r="S17" s="1">
        <f>4688.43+42778.87+4691.55</f>
        <v>52158.850000000006</v>
      </c>
      <c r="T17" s="40">
        <f>2905.78+21451.26+4622.1</f>
        <v>28979.14</v>
      </c>
    </row>
    <row r="18" spans="1:20" ht="15" thickBot="1" x14ac:dyDescent="0.35">
      <c r="A18" s="10" t="s">
        <v>21</v>
      </c>
      <c r="B18" s="18" t="s">
        <v>38</v>
      </c>
      <c r="C18" s="39"/>
      <c r="D18" s="1"/>
      <c r="E18" s="69"/>
      <c r="F18" s="1"/>
      <c r="G18" s="1"/>
      <c r="H18" s="1"/>
      <c r="I18" s="1"/>
      <c r="J18" s="1"/>
      <c r="K18" s="1"/>
      <c r="L18" s="1"/>
      <c r="M18" s="1"/>
      <c r="N18" s="1">
        <v>9079.6200000000008</v>
      </c>
      <c r="O18" s="1"/>
      <c r="P18" s="1">
        <v>1897.44</v>
      </c>
      <c r="Q18" s="3"/>
      <c r="R18" s="1">
        <v>1157.69</v>
      </c>
      <c r="S18" s="1">
        <v>7881.94</v>
      </c>
      <c r="T18" s="40">
        <v>4412.83</v>
      </c>
    </row>
    <row r="19" spans="1:20" ht="15" thickBot="1" x14ac:dyDescent="0.35">
      <c r="A19" s="10" t="s">
        <v>22</v>
      </c>
      <c r="B19" s="18" t="s">
        <v>2</v>
      </c>
      <c r="C19" s="39"/>
      <c r="D19" s="1"/>
      <c r="E19" s="69"/>
      <c r="F19" s="1">
        <v>804.58</v>
      </c>
      <c r="G19" s="1">
        <v>10752.15</v>
      </c>
      <c r="H19" s="1">
        <f>649.52+12840.22</f>
        <v>13489.74</v>
      </c>
      <c r="I19" s="1">
        <v>12101.3</v>
      </c>
      <c r="J19" s="1">
        <v>14979.76</v>
      </c>
      <c r="K19" s="1"/>
      <c r="L19" s="1"/>
      <c r="M19" s="1">
        <v>7552.39</v>
      </c>
      <c r="N19" s="1">
        <v>35926.129999999997</v>
      </c>
      <c r="O19" s="1">
        <v>3387.19</v>
      </c>
      <c r="P19" s="1">
        <v>13946.39</v>
      </c>
      <c r="Q19" s="3">
        <v>8959.56</v>
      </c>
      <c r="R19" s="1">
        <v>11534.71</v>
      </c>
      <c r="S19" s="1">
        <v>35195.4</v>
      </c>
      <c r="T19" s="40">
        <f>1484.27+19144.81+5965.78</f>
        <v>26594.86</v>
      </c>
    </row>
    <row r="20" spans="1:20" ht="15" thickBot="1" x14ac:dyDescent="0.35">
      <c r="A20" s="10" t="s">
        <v>23</v>
      </c>
      <c r="B20" s="4" t="s">
        <v>63</v>
      </c>
      <c r="C20" s="39"/>
      <c r="D20" s="1"/>
      <c r="E20" s="6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3"/>
      <c r="R20" s="1"/>
      <c r="S20" s="1"/>
      <c r="T20" s="40"/>
    </row>
    <row r="21" spans="1:20" ht="15" thickBot="1" x14ac:dyDescent="0.35">
      <c r="A21" s="10" t="s">
        <v>24</v>
      </c>
      <c r="B21" s="4" t="s">
        <v>99</v>
      </c>
      <c r="C21" s="39"/>
      <c r="D21" s="1"/>
      <c r="E21" s="69">
        <v>20463.150000000001</v>
      </c>
      <c r="F21" s="1"/>
      <c r="G21" s="1"/>
      <c r="H21" s="1"/>
      <c r="I21" s="1">
        <f>7889.8+11248.3</f>
        <v>19138.099999999999</v>
      </c>
      <c r="J21" s="1"/>
      <c r="K21" s="1">
        <v>5055.8599999999997</v>
      </c>
      <c r="L21" s="1">
        <v>5455.6</v>
      </c>
      <c r="M21" s="1"/>
      <c r="N21" s="1"/>
      <c r="O21" s="1"/>
      <c r="P21" s="1"/>
      <c r="Q21" s="1"/>
      <c r="R21" s="1"/>
      <c r="S21" s="1"/>
      <c r="T21" s="40"/>
    </row>
    <row r="22" spans="1:20" ht="15" thickBot="1" x14ac:dyDescent="0.35">
      <c r="A22" s="10" t="s">
        <v>25</v>
      </c>
      <c r="B22" s="23" t="s">
        <v>100</v>
      </c>
      <c r="C22" s="41"/>
      <c r="D22" s="42"/>
      <c r="E22" s="71">
        <v>10219.25</v>
      </c>
      <c r="F22" s="42"/>
      <c r="G22" s="42">
        <v>5775.42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3"/>
    </row>
    <row r="23" spans="1:20" ht="15" thickBot="1" x14ac:dyDescent="0.35">
      <c r="A23" s="15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</row>
    <row r="24" spans="1:20" ht="15" thickBot="1" x14ac:dyDescent="0.35">
      <c r="A24" s="15"/>
      <c r="B24" s="28" t="s">
        <v>115</v>
      </c>
      <c r="C24" s="56"/>
      <c r="D24" s="56"/>
      <c r="E24" s="56">
        <f t="shared" ref="E24:T24" si="0">SUM(E8:E22)</f>
        <v>98833.78</v>
      </c>
      <c r="F24" s="56">
        <f t="shared" si="0"/>
        <v>10458</v>
      </c>
      <c r="G24" s="56">
        <f t="shared" si="0"/>
        <v>95972.349999999991</v>
      </c>
      <c r="H24" s="56">
        <f t="shared" si="0"/>
        <v>124218.24000000002</v>
      </c>
      <c r="I24" s="56">
        <f t="shared" si="0"/>
        <v>151620.37</v>
      </c>
      <c r="J24" s="56">
        <f t="shared" si="0"/>
        <v>74221.87999999999</v>
      </c>
      <c r="K24" s="56">
        <f t="shared" si="0"/>
        <v>32092.747800000005</v>
      </c>
      <c r="L24" s="56">
        <f t="shared" si="0"/>
        <v>20068.11</v>
      </c>
      <c r="M24" s="56">
        <f t="shared" si="0"/>
        <v>47822.259999999995</v>
      </c>
      <c r="N24" s="56">
        <f t="shared" si="0"/>
        <v>228334.15000000002</v>
      </c>
      <c r="O24" s="56">
        <f t="shared" si="0"/>
        <v>21276.420000000002</v>
      </c>
      <c r="P24" s="56">
        <f t="shared" si="0"/>
        <v>116355.34000000001</v>
      </c>
      <c r="Q24" s="56">
        <f t="shared" si="0"/>
        <v>57343.359999999993</v>
      </c>
      <c r="R24" s="56">
        <f t="shared" si="0"/>
        <v>88532.63</v>
      </c>
      <c r="S24" s="56">
        <f t="shared" si="0"/>
        <v>274877.88</v>
      </c>
      <c r="T24" s="56">
        <f t="shared" si="0"/>
        <v>166946.70999999996</v>
      </c>
    </row>
    <row r="25" spans="1:20" ht="15" thickBot="1" x14ac:dyDescent="0.35">
      <c r="B25" s="72" t="s">
        <v>88</v>
      </c>
      <c r="C25" s="104" t="e">
        <f>(C24*1.2)/C7</f>
        <v>#DIV/0!</v>
      </c>
      <c r="D25" s="104" t="e">
        <f t="shared" ref="D25:T25" si="1">(D24*1.2)/D7</f>
        <v>#DIV/0!</v>
      </c>
      <c r="E25" s="104">
        <f t="shared" si="1"/>
        <v>794.80321672698028</v>
      </c>
      <c r="F25" s="104">
        <f t="shared" si="1"/>
        <v>518.36431226765797</v>
      </c>
      <c r="G25" s="104">
        <f t="shared" si="1"/>
        <v>781.26870632928558</v>
      </c>
      <c r="H25" s="104">
        <f t="shared" si="1"/>
        <v>1188.975735821967</v>
      </c>
      <c r="I25" s="104">
        <f t="shared" si="1"/>
        <v>1221.1036510067113</v>
      </c>
      <c r="J25" s="104">
        <f t="shared" si="1"/>
        <v>803.77453298438752</v>
      </c>
      <c r="K25" s="104">
        <f t="shared" si="1"/>
        <v>1373.3091806423777</v>
      </c>
      <c r="L25" s="104">
        <f t="shared" si="1"/>
        <v>746.25757669662221</v>
      </c>
      <c r="M25" s="104">
        <f t="shared" si="1"/>
        <v>972.65613559322026</v>
      </c>
      <c r="N25" s="104">
        <f t="shared" si="1"/>
        <v>1083.0078260869566</v>
      </c>
      <c r="O25" s="104">
        <f t="shared" si="1"/>
        <v>928.42560000000003</v>
      </c>
      <c r="P25" s="104">
        <f t="shared" si="1"/>
        <v>1165.6904992486225</v>
      </c>
      <c r="Q25" s="104">
        <f t="shared" si="1"/>
        <v>1378.9986372745491</v>
      </c>
      <c r="R25" s="104">
        <f t="shared" si="1"/>
        <v>1092.2088619307085</v>
      </c>
      <c r="S25" s="104">
        <f t="shared" si="1"/>
        <v>1555.0323213275506</v>
      </c>
      <c r="T25" s="104">
        <f t="shared" si="1"/>
        <v>1478.8222632317113</v>
      </c>
    </row>
    <row r="26" spans="1:20" ht="15" thickBot="1" x14ac:dyDescent="0.35"/>
    <row r="27" spans="1:20" x14ac:dyDescent="0.3">
      <c r="A27" s="2" t="s">
        <v>26</v>
      </c>
      <c r="B27" s="11" t="s">
        <v>57</v>
      </c>
      <c r="C27" s="77"/>
      <c r="D27" s="78"/>
      <c r="E27" s="79"/>
      <c r="F27" s="78"/>
      <c r="G27" s="78"/>
      <c r="H27" s="78"/>
      <c r="I27" s="78"/>
      <c r="J27" s="78"/>
      <c r="K27" s="78"/>
      <c r="L27" s="78"/>
      <c r="M27" s="78"/>
      <c r="N27" s="78">
        <v>1500</v>
      </c>
      <c r="O27" s="78"/>
      <c r="P27" s="78">
        <v>1500</v>
      </c>
      <c r="Q27" s="80"/>
      <c r="R27" s="78"/>
      <c r="S27" s="78"/>
      <c r="T27" s="81">
        <v>1550</v>
      </c>
    </row>
    <row r="28" spans="1:20" x14ac:dyDescent="0.3">
      <c r="A28" s="2" t="s">
        <v>27</v>
      </c>
      <c r="B28" s="8" t="s">
        <v>111</v>
      </c>
      <c r="C28" s="82"/>
      <c r="D28" s="27"/>
      <c r="E28" s="83"/>
      <c r="F28" s="27"/>
      <c r="G28" s="27"/>
      <c r="H28" s="27"/>
      <c r="I28" s="27">
        <v>1500</v>
      </c>
      <c r="J28" s="27"/>
      <c r="K28" s="27"/>
      <c r="L28" s="27"/>
      <c r="M28" s="27"/>
      <c r="N28" s="27">
        <v>850</v>
      </c>
      <c r="O28" s="27"/>
      <c r="P28" s="27"/>
      <c r="Q28" s="26"/>
      <c r="R28" s="27"/>
      <c r="S28" s="27"/>
      <c r="T28" s="84"/>
    </row>
    <row r="29" spans="1:20" x14ac:dyDescent="0.3">
      <c r="A29" s="2" t="s">
        <v>28</v>
      </c>
      <c r="B29" s="4" t="s">
        <v>110</v>
      </c>
      <c r="C29" s="39"/>
      <c r="D29" s="1"/>
      <c r="E29" s="6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3"/>
      <c r="R29" s="1"/>
      <c r="S29" s="1"/>
      <c r="T29" s="40"/>
    </row>
    <row r="30" spans="1:20" x14ac:dyDescent="0.3">
      <c r="A30" s="2" t="s">
        <v>43</v>
      </c>
      <c r="B30" s="4" t="s">
        <v>112</v>
      </c>
      <c r="C30" s="39"/>
      <c r="D30" s="1"/>
      <c r="E30" s="69">
        <v>10868.4</v>
      </c>
      <c r="F30" s="1"/>
      <c r="G30" s="1"/>
      <c r="H30" s="1">
        <f>14678+16040</f>
        <v>30718</v>
      </c>
      <c r="I30" s="1">
        <f>5703.8+7184+2429</f>
        <v>15316.8</v>
      </c>
      <c r="J30" s="1"/>
      <c r="K30" s="1"/>
      <c r="L30" s="1"/>
      <c r="M30" s="1"/>
      <c r="N30" s="1">
        <f>42395+9238</f>
        <v>51633</v>
      </c>
      <c r="O30" s="1"/>
      <c r="P30" s="1">
        <f>18672+8800</f>
        <v>27472</v>
      </c>
      <c r="Q30" s="3"/>
      <c r="R30" s="1"/>
      <c r="S30" s="1">
        <v>55315</v>
      </c>
      <c r="T30" s="40">
        <v>30146</v>
      </c>
    </row>
    <row r="31" spans="1:20" x14ac:dyDescent="0.3">
      <c r="A31" s="2" t="s">
        <v>44</v>
      </c>
      <c r="B31" s="4" t="s">
        <v>118</v>
      </c>
      <c r="C31" s="39"/>
      <c r="D31" s="1"/>
      <c r="E31" s="69">
        <v>14439.1</v>
      </c>
      <c r="F31" s="1"/>
      <c r="G31" s="1"/>
      <c r="H31" s="1">
        <v>21057.11</v>
      </c>
      <c r="I31" s="1">
        <f>840+19952+980+6533.8+5475.75+650+2880+1600+4480+350</f>
        <v>43741.55</v>
      </c>
      <c r="J31" s="1"/>
      <c r="K31" s="1"/>
      <c r="L31" s="1"/>
      <c r="M31" s="1"/>
      <c r="N31" s="1">
        <f>77426.54+5586.99+16881.92+944.86</f>
        <v>100840.31</v>
      </c>
      <c r="O31" s="1">
        <v>3744.83</v>
      </c>
      <c r="P31" s="1">
        <v>37939.839999999997</v>
      </c>
      <c r="Q31" s="3">
        <v>3759.1</v>
      </c>
      <c r="R31" s="1"/>
      <c r="S31" s="1">
        <v>35000</v>
      </c>
      <c r="T31" s="40">
        <f>47686.96+10838.04+1482.28</f>
        <v>60007.28</v>
      </c>
    </row>
    <row r="32" spans="1:20" x14ac:dyDescent="0.3">
      <c r="A32" s="2" t="s">
        <v>45</v>
      </c>
      <c r="B32" s="4" t="s">
        <v>71</v>
      </c>
      <c r="C32" s="39"/>
      <c r="D32" s="1"/>
      <c r="E32" s="69"/>
      <c r="F32" s="1"/>
      <c r="G32" s="1"/>
      <c r="H32" s="1">
        <v>350</v>
      </c>
      <c r="I32" s="1"/>
      <c r="J32" s="1"/>
      <c r="K32" s="1"/>
      <c r="L32" s="1"/>
      <c r="M32" s="1"/>
      <c r="N32" s="1"/>
      <c r="O32" s="1"/>
      <c r="P32" s="1"/>
      <c r="Q32" s="3"/>
      <c r="R32" s="1"/>
      <c r="S32" s="1">
        <v>350</v>
      </c>
      <c r="T32" s="40"/>
    </row>
    <row r="33" spans="1:20" ht="15" thickBot="1" x14ac:dyDescent="0.35">
      <c r="A33" s="2" t="s">
        <v>46</v>
      </c>
      <c r="B33" s="5" t="s">
        <v>117</v>
      </c>
      <c r="C33" s="41"/>
      <c r="D33" s="42"/>
      <c r="E33" s="71"/>
      <c r="F33" s="42"/>
      <c r="G33" s="42"/>
      <c r="H33" s="42"/>
      <c r="I33" s="42"/>
      <c r="J33" s="42"/>
      <c r="K33" s="42"/>
      <c r="L33" s="42"/>
      <c r="M33" s="42"/>
      <c r="N33" s="42">
        <f>5509+4752</f>
        <v>10261</v>
      </c>
      <c r="O33" s="42"/>
      <c r="P33" s="42"/>
      <c r="Q33" s="74"/>
      <c r="R33" s="42"/>
      <c r="S33" s="42"/>
      <c r="T33" s="43"/>
    </row>
    <row r="34" spans="1:20" ht="15" thickBot="1" x14ac:dyDescent="0.35">
      <c r="B34" s="99" t="s">
        <v>40</v>
      </c>
      <c r="C34" s="103">
        <f>SUM(C27:C33)</f>
        <v>0</v>
      </c>
      <c r="D34" s="103">
        <f t="shared" ref="D34:T34" si="2">SUM(D27:D33)</f>
        <v>0</v>
      </c>
      <c r="E34" s="103">
        <f t="shared" si="2"/>
        <v>25307.5</v>
      </c>
      <c r="F34" s="103">
        <f t="shared" si="2"/>
        <v>0</v>
      </c>
      <c r="G34" s="103">
        <f t="shared" si="2"/>
        <v>0</v>
      </c>
      <c r="H34" s="103">
        <f t="shared" si="2"/>
        <v>52125.11</v>
      </c>
      <c r="I34" s="103">
        <f t="shared" si="2"/>
        <v>60558.350000000006</v>
      </c>
      <c r="J34" s="103">
        <f t="shared" si="2"/>
        <v>0</v>
      </c>
      <c r="K34" s="103">
        <f t="shared" si="2"/>
        <v>0</v>
      </c>
      <c r="L34" s="103">
        <f t="shared" si="2"/>
        <v>0</v>
      </c>
      <c r="M34" s="103">
        <f t="shared" si="2"/>
        <v>0</v>
      </c>
      <c r="N34" s="103">
        <f t="shared" si="2"/>
        <v>165084.31</v>
      </c>
      <c r="O34" s="103">
        <f t="shared" si="2"/>
        <v>3744.83</v>
      </c>
      <c r="P34" s="103">
        <f t="shared" si="2"/>
        <v>66911.839999999997</v>
      </c>
      <c r="Q34" s="103">
        <f t="shared" si="2"/>
        <v>3759.1</v>
      </c>
      <c r="R34" s="103">
        <f t="shared" si="2"/>
        <v>0</v>
      </c>
      <c r="S34" s="103">
        <f t="shared" si="2"/>
        <v>90665</v>
      </c>
      <c r="T34" s="103">
        <f t="shared" si="2"/>
        <v>91703.28</v>
      </c>
    </row>
    <row r="35" spans="1:20" ht="15" thickBot="1" x14ac:dyDescent="0.35">
      <c r="B35" s="100" t="s">
        <v>148</v>
      </c>
      <c r="C35" s="102" t="e">
        <f>((C34*1.2)/C7)</f>
        <v>#DIV/0!</v>
      </c>
      <c r="D35" s="102" t="e">
        <f t="shared" ref="D35:T35" si="3">((D34*1.2)/D7)</f>
        <v>#DIV/0!</v>
      </c>
      <c r="E35" s="102">
        <f t="shared" si="3"/>
        <v>203.51829513470045</v>
      </c>
      <c r="F35" s="102">
        <f t="shared" si="3"/>
        <v>0</v>
      </c>
      <c r="G35" s="102">
        <f t="shared" si="3"/>
        <v>0</v>
      </c>
      <c r="H35" s="102">
        <f t="shared" si="3"/>
        <v>498.92424024886333</v>
      </c>
      <c r="I35" s="102">
        <f t="shared" si="3"/>
        <v>487.71825503355706</v>
      </c>
      <c r="J35" s="102">
        <f t="shared" si="3"/>
        <v>0</v>
      </c>
      <c r="K35" s="102">
        <f t="shared" si="3"/>
        <v>0</v>
      </c>
      <c r="L35" s="102">
        <f t="shared" si="3"/>
        <v>0</v>
      </c>
      <c r="M35" s="102">
        <f t="shared" si="3"/>
        <v>0</v>
      </c>
      <c r="N35" s="102">
        <f t="shared" si="3"/>
        <v>783.00858498023717</v>
      </c>
      <c r="O35" s="102">
        <f t="shared" si="3"/>
        <v>163.41076363636361</v>
      </c>
      <c r="P35" s="102">
        <f t="shared" si="3"/>
        <v>670.34737017866087</v>
      </c>
      <c r="Q35" s="102">
        <f t="shared" si="3"/>
        <v>90.399198396793594</v>
      </c>
      <c r="R35" s="102">
        <f t="shared" si="3"/>
        <v>0</v>
      </c>
      <c r="S35" s="102">
        <f t="shared" si="3"/>
        <v>512.90778804450315</v>
      </c>
      <c r="T35" s="102">
        <f t="shared" si="3"/>
        <v>812.31221672695062</v>
      </c>
    </row>
    <row r="36" spans="1:20" ht="15" thickBot="1" x14ac:dyDescent="0.35"/>
    <row r="37" spans="1:20" ht="15" thickBot="1" x14ac:dyDescent="0.35">
      <c r="B37" s="118" t="s">
        <v>87</v>
      </c>
      <c r="C37" s="119" t="e">
        <f>IF(C35&gt;0,(C35*1.2)+C25,"")</f>
        <v>#DIV/0!</v>
      </c>
      <c r="D37" s="119" t="e">
        <f t="shared" ref="D37:T37" si="4">IF(D35&gt;0,(D35*1.2)+D25,"")</f>
        <v>#DIV/0!</v>
      </c>
      <c r="E37" s="119">
        <f t="shared" si="4"/>
        <v>1039.0251708886208</v>
      </c>
      <c r="F37" s="119" t="str">
        <f t="shared" si="4"/>
        <v/>
      </c>
      <c r="G37" s="119" t="str">
        <f t="shared" si="4"/>
        <v/>
      </c>
      <c r="H37" s="119">
        <f t="shared" si="4"/>
        <v>1787.684824120603</v>
      </c>
      <c r="I37" s="119">
        <f t="shared" si="4"/>
        <v>1806.3655570469796</v>
      </c>
      <c r="J37" s="119" t="str">
        <f t="shared" si="4"/>
        <v/>
      </c>
      <c r="K37" s="119" t="str">
        <f t="shared" si="4"/>
        <v/>
      </c>
      <c r="L37" s="119" t="str">
        <f t="shared" si="4"/>
        <v/>
      </c>
      <c r="M37" s="119" t="str">
        <f t="shared" si="4"/>
        <v/>
      </c>
      <c r="N37" s="119">
        <f t="shared" si="4"/>
        <v>2022.6181280632411</v>
      </c>
      <c r="O37" s="119">
        <f t="shared" si="4"/>
        <v>1124.5185163636363</v>
      </c>
      <c r="P37" s="119">
        <f t="shared" si="4"/>
        <v>1970.1073434630155</v>
      </c>
      <c r="Q37" s="119">
        <f t="shared" si="4"/>
        <v>1487.4776753507015</v>
      </c>
      <c r="R37" s="119" t="str">
        <f t="shared" si="4"/>
        <v/>
      </c>
      <c r="S37" s="119">
        <f t="shared" si="4"/>
        <v>2170.5216669809543</v>
      </c>
      <c r="T37" s="119">
        <f t="shared" si="4"/>
        <v>2453.5969233040519</v>
      </c>
    </row>
    <row r="38" spans="1:20" ht="15" thickBot="1" x14ac:dyDescent="0.35"/>
    <row r="39" spans="1:20" ht="15" thickBot="1" x14ac:dyDescent="0.35">
      <c r="B39" s="128" t="s">
        <v>20</v>
      </c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30"/>
    </row>
    <row r="40" spans="1:20" ht="15" thickBot="1" x14ac:dyDescent="0.35"/>
    <row r="41" spans="1:20" ht="15" thickBot="1" x14ac:dyDescent="0.35">
      <c r="C41" s="65" t="str">
        <f t="shared" ref="C41:P41" si="5">C5</f>
        <v>RIBEIRO</v>
      </c>
      <c r="D41" s="65" t="str">
        <f t="shared" si="5"/>
        <v>DOLLEANS</v>
      </c>
      <c r="E41" s="65" t="str">
        <f t="shared" si="5"/>
        <v>ARRIOL</v>
      </c>
      <c r="F41" s="65" t="str">
        <f t="shared" si="5"/>
        <v>ESCUDERO</v>
      </c>
      <c r="G41" s="65" t="str">
        <f t="shared" si="5"/>
        <v>ESCUDERO</v>
      </c>
      <c r="H41" s="65" t="str">
        <f t="shared" si="5"/>
        <v>JOUVE</v>
      </c>
      <c r="I41" s="66" t="str">
        <f t="shared" si="5"/>
        <v>VOLPE</v>
      </c>
      <c r="J41" s="66" t="str">
        <f t="shared" si="5"/>
        <v>CRIADO</v>
      </c>
      <c r="K41" s="66" t="str">
        <f t="shared" si="5"/>
        <v>DEDUN M</v>
      </c>
      <c r="L41" s="66" t="str">
        <f t="shared" si="5"/>
        <v>DEDUN G</v>
      </c>
      <c r="M41" s="66" t="str">
        <f t="shared" si="5"/>
        <v>LESCOP G</v>
      </c>
      <c r="N41" s="66" t="str">
        <f t="shared" si="5"/>
        <v>LESCOP</v>
      </c>
      <c r="O41" s="66" t="str">
        <f t="shared" si="5"/>
        <v>UHALDE G</v>
      </c>
      <c r="P41" s="66" t="str">
        <f t="shared" si="5"/>
        <v>UHALDE</v>
      </c>
      <c r="Q41" s="66" t="str">
        <f t="shared" ref="Q41:T41" si="6">Q5</f>
        <v>ST BOIS</v>
      </c>
      <c r="R41" s="66" t="str">
        <f t="shared" si="6"/>
        <v>DAVERAT</v>
      </c>
      <c r="S41" s="66" t="str">
        <f t="shared" si="6"/>
        <v>UZZAN</v>
      </c>
      <c r="T41" s="66" t="str">
        <f t="shared" si="6"/>
        <v>PINNA</v>
      </c>
    </row>
    <row r="42" spans="1:20" ht="15" thickBot="1" x14ac:dyDescent="0.35">
      <c r="A42" s="10" t="s">
        <v>47</v>
      </c>
      <c r="B42" s="31" t="s">
        <v>113</v>
      </c>
      <c r="C42" s="49"/>
      <c r="D42" s="69"/>
      <c r="E42" s="69">
        <v>392.7</v>
      </c>
      <c r="F42" s="1"/>
      <c r="G42" s="1"/>
      <c r="H42" s="1">
        <v>925</v>
      </c>
      <c r="I42" s="1">
        <v>925</v>
      </c>
      <c r="J42" s="1">
        <v>378.42</v>
      </c>
      <c r="K42" s="1"/>
      <c r="L42" s="1"/>
      <c r="M42" s="1"/>
      <c r="N42" s="1">
        <v>975</v>
      </c>
      <c r="O42" s="1"/>
      <c r="P42" s="1">
        <v>975</v>
      </c>
      <c r="Q42" s="1"/>
      <c r="R42" s="1"/>
      <c r="S42" s="1">
        <v>975</v>
      </c>
      <c r="T42" s="1">
        <v>925</v>
      </c>
    </row>
    <row r="43" spans="1:20" ht="15" thickBot="1" x14ac:dyDescent="0.35">
      <c r="A43" s="10" t="s">
        <v>62</v>
      </c>
      <c r="B43" s="31" t="s">
        <v>30</v>
      </c>
      <c r="C43" s="49"/>
      <c r="D43" s="69"/>
      <c r="E43" s="69"/>
      <c r="F43" s="1"/>
      <c r="G43" s="1"/>
      <c r="H43" s="1">
        <v>12298.17</v>
      </c>
      <c r="I43" s="1">
        <v>17076.66</v>
      </c>
      <c r="J43" s="1"/>
      <c r="K43" s="1"/>
      <c r="L43" s="1"/>
      <c r="M43" s="1"/>
      <c r="N43" s="1">
        <f>34749.72</f>
        <v>34749.72</v>
      </c>
      <c r="O43" s="1"/>
      <c r="P43" s="1">
        <v>17156.599999999999</v>
      </c>
      <c r="Q43" s="1"/>
      <c r="R43" s="1"/>
      <c r="S43" s="1">
        <v>28323.4</v>
      </c>
      <c r="T43" s="1">
        <v>17958.2</v>
      </c>
    </row>
    <row r="44" spans="1:20" ht="15" thickBot="1" x14ac:dyDescent="0.35">
      <c r="A44" s="10" t="s">
        <v>76</v>
      </c>
      <c r="B44" s="31" t="s">
        <v>31</v>
      </c>
      <c r="C44" s="49"/>
      <c r="D44" s="69"/>
      <c r="E44" s="69"/>
      <c r="F44" s="1"/>
      <c r="G44" s="1"/>
      <c r="H44" s="1">
        <v>12016.44</v>
      </c>
      <c r="I44" s="1">
        <v>15903.12</v>
      </c>
      <c r="J44" s="1"/>
      <c r="K44" s="1"/>
      <c r="L44" s="1"/>
      <c r="M44" s="1"/>
      <c r="N44" s="1">
        <f>18254.52+9558.22+1349.5</f>
        <v>29162.239999999998</v>
      </c>
      <c r="O44" s="1"/>
      <c r="P44" s="86">
        <f>1500+2924.55</f>
        <v>4424.55</v>
      </c>
      <c r="Q44" s="1"/>
      <c r="R44" s="1"/>
      <c r="S44" s="1">
        <v>15821.71</v>
      </c>
      <c r="T44" s="1">
        <f>12895.84</f>
        <v>12895.84</v>
      </c>
    </row>
    <row r="45" spans="1:20" ht="15" thickBot="1" x14ac:dyDescent="0.35">
      <c r="A45" s="10" t="s">
        <v>121</v>
      </c>
      <c r="B45" s="31" t="s">
        <v>32</v>
      </c>
      <c r="C45" s="49"/>
      <c r="D45" s="69"/>
      <c r="E45" s="69"/>
      <c r="F45" s="1"/>
      <c r="G45" s="1"/>
      <c r="H45" s="1">
        <f>4785.81+2305.14</f>
        <v>7090.9500000000007</v>
      </c>
      <c r="I45" s="1">
        <v>17076.66</v>
      </c>
      <c r="J45" s="1"/>
      <c r="K45" s="1"/>
      <c r="L45" s="1"/>
      <c r="M45" s="1"/>
      <c r="N45" s="1">
        <f>41897.08+607.9</f>
        <v>42504.98</v>
      </c>
      <c r="O45" s="1"/>
      <c r="P45" s="1">
        <f>2373.87+1733.43+7070.26</f>
        <v>11177.560000000001</v>
      </c>
      <c r="Q45" s="1"/>
      <c r="R45" s="1"/>
      <c r="S45" s="1">
        <f>12903.2+9904.71</f>
        <v>22807.91</v>
      </c>
      <c r="T45" s="1">
        <f>13816.96+6703.42</f>
        <v>20520.379999999997</v>
      </c>
    </row>
    <row r="46" spans="1:20" ht="15" thickBot="1" x14ac:dyDescent="0.35">
      <c r="A46" s="10" t="s">
        <v>122</v>
      </c>
      <c r="B46" s="31" t="s">
        <v>83</v>
      </c>
      <c r="C46" s="51"/>
      <c r="D46" s="69"/>
      <c r="E46" s="69"/>
      <c r="F46" s="1"/>
      <c r="G46" s="1"/>
      <c r="H46" s="1">
        <v>3657.5</v>
      </c>
      <c r="I46" s="1">
        <v>3396.3</v>
      </c>
      <c r="J46" s="1"/>
      <c r="K46" s="1"/>
      <c r="L46" s="1"/>
      <c r="M46" s="1"/>
      <c r="N46" s="1">
        <v>5150</v>
      </c>
      <c r="O46" s="1"/>
      <c r="P46" s="1">
        <v>4621.5</v>
      </c>
      <c r="Q46" s="1"/>
      <c r="R46" s="1"/>
      <c r="S46" s="1">
        <v>4001.82</v>
      </c>
      <c r="T46" s="1">
        <v>8483.2000000000007</v>
      </c>
    </row>
    <row r="47" spans="1:20" ht="15" thickBot="1" x14ac:dyDescent="0.35">
      <c r="A47" s="10" t="s">
        <v>123</v>
      </c>
      <c r="B47" s="31" t="s">
        <v>42</v>
      </c>
      <c r="C47" s="49"/>
      <c r="D47" s="69"/>
      <c r="E47" s="69"/>
      <c r="F47" s="1"/>
      <c r="G47" s="1"/>
      <c r="H47" s="1">
        <v>2722.3</v>
      </c>
      <c r="I47" s="1"/>
      <c r="J47" s="1"/>
      <c r="K47" s="1"/>
      <c r="L47" s="1"/>
      <c r="M47" s="1"/>
      <c r="N47" s="1">
        <v>15367.75</v>
      </c>
      <c r="O47" s="1"/>
      <c r="P47" s="1">
        <v>8329.6</v>
      </c>
      <c r="Q47" s="1"/>
      <c r="R47" s="1"/>
      <c r="S47" s="1">
        <v>7848.33</v>
      </c>
      <c r="T47" s="1"/>
    </row>
    <row r="48" spans="1:20" ht="15" thickBot="1" x14ac:dyDescent="0.35">
      <c r="A48" s="10" t="s">
        <v>124</v>
      </c>
      <c r="B48" s="31" t="s">
        <v>35</v>
      </c>
      <c r="C48" s="49"/>
      <c r="D48" s="69"/>
      <c r="E48" s="69"/>
      <c r="F48" s="1"/>
      <c r="G48" s="1"/>
      <c r="H48" s="1">
        <f>440.06+1577.75</f>
        <v>2017.81</v>
      </c>
      <c r="I48" s="1"/>
      <c r="J48" s="1"/>
      <c r="K48" s="1"/>
      <c r="L48" s="1"/>
      <c r="M48" s="1"/>
      <c r="N48" s="1">
        <f>-1928.12+51331.29+245.61+2187.57</f>
        <v>51836.35</v>
      </c>
      <c r="O48" s="1"/>
      <c r="P48" s="1">
        <f>3009.54-2730.4</f>
        <v>279.13999999999987</v>
      </c>
      <c r="Q48" s="1"/>
      <c r="R48" s="1">
        <v>2174.87</v>
      </c>
      <c r="S48" s="1"/>
      <c r="T48" s="1">
        <f>442.77</f>
        <v>442.77</v>
      </c>
    </row>
    <row r="49" spans="1:20" ht="15" thickBot="1" x14ac:dyDescent="0.35">
      <c r="A49" s="10" t="s">
        <v>125</v>
      </c>
      <c r="B49" s="31" t="s">
        <v>39</v>
      </c>
      <c r="C49" s="49"/>
      <c r="D49" s="69"/>
      <c r="E49" s="69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>
        <v>28670.240000000002</v>
      </c>
      <c r="T49" s="1"/>
    </row>
    <row r="50" spans="1:20" ht="15" thickBot="1" x14ac:dyDescent="0.35">
      <c r="A50" s="10" t="s">
        <v>126</v>
      </c>
      <c r="B50" s="31" t="s">
        <v>29</v>
      </c>
      <c r="C50" s="49"/>
      <c r="D50" s="69"/>
      <c r="E50" s="69"/>
      <c r="F50" s="1"/>
      <c r="G50" s="1"/>
      <c r="H50" s="1">
        <v>3549.43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>
        <v>8000</v>
      </c>
      <c r="T50" s="1"/>
    </row>
    <row r="51" spans="1:20" ht="15" thickBot="1" x14ac:dyDescent="0.35">
      <c r="A51" s="10" t="s">
        <v>127</v>
      </c>
      <c r="B51" s="31" t="s">
        <v>53</v>
      </c>
      <c r="C51" s="51"/>
      <c r="D51" s="69"/>
      <c r="E51" s="50">
        <v>1920.51</v>
      </c>
      <c r="F51" s="1"/>
      <c r="G51" s="1"/>
      <c r="H51" s="1"/>
      <c r="I51" s="1"/>
      <c r="J51" s="1"/>
      <c r="K51" s="1"/>
      <c r="L51" s="1"/>
      <c r="M51" s="1"/>
      <c r="N51" s="1">
        <v>6350.89</v>
      </c>
      <c r="O51" s="1"/>
      <c r="P51" s="1"/>
      <c r="Q51" s="1"/>
      <c r="R51" s="1"/>
      <c r="S51" s="1">
        <v>14651</v>
      </c>
      <c r="T51" s="1"/>
    </row>
    <row r="52" spans="1:20" ht="15" thickBot="1" x14ac:dyDescent="0.35">
      <c r="A52" s="10" t="s">
        <v>128</v>
      </c>
      <c r="B52" s="31" t="s">
        <v>59</v>
      </c>
      <c r="C52" s="51"/>
      <c r="D52" s="69"/>
      <c r="E52" s="69"/>
      <c r="F52" s="1"/>
      <c r="G52" s="1"/>
      <c r="H52" s="1"/>
      <c r="I52" s="1"/>
      <c r="J52" s="1"/>
      <c r="K52" s="1"/>
      <c r="L52" s="1"/>
      <c r="M52" s="1"/>
      <c r="N52" s="1">
        <v>18174.93</v>
      </c>
      <c r="O52" s="1"/>
      <c r="P52" s="1"/>
      <c r="Q52" s="1"/>
      <c r="R52" s="1"/>
      <c r="S52" s="1">
        <v>23059.01</v>
      </c>
      <c r="T52" s="1">
        <v>7934.43</v>
      </c>
    </row>
    <row r="53" spans="1:20" ht="15" thickBot="1" x14ac:dyDescent="0.35">
      <c r="A53" s="10" t="s">
        <v>129</v>
      </c>
      <c r="B53" s="31" t="s">
        <v>52</v>
      </c>
      <c r="C53" s="49"/>
      <c r="D53" s="69"/>
      <c r="E53" s="69"/>
      <c r="F53" s="1"/>
      <c r="G53" s="1"/>
      <c r="H53" s="1">
        <v>3800</v>
      </c>
      <c r="I53" s="1"/>
      <c r="J53" s="1"/>
      <c r="K53" s="1"/>
      <c r="L53" s="1"/>
      <c r="M53" s="1"/>
      <c r="N53" s="1"/>
      <c r="O53" s="1"/>
      <c r="P53" s="1">
        <v>3800</v>
      </c>
      <c r="Q53" s="1"/>
      <c r="R53" s="1"/>
      <c r="S53" s="1"/>
      <c r="T53" s="1"/>
    </row>
    <row r="54" spans="1:20" ht="15" thickBot="1" x14ac:dyDescent="0.35">
      <c r="A54" s="15"/>
      <c r="B54" s="16"/>
      <c r="C54" s="33">
        <f>SUM(C42:C53)</f>
        <v>0</v>
      </c>
      <c r="D54" s="33">
        <f t="shared" ref="D54:T54" si="7">SUM(D42:D53)</f>
        <v>0</v>
      </c>
      <c r="E54" s="33">
        <f t="shared" si="7"/>
        <v>2313.21</v>
      </c>
      <c r="F54" s="33">
        <f t="shared" si="7"/>
        <v>0</v>
      </c>
      <c r="G54" s="33">
        <f t="shared" si="7"/>
        <v>0</v>
      </c>
      <c r="H54" s="33">
        <f t="shared" si="7"/>
        <v>48077.599999999999</v>
      </c>
      <c r="I54" s="33">
        <f t="shared" si="7"/>
        <v>54377.740000000005</v>
      </c>
      <c r="J54" s="33">
        <f t="shared" si="7"/>
        <v>378.42</v>
      </c>
      <c r="K54" s="33">
        <f t="shared" si="7"/>
        <v>0</v>
      </c>
      <c r="L54" s="33">
        <f t="shared" si="7"/>
        <v>0</v>
      </c>
      <c r="M54" s="33">
        <f t="shared" si="7"/>
        <v>0</v>
      </c>
      <c r="N54" s="33">
        <f t="shared" si="7"/>
        <v>204271.86000000002</v>
      </c>
      <c r="O54" s="33">
        <f t="shared" si="7"/>
        <v>0</v>
      </c>
      <c r="P54" s="33">
        <f t="shared" si="7"/>
        <v>50763.95</v>
      </c>
      <c r="Q54" s="33">
        <f t="shared" si="7"/>
        <v>0</v>
      </c>
      <c r="R54" s="33">
        <f t="shared" si="7"/>
        <v>2174.87</v>
      </c>
      <c r="S54" s="33">
        <f t="shared" si="7"/>
        <v>154158.42000000004</v>
      </c>
      <c r="T54" s="33">
        <f t="shared" si="7"/>
        <v>69159.819999999992</v>
      </c>
    </row>
    <row r="55" spans="1:20" ht="15" thickBot="1" x14ac:dyDescent="0.35"/>
    <row r="56" spans="1:20" ht="15" thickBot="1" x14ac:dyDescent="0.35">
      <c r="B56" s="68" t="s">
        <v>82</v>
      </c>
      <c r="C56" s="64" t="e">
        <f t="shared" ref="C56:J56" si="8">(C54*1.2)/C7</f>
        <v>#DIV/0!</v>
      </c>
      <c r="D56" s="64" t="e">
        <f t="shared" si="8"/>
        <v>#DIV/0!</v>
      </c>
      <c r="E56" s="64">
        <f t="shared" si="8"/>
        <v>18.602412545235222</v>
      </c>
      <c r="F56" s="64">
        <f t="shared" si="8"/>
        <v>0</v>
      </c>
      <c r="G56" s="64">
        <f t="shared" si="8"/>
        <v>0</v>
      </c>
      <c r="H56" s="64">
        <f t="shared" si="8"/>
        <v>460.18281885618563</v>
      </c>
      <c r="I56" s="64">
        <f t="shared" si="8"/>
        <v>437.94153020134229</v>
      </c>
      <c r="J56" s="64">
        <f t="shared" si="8"/>
        <v>4.098041692987997</v>
      </c>
      <c r="K56" s="64">
        <f t="shared" ref="K56:T56" si="9">(SUM(K42:K52)/K7)*1.2</f>
        <v>0</v>
      </c>
      <c r="L56" s="64">
        <f t="shared" si="9"/>
        <v>0</v>
      </c>
      <c r="M56" s="64">
        <f t="shared" si="9"/>
        <v>0</v>
      </c>
      <c r="N56" s="64">
        <f t="shared" si="9"/>
        <v>968.87838735177866</v>
      </c>
      <c r="O56" s="64">
        <f t="shared" si="9"/>
        <v>0</v>
      </c>
      <c r="P56" s="64">
        <f t="shared" si="9"/>
        <v>470.50208715979295</v>
      </c>
      <c r="Q56" s="64">
        <f t="shared" si="9"/>
        <v>0</v>
      </c>
      <c r="R56" s="64">
        <f t="shared" si="9"/>
        <v>26.830924231520509</v>
      </c>
      <c r="S56" s="64">
        <f t="shared" si="9"/>
        <v>872.1011880067889</v>
      </c>
      <c r="T56" s="64">
        <f t="shared" si="9"/>
        <v>612.62112644866011</v>
      </c>
    </row>
    <row r="57" spans="1:20" ht="15" thickBot="1" x14ac:dyDescent="0.35"/>
    <row r="58" spans="1:20" ht="15" thickBot="1" x14ac:dyDescent="0.35">
      <c r="B58" s="68" t="s">
        <v>84</v>
      </c>
      <c r="C58" s="101" t="e">
        <f>C56+C37</f>
        <v>#DIV/0!</v>
      </c>
      <c r="D58" s="101" t="e">
        <f t="shared" ref="D58:T58" si="10">D56+D37</f>
        <v>#DIV/0!</v>
      </c>
      <c r="E58" s="101">
        <f t="shared" si="10"/>
        <v>1057.627583433856</v>
      </c>
      <c r="F58" s="101" t="e">
        <f t="shared" si="10"/>
        <v>#VALUE!</v>
      </c>
      <c r="G58" s="101" t="e">
        <f t="shared" si="10"/>
        <v>#VALUE!</v>
      </c>
      <c r="H58" s="101">
        <f t="shared" si="10"/>
        <v>2247.8676429767888</v>
      </c>
      <c r="I58" s="101">
        <f t="shared" si="10"/>
        <v>2244.3070872483217</v>
      </c>
      <c r="J58" s="101" t="e">
        <f t="shared" si="10"/>
        <v>#VALUE!</v>
      </c>
      <c r="K58" s="101" t="e">
        <f t="shared" si="10"/>
        <v>#VALUE!</v>
      </c>
      <c r="L58" s="101" t="e">
        <f t="shared" si="10"/>
        <v>#VALUE!</v>
      </c>
      <c r="M58" s="101" t="e">
        <f t="shared" si="10"/>
        <v>#VALUE!</v>
      </c>
      <c r="N58" s="101">
        <f t="shared" si="10"/>
        <v>2991.4965154150195</v>
      </c>
      <c r="O58" s="101">
        <f t="shared" si="10"/>
        <v>1124.5185163636363</v>
      </c>
      <c r="P58" s="101">
        <f t="shared" si="10"/>
        <v>2440.6094306228083</v>
      </c>
      <c r="Q58" s="101">
        <f t="shared" si="10"/>
        <v>1487.4776753507015</v>
      </c>
      <c r="R58" s="101" t="e">
        <f t="shared" si="10"/>
        <v>#VALUE!</v>
      </c>
      <c r="S58" s="101">
        <f t="shared" si="10"/>
        <v>3042.6228549877433</v>
      </c>
      <c r="T58" s="101">
        <f t="shared" si="10"/>
        <v>3066.218049752712</v>
      </c>
    </row>
    <row r="60" spans="1:20" x14ac:dyDescent="0.3">
      <c r="B60" s="1" t="s">
        <v>116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>
        <v>17223.78</v>
      </c>
      <c r="O60" s="1"/>
      <c r="P60" s="1">
        <v>3465.69</v>
      </c>
      <c r="Q60" s="1"/>
      <c r="R60" s="1">
        <v>2500</v>
      </c>
      <c r="S60" s="1"/>
      <c r="T60" s="1">
        <f>5072.59+3550.21</f>
        <v>8622.7999999999993</v>
      </c>
    </row>
    <row r="62" spans="1:20" x14ac:dyDescent="0.3">
      <c r="B62" s="140" t="s">
        <v>130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2"/>
    </row>
    <row r="63" spans="1:20" ht="15" thickBot="1" x14ac:dyDescent="0.35"/>
    <row r="64" spans="1:20" ht="15" thickBot="1" x14ac:dyDescent="0.35">
      <c r="B64" s="122" t="s">
        <v>147</v>
      </c>
      <c r="C64" s="124"/>
    </row>
    <row r="65" spans="2:3" x14ac:dyDescent="0.3">
      <c r="B65" s="107" t="s">
        <v>103</v>
      </c>
      <c r="C65" s="116">
        <f>AVERAGEIF(C$6:T$6,"PP145",C25:T25)</f>
        <v>1373.3091806423777</v>
      </c>
    </row>
    <row r="66" spans="2:3" x14ac:dyDescent="0.3">
      <c r="B66" s="108" t="s">
        <v>102</v>
      </c>
      <c r="C66" s="114">
        <f>AVERAGEIF(C6:T6,"ETG145",C25:T25)</f>
        <v>794.80321672698028</v>
      </c>
    </row>
    <row r="67" spans="2:3" x14ac:dyDescent="0.3">
      <c r="B67" s="108" t="s">
        <v>106</v>
      </c>
      <c r="C67" s="114">
        <f>AVERAGEIF(C6:T6,"PP PLB145",C25:T25)</f>
        <v>1378.9986372745491</v>
      </c>
    </row>
    <row r="68" spans="2:3" x14ac:dyDescent="0.3">
      <c r="B68" s="108" t="s">
        <v>142</v>
      </c>
      <c r="C68" s="114" t="e">
        <f>AVERAGEIF(C6:T6,"ETG PLB145",C25:T25)</f>
        <v>#DIV/0!</v>
      </c>
    </row>
    <row r="69" spans="2:3" x14ac:dyDescent="0.3">
      <c r="B69" s="108" t="s">
        <v>104</v>
      </c>
      <c r="C69" s="114">
        <f>AVERAGEIF($C$6:$L$6,"PP220",$C$25:$L$25)</f>
        <v>1012.4390919955495</v>
      </c>
    </row>
    <row r="70" spans="2:3" x14ac:dyDescent="0.3">
      <c r="B70" s="108" t="s">
        <v>105</v>
      </c>
      <c r="C70" s="114">
        <f>AVERAGEIF(C6:T6,"ETG220",C25:T25)</f>
        <v>1175.0922544929344</v>
      </c>
    </row>
    <row r="71" spans="2:3" x14ac:dyDescent="0.3">
      <c r="B71" s="108" t="s">
        <v>143</v>
      </c>
      <c r="C71" s="114" t="e">
        <f>AVERAGEIF(C6:T6,"PP PLB220",C25:T25)</f>
        <v>#DIV/0!</v>
      </c>
    </row>
    <row r="72" spans="2:3" x14ac:dyDescent="0.3">
      <c r="B72" s="108" t="s">
        <v>109</v>
      </c>
      <c r="C72" s="114" t="e">
        <f>AVERAGEIF($C$6:$L$6,"ETG PLB220",$C$25:$L$25)</f>
        <v>#DIV/0!</v>
      </c>
    </row>
    <row r="73" spans="2:3" ht="15" thickBot="1" x14ac:dyDescent="0.35">
      <c r="B73" s="109" t="s">
        <v>114</v>
      </c>
      <c r="C73" s="115">
        <f>AVERAGEIF(C6:T6,"G145",C25:T25)</f>
        <v>791.42590613937512</v>
      </c>
    </row>
    <row r="74" spans="2:3" ht="15" thickBot="1" x14ac:dyDescent="0.35"/>
    <row r="75" spans="2:3" ht="15" thickBot="1" x14ac:dyDescent="0.35">
      <c r="B75" s="122" t="s">
        <v>145</v>
      </c>
      <c r="C75" s="124"/>
    </row>
    <row r="76" spans="2:3" x14ac:dyDescent="0.3">
      <c r="B76" s="107" t="s">
        <v>103</v>
      </c>
      <c r="C76" s="110" t="e">
        <f>C65+IF(AVERAGEIFS(C35:T35,C6:T6,"PP145")&gt;0,AVERAGEIFS(C35:T35,C6:T6,"PP145"),"Pas  possible")</f>
        <v>#VALUE!</v>
      </c>
    </row>
    <row r="77" spans="2:3" x14ac:dyDescent="0.3">
      <c r="B77" s="108" t="s">
        <v>102</v>
      </c>
      <c r="C77" s="111">
        <f>C66+IF(AVERAGEIFS(C35:T35,C6:T6,"ETG145")&gt;0,AVERAGEIFS(C35:T35,C6:T6,"ETG145"),"Pas  possible")</f>
        <v>998.32151186168073</v>
      </c>
    </row>
    <row r="78" spans="2:3" x14ac:dyDescent="0.3">
      <c r="B78" s="108" t="s">
        <v>106</v>
      </c>
      <c r="C78" s="111">
        <f>C67+IF(AVERAGEIFS(C35:T35,C6:T6,"PP PLB145")&gt;0,AVERAGEIFS(C35:T35,C6:T6,"PP PLB145"),"Pas  possible")</f>
        <v>1469.3978356713426</v>
      </c>
    </row>
    <row r="79" spans="2:3" x14ac:dyDescent="0.3">
      <c r="B79" s="108" t="s">
        <v>142</v>
      </c>
      <c r="C79" s="112" t="e">
        <f>C68+IF(AVERAGEIFS(C35:T35,C6:T6,"ETG PLB145")&gt;0,AVERAGEIFS(C35:T35,C6:T6,"ETG PLB145"),"Pas  possible")</f>
        <v>#DIV/0!</v>
      </c>
    </row>
    <row r="80" spans="2:3" x14ac:dyDescent="0.3">
      <c r="B80" s="108" t="s">
        <v>104</v>
      </c>
      <c r="C80" s="111">
        <f>C69+IF(AVERAGEIFS(C35:T35,C6:T6,"PP220")&gt;0,AVERAGEIFS(C35:T35,C6:T6,"PP220"),"Pas  possible")</f>
        <v>1471.3368298154503</v>
      </c>
    </row>
    <row r="81" spans="2:3" x14ac:dyDescent="0.3">
      <c r="B81" s="108" t="s">
        <v>105</v>
      </c>
      <c r="C81" s="111">
        <f>C70+IF(AVERAGEIFS(C35:T35,C6:T6,"ETG220")&gt;0,AVERAGEIFS(C35:T35,C6:T6,"ETG220"),"Pas  possible")</f>
        <v>1512.3695972573898</v>
      </c>
    </row>
    <row r="82" spans="2:3" x14ac:dyDescent="0.3">
      <c r="B82" s="108" t="s">
        <v>143</v>
      </c>
      <c r="C82" s="112" t="e">
        <f>C71+IF(AVERAGEIFS(C35:T35,C6:T6,"PP PLB220")&gt;0,AVERAGEIFS(C35:T35,C6:T6,"PP PLB220"),"Pas  possible")</f>
        <v>#DIV/0!</v>
      </c>
    </row>
    <row r="83" spans="2:3" x14ac:dyDescent="0.3">
      <c r="B83" s="108" t="s">
        <v>109</v>
      </c>
      <c r="C83" s="112" t="e">
        <f>C72+IF(AVERAGEIFS(C35:T35,C6:T6,"ETG PLB220")&gt;0,AVERAGEIFS(C35:T35,C6:T6,"ETG PLB220"),"Pas  possible")</f>
        <v>#DIV/0!</v>
      </c>
    </row>
    <row r="84" spans="2:3" ht="15" thickBot="1" x14ac:dyDescent="0.35">
      <c r="B84" s="109" t="s">
        <v>114</v>
      </c>
      <c r="C84" s="113">
        <f>C73+IF(AVERAGEIFS(C35:T35,C6:T6,"G145")&gt;0,AVERAGEIFS(C35:T35,C6:T6,"G145"),"Pas  possible")</f>
        <v>832.27859704846605</v>
      </c>
    </row>
    <row r="85" spans="2:3" ht="15" thickBot="1" x14ac:dyDescent="0.35"/>
    <row r="86" spans="2:3" ht="15" thickBot="1" x14ac:dyDescent="0.35">
      <c r="B86" s="134" t="s">
        <v>136</v>
      </c>
      <c r="C86" s="135"/>
    </row>
    <row r="87" spans="2:3" x14ac:dyDescent="0.3">
      <c r="B87" s="11" t="s">
        <v>149</v>
      </c>
      <c r="C87" s="96">
        <f>AVERAGE(C50:T50)</f>
        <v>5774.7150000000001</v>
      </c>
    </row>
    <row r="88" spans="2:3" x14ac:dyDescent="0.3">
      <c r="B88" s="8" t="s">
        <v>30</v>
      </c>
      <c r="C88" s="105">
        <f>SUM(C43:T43)/SUMIFS($C$7:$T$7,C43:T43,"&gt;1")</f>
        <v>128.23727808271508</v>
      </c>
    </row>
    <row r="89" spans="2:3" x14ac:dyDescent="0.3">
      <c r="B89" s="4" t="s">
        <v>31</v>
      </c>
      <c r="C89" s="105">
        <f t="shared" ref="C89:C96" si="11">SUM(C44:T44)/SUMIFS($C$7:$T$7,C44:T44,"&gt;1")</f>
        <v>90.700987192633249</v>
      </c>
    </row>
    <row r="90" spans="2:3" x14ac:dyDescent="0.3">
      <c r="B90" s="4" t="s">
        <v>32</v>
      </c>
      <c r="C90" s="105">
        <f t="shared" si="11"/>
        <v>121.81920903954803</v>
      </c>
    </row>
    <row r="91" spans="2:3" x14ac:dyDescent="0.3">
      <c r="B91" s="4" t="s">
        <v>35</v>
      </c>
      <c r="C91" s="105">
        <f t="shared" si="11"/>
        <v>29.465307517542271</v>
      </c>
    </row>
    <row r="92" spans="2:3" x14ac:dyDescent="0.3">
      <c r="B92" s="4" t="s">
        <v>39</v>
      </c>
      <c r="C92" s="105">
        <f t="shared" si="11"/>
        <v>48.246413335773724</v>
      </c>
    </row>
    <row r="93" spans="2:3" x14ac:dyDescent="0.3">
      <c r="B93" s="4" t="s">
        <v>42</v>
      </c>
      <c r="C93" s="105">
        <f t="shared" si="11"/>
        <v>77.646348971801501</v>
      </c>
    </row>
    <row r="94" spans="2:3" x14ac:dyDescent="0.3">
      <c r="B94" s="18" t="s">
        <v>53</v>
      </c>
      <c r="C94" s="105">
        <f t="shared" si="11"/>
        <v>135.16047520271547</v>
      </c>
    </row>
    <row r="95" spans="2:3" x14ac:dyDescent="0.3">
      <c r="B95" s="18" t="s">
        <v>59</v>
      </c>
      <c r="C95" s="105">
        <f t="shared" si="11"/>
        <v>34.221547305105339</v>
      </c>
    </row>
    <row r="96" spans="2:3" ht="15" thickBot="1" x14ac:dyDescent="0.35">
      <c r="B96" s="5" t="s">
        <v>83</v>
      </c>
      <c r="C96" s="106">
        <f t="shared" si="11"/>
        <v>37.312237523195627</v>
      </c>
    </row>
    <row r="97" spans="3:3" ht="15" thickBot="1" x14ac:dyDescent="0.35"/>
    <row r="98" spans="3:3" ht="15" thickBot="1" x14ac:dyDescent="0.35">
      <c r="C98" s="117">
        <f>SUM(C88:C96)</f>
        <v>702.80980417103035</v>
      </c>
    </row>
  </sheetData>
  <mergeCells count="7">
    <mergeCell ref="B75:C75"/>
    <mergeCell ref="B86:C86"/>
    <mergeCell ref="B39:T39"/>
    <mergeCell ref="B3:T3"/>
    <mergeCell ref="B1:T1"/>
    <mergeCell ref="B64:C64"/>
    <mergeCell ref="B62:T62"/>
  </mergeCells>
  <phoneticPr fontId="2" type="noConversion"/>
  <dataValidations disablePrompts="1" count="2">
    <dataValidation type="list" allowBlank="1" showInputMessage="1" showErrorMessage="1" sqref="P6:T6 N6 C6:E6 G6:K6" xr:uid="{41E4DE0B-7F9A-43F0-8DF1-7B6477DFF8AE}">
      <formula1>"PP145,ETG145,PP PLB145,ETG PLB145,PP220,ETG220,PP PLB220,ETG PLB220"</formula1>
    </dataValidation>
    <dataValidation type="list" allowBlank="1" showInputMessage="1" showErrorMessage="1" sqref="L6:M6 O6 F6" xr:uid="{21579068-49A7-4316-8780-76B2F547DF64}">
      <formula1>"PP145,ETG145,PP PLB145,ETG PLB145,PP220,ETG220,PP PLB220,ETG PLB220,G145"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</vt:lpstr>
      <vt:lpstr>SURELEVATION</vt:lpstr>
      <vt:lpstr>01-EXTENSION</vt:lpstr>
      <vt:lpstr>02-MOB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DIFFINE</dc:creator>
  <cp:lastModifiedBy>Dimitri DIFFINE</cp:lastModifiedBy>
  <dcterms:created xsi:type="dcterms:W3CDTF">2015-06-05T18:19:34Z</dcterms:created>
  <dcterms:modified xsi:type="dcterms:W3CDTF">2020-04-13T08:26:46Z</dcterms:modified>
</cp:coreProperties>
</file>