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mois" sheetId="12" r:id="rId1"/>
    <sheet name="Données" sheetId="97" r:id="rId2"/>
    <sheet name="JF" sheetId="99" r:id="rId3"/>
    <sheet name="Requête" sheetId="100" r:id="rId4"/>
  </sheets>
  <definedNames>
    <definedName name="_xlnm._FilterDatabase" localSheetId="0" hidden="1">mois!$A$3:$I$36</definedName>
    <definedName name="année">mois!$H$4</definedName>
    <definedName name="DonnéesExternes_1" localSheetId="3" hidden="1">Requête!$A$1:$S$9</definedName>
    <definedName name="mois">mois!$H$3</definedName>
    <definedName name="nom">mois!$C$3</definedName>
    <definedName name="T_01_janvier">mois!$A$5:$L$36</definedName>
    <definedName name="_xlnm.Print_Area" localSheetId="0">mois!$A:$J</definedName>
  </definedNames>
  <calcPr calcId="152511"/>
</workbook>
</file>

<file path=xl/calcChain.xml><?xml version="1.0" encoding="utf-8"?>
<calcChain xmlns="http://schemas.openxmlformats.org/spreadsheetml/2006/main">
  <c r="B25" i="99" l="1"/>
  <c r="B24" i="99"/>
  <c r="B23" i="99"/>
  <c r="B22" i="99"/>
  <c r="B21" i="99"/>
  <c r="B18" i="99"/>
  <c r="B17" i="99"/>
  <c r="B15" i="99"/>
  <c r="B20" i="99" s="1"/>
  <c r="B14" i="99"/>
  <c r="B13" i="99"/>
  <c r="B12" i="99"/>
  <c r="B11" i="99"/>
  <c r="B10" i="99"/>
  <c r="B9" i="99"/>
  <c r="B6" i="99"/>
  <c r="B5" i="99"/>
  <c r="B3" i="99"/>
  <c r="B8" i="99" s="1"/>
  <c r="B2" i="99"/>
  <c r="B16" i="99" l="1"/>
  <c r="B19" i="99" s="1"/>
  <c r="B4" i="99"/>
  <c r="B7" i="99" s="1"/>
  <c r="L9" i="12" l="1"/>
  <c r="L10" i="12"/>
  <c r="L11" i="12"/>
  <c r="L14" i="12"/>
  <c r="L15" i="12"/>
  <c r="L18" i="12"/>
  <c r="L19" i="12"/>
  <c r="L20" i="12"/>
  <c r="L23" i="12"/>
  <c r="L26" i="12"/>
  <c r="L27" i="12"/>
  <c r="L31" i="12"/>
  <c r="L32" i="12"/>
  <c r="L33" i="12"/>
  <c r="L34" i="12"/>
  <c r="L35" i="12"/>
  <c r="L37" i="12"/>
  <c r="L7" i="12"/>
  <c r="L6" i="12" l="1"/>
  <c r="K9" i="12" l="1"/>
  <c r="K10" i="12"/>
  <c r="K11" i="12"/>
  <c r="K14" i="12"/>
  <c r="K15" i="12"/>
  <c r="K18" i="12"/>
  <c r="K19" i="12"/>
  <c r="K20" i="12"/>
  <c r="K23" i="12"/>
  <c r="K26" i="12"/>
  <c r="K27" i="12"/>
  <c r="K31" i="12"/>
  <c r="K32" i="12"/>
  <c r="K33" i="12"/>
  <c r="K34" i="12"/>
  <c r="K37" i="12"/>
  <c r="K7" i="12"/>
  <c r="K6" i="12"/>
  <c r="C9" i="12" l="1"/>
  <c r="C11" i="12"/>
  <c r="C15" i="12"/>
  <c r="C18" i="12"/>
  <c r="C19" i="12"/>
  <c r="C20" i="12"/>
  <c r="C23" i="12"/>
  <c r="C27" i="12"/>
  <c r="C31" i="12"/>
  <c r="C32" i="12"/>
  <c r="C33" i="12"/>
  <c r="C34" i="12"/>
  <c r="I1" i="12" l="1"/>
  <c r="N2" i="12" s="1"/>
  <c r="H4" i="12" l="1"/>
  <c r="A6" i="12" s="1"/>
  <c r="J6" i="12" l="1"/>
  <c r="A37" i="12"/>
  <c r="H6" i="12"/>
  <c r="J37" i="12" l="1"/>
  <c r="H37" i="12"/>
  <c r="N13" i="12" l="1"/>
  <c r="N12" i="12"/>
  <c r="N11" i="12"/>
  <c r="N10" i="12"/>
  <c r="N9" i="12"/>
  <c r="N6" i="12"/>
  <c r="N5" i="12"/>
  <c r="N3" i="12"/>
  <c r="J1" i="12"/>
  <c r="N25" i="12" s="1"/>
  <c r="N8" i="12" l="1"/>
  <c r="N23" i="12"/>
  <c r="N24" i="12"/>
  <c r="N21" i="12"/>
  <c r="N22" i="12"/>
  <c r="N17" i="12"/>
  <c r="N18" i="12"/>
  <c r="N14" i="12"/>
  <c r="N15" i="12"/>
  <c r="N20" i="12" s="1"/>
  <c r="N4" i="12"/>
  <c r="N7" i="12" s="1"/>
  <c r="G6" i="12" l="1"/>
  <c r="G37" i="12"/>
  <c r="N16" i="12"/>
  <c r="N19" i="12" s="1"/>
  <c r="I37" i="12" l="1"/>
  <c r="A1" i="12" l="1"/>
  <c r="A7" i="12"/>
  <c r="J7" i="12" s="1"/>
  <c r="G7" i="12" l="1"/>
  <c r="I6" i="12" s="1"/>
  <c r="C6" i="12" s="1"/>
  <c r="H7" i="12"/>
  <c r="A8" i="12"/>
  <c r="J8" i="12" s="1"/>
  <c r="G8" i="12" l="1"/>
  <c r="I7" i="12" s="1"/>
  <c r="H8" i="12"/>
  <c r="L8" i="12" s="1"/>
  <c r="A9" i="12"/>
  <c r="J9" i="12" s="1"/>
  <c r="C7" i="12" l="1"/>
  <c r="G9" i="12"/>
  <c r="K8" i="12" s="1"/>
  <c r="H9" i="12"/>
  <c r="A10" i="12"/>
  <c r="J10" i="12" s="1"/>
  <c r="I8" i="12" l="1"/>
  <c r="G10" i="12"/>
  <c r="I9" i="12" s="1"/>
  <c r="H10" i="12"/>
  <c r="A11" i="12"/>
  <c r="J11" i="12" s="1"/>
  <c r="C8" i="12" l="1"/>
  <c r="G11" i="12"/>
  <c r="I10" i="12" s="1"/>
  <c r="C10" i="12" s="1"/>
  <c r="H11" i="12"/>
  <c r="A12" i="12"/>
  <c r="J12" i="12" s="1"/>
  <c r="G12" i="12" l="1"/>
  <c r="I11" i="12" s="1"/>
  <c r="H12" i="12"/>
  <c r="L12" i="12" s="1"/>
  <c r="A13" i="12"/>
  <c r="J13" i="12" s="1"/>
  <c r="G13" i="12" l="1"/>
  <c r="I12" i="12" s="1"/>
  <c r="C12" i="12" s="1"/>
  <c r="H13" i="12"/>
  <c r="L13" i="12" s="1"/>
  <c r="A14" i="12"/>
  <c r="J14" i="12" s="1"/>
  <c r="G14" i="12" l="1"/>
  <c r="I13" i="12" s="1"/>
  <c r="C13" i="12" s="1"/>
  <c r="K12" i="12"/>
  <c r="H14" i="12"/>
  <c r="A15" i="12"/>
  <c r="J15" i="12" s="1"/>
  <c r="G15" i="12" l="1"/>
  <c r="I14" i="12" s="1"/>
  <c r="C14" i="12" s="1"/>
  <c r="H15" i="12"/>
  <c r="A16" i="12"/>
  <c r="J16" i="12" s="1"/>
  <c r="G16" i="12" l="1"/>
  <c r="I15" i="12" s="1"/>
  <c r="H16" i="12"/>
  <c r="L16" i="12" s="1"/>
  <c r="A17" i="12"/>
  <c r="J17" i="12" s="1"/>
  <c r="G17" i="12" l="1"/>
  <c r="I16" i="12" s="1"/>
  <c r="C16" i="12" s="1"/>
  <c r="H17" i="12"/>
  <c r="L17" i="12" s="1"/>
  <c r="A18" i="12"/>
  <c r="J18" i="12" s="1"/>
  <c r="K16" i="12" l="1"/>
  <c r="G18" i="12"/>
  <c r="K17" i="12" s="1"/>
  <c r="H18" i="12"/>
  <c r="A19" i="12"/>
  <c r="J19" i="12" s="1"/>
  <c r="I17" i="12" l="1"/>
  <c r="C17" i="12" s="1"/>
  <c r="G19" i="12"/>
  <c r="I18" i="12" s="1"/>
  <c r="H19" i="12"/>
  <c r="A20" i="12"/>
  <c r="J20" i="12" s="1"/>
  <c r="G20" i="12" l="1"/>
  <c r="I19" i="12" s="1"/>
  <c r="H20" i="12"/>
  <c r="A21" i="12"/>
  <c r="J21" i="12" s="1"/>
  <c r="G21" i="12" l="1"/>
  <c r="I20" i="12" s="1"/>
  <c r="H21" i="12"/>
  <c r="L21" i="12" s="1"/>
  <c r="A22" i="12"/>
  <c r="J22" i="12" s="1"/>
  <c r="G22" i="12" l="1"/>
  <c r="I21" i="12" s="1"/>
  <c r="C21" i="12" s="1"/>
  <c r="H22" i="12"/>
  <c r="L22" i="12" s="1"/>
  <c r="A23" i="12"/>
  <c r="J23" i="12" s="1"/>
  <c r="K21" i="12" l="1"/>
  <c r="G23" i="12"/>
  <c r="K22" i="12" s="1"/>
  <c r="H23" i="12"/>
  <c r="A24" i="12"/>
  <c r="J24" i="12" s="1"/>
  <c r="I22" i="12" l="1"/>
  <c r="C22" i="12" s="1"/>
  <c r="G24" i="12"/>
  <c r="I23" i="12" s="1"/>
  <c r="H24" i="12"/>
  <c r="L24" i="12" s="1"/>
  <c r="A25" i="12"/>
  <c r="J25" i="12" s="1"/>
  <c r="G25" i="12" l="1"/>
  <c r="K24" i="12" s="1"/>
  <c r="H25" i="12"/>
  <c r="L25" i="12" s="1"/>
  <c r="A26" i="12"/>
  <c r="J26" i="12" s="1"/>
  <c r="I24" i="12" l="1"/>
  <c r="C24" i="12" s="1"/>
  <c r="G26" i="12"/>
  <c r="I25" i="12" s="1"/>
  <c r="C25" i="12" s="1"/>
  <c r="H26" i="12"/>
  <c r="A27" i="12"/>
  <c r="J27" i="12" s="1"/>
  <c r="K25" i="12" l="1"/>
  <c r="G27" i="12"/>
  <c r="I26" i="12" s="1"/>
  <c r="C26" i="12" s="1"/>
  <c r="H27" i="12"/>
  <c r="A28" i="12"/>
  <c r="J28" i="12" s="1"/>
  <c r="G28" i="12" l="1"/>
  <c r="I27" i="12" s="1"/>
  <c r="H28" i="12"/>
  <c r="L28" i="12" s="1"/>
  <c r="A29" i="12"/>
  <c r="J29" i="12" s="1"/>
  <c r="G29" i="12" l="1"/>
  <c r="I28" i="12" s="1"/>
  <c r="C28" i="12" s="1"/>
  <c r="H29" i="12"/>
  <c r="L29" i="12" s="1"/>
  <c r="A30" i="12"/>
  <c r="J30" i="12" s="1"/>
  <c r="K28" i="12" l="1"/>
  <c r="G30" i="12"/>
  <c r="K29" i="12" s="1"/>
  <c r="H30" i="12"/>
  <c r="L30" i="12" s="1"/>
  <c r="A31" i="12"/>
  <c r="J31" i="12" s="1"/>
  <c r="I29" i="12" l="1"/>
  <c r="C29" i="12" s="1"/>
  <c r="G31" i="12"/>
  <c r="K30" i="12" s="1"/>
  <c r="H31" i="12"/>
  <c r="A32" i="12"/>
  <c r="J32" i="12" s="1"/>
  <c r="I30" i="12" l="1"/>
  <c r="G32" i="12"/>
  <c r="I31" i="12" s="1"/>
  <c r="H32" i="12"/>
  <c r="A33" i="12"/>
  <c r="J33" i="12" s="1"/>
  <c r="G33" i="12" l="1"/>
  <c r="I32" i="12" s="1"/>
  <c r="H33" i="12"/>
  <c r="A34" i="12"/>
  <c r="J34" i="12" s="1"/>
  <c r="G34" i="12" l="1"/>
  <c r="I33" i="12" s="1"/>
  <c r="H34" i="12"/>
  <c r="A35" i="12"/>
  <c r="J35" i="12" s="1"/>
  <c r="G35" i="12" l="1"/>
  <c r="I34" i="12" s="1"/>
  <c r="H35" i="12"/>
  <c r="A36" i="12"/>
  <c r="J36" i="12" s="1"/>
  <c r="J39" i="12" s="1"/>
  <c r="G36" i="12" l="1"/>
  <c r="K36" i="12" s="1"/>
  <c r="K35" i="12"/>
  <c r="H36" i="12"/>
  <c r="L36" i="12" s="1"/>
  <c r="I35" i="12" l="1"/>
  <c r="C35" i="12" s="1"/>
  <c r="I36" i="12"/>
  <c r="C36" i="12" l="1"/>
  <c r="C38" i="12" s="1"/>
  <c r="I39" i="12"/>
</calcChain>
</file>

<file path=xl/comments1.xml><?xml version="1.0" encoding="utf-8"?>
<comments xmlns="http://schemas.openxmlformats.org/spreadsheetml/2006/main">
  <authors>
    <author>Noël D</author>
  </authors>
  <commentList>
    <comment ref="J8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2,25 car travail de 21h45 à minuit le dimanche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7,75 car travail de minuit à 7h45 le 08 mai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2,25 car travail de 21h45 à minuit le 08 mai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7,75 car travail de minuit à 7h45 le dimanche</t>
        </r>
      </text>
    </comment>
    <comment ref="J22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2,25 car travail de 21h45 à minuit le dimanche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7,75 car travail de minuit à 7h45 le dimanche</t>
        </r>
      </text>
    </comment>
    <comment ref="J36" authorId="0" shapeId="0">
      <text>
        <r>
          <rPr>
            <b/>
            <sz val="9"/>
            <color indexed="81"/>
            <rFont val="Tahoma"/>
            <family val="2"/>
          </rPr>
          <t>Noël D:</t>
        </r>
        <r>
          <rPr>
            <sz val="9"/>
            <color indexed="81"/>
            <rFont val="Tahoma"/>
            <family val="2"/>
          </rPr>
          <t xml:space="preserve">
prime de 2,25 car travail de 21h45 à minuit le dimanche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analyse" description="Connexion à la requête « analyse » dans le classeur." type="5" refreshedVersion="5" background="1" saveData="1">
    <dbPr connection="provider=Microsoft.Mashup.OleDb.1;data source=$EmbeddedMashup(528f12f0-f55f-4dae-bbf8-76b45d124035)$;location=analyse;extended properties=UEsDBBQAAgAIALCsv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rL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y9UEjKZOPMBQAAYBYAABMAHABGb3JtdWxhcy9TZWN0aW9uMS5tIKIYACigFAAAAAAAAAAAAAAAAAAAAAAAAAAAAL1YX2/bNhB/D5DvQKgPkzDNiJx4Bda6QJfEy7wm7eqgfTCMgLbohqskehTVxQj8gbKvkS+2I6k/pEw5RjvUL6Z4x7vf/eHxyJwsBGUZmuj/6MXhweFBfos5iRHOcLLOCRqihIgDBL8JK/hCTpzfLUjSOy04J5n4yPjnOWOf/SBUXM+8N/RTRnK0pIngjw8k92DJNZ4npDchCWh6z/7JfS0sRAQvbtE1uRO9icBc5B+puPWnVzglsxB51zdeUMs9ZZkAhSh+fPhCErZaPT40os/vVjiL1fiUJUWa+Q4gILEUAsN7TzNGeloO+83wuBmeNMOBt/nqhUF4WBuSsEwiy4vVitPUdtJ7krIvpRG57zY7vK8Vb0r/nAssjmoh7zhLmSAXBMeEaykOnSGaloyvk2SywAnm+VDwgswMp5frINYs3YKaQaAqqApBeH+vaXpWBrKkBPcn4DzvktHc2xjeuF6vCEpZTJfUDOg1x1m+ZDzVgiSXZYeBB3R6Vyydc4LiH25JwZVpQsrNinROuAraeQZr0lWCFyRV/iTol4pNQAIqpksm6NIxS/OtyTMsSDUZw3iz6dwBkXMLtE0vN4M/fbZlzQy9fAW2JEmzG96Tv4vHf4VUU+SweTM7NFckFyQeM+raCJFMIIV/E45HMO4f9Y9g7I1HXijX/EGzuPeGLMXbQhBe6xyP9t98bnyQAFIHqlXCCCY2u82KOuxq4WkZ9YHQJCFSujSsFz1hWi/6RuMibZ1UhCzt1leT+GVUBKftHGFc+A5IMs/LrHvLYV/3XucLksU0+2Tup9+zmNwh/BcrhGnG6zhWlHZ1rNUDeMUAg6MQRR0Cox0Sbc2VPOWPyJLodF+/I8gt9RDYSuwm7KTKmLdJrui7bfzGROjXthvam4rRVYnK4lMXF+U4J7OmKHbphjKJx3CkjszouAPTyilIWVh3s3x84EYRoks0HY/qsoPELcn0DEmgKTgAuj9VAGbDaQlkBj1DjKB6Oe0DPjcFLNArlc0A+wyvc38qv2ZhFAyn2hezADGO0LTaSTM0bJCpkUJmC6mZQVDppYsuN6l5cMdIe+Jipyv6vf4AoR+RL6klQAPP897zgcZzFOh/yddAt2Q1zKrCa5hXv96MXSgvWjCv5hZOI5QtLVGFR8s/o6lDutIKwoGKs8Ut6ZT98pWSDBFRxoO33y4/EvK5ihtMr3uXLIvxOng5kHzfP11amQE2PI11+HOZ6orkSqlKUZVObkfCrHbjxf/lwm+xRmWrWiZzrckwN/aLGryVXE+rezUc6JjWuTkbHjmzrz59PnFWrOzO5Tc55Wt0RvO1R9WEsknmhagwv6G56F3CGaKhBmavJgWPaGaz4rsu1msmcGIxT4rU2agF241ntZnybQEyQVxLruZo9ypwrWNZ6XfHkqqodSh7cqFbnwxYteSm6o9lEOteuLbCeS5tJYFRepCNRbZE5sXCn8qvWdiUqqDpjT/gBMKRI2jVOabCzK7WtSL3a4RmqGrl6mZ6CkGmGfEVklqADxYr8giuUOAc74UXmHeEGs2IY3W9zghHCUYLfYNBK8zlSZzQFBAW3Gj/VgkVtY+2bWk5SbFDM6PXSUS/rs+IFst9QBWiPwu44k3EWnov/xJYlupeovns25/H9ueJ/Tmom48qg5xx3tMDzam2Z+ytzmVX/KMdCVAhNzbQ949+tHf4I9tNXxf9cn3PFKYjX30cmx8nxgXN9ZAQdb9e7Gt+WFaTRpF1Oe4O4NbDgIVLXZmsVLcLu533XbTjHbSTHbTBFs10vJuyjcMMiZviwFAehK4Tz3207Tq1dpwzJqnzbrt1tW3FNjSO7vbNdsfTjYu1esDZviAfHtCsA5757qm67n2fPO/VS+UQruo38j3jpg/N6WZavtjNnJn8RCKX76LgEFnc4FrZcnX9/KTeT9zPT+8Iz2Ev4ITmYF517yOesza336Cap4qyCNrtr1Q7C3+C/hfc+YS+F/8BUEsBAi0AFAACAAgAsKy9UJo5YH+rAAAA+gAAABIAAAAAAAAAAAAAAAAAAAAAAENvbmZpZy9QYWNrYWdlLnhtbFBLAQItABQAAgAIALCsvVAPyumrpAAAAOkAAAATAAAAAAAAAAAAAAAAAPcAAABbQ29udGVudF9UeXBlc10ueG1sUEsBAi0AFAACAAgAsKy9UEjKZOPMBQAAYBYAABMAAAAAAAAAAAAAAAAA6AEAAEZvcm11bGFzL1NlY3Rpb24xLm1QSwUGAAAAAAMAAwDCAAAAAQgAAAAA" command="SELECT * FROM [analyse]"/>
  </connection>
  <connection id="2" name="Requête - JF" description="Connexion à la requête « JF » dans le classeur." type="5" refreshedVersion="0" background="1">
    <dbPr connection="provider=Microsoft.Mashup.OleDb.1;data source=$EmbeddedMashup(528f12f0-f55f-4dae-bbf8-76b45d124035)$;location=JF;extended properties=&quot;UEsDBBQAAgAIALCsv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rL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Ky9UP9iUJL3AAAAaAEAABMAHABGb3JtdWxhcy9TZWN0aW9uMS5tIKIYACigFAAAAAAAAAAAAAAAAAAAAAAAAAAAAIWOQWrDMBBF94bcYVA3Nqgh9jZkUZx64UUpxLQLY4JijYkaWSqSDAnGB/I5fLHKNaHQTWYzn8+f/8Zi7YRWcFh2vF0Fq8CemUEOeQY7kOgC8HPQnanRG6/XGuU67YxB5T61uZy0voRRX76xFnckz47JJtkck5hUQ5lq5Xysor8dT6S4fSO0motGTCPxbQU7SVwXhinbaNOmWnatmlM2XIi070nulYVmGo2/soSCm2scXt1AoScz725y5nAYojvvHY3VSjEp7DQisC/dOS/+yC+cL8zw/3MUyAcKKTHPvEZWn2Hvy+eLPbvZsJyxFX2OoygQ6gFv+wNQSwECLQAUAAIACACwrL1Qmjlgf6sAAAD6AAAAEgAAAAAAAAAAAAAAAAAAAAAAQ29uZmlnL1BhY2thZ2UueG1sUEsBAi0AFAACAAgAsKy9UA/K6aukAAAA6QAAABMAAAAAAAAAAAAAAAAA9wAAAFtDb250ZW50X1R5cGVzXS54bWxQSwECLQAUAAIACACwrL1Q/2JQkvcAAABoAQAAEwAAAAAAAAAAAAAAAADoAQAARm9ybXVsYXMvU2VjdGlvbjEubVBLBQYAAAAAAwADAMIAAAAsAwAAAAA=&quot;" command="SELECT * FROM [JF]"/>
  </connection>
</connections>
</file>

<file path=xl/sharedStrings.xml><?xml version="1.0" encoding="utf-8"?>
<sst xmlns="http://schemas.openxmlformats.org/spreadsheetml/2006/main" count="232" uniqueCount="119">
  <si>
    <t>Date</t>
  </si>
  <si>
    <t>Motif</t>
  </si>
  <si>
    <t>NOM - Prénom :</t>
  </si>
  <si>
    <t>Unité 
de Vie</t>
  </si>
  <si>
    <t>Téléphone :</t>
  </si>
  <si>
    <t>Donné le :</t>
  </si>
  <si>
    <t>Nombre d'heures</t>
  </si>
  <si>
    <t>mail :</t>
  </si>
  <si>
    <t>Nom</t>
  </si>
  <si>
    <t>A.S</t>
  </si>
  <si>
    <t>A.S.I</t>
  </si>
  <si>
    <t>A.A</t>
  </si>
  <si>
    <t>Sexe</t>
  </si>
  <si>
    <t>Sécu</t>
  </si>
  <si>
    <t>Lieu_naissance</t>
  </si>
  <si>
    <t>F</t>
  </si>
  <si>
    <t>M</t>
  </si>
  <si>
    <t>Date naissance</t>
  </si>
  <si>
    <t>Ville 1</t>
  </si>
  <si>
    <t>Ville 6</t>
  </si>
  <si>
    <t>Ville 5</t>
  </si>
  <si>
    <t>Ville 7</t>
  </si>
  <si>
    <t>Ville 2</t>
  </si>
  <si>
    <t>Ville 8</t>
  </si>
  <si>
    <t>Ville 4</t>
  </si>
  <si>
    <t>Ville 3</t>
  </si>
  <si>
    <t>Ville 9</t>
  </si>
  <si>
    <t>SDN</t>
  </si>
  <si>
    <t>Surveilant de nuit</t>
  </si>
  <si>
    <t>Aide Soignante</t>
  </si>
  <si>
    <t>Agent de Service Intérieur</t>
  </si>
  <si>
    <t>Indice</t>
  </si>
  <si>
    <t>Assistante d'Accompagnement</t>
  </si>
  <si>
    <t>Jours fériés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</si>
  <si>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</si>
  <si>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</si>
  <si>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</si>
  <si>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</si>
  <si>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</si>
  <si>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</si>
  <si>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</si>
  <si>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</si>
  <si>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</si>
  <si>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</si>
  <si>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</si>
  <si>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</si>
  <si>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NOM</t>
  </si>
  <si>
    <t>Poste</t>
  </si>
  <si>
    <t>Motif jour</t>
  </si>
  <si>
    <t>arrêt maladie</t>
  </si>
  <si>
    <t>congé parental</t>
  </si>
  <si>
    <t>congé sans solde</t>
  </si>
  <si>
    <t>congés maladie</t>
  </si>
  <si>
    <t>congés payés</t>
  </si>
  <si>
    <t>délégation</t>
  </si>
  <si>
    <t>formation</t>
  </si>
  <si>
    <t>renfort</t>
  </si>
  <si>
    <t>Statut</t>
  </si>
  <si>
    <t>Intitulé</t>
  </si>
  <si>
    <t>En remplacement de :</t>
  </si>
  <si>
    <t>Férié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</si>
  <si>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</si>
  <si>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</si>
  <si>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</si>
  <si>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</si>
  <si>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</si>
  <si>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</si>
  <si>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</si>
  <si>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</si>
  <si>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</si>
  <si>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</si>
  <si>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</si>
  <si>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</si>
  <si>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</si>
  <si>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</si>
  <si>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Assistant d'accompagnement</t>
  </si>
  <si>
    <t xml:space="preserve"> </t>
  </si>
  <si>
    <t>Debut</t>
  </si>
  <si>
    <t>Fin</t>
  </si>
  <si>
    <t>Total</t>
  </si>
  <si>
    <t>Dimanches</t>
  </si>
  <si>
    <t>Nb Dimanches</t>
  </si>
  <si>
    <t>Fériés</t>
  </si>
  <si>
    <t>Nb Fériés</t>
  </si>
  <si>
    <t>Dimanche .1</t>
  </si>
  <si>
    <t>Dimanche .2</t>
  </si>
  <si>
    <t>Dimanche .3</t>
  </si>
  <si>
    <t>Dimanche .4</t>
  </si>
  <si>
    <t>Dimanche .5</t>
  </si>
  <si>
    <t>Férié.1</t>
  </si>
  <si>
    <t>Férié.2</t>
  </si>
  <si>
    <t>Férié.3</t>
  </si>
  <si>
    <t>Férié.4</t>
  </si>
  <si>
    <t>Prime_dimanche</t>
  </si>
  <si>
    <t>Prime_férié</t>
  </si>
  <si>
    <t>T.T</t>
  </si>
  <si>
    <t>REC</t>
  </si>
  <si>
    <t>Formation</t>
  </si>
  <si>
    <t>jour_dimanche</t>
  </si>
  <si>
    <t>J_férié</t>
  </si>
  <si>
    <t>Nom 1 Prénom 1</t>
  </si>
  <si>
    <t>Nom 2 Prénom 2</t>
  </si>
  <si>
    <t>Nom 3 Prénom 3</t>
  </si>
  <si>
    <t>Nom 4 Prénom 4</t>
  </si>
  <si>
    <t>Nom 5 Prénom 5</t>
  </si>
  <si>
    <t>Nom 6 Prénom 6</t>
  </si>
  <si>
    <t>Nom 7 Prénom 7</t>
  </si>
  <si>
    <t>Nom 8 Prénom 8</t>
  </si>
  <si>
    <t>Nom 9 Prénom 9</t>
  </si>
  <si>
    <t>The Beatles</t>
  </si>
  <si>
    <t>Simon &amp; Garfunkel</t>
  </si>
  <si>
    <t>Jacques Brel</t>
  </si>
  <si>
    <t>Georges Brassens</t>
  </si>
  <si>
    <t>le 17/05 doit ressortir 2 fois car il faudra éditer 2 contrats</t>
  </si>
  <si>
    <t>le 08/05 ne doit ressortir qu'une fois car c'est le même motif/personne, donc le même contrat</t>
  </si>
  <si>
    <t>2020</t>
  </si>
  <si>
    <t>Mois</t>
  </si>
  <si>
    <t>T_01_janvier</t>
  </si>
  <si>
    <t>Le dimanche 24 compte comme 2, ce qui est logique dans la requête, mais pas ce qu'il faudrait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</si>
</sst>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ddd"/>
    <numFmt numFmtId="165" formatCode="&quot;Mois de &quot;mmmm\ yyyy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206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sz val="16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D0D0D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9">
    <xf numFmtId="0" fontId="0" fillId="0" borderId="0" xfId="0"/>
    <xf numFmtId="164" fontId="6" fillId="0" borderId="1" xfId="0" applyNumberFormat="1" applyFont="1" applyFill="1" applyBorder="1" applyAlignment="1" applyProtection="1">
      <alignment horizontal="left" vertical="center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right" vertical="center" indent="1"/>
      <protection locked="0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 applyProtection="1">
      <alignment horizontal="left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6" fillId="0" borderId="0" xfId="0" applyFont="1"/>
    <xf numFmtId="14" fontId="13" fillId="2" borderId="0" xfId="0" quotePrefix="1" applyNumberFormat="1" applyFont="1" applyFill="1" applyAlignment="1" applyProtection="1">
      <alignment horizontal="center" vertical="center"/>
    </xf>
    <xf numFmtId="0" fontId="10" fillId="0" borderId="0" xfId="0" applyFont="1"/>
    <xf numFmtId="0" fontId="10" fillId="0" borderId="0" xfId="0" applyFont="1" applyBorder="1"/>
    <xf numFmtId="0" fontId="14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right" vertical="center" indent="1"/>
    </xf>
    <xf numFmtId="49" fontId="6" fillId="0" borderId="0" xfId="0" applyNumberFormat="1" applyFont="1" applyAlignment="1" applyProtection="1">
      <alignment horizontal="right" vertical="center" indent="1"/>
    </xf>
    <xf numFmtId="0" fontId="6" fillId="0" borderId="0" xfId="0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12" fillId="0" borderId="0" xfId="0" applyFont="1" applyAlignment="1" applyProtection="1">
      <alignment horizontal="left"/>
      <protection locked="0"/>
    </xf>
    <xf numFmtId="0" fontId="1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7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6" fillId="0" borderId="0" xfId="0" applyNumberFormat="1" applyFont="1" applyFill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horizontal="left" vertical="center"/>
      <protection locked="0"/>
    </xf>
    <xf numFmtId="166" fontId="4" fillId="0" borderId="0" xfId="0" quotePrefix="1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NumberFormat="1" applyAlignment="1"/>
    <xf numFmtId="14" fontId="0" fillId="0" borderId="0" xfId="0" applyNumberFormat="1" applyProtection="1">
      <protection locked="0"/>
    </xf>
    <xf numFmtId="14" fontId="6" fillId="0" borderId="0" xfId="0" applyNumberFormat="1" applyFont="1" applyProtection="1">
      <protection locked="0"/>
    </xf>
    <xf numFmtId="14" fontId="6" fillId="0" borderId="0" xfId="0" applyNumberFormat="1" applyFont="1" applyBorder="1" applyAlignment="1" applyProtection="1">
      <alignment horizontal="left" vertical="center"/>
      <protection locked="0"/>
    </xf>
    <xf numFmtId="14" fontId="6" fillId="0" borderId="0" xfId="0" applyNumberFormat="1" applyFont="1" applyFill="1" applyAlignment="1" applyProtection="1">
      <alignment horizontal="left" vertical="center"/>
      <protection locked="0"/>
    </xf>
    <xf numFmtId="14" fontId="6" fillId="0" borderId="0" xfId="0" applyNumberFormat="1" applyFont="1" applyFill="1" applyAlignment="1" applyProtection="1">
      <alignment horizontal="left" vertical="center" indent="1"/>
      <protection locked="0"/>
    </xf>
    <xf numFmtId="14" fontId="6" fillId="0" borderId="0" xfId="0" applyNumberFormat="1" applyFont="1" applyAlignment="1" applyProtection="1">
      <alignment horizontal="left" indent="1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164" fontId="6" fillId="0" borderId="8" xfId="0" applyNumberFormat="1" applyFont="1" applyFill="1" applyBorder="1" applyAlignment="1" applyProtection="1">
      <alignment horizontal="left" vertical="center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 vertical="center" indent="1"/>
      <protection locked="0"/>
    </xf>
    <xf numFmtId="0" fontId="6" fillId="0" borderId="0" xfId="0" applyNumberFormat="1" applyFont="1" applyAlignment="1" applyProtection="1">
      <alignment horizontal="left" indent="1"/>
      <protection locked="0"/>
    </xf>
    <xf numFmtId="0" fontId="15" fillId="0" borderId="0" xfId="0" applyNumberFormat="1" applyFont="1" applyFill="1" applyAlignment="1" applyProtection="1">
      <alignment horizontal="right" vertical="center"/>
    </xf>
    <xf numFmtId="0" fontId="0" fillId="0" borderId="0" xfId="0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1"/>
    <xf numFmtId="0" fontId="6" fillId="0" borderId="6" xfId="0" applyNumberFormat="1" applyFont="1" applyFill="1" applyBorder="1" applyAlignment="1" applyProtection="1">
      <alignment horizontal="right" vertical="center" indent="1"/>
    </xf>
    <xf numFmtId="0" fontId="0" fillId="0" borderId="0" xfId="0" applyNumberFormat="1" applyAlignment="1" applyProtection="1">
      <alignment horizontal="right" vertical="center" indent="1"/>
      <protection locked="0"/>
    </xf>
    <xf numFmtId="0" fontId="7" fillId="0" borderId="5" xfId="0" applyFont="1" applyBorder="1" applyAlignment="1" applyProtection="1">
      <alignment horizontal="right" vertical="center"/>
      <protection locked="0"/>
    </xf>
    <xf numFmtId="0" fontId="6" fillId="0" borderId="0" xfId="0" applyNumberFormat="1" applyFont="1" applyBorder="1" applyAlignment="1" applyProtection="1">
      <alignment horizontal="right" vertical="center" indent="1"/>
      <protection locked="0"/>
    </xf>
    <xf numFmtId="0" fontId="6" fillId="0" borderId="0" xfId="0" applyNumberFormat="1" applyFont="1" applyFill="1" applyAlignment="1" applyProtection="1">
      <alignment horizontal="right" vertical="center" indent="1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0" fontId="19" fillId="0" borderId="0" xfId="0" applyNumberFormat="1" applyFont="1" applyFill="1" applyAlignment="1" applyProtection="1">
      <alignment horizontal="center" vertical="center"/>
    </xf>
    <xf numFmtId="14" fontId="17" fillId="0" borderId="9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NumberFormat="1" applyFont="1" applyFill="1" applyAlignment="1" applyProtection="1">
      <alignment horizontal="left" vertical="center"/>
    </xf>
    <xf numFmtId="14" fontId="0" fillId="0" borderId="0" xfId="0" applyNumberFormat="1" applyAlignment="1"/>
    <xf numFmtId="0" fontId="0" fillId="0" borderId="0" xfId="0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 indent="1"/>
    </xf>
    <xf numFmtId="164" fontId="12" fillId="0" borderId="1" xfId="0" applyNumberFormat="1" applyFont="1" applyFill="1" applyBorder="1" applyAlignment="1" applyProtection="1">
      <alignment horizontal="left" vertical="center"/>
    </xf>
    <xf numFmtId="0" fontId="1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NumberFormat="1" applyFont="1" applyFill="1" applyBorder="1" applyAlignment="1" applyProtection="1">
      <alignment horizontal="left" vertical="center"/>
      <protection locked="0"/>
    </xf>
    <xf numFmtId="14" fontId="6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/>
    <xf numFmtId="0" fontId="6" fillId="5" borderId="6" xfId="0" applyNumberFormat="1" applyFont="1" applyFill="1" applyBorder="1" applyAlignment="1" applyProtection="1">
      <alignment horizontal="right" vertical="center" indent="1"/>
    </xf>
    <xf numFmtId="0" fontId="6" fillId="5" borderId="1" xfId="0" applyNumberFormat="1" applyFont="1" applyFill="1" applyBorder="1" applyAlignment="1" applyProtection="1">
      <alignment horizontal="left" vertical="center"/>
      <protection locked="0"/>
    </xf>
    <xf numFmtId="164" fontId="12" fillId="5" borderId="1" xfId="0" applyNumberFormat="1" applyFont="1" applyFill="1" applyBorder="1" applyAlignment="1" applyProtection="1">
      <alignment horizontal="left" vertical="center"/>
    </xf>
    <xf numFmtId="0" fontId="12" fillId="5" borderId="1" xfId="0" applyNumberFormat="1" applyFont="1" applyFill="1" applyBorder="1" applyAlignment="1" applyProtection="1">
      <alignment horizontal="left" vertical="center"/>
      <protection locked="0"/>
    </xf>
    <xf numFmtId="14" fontId="6" fillId="5" borderId="1" xfId="0" applyNumberFormat="1" applyFont="1" applyFill="1" applyBorder="1" applyAlignment="1" applyProtection="1">
      <alignment horizontal="left" vertical="center"/>
      <protection locked="0"/>
    </xf>
    <xf numFmtId="0" fontId="17" fillId="5" borderId="1" xfId="0" applyNumberFormat="1" applyFont="1" applyFill="1" applyBorder="1" applyAlignment="1" applyProtection="1">
      <alignment horizontal="left" vertical="center" wrapText="1"/>
      <protection locked="0"/>
    </xf>
    <xf numFmtId="14" fontId="13" fillId="0" borderId="0" xfId="0" quotePrefix="1" applyNumberFormat="1" applyFont="1" applyFill="1" applyAlignment="1" applyProtection="1">
      <alignment horizontal="center" vertical="center"/>
    </xf>
    <xf numFmtId="0" fontId="0" fillId="0" borderId="0" xfId="0" applyFill="1" applyProtection="1">
      <protection locked="0"/>
    </xf>
    <xf numFmtId="14" fontId="6" fillId="5" borderId="8" xfId="0" applyNumberFormat="1" applyFont="1" applyFill="1" applyBorder="1" applyAlignment="1" applyProtection="1">
      <alignment vertical="center"/>
      <protection locked="0"/>
    </xf>
    <xf numFmtId="14" fontId="13" fillId="0" borderId="0" xfId="0" quotePrefix="1" applyNumberFormat="1" applyFont="1" applyFill="1" applyAlignment="1" applyProtection="1">
      <alignment horizontal="left" vertical="center"/>
    </xf>
    <xf numFmtId="0" fontId="15" fillId="6" borderId="0" xfId="0" applyNumberFormat="1" applyFont="1" applyFill="1" applyAlignment="1" applyProtection="1">
      <alignment horizontal="right" vertical="center"/>
    </xf>
    <xf numFmtId="0" fontId="22" fillId="6" borderId="0" xfId="0" applyNumberFormat="1" applyFont="1" applyFill="1" applyAlignment="1" applyProtection="1">
      <alignment horizontal="center" vertical="center"/>
    </xf>
    <xf numFmtId="14" fontId="0" fillId="0" borderId="0" xfId="0" quotePrefix="1" applyNumberFormat="1" applyAlignment="1"/>
    <xf numFmtId="14" fontId="6" fillId="5" borderId="8" xfId="0" applyNumberFormat="1" applyFont="1" applyFill="1" applyBorder="1" applyAlignment="1" applyProtection="1">
      <alignment horizontal="center" vertical="center"/>
      <protection locked="0"/>
    </xf>
    <xf numFmtId="14" fontId="6" fillId="5" borderId="11" xfId="0" applyNumberFormat="1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Alignment="1" applyProtection="1">
      <alignment horizontal="left" vertical="center"/>
      <protection locked="0"/>
    </xf>
    <xf numFmtId="0" fontId="16" fillId="3" borderId="0" xfId="0" applyFont="1" applyFill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5" xfId="0" applyNumberFormat="1" applyFont="1" applyFill="1" applyBorder="1" applyAlignment="1" applyProtection="1">
      <alignment horizontal="center" vertical="center"/>
      <protection locked="0"/>
    </xf>
    <xf numFmtId="0" fontId="6" fillId="5" borderId="10" xfId="0" applyNumberFormat="1" applyFont="1" applyFill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3" xfId="0" applyNumberFormat="1" applyFont="1" applyBorder="1" applyAlignment="1" applyProtection="1">
      <alignment horizontal="center" vertical="center"/>
    </xf>
    <xf numFmtId="165" fontId="9" fillId="0" borderId="4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right" vertical="center" indent="1"/>
      <protection locked="0"/>
    </xf>
  </cellXfs>
  <cellStyles count="2">
    <cellStyle name="Normal" xfId="0" builtinId="0"/>
    <cellStyle name="Normal 2" xfId="1"/>
  </cellStyles>
  <dxfs count="49"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General_)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m/d/yyyy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9" formatCode="m/d/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m/d/yyyy"/>
      <alignment horizontal="right" vertical="center" textRotation="0" wrapText="0" indent="1" justifyLastLine="0" shrinkToFit="0" readingOrder="0"/>
      <protection locked="1" hidden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8"/>
      <tableStyleElement type="headerRow" dxfId="47"/>
      <tableStyleElement type="firstRowStripe" dxfId="46"/>
    </tableStyle>
    <tableStyle name="TableStyleQueryResult" pivot="0" count="3">
      <tableStyleElement type="wholeTable" dxfId="45"/>
      <tableStyleElement type="headerRow" dxfId="44"/>
      <tableStyleElement type="firstRowStripe" dxfId="43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504526</xdr:colOff>
      <xdr:row>0</xdr:row>
      <xdr:rowOff>0</xdr:rowOff>
    </xdr:from>
    <xdr:to>
      <xdr:col>10</xdr:col>
      <xdr:colOff>11205</xdr:colOff>
      <xdr:row>1</xdr:row>
      <xdr:rowOff>19263</xdr:rowOff>
    </xdr:to>
    <xdr:sp macro="[0]!refresh" textlink="">
      <xdr:nvSpPr>
        <xdr:cNvPr id="5" name="Rectangle 4"/>
        <xdr:cNvSpPr/>
      </xdr:nvSpPr>
      <xdr:spPr>
        <a:xfrm>
          <a:off x="8897732" y="0"/>
          <a:ext cx="1411679" cy="433881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Rafraîchir </a:t>
          </a:r>
        </a:p>
      </xdr:txBody>
    </xdr:sp>
    <xdr:clientData/>
  </xdr:twoCellAnchor>
  <xdr:twoCellAnchor>
    <xdr:from>
      <xdr:col>6</xdr:col>
      <xdr:colOff>382243</xdr:colOff>
      <xdr:row>0</xdr:row>
      <xdr:rowOff>0</xdr:rowOff>
    </xdr:from>
    <xdr:to>
      <xdr:col>8</xdr:col>
      <xdr:colOff>291352</xdr:colOff>
      <xdr:row>0</xdr:row>
      <xdr:rowOff>374697</xdr:rowOff>
    </xdr:to>
    <xdr:sp macro="[0]!enregistrement" textlink="">
      <xdr:nvSpPr>
        <xdr:cNvPr id="7" name="Rectangle 6"/>
        <xdr:cNvSpPr/>
      </xdr:nvSpPr>
      <xdr:spPr>
        <a:xfrm>
          <a:off x="7251449" y="0"/>
          <a:ext cx="1433109" cy="374697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Enregistrer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9">
      <queryTableField id="1" name="Mois" tableColumnId="1"/>
      <queryTableField id="2" name="En remplacement de :" tableColumnId="2"/>
      <queryTableField id="3" name="Motif" tableColumnId="3"/>
      <queryTableField id="4" name="Debut" tableColumnId="4"/>
      <queryTableField id="5" name="Fin" tableColumnId="5"/>
      <queryTableField id="6" name="Total" tableColumnId="6"/>
      <queryTableField id="7" name="Dimanches" tableColumnId="7"/>
      <queryTableField id="8" name="Nb Dimanches" tableColumnId="8"/>
      <queryTableField id="9" name="Fériés" tableColumnId="9"/>
      <queryTableField id="10" name="Nb Fériés" tableColumnId="10"/>
      <queryTableField id="11" name="Dimanche .1" tableColumnId="11"/>
      <queryTableField id="12" name="Dimanche .2" tableColumnId="12"/>
      <queryTableField id="13" name="Dimanche .3" tableColumnId="13"/>
      <queryTableField id="14" name="Dimanche .4" tableColumnId="14"/>
      <queryTableField id="15" name="Dimanche .5" tableColumnId="15"/>
      <queryTableField id="16" name="Férié.1" tableColumnId="16"/>
      <queryTableField id="17" name="Férié.2" tableColumnId="17"/>
      <queryTableField id="18" name="Férié.3" tableColumnId="18"/>
      <queryTableField id="19" name="Férié.4" tableColumnId="19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JF_2020" displayName="JF_2020" ref="M1:N25" totalsRowShown="0">
  <autoFilter ref="M1:N25"/>
  <tableColumns count="2">
    <tableColumn id="1" name="Jours fériés" dataDxfId="41"/>
    <tableColumn id="2" name="Date" dataDxfId="4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_CDD" displayName="Tab_CDD" ref="A1:H10" totalsRowShown="0" headerRowDxfId="39" dataDxfId="38">
  <autoFilter ref="A1:H10"/>
  <tableColumns count="8">
    <tableColumn id="1" name="Nom" dataDxfId="37"/>
    <tableColumn id="2" name="Statut" dataDxfId="36"/>
    <tableColumn id="6" name="Sexe" dataDxfId="35" dataCellStyle="Normal 2"/>
    <tableColumn id="7" name="Sécu" dataDxfId="34"/>
    <tableColumn id="8" name="Lieu_naissance" dataDxfId="33"/>
    <tableColumn id="9" name="Date naissance" dataDxfId="32"/>
    <tableColumn id="10" name="Indice" dataDxfId="31"/>
    <tableColumn id="11" name="Intitulé" dataDxfId="30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2" name="Tab_CDI" displayName="Tab_CDI" ref="J1:L5" totalsRowShown="0" headerRowDxfId="29">
  <autoFilter ref="J1:L5"/>
  <tableColumns count="3">
    <tableColumn id="1" name="NOM" dataDxfId="28"/>
    <tableColumn id="6" name="Sexe" dataDxfId="27"/>
    <tableColumn id="7" name="Poste" dataDxfId="26">
      <calculatedColumnFormula>IF(K2="F","surveillante de nuit","surveillant de nuit")</calculatedColumnFormula>
    </tableColumn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3" name="Tab_motifJour" displayName="Tab_motifJour" ref="N1:N9" totalsRowShown="0" headerRowDxfId="25" dataDxfId="24">
  <autoFilter ref="N1:N9"/>
  <sortState ref="N2:N9">
    <sortCondition ref="N1"/>
  </sortState>
  <tableColumns count="1">
    <tableColumn id="1" name="Motif jour" dataDxfId="23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7" name="JF_2020_21" displayName="JF_2020_21" ref="A1:B25" totalsRowShown="0">
  <autoFilter ref="A1:B25"/>
  <tableColumns count="2">
    <tableColumn id="1" name="Jours fériés" dataDxfId="22"/>
    <tableColumn id="2" name="2020" dataDxfId="2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8" name="analyse" displayName="analyse" ref="A1:S9" tableType="queryTable" totalsRowShown="0" headerRowDxfId="20" dataDxfId="19">
  <autoFilter ref="A1:S9"/>
  <tableColumns count="19">
    <tableColumn id="1" uniqueName="1" name="Mois" queryTableFieldId="1" dataDxfId="18"/>
    <tableColumn id="2" uniqueName="2" name="En remplacement de :" queryTableFieldId="2" dataDxfId="17"/>
    <tableColumn id="3" uniqueName="3" name="Motif" queryTableFieldId="3" dataDxfId="16"/>
    <tableColumn id="4" uniqueName="4" name="Debut" queryTableFieldId="4" dataDxfId="15"/>
    <tableColumn id="5" uniqueName="5" name="Fin" queryTableFieldId="5" dataDxfId="14"/>
    <tableColumn id="6" uniqueName="6" name="Total" queryTableFieldId="6" dataDxfId="13"/>
    <tableColumn id="7" uniqueName="7" name="Dimanches" queryTableFieldId="7" dataDxfId="12"/>
    <tableColumn id="8" uniqueName="8" name="Nb Dimanches" queryTableFieldId="8" dataDxfId="11"/>
    <tableColumn id="9" uniqueName="9" name="Fériés" queryTableFieldId="9" dataDxfId="10"/>
    <tableColumn id="10" uniqueName="10" name="Nb Fériés" queryTableFieldId="10" dataDxfId="9"/>
    <tableColumn id="11" uniqueName="11" name="Dimanche .1" queryTableFieldId="11" dataDxfId="8"/>
    <tableColumn id="12" uniqueName="12" name="Dimanche .2" queryTableFieldId="12" dataDxfId="7"/>
    <tableColumn id="13" uniqueName="13" name="Dimanche .3" queryTableFieldId="13" dataDxfId="6"/>
    <tableColumn id="14" uniqueName="14" name="Dimanche .4" queryTableFieldId="14" dataDxfId="5"/>
    <tableColumn id="15" uniqueName="15" name="Dimanche .5" queryTableFieldId="15" dataDxfId="4"/>
    <tableColumn id="16" uniqueName="16" name="Férié.1" queryTableFieldId="16" dataDxfId="3"/>
    <tableColumn id="17" uniqueName="17" name="Férié.2" queryTableFieldId="17" dataDxfId="2"/>
    <tableColumn id="18" uniqueName="18" name="Férié.3" queryTableFieldId="18" dataDxfId="1"/>
    <tableColumn id="19" uniqueName="19" name="Férié.4" queryTableFieldId="19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42"/>
  <sheetViews>
    <sheetView showGridLines="0" tabSelected="1" topLeftCell="A15" zoomScale="85" zoomScaleNormal="85" workbookViewId="0">
      <selection activeCell="O29" sqref="O29"/>
    </sheetView>
  </sheetViews>
  <sheetFormatPr baseColWidth="10" defaultRowHeight="12.75" x14ac:dyDescent="0.2"/>
  <cols>
    <col min="1" max="1" width="12.42578125" style="2" customWidth="1"/>
    <col min="2" max="2" width="14.28515625" style="2" customWidth="1"/>
    <col min="3" max="3" width="10" style="2" bestFit="1" customWidth="1"/>
    <col min="4" max="4" width="23.140625" style="2" bestFit="1" customWidth="1"/>
    <col min="5" max="5" width="17.85546875" style="2" customWidth="1"/>
    <col min="6" max="6" width="25.140625" style="2" customWidth="1"/>
    <col min="7" max="8" width="11.42578125" style="26" customWidth="1"/>
    <col min="9" max="9" width="11.42578125" style="26"/>
    <col min="10" max="10" width="17.140625" style="26" customWidth="1"/>
    <col min="11" max="11" width="17.85546875" style="25" customWidth="1"/>
    <col min="12" max="12" width="17.140625" style="10" customWidth="1"/>
    <col min="13" max="13" width="17.7109375" style="2" hidden="1" customWidth="1"/>
    <col min="14" max="14" width="19.28515625" style="2" hidden="1" customWidth="1"/>
    <col min="15" max="15" width="19.28515625" style="89" customWidth="1"/>
    <col min="16" max="16" width="21.7109375" style="14" bestFit="1" customWidth="1"/>
    <col min="17" max="17" width="24.28515625" style="14" customWidth="1"/>
    <col min="18" max="18" width="10.7109375" style="48" customWidth="1"/>
    <col min="19" max="19" width="10.7109375" style="56" customWidth="1"/>
    <col min="20" max="20" width="9.5703125" style="56" customWidth="1"/>
    <col min="21" max="21" width="10.28515625" style="56" bestFit="1" customWidth="1"/>
    <col min="22" max="22" width="13.140625" style="44" customWidth="1"/>
    <col min="23" max="23" width="10.140625" style="56" bestFit="1" customWidth="1"/>
    <col min="24" max="24" width="7.140625" style="56" customWidth="1"/>
    <col min="25" max="25" width="10.28515625" style="48" bestFit="1" customWidth="1"/>
    <col min="26" max="30" width="11.42578125" style="48" bestFit="1" customWidth="1"/>
    <col min="31" max="33" width="10.140625" style="48" customWidth="1"/>
    <col min="34" max="34" width="11" style="2" bestFit="1" customWidth="1"/>
    <col min="35" max="35" width="14.140625" style="2" bestFit="1" customWidth="1"/>
    <col min="36" max="36" width="14.140625" style="2" customWidth="1"/>
    <col min="37" max="37" width="24.7109375" style="58" customWidth="1"/>
    <col min="38" max="16384" width="11.42578125" style="2"/>
  </cols>
  <sheetData>
    <row r="1" spans="1:41" ht="32.25" customHeight="1" thickBot="1" x14ac:dyDescent="0.25">
      <c r="A1" s="104">
        <f ca="1">A6</f>
        <v>43952</v>
      </c>
      <c r="B1" s="105"/>
      <c r="C1" s="105"/>
      <c r="D1" s="105"/>
      <c r="E1" s="105"/>
      <c r="F1" s="106"/>
      <c r="I1" s="67">
        <f ca="1">YEAR(TODAY())</f>
        <v>2020</v>
      </c>
      <c r="J1" s="69">
        <f ca="1">I1+1</f>
        <v>2021</v>
      </c>
      <c r="M1" s="57" t="s">
        <v>33</v>
      </c>
      <c r="N1" s="10" t="s">
        <v>0</v>
      </c>
      <c r="O1" s="10"/>
      <c r="P1" s="45"/>
      <c r="Q1" s="45"/>
      <c r="R1" s="45"/>
      <c r="S1" s="49"/>
      <c r="T1" s="64"/>
      <c r="U1" s="64"/>
      <c r="V1" s="45"/>
      <c r="W1" s="49"/>
      <c r="X1" s="49"/>
      <c r="Y1" s="45"/>
      <c r="Z1" s="45"/>
      <c r="AA1" s="45"/>
      <c r="AB1" s="45"/>
      <c r="AC1" s="45"/>
      <c r="AD1" s="45"/>
      <c r="AE1" s="45"/>
      <c r="AF1" s="45"/>
      <c r="AG1" s="45"/>
      <c r="AH1" s="53"/>
      <c r="AI1" s="53"/>
      <c r="AJ1" s="53"/>
      <c r="AK1" s="71"/>
    </row>
    <row r="2" spans="1:41" ht="18" customHeight="1" x14ac:dyDescent="0.2">
      <c r="J2" s="68"/>
      <c r="M2" s="22" t="s">
        <v>34</v>
      </c>
      <c r="N2" s="18">
        <f ca="1">DATE(I1,1,1)</f>
        <v>43831</v>
      </c>
      <c r="O2" s="88"/>
      <c r="P2" s="45"/>
      <c r="Q2" s="45"/>
      <c r="R2" s="45"/>
      <c r="S2" s="49"/>
      <c r="T2" s="64"/>
      <c r="U2" s="64"/>
      <c r="V2" s="45"/>
      <c r="W2" s="49"/>
      <c r="X2" s="49"/>
      <c r="Y2" s="45"/>
      <c r="Z2" s="45"/>
      <c r="AA2" s="45"/>
      <c r="AB2" s="45"/>
      <c r="AC2" s="45"/>
      <c r="AD2" s="45"/>
      <c r="AE2" s="45"/>
      <c r="AF2" s="45"/>
      <c r="AG2" s="45"/>
      <c r="AH2" s="53"/>
      <c r="AI2" s="53"/>
      <c r="AJ2" s="53"/>
      <c r="AK2" s="71"/>
    </row>
    <row r="3" spans="1:41" ht="27" customHeight="1" x14ac:dyDescent="0.2">
      <c r="A3" s="3"/>
      <c r="B3" s="11" t="s">
        <v>2</v>
      </c>
      <c r="C3" s="107" t="s">
        <v>102</v>
      </c>
      <c r="D3" s="107"/>
      <c r="E3" s="41" t="s">
        <v>4</v>
      </c>
      <c r="F3" s="39"/>
      <c r="G3" s="66" t="s">
        <v>73</v>
      </c>
      <c r="H3" s="97" t="s">
        <v>65</v>
      </c>
      <c r="I3" s="97"/>
      <c r="M3" s="22" t="s">
        <v>35</v>
      </c>
      <c r="N3" s="18">
        <f ca="1">ROUND(DATE(I1,4,MOD(234-11*MOD(I1,19),30))/7,0)*7-6</f>
        <v>43933</v>
      </c>
      <c r="O3" s="88"/>
      <c r="P3" s="45"/>
      <c r="Q3" s="45"/>
      <c r="R3" s="45"/>
      <c r="S3" s="49"/>
      <c r="T3" s="64"/>
      <c r="U3" s="64"/>
      <c r="V3" s="45"/>
      <c r="W3" s="49"/>
      <c r="X3" s="49"/>
      <c r="Y3" s="45"/>
      <c r="Z3" s="45"/>
      <c r="AA3" s="45"/>
      <c r="AB3" s="45"/>
      <c r="AC3" s="45"/>
      <c r="AD3" s="45"/>
      <c r="AE3" s="45"/>
      <c r="AF3" s="45"/>
      <c r="AG3" s="45"/>
      <c r="AH3" s="53"/>
      <c r="AI3" s="53"/>
      <c r="AJ3" s="53"/>
      <c r="AK3" s="71"/>
    </row>
    <row r="4" spans="1:41" ht="27" customHeight="1" x14ac:dyDescent="0.2">
      <c r="A4" s="108" t="s">
        <v>7</v>
      </c>
      <c r="B4" s="108"/>
      <c r="C4" s="99"/>
      <c r="D4" s="99"/>
      <c r="E4" s="41" t="s">
        <v>5</v>
      </c>
      <c r="F4" s="40"/>
      <c r="G4" s="66" t="s">
        <v>74</v>
      </c>
      <c r="H4" s="98">
        <f ca="1">YEAR(TODAY())</f>
        <v>2020</v>
      </c>
      <c r="I4" s="98"/>
      <c r="J4" s="68"/>
      <c r="M4" s="22" t="s">
        <v>36</v>
      </c>
      <c r="N4" s="18">
        <f ca="1">N3+1</f>
        <v>43934</v>
      </c>
      <c r="O4" s="88"/>
      <c r="P4" s="45"/>
      <c r="Q4" s="45"/>
      <c r="R4" s="45"/>
      <c r="S4" s="49"/>
      <c r="T4" s="64"/>
      <c r="U4" s="64"/>
      <c r="V4" s="45"/>
      <c r="W4" s="49"/>
      <c r="X4" s="49"/>
      <c r="Y4" s="45"/>
      <c r="Z4" s="45"/>
      <c r="AA4" s="45"/>
      <c r="AB4" s="45"/>
      <c r="AC4" s="45"/>
      <c r="AD4" s="45"/>
      <c r="AE4" s="45"/>
      <c r="AF4" s="45"/>
      <c r="AG4" s="45"/>
      <c r="AH4" s="53"/>
      <c r="AI4" s="53"/>
      <c r="AJ4" s="53"/>
      <c r="AK4" s="71"/>
    </row>
    <row r="5" spans="1:41" ht="30" x14ac:dyDescent="0.2">
      <c r="A5" s="4" t="s">
        <v>0</v>
      </c>
      <c r="B5" s="5" t="s">
        <v>3</v>
      </c>
      <c r="C5" s="5" t="s">
        <v>6</v>
      </c>
      <c r="D5" s="5" t="s">
        <v>59</v>
      </c>
      <c r="E5" s="63" t="s">
        <v>1</v>
      </c>
      <c r="F5" s="72" t="s">
        <v>76</v>
      </c>
      <c r="G5" s="73" t="s">
        <v>60</v>
      </c>
      <c r="H5" s="74" t="s">
        <v>0</v>
      </c>
      <c r="I5" s="74" t="s">
        <v>94</v>
      </c>
      <c r="J5" s="74" t="s">
        <v>93</v>
      </c>
      <c r="K5" s="74" t="s">
        <v>99</v>
      </c>
      <c r="L5" s="75" t="s">
        <v>98</v>
      </c>
      <c r="M5" s="22" t="s">
        <v>37</v>
      </c>
      <c r="N5" s="18">
        <f ca="1">DATE(I1,5,1)</f>
        <v>43952</v>
      </c>
      <c r="O5" s="88"/>
      <c r="P5" s="45"/>
      <c r="Q5" s="45"/>
      <c r="R5" s="45"/>
      <c r="S5" s="49"/>
      <c r="T5" s="64"/>
      <c r="U5" s="64"/>
      <c r="V5" s="45"/>
      <c r="W5" s="49"/>
      <c r="X5" s="49"/>
      <c r="Y5" s="45"/>
      <c r="Z5" s="45"/>
      <c r="AA5" s="45"/>
      <c r="AB5" s="45"/>
      <c r="AC5" s="45"/>
      <c r="AD5" s="45"/>
      <c r="AE5" s="45"/>
      <c r="AF5" s="45"/>
      <c r="AG5" s="45"/>
      <c r="AH5" s="53"/>
      <c r="AI5" s="53"/>
      <c r="AJ5" s="53"/>
      <c r="AK5" s="71"/>
    </row>
    <row r="6" spans="1:41" s="8" customFormat="1" ht="24.95" customHeight="1" x14ac:dyDescent="0.2">
      <c r="A6" s="6">
        <f ca="1">IF(H3="","",DATE(H4,VLOOKUP(H3,M27:N38,2,FALSE),1))</f>
        <v>43952</v>
      </c>
      <c r="B6" s="7"/>
      <c r="C6" s="61" t="str">
        <f>IF(D6="","",10.63+I6)</f>
        <v/>
      </c>
      <c r="D6" s="59"/>
      <c r="E6" s="100"/>
      <c r="F6" s="101"/>
      <c r="G6" s="76">
        <f ca="1">IF(ISNA($A6=VLOOKUP($A6,$N:$N,1,FALSE)),1,2)</f>
        <v>2</v>
      </c>
      <c r="H6" s="77">
        <f ca="1">A6</f>
        <v>43952</v>
      </c>
      <c r="I6" s="78">
        <f ca="1">IF(AND(G7=2,D6&lt;&gt;""),7.75,0)+IF(AND(G6=2,D6&lt;&gt;""),2.25,0)</f>
        <v>0</v>
      </c>
      <c r="J6" s="79">
        <f ca="1">IF(AND(WEEKDAY(A6,11)=7,D6&lt;&gt;""),2.25,0)+IF(AND(WEEKDAY(A6,11)=6,D6&lt;&gt;""),7.75,0)</f>
        <v>0</v>
      </c>
      <c r="K6" s="80" t="str">
        <f>IF(D6="","",IF(G6=2,H6,""))</f>
        <v/>
      </c>
      <c r="L6" s="80" t="str">
        <f>IF(D6="","",IF(WEEKDAY(H6,11)=7,H6,""))</f>
        <v/>
      </c>
      <c r="M6" s="23" t="s">
        <v>38</v>
      </c>
      <c r="N6" s="18">
        <f ca="1">DATE(I1,5,8)</f>
        <v>43959</v>
      </c>
      <c r="O6" s="88"/>
      <c r="P6" s="45"/>
      <c r="Q6" s="45"/>
      <c r="R6" s="45"/>
      <c r="S6" s="49"/>
      <c r="T6" s="64"/>
      <c r="U6" s="64"/>
      <c r="V6" s="45"/>
      <c r="W6" s="49"/>
      <c r="X6" s="49"/>
      <c r="Y6" s="45"/>
      <c r="Z6" s="45"/>
      <c r="AA6" s="45"/>
      <c r="AB6" s="45"/>
      <c r="AC6" s="45"/>
      <c r="AD6" s="45"/>
      <c r="AE6" s="45"/>
      <c r="AF6" s="45"/>
      <c r="AG6" s="45"/>
      <c r="AH6" s="53"/>
      <c r="AI6" s="53"/>
      <c r="AJ6" s="53"/>
      <c r="AK6" s="71"/>
      <c r="AL6" s="2"/>
      <c r="AM6" s="2"/>
      <c r="AN6" s="2"/>
      <c r="AO6" s="2"/>
    </row>
    <row r="7" spans="1:41" s="8" customFormat="1" ht="24.95" customHeight="1" x14ac:dyDescent="0.2">
      <c r="A7" s="1">
        <f ca="1">IFERROR(IF(A6+1&gt;EOMONTH($A$6,0),"",A6+1),"")</f>
        <v>43953</v>
      </c>
      <c r="B7" s="7"/>
      <c r="C7" s="61" t="str">
        <f t="shared" ref="C7:C36" si="0">IF(D7="","",10.63+I7)</f>
        <v/>
      </c>
      <c r="D7" s="59"/>
      <c r="E7" s="100"/>
      <c r="F7" s="101"/>
      <c r="G7" s="76">
        <f t="shared" ref="G7:G37" ca="1" si="1">IF(ISNA($A7=VLOOKUP($A7,$N:$N,1,FALSE)),1,2)</f>
        <v>1</v>
      </c>
      <c r="H7" s="77">
        <f t="shared" ref="H7:H37" ca="1" si="2">A7</f>
        <v>43953</v>
      </c>
      <c r="I7" s="78">
        <f t="shared" ref="I7:I37" ca="1" si="3">IF(AND(G8=2,D7&lt;&gt;""),7.75,0)+IF(AND(G7=2,D7&lt;&gt;""),2.25,0)</f>
        <v>0</v>
      </c>
      <c r="J7" s="79">
        <f t="shared" ref="J7:J36" ca="1" si="4">IF(AND(WEEKDAY(A7,11)=7,D7&lt;&gt;""),2.25,0)+IF(AND(WEEKDAY(A7,11)=6,D7&lt;&gt;""),7.75,0)</f>
        <v>0</v>
      </c>
      <c r="K7" s="80" t="str">
        <f>IF(D7="","",IF(G7=2,H7,IF(G8=2,H8,"")))</f>
        <v/>
      </c>
      <c r="L7" s="80" t="str">
        <f>IF(D7="","",IF(WEEKDAY(H7,11)=6,H7+1,IF(WEEKDAY(H7,11)=7,H7,"")))</f>
        <v/>
      </c>
      <c r="M7" s="22" t="s">
        <v>39</v>
      </c>
      <c r="N7" s="18">
        <f ca="1">N4+38</f>
        <v>43972</v>
      </c>
      <c r="O7" s="88"/>
      <c r="P7" s="45"/>
      <c r="Q7" s="45"/>
      <c r="R7" s="45"/>
      <c r="S7" s="49"/>
      <c r="T7" s="64"/>
      <c r="U7" s="64"/>
      <c r="V7" s="45"/>
      <c r="W7" s="49"/>
      <c r="X7" s="49"/>
      <c r="Y7" s="45"/>
      <c r="Z7" s="45"/>
      <c r="AA7" s="45"/>
      <c r="AB7" s="45"/>
      <c r="AC7" s="45"/>
      <c r="AD7" s="45"/>
      <c r="AE7" s="45"/>
      <c r="AF7" s="45"/>
      <c r="AG7" s="45"/>
      <c r="AH7" s="53"/>
      <c r="AI7" s="53"/>
      <c r="AJ7" s="53"/>
      <c r="AK7" s="71"/>
      <c r="AL7" s="2"/>
      <c r="AM7" s="2"/>
      <c r="AN7" s="2"/>
      <c r="AO7" s="2"/>
    </row>
    <row r="8" spans="1:41" s="8" customFormat="1" ht="24.95" customHeight="1" x14ac:dyDescent="0.2">
      <c r="A8" s="1">
        <f t="shared" ref="A8:A36" ca="1" si="5">IFERROR(IF(A7+1&gt;EOMONTH($A$6,0),"",A7+1),"")</f>
        <v>43954</v>
      </c>
      <c r="B8" s="7"/>
      <c r="C8" s="82">
        <f t="shared" ca="1" si="0"/>
        <v>10.63</v>
      </c>
      <c r="D8" s="83" t="s">
        <v>111</v>
      </c>
      <c r="E8" s="102" t="s">
        <v>95</v>
      </c>
      <c r="F8" s="103"/>
      <c r="G8" s="76">
        <f t="shared" ca="1" si="1"/>
        <v>1</v>
      </c>
      <c r="H8" s="84">
        <f t="shared" ca="1" si="2"/>
        <v>43954</v>
      </c>
      <c r="I8" s="78">
        <f t="shared" ca="1" si="3"/>
        <v>0</v>
      </c>
      <c r="J8" s="85">
        <f t="shared" ca="1" si="4"/>
        <v>2.25</v>
      </c>
      <c r="K8" s="80" t="str">
        <f t="shared" ref="K8:K37" ca="1" si="6">IF(D8="","",IF(G8=2,H8,IF(G9=2,H9,"")))</f>
        <v/>
      </c>
      <c r="L8" s="86">
        <f t="shared" ref="L8:L37" ca="1" si="7">IF(D8="","",IF(WEEKDAY(H8,11)=6,H8+1,IF(WEEKDAY(H8,11)=7,H8,"")))</f>
        <v>43954</v>
      </c>
      <c r="M8" s="22" t="s">
        <v>40</v>
      </c>
      <c r="N8" s="18">
        <f ca="1">N3+50</f>
        <v>43983</v>
      </c>
      <c r="O8" s="88"/>
      <c r="P8" s="45"/>
      <c r="Q8" s="45"/>
      <c r="R8" s="45"/>
      <c r="S8" s="49"/>
      <c r="T8" s="64"/>
      <c r="U8" s="64"/>
      <c r="V8" s="45"/>
      <c r="W8" s="49"/>
      <c r="X8" s="49"/>
      <c r="Y8" s="45"/>
      <c r="Z8" s="45"/>
      <c r="AA8" s="45"/>
      <c r="AB8" s="45"/>
      <c r="AC8" s="45"/>
      <c r="AD8" s="45"/>
      <c r="AE8" s="45"/>
      <c r="AF8" s="45"/>
      <c r="AG8" s="45"/>
      <c r="AH8" s="53"/>
      <c r="AI8" s="53"/>
      <c r="AJ8" s="53"/>
      <c r="AK8" s="71"/>
      <c r="AL8" s="2"/>
      <c r="AM8" s="2"/>
      <c r="AN8" s="2"/>
      <c r="AO8" s="2"/>
    </row>
    <row r="9" spans="1:41" s="8" customFormat="1" ht="24.95" customHeight="1" x14ac:dyDescent="0.2">
      <c r="A9" s="1">
        <f t="shared" ca="1" si="5"/>
        <v>43955</v>
      </c>
      <c r="B9" s="7"/>
      <c r="C9" s="61" t="str">
        <f t="shared" si="0"/>
        <v/>
      </c>
      <c r="D9" s="59"/>
      <c r="E9" s="100"/>
      <c r="F9" s="101"/>
      <c r="G9" s="76">
        <f t="shared" ca="1" si="1"/>
        <v>1</v>
      </c>
      <c r="H9" s="77">
        <f t="shared" ca="1" si="2"/>
        <v>43955</v>
      </c>
      <c r="I9" s="78">
        <f t="shared" ca="1" si="3"/>
        <v>0</v>
      </c>
      <c r="J9" s="79">
        <f t="shared" ca="1" si="4"/>
        <v>0</v>
      </c>
      <c r="K9" s="80" t="str">
        <f t="shared" si="6"/>
        <v/>
      </c>
      <c r="L9" s="80" t="str">
        <f t="shared" si="7"/>
        <v/>
      </c>
      <c r="M9" s="22" t="s">
        <v>41</v>
      </c>
      <c r="N9" s="18">
        <f ca="1">DATE(I1,7,14)</f>
        <v>44026</v>
      </c>
      <c r="O9" s="88"/>
      <c r="P9" s="45"/>
      <c r="Q9" s="45"/>
      <c r="R9" s="45"/>
      <c r="S9" s="49"/>
      <c r="T9" s="64"/>
      <c r="U9" s="64"/>
      <c r="V9" s="45"/>
      <c r="W9" s="49"/>
      <c r="X9" s="49"/>
      <c r="Y9" s="45"/>
      <c r="Z9" s="45"/>
      <c r="AA9" s="45"/>
      <c r="AB9" s="45"/>
      <c r="AC9" s="45"/>
      <c r="AD9" s="45"/>
      <c r="AE9" s="45"/>
      <c r="AF9" s="45"/>
      <c r="AG9" s="45"/>
      <c r="AH9" s="53"/>
      <c r="AI9" s="53"/>
      <c r="AJ9" s="53"/>
      <c r="AK9" s="71"/>
      <c r="AL9" s="2"/>
      <c r="AM9" s="2"/>
      <c r="AN9" s="2"/>
      <c r="AO9" s="2"/>
    </row>
    <row r="10" spans="1:41" s="8" customFormat="1" ht="24.95" customHeight="1" x14ac:dyDescent="0.2">
      <c r="A10" s="1">
        <f t="shared" ca="1" si="5"/>
        <v>43956</v>
      </c>
      <c r="B10" s="7"/>
      <c r="C10" s="61" t="str">
        <f t="shared" si="0"/>
        <v/>
      </c>
      <c r="D10" s="59"/>
      <c r="E10" s="100"/>
      <c r="F10" s="101"/>
      <c r="G10" s="76">
        <f t="shared" ca="1" si="1"/>
        <v>1</v>
      </c>
      <c r="H10" s="77">
        <f t="shared" ca="1" si="2"/>
        <v>43956</v>
      </c>
      <c r="I10" s="78">
        <f t="shared" ca="1" si="3"/>
        <v>0</v>
      </c>
      <c r="J10" s="79">
        <f t="shared" ca="1" si="4"/>
        <v>0</v>
      </c>
      <c r="K10" s="80" t="str">
        <f t="shared" si="6"/>
        <v/>
      </c>
      <c r="L10" s="80" t="str">
        <f t="shared" si="7"/>
        <v/>
      </c>
      <c r="M10" s="22" t="s">
        <v>42</v>
      </c>
      <c r="N10" s="18">
        <f ca="1">DATE(I1,8,15)</f>
        <v>44058</v>
      </c>
      <c r="O10" s="88"/>
      <c r="P10" s="38"/>
      <c r="Q10" s="47"/>
      <c r="R10" s="45"/>
      <c r="S10" s="49"/>
      <c r="T10" s="64"/>
      <c r="U10" s="64"/>
      <c r="V10" s="45"/>
      <c r="W10" s="49"/>
      <c r="X10" s="49"/>
      <c r="Y10" s="45"/>
      <c r="Z10" s="45"/>
      <c r="AA10" s="45"/>
      <c r="AB10" s="45"/>
      <c r="AC10" s="45"/>
      <c r="AD10" s="45"/>
      <c r="AE10" s="45"/>
      <c r="AF10" s="45"/>
      <c r="AG10" s="45"/>
      <c r="AH10" s="53"/>
      <c r="AI10" s="53"/>
      <c r="AJ10" s="53"/>
      <c r="AK10" s="15"/>
    </row>
    <row r="11" spans="1:41" s="8" customFormat="1" ht="24.95" customHeight="1" x14ac:dyDescent="0.2">
      <c r="A11" s="1">
        <f t="shared" ca="1" si="5"/>
        <v>43957</v>
      </c>
      <c r="B11" s="7"/>
      <c r="C11" s="61" t="str">
        <f t="shared" si="0"/>
        <v/>
      </c>
      <c r="D11" s="59"/>
      <c r="E11" s="100"/>
      <c r="F11" s="101"/>
      <c r="G11" s="76">
        <f t="shared" ca="1" si="1"/>
        <v>1</v>
      </c>
      <c r="H11" s="77">
        <f t="shared" ca="1" si="2"/>
        <v>43957</v>
      </c>
      <c r="I11" s="78">
        <f t="shared" ca="1" si="3"/>
        <v>0</v>
      </c>
      <c r="J11" s="79">
        <f t="shared" ca="1" si="4"/>
        <v>0</v>
      </c>
      <c r="K11" s="80" t="str">
        <f t="shared" si="6"/>
        <v/>
      </c>
      <c r="L11" s="80" t="str">
        <f t="shared" si="7"/>
        <v/>
      </c>
      <c r="M11" s="22" t="s">
        <v>43</v>
      </c>
      <c r="N11" s="18">
        <f ca="1">DATE(I1,11,1)</f>
        <v>44136</v>
      </c>
      <c r="P11" s="38"/>
      <c r="Q11" s="47"/>
      <c r="R11" s="46"/>
      <c r="S11" s="54"/>
      <c r="T11" s="65"/>
      <c r="U11" s="65"/>
      <c r="V11" s="38"/>
      <c r="W11" s="54"/>
      <c r="X11" s="54"/>
      <c r="Y11" s="46"/>
      <c r="Z11" s="46"/>
      <c r="AA11" s="46"/>
      <c r="AB11" s="46"/>
      <c r="AC11" s="46"/>
      <c r="AD11" s="46"/>
      <c r="AE11" s="46"/>
      <c r="AF11" s="46"/>
      <c r="AG11" s="46"/>
      <c r="AK11" s="15"/>
    </row>
    <row r="12" spans="1:41" s="8" customFormat="1" ht="24.95" customHeight="1" x14ac:dyDescent="0.2">
      <c r="A12" s="1">
        <f t="shared" ca="1" si="5"/>
        <v>43958</v>
      </c>
      <c r="B12" s="7"/>
      <c r="C12" s="82">
        <f t="shared" ca="1" si="0"/>
        <v>18.380000000000003</v>
      </c>
      <c r="D12" s="83" t="s">
        <v>111</v>
      </c>
      <c r="E12" s="102" t="s">
        <v>51</v>
      </c>
      <c r="F12" s="103"/>
      <c r="G12" s="76">
        <f t="shared" ca="1" si="1"/>
        <v>1</v>
      </c>
      <c r="H12" s="84">
        <f t="shared" ca="1" si="2"/>
        <v>43958</v>
      </c>
      <c r="I12" s="87">
        <f t="shared" ca="1" si="3"/>
        <v>7.75</v>
      </c>
      <c r="J12" s="79">
        <f t="shared" ca="1" si="4"/>
        <v>0</v>
      </c>
      <c r="K12" s="95">
        <f t="shared" ca="1" si="6"/>
        <v>43959</v>
      </c>
      <c r="L12" s="80" t="str">
        <f t="shared" ca="1" si="7"/>
        <v/>
      </c>
      <c r="M12" s="22" t="s">
        <v>44</v>
      </c>
      <c r="N12" s="18">
        <f ca="1">DATE(I1,11,11)</f>
        <v>44146</v>
      </c>
      <c r="O12" s="47" t="s">
        <v>114</v>
      </c>
      <c r="P12" s="38"/>
      <c r="R12" s="46"/>
      <c r="S12" s="54"/>
      <c r="T12" s="65"/>
      <c r="U12" s="65"/>
      <c r="V12" s="38"/>
      <c r="W12" s="54"/>
      <c r="X12" s="54"/>
      <c r="Y12" s="46"/>
      <c r="Z12" s="46"/>
      <c r="AA12" s="46"/>
      <c r="AB12" s="46"/>
      <c r="AC12" s="46"/>
      <c r="AD12" s="46"/>
      <c r="AE12" s="46"/>
      <c r="AF12" s="46"/>
      <c r="AG12" s="46"/>
      <c r="AK12" s="15"/>
    </row>
    <row r="13" spans="1:41" s="8" customFormat="1" ht="24.95" customHeight="1" x14ac:dyDescent="0.2">
      <c r="A13" s="1">
        <f t="shared" ca="1" si="5"/>
        <v>43959</v>
      </c>
      <c r="B13" s="7"/>
      <c r="C13" s="82">
        <f t="shared" ca="1" si="0"/>
        <v>12.88</v>
      </c>
      <c r="D13" s="83" t="s">
        <v>111</v>
      </c>
      <c r="E13" s="102" t="s">
        <v>51</v>
      </c>
      <c r="F13" s="103"/>
      <c r="G13" s="76">
        <f t="shared" ca="1" si="1"/>
        <v>2</v>
      </c>
      <c r="H13" s="84">
        <f t="shared" ca="1" si="2"/>
        <v>43959</v>
      </c>
      <c r="I13" s="87">
        <f t="shared" ca="1" si="3"/>
        <v>2.25</v>
      </c>
      <c r="J13" s="79">
        <f t="shared" ca="1" si="4"/>
        <v>0</v>
      </c>
      <c r="K13" s="96"/>
      <c r="L13" s="80" t="str">
        <f t="shared" ca="1" si="7"/>
        <v/>
      </c>
      <c r="M13" s="22" t="s">
        <v>45</v>
      </c>
      <c r="N13" s="18">
        <f ca="1">DATE(I1,12,25)</f>
        <v>44190</v>
      </c>
      <c r="O13" s="88"/>
      <c r="P13" s="38"/>
      <c r="Q13" s="47"/>
      <c r="R13" s="46"/>
      <c r="S13" s="54"/>
      <c r="T13" s="65"/>
      <c r="U13" s="65"/>
      <c r="V13" s="38"/>
      <c r="W13" s="50"/>
      <c r="X13" s="54"/>
      <c r="Y13" s="46"/>
      <c r="Z13" s="46"/>
      <c r="AA13" s="46"/>
      <c r="AB13" s="46"/>
      <c r="AC13" s="46"/>
      <c r="AD13" s="46"/>
      <c r="AE13" s="46"/>
      <c r="AF13" s="46"/>
      <c r="AG13" s="46"/>
      <c r="AK13" s="15"/>
    </row>
    <row r="14" spans="1:41" s="8" customFormat="1" ht="24.95" customHeight="1" x14ac:dyDescent="0.2">
      <c r="A14" s="1">
        <f t="shared" ca="1" si="5"/>
        <v>43960</v>
      </c>
      <c r="B14" s="7"/>
      <c r="C14" s="61" t="str">
        <f t="shared" si="0"/>
        <v/>
      </c>
      <c r="D14" s="59"/>
      <c r="E14" s="100"/>
      <c r="F14" s="101"/>
      <c r="G14" s="76">
        <f t="shared" ca="1" si="1"/>
        <v>1</v>
      </c>
      <c r="H14" s="77">
        <f t="shared" ca="1" si="2"/>
        <v>43960</v>
      </c>
      <c r="I14" s="78">
        <f t="shared" ca="1" si="3"/>
        <v>0</v>
      </c>
      <c r="J14" s="79">
        <f t="shared" ca="1" si="4"/>
        <v>0</v>
      </c>
      <c r="K14" s="80" t="str">
        <f t="shared" si="6"/>
        <v/>
      </c>
      <c r="L14" s="80" t="str">
        <f t="shared" si="7"/>
        <v/>
      </c>
      <c r="M14" s="22" t="s">
        <v>34</v>
      </c>
      <c r="N14" s="18">
        <f ca="1">DATE(J1,1,1)</f>
        <v>44197</v>
      </c>
      <c r="O14" s="88"/>
      <c r="P14" s="38"/>
      <c r="Q14" s="47"/>
      <c r="R14" s="46"/>
      <c r="S14" s="54"/>
      <c r="T14" s="65"/>
      <c r="U14" s="65"/>
      <c r="V14" s="38"/>
      <c r="W14" s="50"/>
      <c r="X14" s="55"/>
      <c r="Y14" s="46"/>
      <c r="Z14" s="46"/>
      <c r="AA14" s="46"/>
      <c r="AB14" s="46"/>
      <c r="AC14" s="46"/>
      <c r="AD14" s="46"/>
      <c r="AE14" s="46"/>
      <c r="AF14" s="46"/>
      <c r="AG14" s="46"/>
      <c r="AK14" s="15"/>
    </row>
    <row r="15" spans="1:41" s="8" customFormat="1" ht="24.95" customHeight="1" x14ac:dyDescent="0.2">
      <c r="A15" s="1">
        <f t="shared" ca="1" si="5"/>
        <v>43961</v>
      </c>
      <c r="B15" s="7"/>
      <c r="C15" s="61" t="str">
        <f t="shared" si="0"/>
        <v/>
      </c>
      <c r="D15" s="59"/>
      <c r="E15" s="100"/>
      <c r="F15" s="101"/>
      <c r="G15" s="76">
        <f t="shared" ca="1" si="1"/>
        <v>1</v>
      </c>
      <c r="H15" s="77">
        <f t="shared" ca="1" si="2"/>
        <v>43961</v>
      </c>
      <c r="I15" s="78">
        <f t="shared" ca="1" si="3"/>
        <v>0</v>
      </c>
      <c r="J15" s="79">
        <f t="shared" ca="1" si="4"/>
        <v>0</v>
      </c>
      <c r="K15" s="80" t="str">
        <f t="shared" si="6"/>
        <v/>
      </c>
      <c r="L15" s="80" t="str">
        <f t="shared" si="7"/>
        <v/>
      </c>
      <c r="M15" s="22" t="s">
        <v>35</v>
      </c>
      <c r="N15" s="18">
        <f ca="1">ROUND(DATE(J1,4,MOD(234-11*MOD(J1,19),30))/7,0)*7-6</f>
        <v>44290</v>
      </c>
      <c r="O15" s="88"/>
      <c r="P15" s="44"/>
      <c r="Q15" s="48"/>
      <c r="R15" s="46"/>
      <c r="S15" s="54"/>
      <c r="T15" s="65"/>
      <c r="U15" s="65"/>
      <c r="V15" s="38"/>
      <c r="W15" s="50"/>
      <c r="X15" s="55"/>
      <c r="Y15" s="46"/>
      <c r="Z15" s="46"/>
      <c r="AA15" s="46"/>
      <c r="AB15" s="46"/>
      <c r="AC15" s="46"/>
      <c r="AD15" s="46"/>
      <c r="AE15" s="46"/>
      <c r="AF15" s="46"/>
      <c r="AG15" s="46"/>
      <c r="AK15" s="15"/>
    </row>
    <row r="16" spans="1:41" s="8" customFormat="1" ht="24.95" customHeight="1" x14ac:dyDescent="0.2">
      <c r="A16" s="1">
        <f t="shared" ca="1" si="5"/>
        <v>43962</v>
      </c>
      <c r="B16" s="7"/>
      <c r="C16" s="82">
        <f t="shared" ca="1" si="0"/>
        <v>10.63</v>
      </c>
      <c r="D16" s="83" t="s">
        <v>109</v>
      </c>
      <c r="E16" s="102" t="s">
        <v>96</v>
      </c>
      <c r="F16" s="103"/>
      <c r="G16" s="76">
        <f t="shared" ca="1" si="1"/>
        <v>1</v>
      </c>
      <c r="H16" s="84">
        <f t="shared" ca="1" si="2"/>
        <v>43962</v>
      </c>
      <c r="I16" s="78">
        <f t="shared" ca="1" si="3"/>
        <v>0</v>
      </c>
      <c r="J16" s="79">
        <f t="shared" ca="1" si="4"/>
        <v>0</v>
      </c>
      <c r="K16" s="80" t="str">
        <f t="shared" ca="1" si="6"/>
        <v/>
      </c>
      <c r="L16" s="80" t="str">
        <f t="shared" ca="1" si="7"/>
        <v/>
      </c>
      <c r="M16" s="22" t="s">
        <v>36</v>
      </c>
      <c r="N16" s="18">
        <f ca="1">N15+1</f>
        <v>44291</v>
      </c>
      <c r="O16" s="88"/>
      <c r="P16" s="38"/>
      <c r="Q16" s="47"/>
      <c r="R16" s="47"/>
      <c r="S16" s="55"/>
      <c r="T16" s="65"/>
      <c r="U16" s="65"/>
      <c r="V16" s="38"/>
      <c r="W16" s="50"/>
      <c r="X16" s="55"/>
      <c r="Y16" s="47"/>
      <c r="Z16" s="47"/>
      <c r="AA16" s="47"/>
      <c r="AB16" s="47"/>
      <c r="AC16" s="47"/>
      <c r="AD16" s="47"/>
      <c r="AE16" s="47"/>
      <c r="AF16" s="47"/>
      <c r="AG16" s="47"/>
      <c r="AK16" s="15"/>
    </row>
    <row r="17" spans="1:37" s="8" customFormat="1" ht="24.95" customHeight="1" x14ac:dyDescent="0.2">
      <c r="A17" s="1">
        <f t="shared" ca="1" si="5"/>
        <v>43963</v>
      </c>
      <c r="B17" s="7"/>
      <c r="C17" s="82">
        <f t="shared" ca="1" si="0"/>
        <v>10.63</v>
      </c>
      <c r="D17" s="83" t="s">
        <v>109</v>
      </c>
      <c r="E17" s="102" t="s">
        <v>96</v>
      </c>
      <c r="F17" s="103"/>
      <c r="G17" s="76">
        <f t="shared" ca="1" si="1"/>
        <v>1</v>
      </c>
      <c r="H17" s="84">
        <f t="shared" ca="1" si="2"/>
        <v>43963</v>
      </c>
      <c r="I17" s="78">
        <f t="shared" ca="1" si="3"/>
        <v>0</v>
      </c>
      <c r="J17" s="79">
        <f t="shared" ca="1" si="4"/>
        <v>0</v>
      </c>
      <c r="K17" s="80" t="str">
        <f t="shared" ca="1" si="6"/>
        <v/>
      </c>
      <c r="L17" s="80" t="str">
        <f t="shared" ca="1" si="7"/>
        <v/>
      </c>
      <c r="M17" s="22" t="s">
        <v>37</v>
      </c>
      <c r="N17" s="18">
        <f ca="1">DATE(J1,5,1)</f>
        <v>44317</v>
      </c>
      <c r="O17" s="88"/>
      <c r="P17" s="44"/>
      <c r="Q17" s="48"/>
      <c r="R17" s="47"/>
      <c r="S17" s="55"/>
      <c r="T17" s="65"/>
      <c r="U17" s="65"/>
      <c r="V17" s="38"/>
      <c r="W17" s="50"/>
      <c r="X17" s="55"/>
      <c r="Y17" s="47"/>
      <c r="Z17" s="47"/>
      <c r="AA17" s="47"/>
      <c r="AB17" s="47"/>
      <c r="AC17" s="47"/>
      <c r="AD17" s="47"/>
      <c r="AE17" s="47"/>
      <c r="AF17" s="47"/>
      <c r="AG17" s="47"/>
      <c r="AK17" s="15"/>
    </row>
    <row r="18" spans="1:37" s="8" customFormat="1" ht="24.95" customHeight="1" x14ac:dyDescent="0.2">
      <c r="A18" s="1">
        <f t="shared" ca="1" si="5"/>
        <v>43964</v>
      </c>
      <c r="B18" s="7"/>
      <c r="C18" s="61" t="str">
        <f t="shared" si="0"/>
        <v/>
      </c>
      <c r="D18" s="59"/>
      <c r="E18" s="100"/>
      <c r="F18" s="101"/>
      <c r="G18" s="76">
        <f t="shared" ca="1" si="1"/>
        <v>1</v>
      </c>
      <c r="H18" s="77">
        <f t="shared" ca="1" si="2"/>
        <v>43964</v>
      </c>
      <c r="I18" s="78">
        <f t="shared" ca="1" si="3"/>
        <v>0</v>
      </c>
      <c r="J18" s="79">
        <f t="shared" ca="1" si="4"/>
        <v>0</v>
      </c>
      <c r="K18" s="80" t="str">
        <f t="shared" si="6"/>
        <v/>
      </c>
      <c r="L18" s="80" t="str">
        <f t="shared" si="7"/>
        <v/>
      </c>
      <c r="M18" s="23" t="s">
        <v>38</v>
      </c>
      <c r="N18" s="18">
        <f ca="1">DATE(J1,5,8)</f>
        <v>44324</v>
      </c>
      <c r="O18" s="88"/>
      <c r="P18" s="38"/>
      <c r="Q18" s="47"/>
      <c r="R18" s="47"/>
      <c r="S18" s="55"/>
      <c r="T18" s="65"/>
      <c r="U18" s="65"/>
      <c r="V18" s="38"/>
      <c r="W18" s="50"/>
      <c r="X18" s="55"/>
      <c r="Y18" s="47"/>
      <c r="Z18" s="47"/>
      <c r="AA18" s="47"/>
      <c r="AB18" s="47"/>
      <c r="AC18" s="47"/>
      <c r="AD18" s="47"/>
      <c r="AE18" s="47"/>
      <c r="AF18" s="47"/>
      <c r="AG18" s="47"/>
      <c r="AK18" s="15"/>
    </row>
    <row r="19" spans="1:37" s="8" customFormat="1" ht="24.95" customHeight="1" x14ac:dyDescent="0.2">
      <c r="A19" s="1">
        <f t="shared" ca="1" si="5"/>
        <v>43965</v>
      </c>
      <c r="B19" s="7"/>
      <c r="C19" s="61" t="str">
        <f t="shared" si="0"/>
        <v/>
      </c>
      <c r="D19" s="59"/>
      <c r="E19" s="100"/>
      <c r="F19" s="101"/>
      <c r="G19" s="76">
        <f t="shared" ca="1" si="1"/>
        <v>1</v>
      </c>
      <c r="H19" s="77">
        <f t="shared" ca="1" si="2"/>
        <v>43965</v>
      </c>
      <c r="I19" s="78">
        <f ca="1">IF(AND(G20=2,D19&lt;&gt;""),7.75,0)+IF(AND(G19=2,D19&lt;&gt;""),2.25,0)</f>
        <v>0</v>
      </c>
      <c r="J19" s="79">
        <f t="shared" ca="1" si="4"/>
        <v>0</v>
      </c>
      <c r="K19" s="80" t="str">
        <f t="shared" si="6"/>
        <v/>
      </c>
      <c r="L19" s="80" t="str">
        <f t="shared" si="7"/>
        <v/>
      </c>
      <c r="M19" s="22" t="s">
        <v>39</v>
      </c>
      <c r="N19" s="18">
        <f ca="1">N16+38</f>
        <v>44329</v>
      </c>
      <c r="O19" s="88"/>
      <c r="P19" s="15"/>
      <c r="Q19" s="15"/>
      <c r="R19" s="47"/>
      <c r="S19" s="55"/>
      <c r="T19" s="65"/>
      <c r="U19" s="65"/>
      <c r="V19" s="38"/>
      <c r="W19" s="50"/>
      <c r="X19" s="56"/>
      <c r="Y19" s="47"/>
      <c r="Z19" s="47"/>
      <c r="AA19" s="47"/>
      <c r="AB19" s="47"/>
      <c r="AC19" s="47"/>
      <c r="AD19" s="47"/>
      <c r="AE19" s="47"/>
      <c r="AF19" s="47"/>
      <c r="AG19" s="47"/>
      <c r="AK19" s="15"/>
    </row>
    <row r="20" spans="1:37" s="8" customFormat="1" ht="24.95" customHeight="1" x14ac:dyDescent="0.2">
      <c r="A20" s="1">
        <f t="shared" ca="1" si="5"/>
        <v>43966</v>
      </c>
      <c r="B20" s="7"/>
      <c r="C20" s="61" t="str">
        <f t="shared" si="0"/>
        <v/>
      </c>
      <c r="D20" s="59"/>
      <c r="E20" s="100"/>
      <c r="F20" s="101"/>
      <c r="G20" s="76">
        <f t="shared" ca="1" si="1"/>
        <v>1</v>
      </c>
      <c r="H20" s="77">
        <f t="shared" ca="1" si="2"/>
        <v>43966</v>
      </c>
      <c r="I20" s="78">
        <f t="shared" ca="1" si="3"/>
        <v>0</v>
      </c>
      <c r="J20" s="79">
        <f t="shared" ca="1" si="4"/>
        <v>0</v>
      </c>
      <c r="K20" s="80" t="str">
        <f t="shared" si="6"/>
        <v/>
      </c>
      <c r="L20" s="80" t="str">
        <f t="shared" si="7"/>
        <v/>
      </c>
      <c r="M20" s="22" t="s">
        <v>40</v>
      </c>
      <c r="N20" s="18">
        <f ca="1">N15+50</f>
        <v>44340</v>
      </c>
      <c r="O20" s="88"/>
      <c r="P20" s="15"/>
      <c r="Q20" s="15"/>
      <c r="R20" s="47"/>
      <c r="S20" s="55"/>
      <c r="T20" s="65"/>
      <c r="U20" s="65"/>
      <c r="V20" s="13"/>
      <c r="W20" s="81"/>
      <c r="X20"/>
      <c r="Y20" s="47"/>
      <c r="Z20" s="47"/>
      <c r="AA20" s="47"/>
      <c r="AB20" s="47"/>
      <c r="AC20" s="47"/>
      <c r="AD20" s="47"/>
      <c r="AE20" s="47"/>
      <c r="AF20" s="47"/>
      <c r="AG20" s="47"/>
      <c r="AK20" s="15"/>
    </row>
    <row r="21" spans="1:37" s="8" customFormat="1" ht="24.95" customHeight="1" x14ac:dyDescent="0.2">
      <c r="A21" s="1">
        <f t="shared" ca="1" si="5"/>
        <v>43967</v>
      </c>
      <c r="B21" s="7"/>
      <c r="C21" s="82">
        <f t="shared" ca="1" si="0"/>
        <v>10.63</v>
      </c>
      <c r="D21" s="83" t="s">
        <v>110</v>
      </c>
      <c r="E21" s="102" t="s">
        <v>96</v>
      </c>
      <c r="F21" s="103"/>
      <c r="G21" s="76">
        <f t="shared" ca="1" si="1"/>
        <v>1</v>
      </c>
      <c r="H21" s="84">
        <f t="shared" ca="1" si="2"/>
        <v>43967</v>
      </c>
      <c r="I21" s="78">
        <f t="shared" ca="1" si="3"/>
        <v>0</v>
      </c>
      <c r="J21" s="85">
        <f t="shared" ca="1" si="4"/>
        <v>7.75</v>
      </c>
      <c r="K21" s="80" t="str">
        <f t="shared" ca="1" si="6"/>
        <v/>
      </c>
      <c r="L21" s="90">
        <f ca="1">IF(D21="","",IF(WEEKDAY(H21,11)=6,H21+1,IF(WEEKDAY(H21,11)=7,H21,"")))</f>
        <v>43968</v>
      </c>
      <c r="M21" s="22" t="s">
        <v>41</v>
      </c>
      <c r="N21" s="18">
        <f ca="1">DATE(J1,7,14)</f>
        <v>44391</v>
      </c>
      <c r="O21" s="91" t="s">
        <v>113</v>
      </c>
      <c r="P21" s="15"/>
      <c r="Q21" s="15"/>
      <c r="R21" s="47"/>
      <c r="S21" s="55"/>
      <c r="T21" s="55"/>
      <c r="U21" s="55"/>
      <c r="V21" s="13"/>
      <c r="W21" s="81"/>
      <c r="X21"/>
      <c r="Y21" s="47"/>
      <c r="Z21" s="47"/>
      <c r="AA21" s="47"/>
      <c r="AB21" s="47"/>
      <c r="AC21" s="47"/>
      <c r="AD21" s="47"/>
      <c r="AE21" s="47"/>
      <c r="AF21" s="47"/>
      <c r="AG21" s="47"/>
      <c r="AK21" s="15"/>
    </row>
    <row r="22" spans="1:37" s="8" customFormat="1" ht="24.95" customHeight="1" x14ac:dyDescent="0.2">
      <c r="A22" s="1">
        <f t="shared" ca="1" si="5"/>
        <v>43968</v>
      </c>
      <c r="B22" s="7"/>
      <c r="C22" s="82">
        <f t="shared" ca="1" si="0"/>
        <v>10.63</v>
      </c>
      <c r="D22" s="83" t="s">
        <v>110</v>
      </c>
      <c r="E22" s="102" t="s">
        <v>52</v>
      </c>
      <c r="F22" s="103"/>
      <c r="G22" s="76">
        <f t="shared" ca="1" si="1"/>
        <v>1</v>
      </c>
      <c r="H22" s="84">
        <f t="shared" ca="1" si="2"/>
        <v>43968</v>
      </c>
      <c r="I22" s="78">
        <f t="shared" ca="1" si="3"/>
        <v>0</v>
      </c>
      <c r="J22" s="85">
        <f t="shared" ca="1" si="4"/>
        <v>2.25</v>
      </c>
      <c r="K22" s="80" t="str">
        <f t="shared" ca="1" si="6"/>
        <v/>
      </c>
      <c r="L22" s="90">
        <f ca="1">IF(D22="","",IF(WEEKDAY(H22,11)=6,H22+1,IF(WEEKDAY(H22,11)=7,H22,"")))</f>
        <v>43968</v>
      </c>
      <c r="M22" s="22" t="s">
        <v>42</v>
      </c>
      <c r="N22" s="18">
        <f ca="1">DATE(J1,8,15)</f>
        <v>44423</v>
      </c>
      <c r="O22" s="91" t="s">
        <v>113</v>
      </c>
      <c r="P22" s="15"/>
      <c r="Q22" s="15"/>
      <c r="R22" s="47"/>
      <c r="S22" s="55"/>
      <c r="T22" s="55"/>
      <c r="U22" s="55"/>
      <c r="V22" s="13"/>
      <c r="W22" s="81"/>
      <c r="X22"/>
      <c r="Y22" s="47"/>
      <c r="Z22" s="47"/>
      <c r="AA22" s="47"/>
      <c r="AB22" s="47"/>
      <c r="AC22" s="47"/>
      <c r="AD22" s="47"/>
      <c r="AE22" s="47"/>
      <c r="AF22" s="47"/>
      <c r="AG22" s="47"/>
      <c r="AK22" s="15"/>
    </row>
    <row r="23" spans="1:37" s="8" customFormat="1" ht="24.95" customHeight="1" x14ac:dyDescent="0.2">
      <c r="A23" s="1">
        <f t="shared" ca="1" si="5"/>
        <v>43969</v>
      </c>
      <c r="B23" s="7"/>
      <c r="C23" s="61" t="str">
        <f t="shared" si="0"/>
        <v/>
      </c>
      <c r="D23" s="59"/>
      <c r="E23" s="100"/>
      <c r="F23" s="101"/>
      <c r="G23" s="76">
        <f t="shared" ca="1" si="1"/>
        <v>1</v>
      </c>
      <c r="H23" s="77">
        <f t="shared" ca="1" si="2"/>
        <v>43969</v>
      </c>
      <c r="I23" s="78">
        <f t="shared" ca="1" si="3"/>
        <v>0</v>
      </c>
      <c r="J23" s="79">
        <f t="shared" ca="1" si="4"/>
        <v>0</v>
      </c>
      <c r="K23" s="80" t="str">
        <f t="shared" si="6"/>
        <v/>
      </c>
      <c r="L23" s="80" t="str">
        <f t="shared" si="7"/>
        <v/>
      </c>
      <c r="M23" s="22" t="s">
        <v>43</v>
      </c>
      <c r="N23" s="18">
        <f ca="1">DATE(J1,11,1)</f>
        <v>44501</v>
      </c>
      <c r="O23" s="88"/>
      <c r="P23" s="15"/>
      <c r="Q23" s="15"/>
      <c r="R23" s="47"/>
      <c r="S23" s="55"/>
      <c r="T23" s="55"/>
      <c r="U23" s="55"/>
      <c r="V23" s="13"/>
      <c r="W23" s="81"/>
      <c r="X23"/>
      <c r="Y23" s="47"/>
      <c r="Z23" s="47"/>
      <c r="AA23" s="47"/>
      <c r="AB23" s="47"/>
      <c r="AC23" s="47"/>
      <c r="AD23" s="47"/>
      <c r="AE23" s="47"/>
      <c r="AF23" s="47"/>
      <c r="AG23" s="47"/>
      <c r="AK23" s="15"/>
    </row>
    <row r="24" spans="1:37" s="8" customFormat="1" ht="24.95" customHeight="1" x14ac:dyDescent="0.2">
      <c r="A24" s="1">
        <f t="shared" ca="1" si="5"/>
        <v>43970</v>
      </c>
      <c r="B24" s="7"/>
      <c r="C24" s="82">
        <f t="shared" ca="1" si="0"/>
        <v>10.63</v>
      </c>
      <c r="D24" s="83" t="s">
        <v>110</v>
      </c>
      <c r="E24" s="102" t="s">
        <v>97</v>
      </c>
      <c r="F24" s="103"/>
      <c r="G24" s="76">
        <f t="shared" ca="1" si="1"/>
        <v>1</v>
      </c>
      <c r="H24" s="84">
        <f t="shared" ca="1" si="2"/>
        <v>43970</v>
      </c>
      <c r="I24" s="78">
        <f t="shared" ca="1" si="3"/>
        <v>0</v>
      </c>
      <c r="J24" s="79">
        <f t="shared" ca="1" si="4"/>
        <v>0</v>
      </c>
      <c r="K24" s="80" t="str">
        <f t="shared" ca="1" si="6"/>
        <v/>
      </c>
      <c r="L24" s="80" t="str">
        <f t="shared" ca="1" si="7"/>
        <v/>
      </c>
      <c r="M24" s="22" t="s">
        <v>44</v>
      </c>
      <c r="N24" s="18">
        <f ca="1">DATE(J1,11,11)</f>
        <v>44511</v>
      </c>
      <c r="O24" s="88"/>
      <c r="P24" s="15"/>
      <c r="Q24" s="15"/>
      <c r="R24" s="47"/>
      <c r="S24" s="55"/>
      <c r="T24" s="55"/>
      <c r="U24" s="55"/>
      <c r="V24" s="13"/>
      <c r="W24" s="81"/>
      <c r="X24"/>
      <c r="Y24" s="47"/>
      <c r="Z24" s="47"/>
      <c r="AA24" s="47"/>
      <c r="AB24" s="47"/>
      <c r="AC24" s="47"/>
      <c r="AD24" s="47"/>
      <c r="AE24" s="47"/>
      <c r="AF24" s="47"/>
      <c r="AG24" s="47"/>
      <c r="AK24" s="15"/>
    </row>
    <row r="25" spans="1:37" s="8" customFormat="1" ht="24.95" customHeight="1" x14ac:dyDescent="0.2">
      <c r="A25" s="1">
        <f t="shared" ca="1" si="5"/>
        <v>43971</v>
      </c>
      <c r="B25" s="7"/>
      <c r="C25" s="82">
        <f t="shared" ca="1" si="0"/>
        <v>18.380000000000003</v>
      </c>
      <c r="D25" s="83" t="s">
        <v>110</v>
      </c>
      <c r="E25" s="102" t="s">
        <v>97</v>
      </c>
      <c r="F25" s="103"/>
      <c r="G25" s="76">
        <f t="shared" ca="1" si="1"/>
        <v>1</v>
      </c>
      <c r="H25" s="84">
        <f t="shared" ca="1" si="2"/>
        <v>43971</v>
      </c>
      <c r="I25" s="87">
        <f t="shared" ca="1" si="3"/>
        <v>7.75</v>
      </c>
      <c r="J25" s="79">
        <f t="shared" ca="1" si="4"/>
        <v>0</v>
      </c>
      <c r="K25" s="86">
        <f t="shared" ca="1" si="6"/>
        <v>43972</v>
      </c>
      <c r="L25" s="80" t="str">
        <f t="shared" ca="1" si="7"/>
        <v/>
      </c>
      <c r="M25" s="22" t="s">
        <v>45</v>
      </c>
      <c r="N25" s="18">
        <f ca="1">DATE(J1,12,25)</f>
        <v>44555</v>
      </c>
      <c r="O25" s="88"/>
      <c r="P25" s="15"/>
      <c r="Q25" s="15"/>
      <c r="R25" s="47"/>
      <c r="S25" s="55"/>
      <c r="T25" s="55"/>
      <c r="U25" s="55"/>
      <c r="V25" s="13"/>
      <c r="W25" s="81"/>
      <c r="X25"/>
      <c r="Y25" s="47"/>
      <c r="Z25" s="47"/>
      <c r="AA25" s="47"/>
      <c r="AB25" s="47"/>
      <c r="AC25" s="47"/>
      <c r="AD25" s="47"/>
      <c r="AE25" s="47"/>
      <c r="AF25" s="47"/>
      <c r="AG25" s="47"/>
      <c r="AK25" s="15"/>
    </row>
    <row r="26" spans="1:37" s="8" customFormat="1" ht="24.95" customHeight="1" x14ac:dyDescent="0.2">
      <c r="A26" s="1">
        <f t="shared" ca="1" si="5"/>
        <v>43972</v>
      </c>
      <c r="B26" s="7"/>
      <c r="C26" s="61" t="str">
        <f t="shared" si="0"/>
        <v/>
      </c>
      <c r="D26" s="59"/>
      <c r="E26" s="100"/>
      <c r="F26" s="101"/>
      <c r="G26" s="76">
        <f t="shared" ca="1" si="1"/>
        <v>2</v>
      </c>
      <c r="H26" s="77">
        <f t="shared" ca="1" si="2"/>
        <v>43972</v>
      </c>
      <c r="I26" s="78">
        <f t="shared" ca="1" si="3"/>
        <v>0</v>
      </c>
      <c r="J26" s="79">
        <f t="shared" ca="1" si="4"/>
        <v>0</v>
      </c>
      <c r="K26" s="80" t="str">
        <f t="shared" si="6"/>
        <v/>
      </c>
      <c r="L26" s="80" t="str">
        <f t="shared" si="7"/>
        <v/>
      </c>
      <c r="M26" s="2"/>
      <c r="P26" s="15"/>
      <c r="Q26" s="15"/>
      <c r="R26" s="47"/>
      <c r="S26" s="55"/>
      <c r="T26" s="55"/>
      <c r="U26" s="55"/>
      <c r="V26" s="13"/>
      <c r="W26" s="81"/>
      <c r="X26"/>
      <c r="Y26" s="47"/>
      <c r="Z26" s="47"/>
      <c r="AA26" s="47"/>
      <c r="AB26" s="47"/>
      <c r="AC26" s="47"/>
      <c r="AD26" s="47"/>
      <c r="AE26" s="47"/>
      <c r="AF26" s="47"/>
      <c r="AG26" s="47"/>
      <c r="AK26" s="15"/>
    </row>
    <row r="27" spans="1:37" s="8" customFormat="1" ht="24.95" customHeight="1" x14ac:dyDescent="0.2">
      <c r="A27" s="1">
        <f t="shared" ca="1" si="5"/>
        <v>43973</v>
      </c>
      <c r="B27" s="7"/>
      <c r="C27" s="61" t="str">
        <f t="shared" si="0"/>
        <v/>
      </c>
      <c r="D27" s="59"/>
      <c r="E27" s="100"/>
      <c r="F27" s="101"/>
      <c r="G27" s="76">
        <f t="shared" ca="1" si="1"/>
        <v>1</v>
      </c>
      <c r="H27" s="77">
        <f t="shared" ca="1" si="2"/>
        <v>43973</v>
      </c>
      <c r="I27" s="78">
        <f t="shared" ca="1" si="3"/>
        <v>0</v>
      </c>
      <c r="J27" s="79">
        <f t="shared" ca="1" si="4"/>
        <v>0</v>
      </c>
      <c r="K27" s="80" t="str">
        <f t="shared" si="6"/>
        <v/>
      </c>
      <c r="L27" s="80" t="str">
        <f t="shared" si="7"/>
        <v/>
      </c>
      <c r="M27" s="24" t="s">
        <v>62</v>
      </c>
      <c r="N27" s="15">
        <v>1</v>
      </c>
      <c r="O27" s="15"/>
      <c r="P27" s="15"/>
      <c r="Q27" s="15"/>
      <c r="R27" s="47"/>
      <c r="S27" s="55"/>
      <c r="T27" s="55"/>
      <c r="U27" s="55"/>
      <c r="V27" s="13"/>
      <c r="W27" s="81"/>
      <c r="X27"/>
      <c r="Y27" s="47"/>
      <c r="Z27" s="47"/>
      <c r="AA27" s="47"/>
      <c r="AB27" s="47"/>
      <c r="AC27" s="47"/>
      <c r="AD27" s="47"/>
      <c r="AE27" s="47"/>
      <c r="AF27" s="47"/>
      <c r="AG27" s="47"/>
      <c r="AK27" s="15"/>
    </row>
    <row r="28" spans="1:37" s="8" customFormat="1" ht="24.95" customHeight="1" x14ac:dyDescent="0.2">
      <c r="A28" s="1">
        <f t="shared" ca="1" si="5"/>
        <v>43974</v>
      </c>
      <c r="B28" s="9"/>
      <c r="C28" s="82">
        <f ca="1">IF(D28="","",10.63+I28)</f>
        <v>10.63</v>
      </c>
      <c r="D28" s="83" t="s">
        <v>112</v>
      </c>
      <c r="E28" s="102" t="s">
        <v>96</v>
      </c>
      <c r="F28" s="103"/>
      <c r="G28" s="76">
        <f t="shared" ca="1" si="1"/>
        <v>1</v>
      </c>
      <c r="H28" s="77">
        <f t="shared" ca="1" si="2"/>
        <v>43974</v>
      </c>
      <c r="I28" s="78">
        <f ca="1">IF(AND(G29=2,D28&lt;&gt;""),7.75,0)+IF(AND(G28=2,D28&lt;&gt;""),2.25,0)</f>
        <v>0</v>
      </c>
      <c r="J28" s="85">
        <f t="shared" ca="1" si="4"/>
        <v>7.75</v>
      </c>
      <c r="K28" s="80" t="str">
        <f ca="1">IF(D28="","",IF(G28=2,H28,IF(G29=2,H29,"")))</f>
        <v/>
      </c>
      <c r="L28" s="86">
        <f ca="1">IF(D28="","",IF(WEEKDAY(H28,11)=6,H28+1,IF(WEEKDAY(H28,11)=7,H28,"")))</f>
        <v>43975</v>
      </c>
      <c r="M28" s="24" t="s">
        <v>63</v>
      </c>
      <c r="N28" s="15">
        <v>2</v>
      </c>
      <c r="O28" s="15" t="s">
        <v>118</v>
      </c>
      <c r="P28" s="15"/>
      <c r="Q28" s="15"/>
      <c r="R28" s="47"/>
      <c r="S28" s="55"/>
      <c r="T28" s="55"/>
      <c r="U28" s="55"/>
      <c r="V28" s="13"/>
      <c r="W28" s="81"/>
      <c r="X28"/>
      <c r="Y28" s="47"/>
      <c r="Z28" s="47"/>
      <c r="AA28" s="47"/>
      <c r="AB28" s="47"/>
      <c r="AC28" s="47"/>
      <c r="AD28" s="47"/>
      <c r="AE28" s="47"/>
      <c r="AF28" s="47"/>
      <c r="AG28" s="47"/>
      <c r="AK28" s="15"/>
    </row>
    <row r="29" spans="1:37" s="8" customFormat="1" ht="24.95" customHeight="1" x14ac:dyDescent="0.2">
      <c r="A29" s="1">
        <f t="shared" ca="1" si="5"/>
        <v>43975</v>
      </c>
      <c r="B29" s="7"/>
      <c r="C29" s="61">
        <f t="shared" ca="1" si="0"/>
        <v>10.63</v>
      </c>
      <c r="D29" s="83" t="s">
        <v>112</v>
      </c>
      <c r="E29" s="102" t="s">
        <v>96</v>
      </c>
      <c r="F29" s="103"/>
      <c r="G29" s="76">
        <f t="shared" ca="1" si="1"/>
        <v>1</v>
      </c>
      <c r="H29" s="77">
        <f t="shared" ca="1" si="2"/>
        <v>43975</v>
      </c>
      <c r="I29" s="78">
        <f t="shared" ca="1" si="3"/>
        <v>0</v>
      </c>
      <c r="J29" s="79">
        <f t="shared" ca="1" si="4"/>
        <v>2.25</v>
      </c>
      <c r="K29" s="80" t="str">
        <f t="shared" ca="1" si="6"/>
        <v/>
      </c>
      <c r="L29" s="80">
        <f t="shared" ca="1" si="7"/>
        <v>43975</v>
      </c>
      <c r="M29" s="24" t="s">
        <v>61</v>
      </c>
      <c r="N29" s="15">
        <v>3</v>
      </c>
      <c r="O29" s="15"/>
      <c r="P29" s="15"/>
      <c r="Q29" s="15"/>
      <c r="R29" s="47"/>
      <c r="S29" s="55"/>
      <c r="T29" s="55"/>
      <c r="U29" s="55"/>
      <c r="V29" s="13"/>
      <c r="W29" s="81"/>
      <c r="X29"/>
      <c r="Y29" s="47"/>
      <c r="Z29" s="47"/>
      <c r="AA29" s="47"/>
      <c r="AB29" s="47"/>
      <c r="AC29" s="47"/>
      <c r="AD29" s="47"/>
      <c r="AE29" s="47"/>
      <c r="AF29" s="47"/>
      <c r="AG29" s="47"/>
      <c r="AK29" s="15"/>
    </row>
    <row r="30" spans="1:37" s="8" customFormat="1" ht="24.95" customHeight="1" x14ac:dyDescent="0.2">
      <c r="A30" s="1">
        <f t="shared" ca="1" si="5"/>
        <v>43976</v>
      </c>
      <c r="B30" s="7"/>
      <c r="C30" s="61"/>
      <c r="D30" s="59"/>
      <c r="E30" s="100"/>
      <c r="F30" s="101"/>
      <c r="G30" s="76">
        <f t="shared" ca="1" si="1"/>
        <v>1</v>
      </c>
      <c r="H30" s="77">
        <f t="shared" ca="1" si="2"/>
        <v>43976</v>
      </c>
      <c r="I30" s="78">
        <f ca="1">IF(AND(G31=2,D30&lt;&gt;""),7.75,0)+IF(AND(G30=2,D30&lt;&gt;""),2.25,0)</f>
        <v>0</v>
      </c>
      <c r="J30" s="79">
        <f t="shared" ca="1" si="4"/>
        <v>0</v>
      </c>
      <c r="K30" s="80" t="str">
        <f>IF(D30="","",IF(G30=2,H30,IF(G31=2,H31,"")))</f>
        <v/>
      </c>
      <c r="L30" s="80" t="str">
        <f>IF(D30="","",IF(WEEKDAY(H30,11)=6,H30+1,IF(WEEKDAY(H30,11)=7,H30,"")))</f>
        <v/>
      </c>
      <c r="M30" s="24" t="s">
        <v>64</v>
      </c>
      <c r="N30" s="15">
        <v>4</v>
      </c>
      <c r="O30" s="15"/>
      <c r="P30" s="15"/>
      <c r="Q30" s="15"/>
      <c r="R30" s="47"/>
      <c r="S30" s="55"/>
      <c r="T30" s="55"/>
      <c r="U30" s="55"/>
      <c r="V30" s="13"/>
      <c r="W30" s="81"/>
      <c r="X30"/>
      <c r="Y30" s="47"/>
      <c r="Z30" s="47"/>
      <c r="AA30" s="47"/>
      <c r="AB30" s="47"/>
      <c r="AC30" s="47"/>
      <c r="AD30" s="47"/>
      <c r="AE30" s="47"/>
      <c r="AF30" s="47"/>
      <c r="AG30" s="47"/>
      <c r="AK30" s="15"/>
    </row>
    <row r="31" spans="1:37" s="8" customFormat="1" ht="24.95" customHeight="1" x14ac:dyDescent="0.2">
      <c r="A31" s="1">
        <f t="shared" ca="1" si="5"/>
        <v>43977</v>
      </c>
      <c r="B31" s="7"/>
      <c r="C31" s="61" t="str">
        <f t="shared" si="0"/>
        <v/>
      </c>
      <c r="D31" s="59"/>
      <c r="E31" s="100"/>
      <c r="F31" s="101"/>
      <c r="G31" s="76">
        <f t="shared" ca="1" si="1"/>
        <v>1</v>
      </c>
      <c r="H31" s="77">
        <f t="shared" ca="1" si="2"/>
        <v>43977</v>
      </c>
      <c r="I31" s="78">
        <f t="shared" ca="1" si="3"/>
        <v>0</v>
      </c>
      <c r="J31" s="79">
        <f t="shared" ca="1" si="4"/>
        <v>0</v>
      </c>
      <c r="K31" s="80" t="str">
        <f t="shared" si="6"/>
        <v/>
      </c>
      <c r="L31" s="80" t="str">
        <f t="shared" si="7"/>
        <v/>
      </c>
      <c r="M31" s="24" t="s">
        <v>65</v>
      </c>
      <c r="N31" s="15">
        <v>5</v>
      </c>
      <c r="O31" s="15"/>
      <c r="P31" s="15"/>
      <c r="Q31" s="15"/>
      <c r="R31" s="47"/>
      <c r="S31" s="55"/>
      <c r="T31" s="55"/>
      <c r="U31" s="55"/>
      <c r="V31" s="13"/>
      <c r="W31" s="81"/>
      <c r="X31"/>
      <c r="Y31" s="47"/>
      <c r="Z31" s="47"/>
      <c r="AA31" s="47"/>
      <c r="AB31" s="47"/>
      <c r="AC31" s="47"/>
      <c r="AD31" s="47"/>
      <c r="AE31" s="47"/>
      <c r="AF31" s="47"/>
      <c r="AG31" s="47"/>
      <c r="AK31" s="15"/>
    </row>
    <row r="32" spans="1:37" s="8" customFormat="1" ht="24.95" customHeight="1" x14ac:dyDescent="0.2">
      <c r="A32" s="1">
        <f t="shared" ca="1" si="5"/>
        <v>43978</v>
      </c>
      <c r="B32" s="7"/>
      <c r="C32" s="61" t="str">
        <f t="shared" si="0"/>
        <v/>
      </c>
      <c r="D32" s="59"/>
      <c r="E32" s="100"/>
      <c r="F32" s="101"/>
      <c r="G32" s="76">
        <f t="shared" ca="1" si="1"/>
        <v>1</v>
      </c>
      <c r="H32" s="77">
        <f t="shared" ca="1" si="2"/>
        <v>43978</v>
      </c>
      <c r="I32" s="78">
        <f ca="1">IF(AND(G33=2,D32&lt;&gt;""),7.75,0)+IF(AND(G32=2,D32&lt;&gt;""),2.25,0)</f>
        <v>0</v>
      </c>
      <c r="J32" s="79">
        <f t="shared" ca="1" si="4"/>
        <v>0</v>
      </c>
      <c r="K32" s="80" t="str">
        <f t="shared" si="6"/>
        <v/>
      </c>
      <c r="L32" s="80" t="str">
        <f t="shared" si="7"/>
        <v/>
      </c>
      <c r="M32" s="24" t="s">
        <v>66</v>
      </c>
      <c r="N32" s="15">
        <v>6</v>
      </c>
      <c r="O32" s="15"/>
      <c r="P32" s="15"/>
      <c r="Q32" s="15"/>
      <c r="R32" s="47"/>
      <c r="S32" s="55"/>
      <c r="T32" s="55"/>
      <c r="U32" s="55"/>
      <c r="V32" s="13"/>
      <c r="W32" s="81"/>
      <c r="X32"/>
      <c r="Y32" s="47"/>
      <c r="Z32" s="47"/>
      <c r="AA32" s="47"/>
      <c r="AB32" s="47"/>
      <c r="AC32" s="47"/>
      <c r="AD32" s="47"/>
      <c r="AE32" s="47"/>
      <c r="AF32" s="47"/>
      <c r="AG32" s="47"/>
      <c r="AK32" s="15"/>
    </row>
    <row r="33" spans="1:37" s="8" customFormat="1" ht="24.95" customHeight="1" x14ac:dyDescent="0.2">
      <c r="A33" s="51">
        <f t="shared" ca="1" si="5"/>
        <v>43979</v>
      </c>
      <c r="B33" s="52"/>
      <c r="C33" s="61" t="str">
        <f t="shared" si="0"/>
        <v/>
      </c>
      <c r="D33" s="59"/>
      <c r="E33" s="100"/>
      <c r="F33" s="101"/>
      <c r="G33" s="76">
        <f t="shared" ca="1" si="1"/>
        <v>1</v>
      </c>
      <c r="H33" s="77">
        <f t="shared" ca="1" si="2"/>
        <v>43979</v>
      </c>
      <c r="I33" s="78">
        <f t="shared" ca="1" si="3"/>
        <v>0</v>
      </c>
      <c r="J33" s="79">
        <f t="shared" ca="1" si="4"/>
        <v>0</v>
      </c>
      <c r="K33" s="80" t="str">
        <f t="shared" si="6"/>
        <v/>
      </c>
      <c r="L33" s="80" t="str">
        <f t="shared" si="7"/>
        <v/>
      </c>
      <c r="M33" s="24" t="s">
        <v>67</v>
      </c>
      <c r="N33" s="15">
        <v>7</v>
      </c>
      <c r="O33" s="15"/>
      <c r="P33" s="15"/>
      <c r="Q33" s="15"/>
      <c r="R33" s="47"/>
      <c r="S33" s="55"/>
      <c r="T33" s="55"/>
      <c r="U33" s="55"/>
      <c r="V33" s="13"/>
      <c r="W33" s="81"/>
      <c r="X33"/>
      <c r="Y33" s="47"/>
      <c r="Z33" s="47"/>
      <c r="AA33" s="47"/>
      <c r="AB33" s="47"/>
      <c r="AC33" s="47"/>
      <c r="AD33" s="47"/>
      <c r="AE33" s="47"/>
      <c r="AF33" s="47"/>
      <c r="AG33" s="47"/>
      <c r="AK33" s="15"/>
    </row>
    <row r="34" spans="1:37" s="8" customFormat="1" ht="24.95" customHeight="1" x14ac:dyDescent="0.2">
      <c r="A34" s="1">
        <f t="shared" ca="1" si="5"/>
        <v>43980</v>
      </c>
      <c r="B34" s="7"/>
      <c r="C34" s="61" t="str">
        <f t="shared" si="0"/>
        <v/>
      </c>
      <c r="D34" s="59"/>
      <c r="E34" s="100"/>
      <c r="F34" s="101"/>
      <c r="G34" s="76">
        <f t="shared" ca="1" si="1"/>
        <v>1</v>
      </c>
      <c r="H34" s="77">
        <f t="shared" ca="1" si="2"/>
        <v>43980</v>
      </c>
      <c r="I34" s="78">
        <f t="shared" ca="1" si="3"/>
        <v>0</v>
      </c>
      <c r="J34" s="79">
        <f t="shared" ca="1" si="4"/>
        <v>0</v>
      </c>
      <c r="K34" s="80" t="str">
        <f t="shared" si="6"/>
        <v/>
      </c>
      <c r="L34" s="80" t="str">
        <f t="shared" si="7"/>
        <v/>
      </c>
      <c r="M34" s="24" t="s">
        <v>68</v>
      </c>
      <c r="N34" s="15">
        <v>8</v>
      </c>
      <c r="O34" s="15"/>
      <c r="P34" s="15"/>
      <c r="Q34" s="15"/>
      <c r="R34" s="47"/>
      <c r="S34" s="55"/>
      <c r="T34" s="55"/>
      <c r="U34" s="55"/>
      <c r="V34" s="13"/>
      <c r="W34" s="81"/>
      <c r="X34"/>
      <c r="Y34" s="47"/>
      <c r="Z34" s="47"/>
      <c r="AA34" s="47"/>
      <c r="AB34" s="47"/>
      <c r="AC34" s="47"/>
      <c r="AD34" s="47"/>
      <c r="AE34" s="47"/>
      <c r="AF34" s="47"/>
      <c r="AG34" s="47"/>
      <c r="AK34" s="15"/>
    </row>
    <row r="35" spans="1:37" s="8" customFormat="1" ht="24.95" customHeight="1" x14ac:dyDescent="0.2">
      <c r="A35" s="1">
        <f t="shared" ca="1" si="5"/>
        <v>43981</v>
      </c>
      <c r="B35" s="7"/>
      <c r="C35" s="61" t="str">
        <f t="shared" si="0"/>
        <v/>
      </c>
      <c r="D35" s="59"/>
      <c r="E35" s="100"/>
      <c r="F35" s="101"/>
      <c r="G35" s="76">
        <f t="shared" ca="1" si="1"/>
        <v>1</v>
      </c>
      <c r="H35" s="77">
        <f t="shared" ca="1" si="2"/>
        <v>43981</v>
      </c>
      <c r="I35" s="78">
        <f t="shared" ca="1" si="3"/>
        <v>0</v>
      </c>
      <c r="J35" s="79">
        <f t="shared" ca="1" si="4"/>
        <v>0</v>
      </c>
      <c r="K35" s="80" t="str">
        <f t="shared" si="6"/>
        <v/>
      </c>
      <c r="L35" s="80" t="str">
        <f t="shared" si="7"/>
        <v/>
      </c>
      <c r="M35" s="24" t="s">
        <v>69</v>
      </c>
      <c r="N35" s="15">
        <v>9</v>
      </c>
      <c r="O35" s="15"/>
      <c r="P35" s="15"/>
      <c r="Q35" s="15"/>
      <c r="R35" s="47"/>
      <c r="S35" s="55"/>
      <c r="T35" s="55"/>
      <c r="U35" s="55"/>
      <c r="V35" s="13"/>
      <c r="W35" s="81"/>
      <c r="X35"/>
      <c r="Y35" s="47"/>
      <c r="Z35" s="47"/>
      <c r="AA35" s="47"/>
      <c r="AB35" s="47"/>
      <c r="AC35" s="47"/>
      <c r="AD35" s="47"/>
      <c r="AE35" s="47"/>
      <c r="AF35" s="47"/>
      <c r="AG35" s="47"/>
      <c r="AK35" s="15"/>
    </row>
    <row r="36" spans="1:37" s="8" customFormat="1" ht="24.95" customHeight="1" x14ac:dyDescent="0.2">
      <c r="A36" s="1">
        <f t="shared" ca="1" si="5"/>
        <v>43982</v>
      </c>
      <c r="B36" s="7"/>
      <c r="C36" s="61">
        <f t="shared" ca="1" si="0"/>
        <v>18.380000000000003</v>
      </c>
      <c r="D36" s="59" t="s">
        <v>111</v>
      </c>
      <c r="E36" s="100" t="s">
        <v>50</v>
      </c>
      <c r="F36" s="101"/>
      <c r="G36" s="76">
        <f t="shared" ca="1" si="1"/>
        <v>1</v>
      </c>
      <c r="H36" s="77">
        <f t="shared" ca="1" si="2"/>
        <v>43982</v>
      </c>
      <c r="I36" s="78">
        <f t="shared" ca="1" si="3"/>
        <v>7.75</v>
      </c>
      <c r="J36" s="79">
        <f t="shared" ca="1" si="4"/>
        <v>2.25</v>
      </c>
      <c r="K36" s="80">
        <f t="shared" ca="1" si="6"/>
        <v>43983</v>
      </c>
      <c r="L36" s="80">
        <f ca="1">IF(D36="","",IF(WEEKDAY(H36,11)=6,H36+1,IF(WEEKDAY(H36,11)=7,H36,"")))</f>
        <v>43982</v>
      </c>
      <c r="M36" s="24" t="s">
        <v>70</v>
      </c>
      <c r="N36" s="15">
        <v>10</v>
      </c>
      <c r="O36" s="15"/>
      <c r="P36" s="15"/>
      <c r="Q36" s="15"/>
      <c r="R36" s="47"/>
      <c r="S36" s="55"/>
      <c r="T36" s="55"/>
      <c r="U36" s="55"/>
      <c r="V36" s="13"/>
      <c r="W36" s="81"/>
      <c r="X36"/>
      <c r="Y36" s="47"/>
      <c r="Z36" s="47"/>
      <c r="AA36" s="47"/>
      <c r="AB36" s="47"/>
      <c r="AC36" s="47"/>
      <c r="AD36" s="47"/>
      <c r="AE36" s="47"/>
      <c r="AF36" s="47"/>
      <c r="AG36" s="47"/>
      <c r="AK36" s="15"/>
    </row>
    <row r="37" spans="1:37" ht="24.75" customHeight="1" x14ac:dyDescent="0.2">
      <c r="A37" s="43">
        <f ca="1">EDATE(A6,1)</f>
        <v>43983</v>
      </c>
      <c r="G37" s="76">
        <f t="shared" ca="1" si="1"/>
        <v>2</v>
      </c>
      <c r="H37" s="77">
        <f t="shared" ca="1" si="2"/>
        <v>43983</v>
      </c>
      <c r="I37" s="78">
        <f t="shared" ca="1" si="3"/>
        <v>0</v>
      </c>
      <c r="J37" s="79">
        <f t="shared" ref="J37" ca="1" si="8">IF(AND(WEEKDAY(A37,11)=7,D37&lt;&gt;""),7.75,0)+IF(AND(WEEKDAY(A37,11)=1,D37&lt;&gt;""),2.25,0)</f>
        <v>0</v>
      </c>
      <c r="K37" s="80" t="str">
        <f t="shared" si="6"/>
        <v/>
      </c>
      <c r="L37" s="80" t="str">
        <f t="shared" si="7"/>
        <v/>
      </c>
      <c r="M37" s="24" t="s">
        <v>71</v>
      </c>
      <c r="N37" s="15">
        <v>11</v>
      </c>
      <c r="O37" s="15"/>
      <c r="V37" s="13"/>
      <c r="W37" s="81"/>
      <c r="X37"/>
    </row>
    <row r="38" spans="1:37" x14ac:dyDescent="0.2">
      <c r="C38" s="62">
        <f ca="1">SUM(C6:C36)</f>
        <v>153.06</v>
      </c>
      <c r="M38" s="24" t="s">
        <v>72</v>
      </c>
      <c r="N38" s="15">
        <v>12</v>
      </c>
      <c r="O38" s="15"/>
      <c r="V38" s="13"/>
      <c r="W38" s="81"/>
      <c r="X38"/>
    </row>
    <row r="39" spans="1:37" x14ac:dyDescent="0.2">
      <c r="I39" s="62">
        <f t="shared" ref="I39:J39" ca="1" si="9">SUM(I7:I37)</f>
        <v>25.5</v>
      </c>
      <c r="J39" s="62">
        <f t="shared" ca="1" si="9"/>
        <v>24.5</v>
      </c>
      <c r="V39" s="13"/>
      <c r="W39" s="81"/>
      <c r="X39"/>
    </row>
    <row r="40" spans="1:37" x14ac:dyDescent="0.2">
      <c r="V40" s="13"/>
      <c r="W40" s="81"/>
      <c r="X40"/>
    </row>
    <row r="41" spans="1:37" x14ac:dyDescent="0.2">
      <c r="V41" s="13"/>
      <c r="W41" s="81"/>
      <c r="X41"/>
    </row>
    <row r="42" spans="1:37" x14ac:dyDescent="0.2">
      <c r="V42" s="13"/>
      <c r="W42" s="81"/>
      <c r="X42"/>
    </row>
  </sheetData>
  <mergeCells count="38">
    <mergeCell ref="E33:F33"/>
    <mergeCell ref="E34:F34"/>
    <mergeCell ref="E35:F35"/>
    <mergeCell ref="E36:F36"/>
    <mergeCell ref="E29:F29"/>
    <mergeCell ref="E30:F30"/>
    <mergeCell ref="E31:F31"/>
    <mergeCell ref="E32:F32"/>
    <mergeCell ref="A1:F1"/>
    <mergeCell ref="C3:D3"/>
    <mergeCell ref="E6:F6"/>
    <mergeCell ref="E7:F7"/>
    <mergeCell ref="E8:F8"/>
    <mergeCell ref="A4:B4"/>
    <mergeCell ref="E28:F28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K12:K13"/>
    <mergeCell ref="H3:I3"/>
    <mergeCell ref="H4:I4"/>
    <mergeCell ref="C4:D4"/>
    <mergeCell ref="E14:F14"/>
    <mergeCell ref="E13:F13"/>
    <mergeCell ref="E9:F9"/>
    <mergeCell ref="E10:F10"/>
    <mergeCell ref="E11:F11"/>
    <mergeCell ref="E12:F12"/>
  </mergeCells>
  <phoneticPr fontId="5" type="noConversion"/>
  <conditionalFormatting sqref="P1:AK9">
    <cfRule type="expression" dxfId="42" priority="9">
      <formula>$P1&lt;&gt;""</formula>
    </cfRule>
  </conditionalFormatting>
  <dataValidations count="3">
    <dataValidation type="list" allowBlank="1" showInputMessage="1" showErrorMessage="1" sqref="E6:F36">
      <formula1>INDIRECT("Tab_motifJour[motif jour]")</formula1>
    </dataValidation>
    <dataValidation type="list" allowBlank="1" showInputMessage="1" showErrorMessage="1" sqref="D6:D36">
      <formula1>INDIRECT("Tab_CDI[nom]")</formula1>
    </dataValidation>
    <dataValidation type="list" allowBlank="1" showInputMessage="1" showErrorMessage="1" sqref="H3:I3">
      <formula1>$M$27:$M$38</formula1>
    </dataValidation>
  </dataValidations>
  <pageMargins left="0.53" right="0.24" top="0.24" bottom="0.18" header="0.2" footer="0.18"/>
  <pageSetup paperSize="9" scale="63" orientation="portrait" r:id="rId1"/>
  <headerFooter alignWithMargins="0"/>
  <ignoredErrors>
    <ignoredError sqref="I6:L35 I37:L37 I36:K36" unlockedFormula="1"/>
  </ignoredError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OFFSET(Données!$A$2,,,COUNTA(Données!$A:$A)-1,)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10"/>
  <sheetViews>
    <sheetView workbookViewId="0">
      <selection activeCell="K9" sqref="K9"/>
    </sheetView>
  </sheetViews>
  <sheetFormatPr baseColWidth="10" defaultRowHeight="12.75" x14ac:dyDescent="0.2"/>
  <cols>
    <col min="1" max="1" width="25.42578125" style="12" customWidth="1"/>
    <col min="2" max="2" width="8.5703125" style="12" bestFit="1" customWidth="1"/>
    <col min="3" max="3" width="7.28515625" customWidth="1"/>
    <col min="4" max="4" width="20.140625" bestFit="1" customWidth="1"/>
    <col min="5" max="5" width="14.7109375" customWidth="1"/>
    <col min="6" max="6" width="14.85546875" style="13" customWidth="1"/>
    <col min="7" max="7" width="11.42578125" style="16"/>
    <col min="8" max="8" width="28.5703125" bestFit="1" customWidth="1"/>
    <col min="9" max="9" width="21.42578125" customWidth="1"/>
    <col min="10" max="10" width="25.42578125" bestFit="1" customWidth="1"/>
    <col min="11" max="11" width="8.42578125" style="16" customWidth="1"/>
    <col min="12" max="12" width="27.140625" bestFit="1" customWidth="1"/>
    <col min="14" max="14" width="16.7109375" customWidth="1"/>
  </cols>
  <sheetData>
    <row r="1" spans="1:14" ht="15" x14ac:dyDescent="0.25">
      <c r="A1" s="28" t="s">
        <v>8</v>
      </c>
      <c r="B1" s="29" t="s">
        <v>57</v>
      </c>
      <c r="C1" s="30" t="s">
        <v>12</v>
      </c>
      <c r="D1" s="30" t="s">
        <v>13</v>
      </c>
      <c r="E1" s="30" t="s">
        <v>14</v>
      </c>
      <c r="F1" s="31" t="s">
        <v>17</v>
      </c>
      <c r="G1" s="32" t="s">
        <v>31</v>
      </c>
      <c r="H1" s="29" t="s">
        <v>58</v>
      </c>
      <c r="J1" s="19" t="s">
        <v>46</v>
      </c>
      <c r="K1" s="27" t="s">
        <v>12</v>
      </c>
      <c r="L1" s="20" t="s">
        <v>47</v>
      </c>
      <c r="N1" s="17" t="s">
        <v>48</v>
      </c>
    </row>
    <row r="2" spans="1:14" ht="15" x14ac:dyDescent="0.25">
      <c r="A2" s="17" t="s">
        <v>100</v>
      </c>
      <c r="B2" t="s">
        <v>9</v>
      </c>
      <c r="C2" s="60" t="s">
        <v>15</v>
      </c>
      <c r="D2" s="33">
        <v>295027462725265</v>
      </c>
      <c r="E2" s="34" t="s">
        <v>18</v>
      </c>
      <c r="F2" s="35">
        <v>34343</v>
      </c>
      <c r="G2" s="36">
        <v>406</v>
      </c>
      <c r="H2" s="37" t="s">
        <v>29</v>
      </c>
      <c r="J2" s="17" t="s">
        <v>111</v>
      </c>
      <c r="K2" s="27" t="s">
        <v>15</v>
      </c>
      <c r="L2" s="20" t="s">
        <v>75</v>
      </c>
      <c r="N2" s="21" t="s">
        <v>49</v>
      </c>
    </row>
    <row r="3" spans="1:14" ht="15" x14ac:dyDescent="0.25">
      <c r="A3" s="17" t="s">
        <v>101</v>
      </c>
      <c r="B3" t="s">
        <v>11</v>
      </c>
      <c r="C3" t="s">
        <v>15</v>
      </c>
      <c r="D3" s="33">
        <v>292027462726264</v>
      </c>
      <c r="E3" s="34" t="s">
        <v>22</v>
      </c>
      <c r="F3" s="35">
        <v>36828</v>
      </c>
      <c r="G3" s="36">
        <v>314</v>
      </c>
      <c r="H3" s="37" t="s">
        <v>32</v>
      </c>
      <c r="J3" s="17" t="s">
        <v>109</v>
      </c>
      <c r="K3" s="27" t="s">
        <v>16</v>
      </c>
      <c r="L3" s="20" t="s">
        <v>75</v>
      </c>
      <c r="N3" s="21" t="s">
        <v>50</v>
      </c>
    </row>
    <row r="4" spans="1:14" ht="15" x14ac:dyDescent="0.25">
      <c r="A4" s="17" t="s">
        <v>102</v>
      </c>
      <c r="B4" t="s">
        <v>9</v>
      </c>
      <c r="C4" t="s">
        <v>15</v>
      </c>
      <c r="D4" s="33">
        <v>289027462727263</v>
      </c>
      <c r="E4" s="34" t="s">
        <v>25</v>
      </c>
      <c r="F4" s="35">
        <v>35060</v>
      </c>
      <c r="G4" s="36">
        <v>406</v>
      </c>
      <c r="H4" s="37" t="s">
        <v>29</v>
      </c>
      <c r="J4" s="17" t="s">
        <v>110</v>
      </c>
      <c r="K4" s="27" t="s">
        <v>16</v>
      </c>
      <c r="L4" s="20" t="s">
        <v>75</v>
      </c>
      <c r="N4" s="21" t="s">
        <v>51</v>
      </c>
    </row>
    <row r="5" spans="1:14" ht="15" x14ac:dyDescent="0.25">
      <c r="A5" s="17" t="s">
        <v>103</v>
      </c>
      <c r="B5" t="s">
        <v>11</v>
      </c>
      <c r="C5" t="s">
        <v>15</v>
      </c>
      <c r="D5" s="33">
        <v>286027462728262</v>
      </c>
      <c r="E5" s="34" t="s">
        <v>24</v>
      </c>
      <c r="F5" s="35">
        <v>33559</v>
      </c>
      <c r="G5" s="36">
        <v>314</v>
      </c>
      <c r="H5" s="37" t="s">
        <v>32</v>
      </c>
      <c r="J5" s="17" t="s">
        <v>112</v>
      </c>
      <c r="K5" s="27" t="s">
        <v>15</v>
      </c>
      <c r="L5" s="20" t="s">
        <v>75</v>
      </c>
      <c r="N5" s="21" t="s">
        <v>52</v>
      </c>
    </row>
    <row r="6" spans="1:14" ht="15" x14ac:dyDescent="0.2">
      <c r="A6" s="17" t="s">
        <v>104</v>
      </c>
      <c r="B6" t="s">
        <v>11</v>
      </c>
      <c r="C6" t="s">
        <v>15</v>
      </c>
      <c r="D6" s="33">
        <v>283027462729261</v>
      </c>
      <c r="E6" s="34" t="s">
        <v>20</v>
      </c>
      <c r="F6" s="35">
        <v>36125</v>
      </c>
      <c r="G6" s="36">
        <v>314</v>
      </c>
      <c r="H6" s="37" t="s">
        <v>32</v>
      </c>
      <c r="N6" s="21" t="s">
        <v>53</v>
      </c>
    </row>
    <row r="7" spans="1:14" ht="15" x14ac:dyDescent="0.2">
      <c r="A7" s="17" t="s">
        <v>105</v>
      </c>
      <c r="B7" t="s">
        <v>11</v>
      </c>
      <c r="C7" t="s">
        <v>15</v>
      </c>
      <c r="D7" s="33">
        <v>280027462730260</v>
      </c>
      <c r="E7" s="34" t="s">
        <v>19</v>
      </c>
      <c r="F7" s="35">
        <v>34730</v>
      </c>
      <c r="G7" s="36">
        <v>314</v>
      </c>
      <c r="H7" s="37" t="s">
        <v>32</v>
      </c>
      <c r="N7" s="21" t="s">
        <v>54</v>
      </c>
    </row>
    <row r="8" spans="1:14" ht="15" x14ac:dyDescent="0.2">
      <c r="A8" s="17" t="s">
        <v>106</v>
      </c>
      <c r="B8" t="s">
        <v>27</v>
      </c>
      <c r="C8" s="60" t="s">
        <v>16</v>
      </c>
      <c r="D8" s="33">
        <v>277027462731259</v>
      </c>
      <c r="E8" s="34" t="s">
        <v>21</v>
      </c>
      <c r="F8" s="35">
        <v>32871</v>
      </c>
      <c r="G8" s="36">
        <v>380</v>
      </c>
      <c r="H8" s="37" t="s">
        <v>28</v>
      </c>
      <c r="N8" s="21" t="s">
        <v>55</v>
      </c>
    </row>
    <row r="9" spans="1:14" ht="15" x14ac:dyDescent="0.2">
      <c r="A9" s="17" t="s">
        <v>107</v>
      </c>
      <c r="B9" t="s">
        <v>27</v>
      </c>
      <c r="C9" s="60" t="s">
        <v>16</v>
      </c>
      <c r="D9" s="33">
        <v>274027462732258</v>
      </c>
      <c r="E9" s="34" t="s">
        <v>23</v>
      </c>
      <c r="F9" s="35">
        <v>33984</v>
      </c>
      <c r="G9" s="36">
        <v>380</v>
      </c>
      <c r="H9" s="37" t="s">
        <v>28</v>
      </c>
      <c r="N9" s="21" t="s">
        <v>56</v>
      </c>
    </row>
    <row r="10" spans="1:14" ht="15" x14ac:dyDescent="0.2">
      <c r="A10" s="17" t="s">
        <v>108</v>
      </c>
      <c r="B10" t="s">
        <v>10</v>
      </c>
      <c r="C10" s="60" t="s">
        <v>15</v>
      </c>
      <c r="D10" s="33">
        <v>271027462733257</v>
      </c>
      <c r="E10" s="34" t="s">
        <v>26</v>
      </c>
      <c r="F10" s="35">
        <v>34387</v>
      </c>
      <c r="G10" s="36">
        <v>371</v>
      </c>
      <c r="H10" s="37" t="s">
        <v>30</v>
      </c>
    </row>
  </sheetData>
  <dataValidations count="1">
    <dataValidation type="list" allowBlank="1" showInputMessage="1" showErrorMessage="1" sqref="B2:B10">
      <formula1>#REF!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D45" sqref="D45"/>
    </sheetView>
  </sheetViews>
  <sheetFormatPr baseColWidth="10" defaultRowHeight="12.75" x14ac:dyDescent="0.2"/>
  <cols>
    <col min="1" max="1" width="21.28515625" customWidth="1"/>
  </cols>
  <sheetData>
    <row r="1" spans="1:2" ht="15.75" x14ac:dyDescent="0.2">
      <c r="A1" s="92" t="s">
        <v>33</v>
      </c>
      <c r="B1" s="93" t="s">
        <v>115</v>
      </c>
    </row>
    <row r="2" spans="1:2" x14ac:dyDescent="0.2">
      <c r="A2" s="22" t="s">
        <v>34</v>
      </c>
      <c r="B2" s="18">
        <f>DATE($B$1,1,1)</f>
        <v>43831</v>
      </c>
    </row>
    <row r="3" spans="1:2" x14ac:dyDescent="0.2">
      <c r="A3" s="22" t="s">
        <v>35</v>
      </c>
      <c r="B3" s="18">
        <f>ROUND(DATE($B$1,4,MOD(234-11*MOD($B$1,19),30))/7,0)*7-6</f>
        <v>43933</v>
      </c>
    </row>
    <row r="4" spans="1:2" x14ac:dyDescent="0.2">
      <c r="A4" s="22" t="s">
        <v>36</v>
      </c>
      <c r="B4" s="18">
        <f>B3+1</f>
        <v>43934</v>
      </c>
    </row>
    <row r="5" spans="1:2" x14ac:dyDescent="0.2">
      <c r="A5" s="22" t="s">
        <v>37</v>
      </c>
      <c r="B5" s="18">
        <f>DATE($B$1,5,1)</f>
        <v>43952</v>
      </c>
    </row>
    <row r="6" spans="1:2" x14ac:dyDescent="0.2">
      <c r="A6" s="23" t="s">
        <v>38</v>
      </c>
      <c r="B6" s="18">
        <f>DATE($B$1,5,8)</f>
        <v>43959</v>
      </c>
    </row>
    <row r="7" spans="1:2" x14ac:dyDescent="0.2">
      <c r="A7" s="22" t="s">
        <v>39</v>
      </c>
      <c r="B7" s="18">
        <f>B4+38</f>
        <v>43972</v>
      </c>
    </row>
    <row r="8" spans="1:2" x14ac:dyDescent="0.2">
      <c r="A8" s="22" t="s">
        <v>40</v>
      </c>
      <c r="B8" s="18">
        <f>B3+49</f>
        <v>43982</v>
      </c>
    </row>
    <row r="9" spans="1:2" x14ac:dyDescent="0.2">
      <c r="A9" s="22" t="s">
        <v>41</v>
      </c>
      <c r="B9" s="18">
        <f>DATE($B$1,7,14)</f>
        <v>44026</v>
      </c>
    </row>
    <row r="10" spans="1:2" x14ac:dyDescent="0.2">
      <c r="A10" s="22" t="s">
        <v>42</v>
      </c>
      <c r="B10" s="18">
        <f>DATE($B$1,8,15)</f>
        <v>44058</v>
      </c>
    </row>
    <row r="11" spans="1:2" x14ac:dyDescent="0.2">
      <c r="A11" s="22" t="s">
        <v>43</v>
      </c>
      <c r="B11" s="18">
        <f>DATE($B$1,11,1)</f>
        <v>44136</v>
      </c>
    </row>
    <row r="12" spans="1:2" x14ac:dyDescent="0.2">
      <c r="A12" s="22" t="s">
        <v>44</v>
      </c>
      <c r="B12" s="18">
        <f>DATE($B$1,11,11)</f>
        <v>44146</v>
      </c>
    </row>
    <row r="13" spans="1:2" x14ac:dyDescent="0.2">
      <c r="A13" s="22" t="s">
        <v>45</v>
      </c>
      <c r="B13" s="18">
        <f>DATE($B$1,12,25)</f>
        <v>44190</v>
      </c>
    </row>
    <row r="14" spans="1:2" x14ac:dyDescent="0.2">
      <c r="A14" s="22" t="s">
        <v>34</v>
      </c>
      <c r="B14" s="18">
        <f>DATE($B$1+1,1,1)</f>
        <v>44197</v>
      </c>
    </row>
    <row r="15" spans="1:2" x14ac:dyDescent="0.2">
      <c r="A15" s="22" t="s">
        <v>35</v>
      </c>
      <c r="B15" s="18">
        <f>ROUND(DATE($B$1+1,4,MOD(234-11*MOD($B$1+1,19),30))/7,0)*7-6</f>
        <v>44290</v>
      </c>
    </row>
    <row r="16" spans="1:2" x14ac:dyDescent="0.2">
      <c r="A16" s="22" t="s">
        <v>36</v>
      </c>
      <c r="B16" s="18">
        <f>$B$15+1</f>
        <v>44291</v>
      </c>
    </row>
    <row r="17" spans="1:2" x14ac:dyDescent="0.2">
      <c r="A17" s="22" t="s">
        <v>37</v>
      </c>
      <c r="B17" s="18">
        <f>DATE($B$1+1,5,1)</f>
        <v>44317</v>
      </c>
    </row>
    <row r="18" spans="1:2" x14ac:dyDescent="0.2">
      <c r="A18" s="23" t="s">
        <v>38</v>
      </c>
      <c r="B18" s="18">
        <f>DATE($B$1+1,5,8)</f>
        <v>44324</v>
      </c>
    </row>
    <row r="19" spans="1:2" x14ac:dyDescent="0.2">
      <c r="A19" s="22" t="s">
        <v>39</v>
      </c>
      <c r="B19" s="18">
        <f>$B$16+38</f>
        <v>44329</v>
      </c>
    </row>
    <row r="20" spans="1:2" x14ac:dyDescent="0.2">
      <c r="A20" s="22" t="s">
        <v>40</v>
      </c>
      <c r="B20" s="18">
        <f>$B$15+49</f>
        <v>44339</v>
      </c>
    </row>
    <row r="21" spans="1:2" x14ac:dyDescent="0.2">
      <c r="A21" s="22" t="s">
        <v>41</v>
      </c>
      <c r="B21" s="18">
        <f>DATE($B$1+1,7,14)</f>
        <v>44391</v>
      </c>
    </row>
    <row r="22" spans="1:2" x14ac:dyDescent="0.2">
      <c r="A22" s="22" t="s">
        <v>42</v>
      </c>
      <c r="B22" s="18">
        <f>DATE($B$1+1,8,15)</f>
        <v>44423</v>
      </c>
    </row>
    <row r="23" spans="1:2" x14ac:dyDescent="0.2">
      <c r="A23" s="22" t="s">
        <v>43</v>
      </c>
      <c r="B23" s="18">
        <f>DATE($B$1+1,11,1)</f>
        <v>44501</v>
      </c>
    </row>
    <row r="24" spans="1:2" x14ac:dyDescent="0.2">
      <c r="A24" s="22" t="s">
        <v>44</v>
      </c>
      <c r="B24" s="18">
        <f>DATE($B$1+1,11,11)</f>
        <v>44511</v>
      </c>
    </row>
    <row r="25" spans="1:2" x14ac:dyDescent="0.2">
      <c r="A25" s="22" t="s">
        <v>45</v>
      </c>
      <c r="B25" s="18">
        <f>DATE($B$1+1,12,25)</f>
        <v>44555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G15" sqref="G15"/>
    </sheetView>
  </sheetViews>
  <sheetFormatPr baseColWidth="10" defaultRowHeight="12.75" x14ac:dyDescent="0.2"/>
  <cols>
    <col min="1" max="1" width="11.140625" bestFit="1" customWidth="1"/>
    <col min="2" max="2" width="23.5703125" bestFit="1" customWidth="1"/>
    <col min="3" max="3" width="15.5703125" bestFit="1" customWidth="1"/>
    <col min="4" max="5" width="10.140625" bestFit="1" customWidth="1"/>
    <col min="6" max="6" width="7.85546875" bestFit="1" customWidth="1"/>
    <col min="7" max="7" width="13.28515625" bestFit="1" customWidth="1"/>
    <col min="8" max="8" width="16.28515625" bestFit="1" customWidth="1"/>
    <col min="9" max="9" width="8.85546875" bestFit="1" customWidth="1"/>
    <col min="10" max="10" width="11.85546875" bestFit="1" customWidth="1"/>
    <col min="11" max="15" width="14.5703125" bestFit="1" customWidth="1"/>
    <col min="16" max="16" width="10.140625" bestFit="1" customWidth="1"/>
    <col min="17" max="19" width="9.5703125" bestFit="1" customWidth="1"/>
    <col min="20" max="20" width="23.5703125" bestFit="1" customWidth="1"/>
    <col min="21" max="21" width="15.5703125" bestFit="1" customWidth="1"/>
    <col min="22" max="23" width="10.140625" bestFit="1" customWidth="1"/>
    <col min="24" max="24" width="7.85546875" bestFit="1" customWidth="1"/>
    <col min="25" max="25" width="13.28515625" bestFit="1" customWidth="1"/>
    <col min="26" max="26" width="16.28515625" bestFit="1" customWidth="1"/>
    <col min="27" max="27" width="8.85546875" bestFit="1" customWidth="1"/>
    <col min="28" max="28" width="11.85546875" bestFit="1" customWidth="1"/>
    <col min="29" max="33" width="14.5703125" bestFit="1" customWidth="1"/>
    <col min="34" max="34" width="10.140625" bestFit="1" customWidth="1"/>
    <col min="35" max="37" width="9.5703125" bestFit="1" customWidth="1"/>
  </cols>
  <sheetData>
    <row r="1" spans="1:19" x14ac:dyDescent="0.2">
      <c r="A1" s="42" t="s">
        <v>116</v>
      </c>
      <c r="B1" s="42" t="s">
        <v>59</v>
      </c>
      <c r="C1" s="42" t="s">
        <v>1</v>
      </c>
      <c r="D1" s="70" t="s">
        <v>77</v>
      </c>
      <c r="E1" s="70" t="s">
        <v>78</v>
      </c>
      <c r="F1" s="42" t="s">
        <v>79</v>
      </c>
      <c r="G1" s="42" t="s">
        <v>80</v>
      </c>
      <c r="H1" s="42" t="s">
        <v>81</v>
      </c>
      <c r="I1" s="42" t="s">
        <v>82</v>
      </c>
      <c r="J1" s="42" t="s">
        <v>83</v>
      </c>
      <c r="K1" s="70" t="s">
        <v>84</v>
      </c>
      <c r="L1" s="70" t="s">
        <v>85</v>
      </c>
      <c r="M1" s="70" t="s">
        <v>86</v>
      </c>
      <c r="N1" s="70" t="s">
        <v>87</v>
      </c>
      <c r="O1" s="70" t="s">
        <v>88</v>
      </c>
      <c r="P1" s="70" t="s">
        <v>89</v>
      </c>
      <c r="Q1" s="70" t="s">
        <v>90</v>
      </c>
      <c r="R1" s="70" t="s">
        <v>91</v>
      </c>
      <c r="S1" s="94" t="s">
        <v>92</v>
      </c>
    </row>
    <row r="2" spans="1:19" x14ac:dyDescent="0.2">
      <c r="A2" s="42" t="s">
        <v>117</v>
      </c>
      <c r="B2" s="42" t="s">
        <v>111</v>
      </c>
      <c r="C2" s="42" t="s">
        <v>95</v>
      </c>
      <c r="D2" s="70">
        <v>43954</v>
      </c>
      <c r="E2" s="70">
        <v>43954</v>
      </c>
      <c r="F2" s="42">
        <v>10.63</v>
      </c>
      <c r="G2" s="42">
        <v>2.25</v>
      </c>
      <c r="H2" s="42">
        <v>1</v>
      </c>
      <c r="I2" s="42"/>
      <c r="J2" s="42">
        <v>0</v>
      </c>
      <c r="K2" s="70">
        <v>43954</v>
      </c>
      <c r="L2" s="70"/>
      <c r="M2" s="70"/>
      <c r="N2" s="70"/>
      <c r="O2" s="70"/>
      <c r="P2" s="70"/>
      <c r="Q2" s="70"/>
      <c r="R2" s="70"/>
      <c r="S2" s="94"/>
    </row>
    <row r="3" spans="1:19" x14ac:dyDescent="0.2">
      <c r="A3" s="42" t="s">
        <v>117</v>
      </c>
      <c r="B3" s="42" t="s">
        <v>111</v>
      </c>
      <c r="C3" s="42" t="s">
        <v>51</v>
      </c>
      <c r="D3" s="70">
        <v>43958</v>
      </c>
      <c r="E3" s="70">
        <v>43959</v>
      </c>
      <c r="F3" s="42">
        <v>31.260000000000005</v>
      </c>
      <c r="G3" s="42"/>
      <c r="H3" s="42">
        <v>0</v>
      </c>
      <c r="I3" s="42">
        <v>10</v>
      </c>
      <c r="J3" s="42">
        <v>1</v>
      </c>
      <c r="K3" s="70"/>
      <c r="L3" s="70"/>
      <c r="M3" s="70"/>
      <c r="N3" s="70"/>
      <c r="O3" s="70"/>
      <c r="P3" s="70">
        <v>43959</v>
      </c>
      <c r="Q3" s="70"/>
      <c r="R3" s="70"/>
      <c r="S3" s="94"/>
    </row>
    <row r="4" spans="1:19" x14ac:dyDescent="0.2">
      <c r="A4" s="42" t="s">
        <v>117</v>
      </c>
      <c r="B4" s="42" t="s">
        <v>109</v>
      </c>
      <c r="C4" s="42" t="s">
        <v>96</v>
      </c>
      <c r="D4" s="70">
        <v>43962</v>
      </c>
      <c r="E4" s="70">
        <v>43963</v>
      </c>
      <c r="F4" s="42">
        <v>21.26</v>
      </c>
      <c r="G4" s="42"/>
      <c r="H4" s="42">
        <v>0</v>
      </c>
      <c r="I4" s="42"/>
      <c r="J4" s="42">
        <v>0</v>
      </c>
      <c r="K4" s="70"/>
      <c r="L4" s="70"/>
      <c r="M4" s="70"/>
      <c r="N4" s="70"/>
      <c r="O4" s="70"/>
      <c r="P4" s="70"/>
      <c r="Q4" s="70"/>
      <c r="R4" s="70"/>
      <c r="S4" s="94"/>
    </row>
    <row r="5" spans="1:19" x14ac:dyDescent="0.2">
      <c r="A5" s="42" t="s">
        <v>117</v>
      </c>
      <c r="B5" s="42" t="s">
        <v>110</v>
      </c>
      <c r="C5" s="42" t="s">
        <v>96</v>
      </c>
      <c r="D5" s="70">
        <v>43967</v>
      </c>
      <c r="E5" s="70">
        <v>43967</v>
      </c>
      <c r="F5" s="42">
        <v>10.63</v>
      </c>
      <c r="G5" s="42">
        <v>7.75</v>
      </c>
      <c r="H5" s="42">
        <v>1</v>
      </c>
      <c r="I5" s="42"/>
      <c r="J5" s="42">
        <v>0</v>
      </c>
      <c r="K5" s="70">
        <v>43968</v>
      </c>
      <c r="L5" s="70"/>
      <c r="M5" s="70"/>
      <c r="N5" s="70"/>
      <c r="O5" s="70"/>
      <c r="P5" s="70"/>
      <c r="Q5" s="70"/>
      <c r="R5" s="70"/>
      <c r="S5" s="94"/>
    </row>
    <row r="6" spans="1:19" x14ac:dyDescent="0.2">
      <c r="A6" s="42" t="s">
        <v>117</v>
      </c>
      <c r="B6" s="42" t="s">
        <v>110</v>
      </c>
      <c r="C6" s="42" t="s">
        <v>52</v>
      </c>
      <c r="D6" s="70">
        <v>43968</v>
      </c>
      <c r="E6" s="70">
        <v>43968</v>
      </c>
      <c r="F6" s="42">
        <v>10.63</v>
      </c>
      <c r="G6" s="42">
        <v>2.25</v>
      </c>
      <c r="H6" s="42">
        <v>1</v>
      </c>
      <c r="I6" s="42"/>
      <c r="J6" s="42">
        <v>0</v>
      </c>
      <c r="K6" s="70">
        <v>43968</v>
      </c>
      <c r="L6" s="70"/>
      <c r="M6" s="70"/>
      <c r="N6" s="70"/>
      <c r="O6" s="70"/>
      <c r="P6" s="70"/>
      <c r="Q6" s="70"/>
      <c r="R6" s="70"/>
      <c r="S6" s="94"/>
    </row>
    <row r="7" spans="1:19" x14ac:dyDescent="0.2">
      <c r="A7" s="42" t="s">
        <v>117</v>
      </c>
      <c r="B7" s="42" t="s">
        <v>110</v>
      </c>
      <c r="C7" s="42" t="s">
        <v>97</v>
      </c>
      <c r="D7" s="70">
        <v>43970</v>
      </c>
      <c r="E7" s="70">
        <v>43971</v>
      </c>
      <c r="F7" s="42">
        <v>29.010000000000005</v>
      </c>
      <c r="G7" s="42"/>
      <c r="H7" s="42">
        <v>0</v>
      </c>
      <c r="I7" s="42">
        <v>7.75</v>
      </c>
      <c r="J7" s="42">
        <v>1</v>
      </c>
      <c r="K7" s="70"/>
      <c r="L7" s="70"/>
      <c r="M7" s="70"/>
      <c r="N7" s="70"/>
      <c r="O7" s="70"/>
      <c r="P7" s="70">
        <v>43972</v>
      </c>
      <c r="Q7" s="70"/>
      <c r="R7" s="70"/>
      <c r="S7" s="94"/>
    </row>
    <row r="8" spans="1:19" x14ac:dyDescent="0.2">
      <c r="A8" s="42" t="s">
        <v>117</v>
      </c>
      <c r="B8" s="42" t="s">
        <v>112</v>
      </c>
      <c r="C8" s="42" t="s">
        <v>96</v>
      </c>
      <c r="D8" s="70">
        <v>43974</v>
      </c>
      <c r="E8" s="70">
        <v>43975</v>
      </c>
      <c r="F8" s="42">
        <v>21.26</v>
      </c>
      <c r="G8" s="42">
        <v>10</v>
      </c>
      <c r="H8" s="42">
        <v>2</v>
      </c>
      <c r="I8" s="42"/>
      <c r="J8" s="42">
        <v>0</v>
      </c>
      <c r="K8" s="70">
        <v>43975</v>
      </c>
      <c r="L8" s="70"/>
      <c r="M8" s="70"/>
      <c r="N8" s="70"/>
      <c r="O8" s="70"/>
      <c r="P8" s="70"/>
      <c r="Q8" s="70"/>
      <c r="R8" s="70"/>
      <c r="S8" s="94"/>
    </row>
    <row r="9" spans="1:19" x14ac:dyDescent="0.2">
      <c r="A9" s="42" t="s">
        <v>117</v>
      </c>
      <c r="B9" s="42" t="s">
        <v>111</v>
      </c>
      <c r="C9" s="42" t="s">
        <v>50</v>
      </c>
      <c r="D9" s="70">
        <v>43982</v>
      </c>
      <c r="E9" s="70">
        <v>43982</v>
      </c>
      <c r="F9" s="42">
        <v>18.380000000000003</v>
      </c>
      <c r="G9" s="42"/>
      <c r="H9" s="42">
        <v>0</v>
      </c>
      <c r="I9" s="42">
        <v>10</v>
      </c>
      <c r="J9" s="42">
        <v>1</v>
      </c>
      <c r="K9" s="70"/>
      <c r="L9" s="70"/>
      <c r="M9" s="70"/>
      <c r="N9" s="70"/>
      <c r="O9" s="70"/>
      <c r="P9" s="70">
        <v>43982</v>
      </c>
      <c r="Q9" s="70"/>
      <c r="R9" s="70"/>
      <c r="S9" s="9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768B71-03DC-4963-87D3-4DA50D42B8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mois</vt:lpstr>
      <vt:lpstr>Données</vt:lpstr>
      <vt:lpstr>JF</vt:lpstr>
      <vt:lpstr>Requête</vt:lpstr>
      <vt:lpstr>année</vt:lpstr>
      <vt:lpstr>mois</vt:lpstr>
      <vt:lpstr>nom</vt:lpstr>
      <vt:lpstr>T_01_janvier</vt:lpstr>
      <vt:lpstr>mois!Zone_d_impression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cp:lastPrinted>2020-05-25T12:26:40Z</cp:lastPrinted>
  <dcterms:created xsi:type="dcterms:W3CDTF">2003-04-14T07:36:29Z</dcterms:created>
  <dcterms:modified xsi:type="dcterms:W3CDTF">2020-06-16T12:05:15Z</dcterms:modified>
</cp:coreProperties>
</file>