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Excel pratique\"/>
    </mc:Choice>
  </mc:AlternateContent>
  <bookViews>
    <workbookView xWindow="0" yWindow="0" windowWidth="24000" windowHeight="9735"/>
  </bookViews>
  <sheets>
    <sheet name="2022" sheetId="4" r:id="rId1"/>
  </sheets>
  <definedNames>
    <definedName name="CHIFFREJOUR" localSheetId="0">'2022'!$A$60:$B$66</definedName>
    <definedName name="CHIFFREJOUR">#REF!</definedName>
    <definedName name="plageservice" localSheetId="0">'2022'!$B$50:$G$56</definedName>
    <definedName name="plageservice">#REF!</definedName>
    <definedName name="_xlnm.Print_Area" localSheetId="0">'2022'!$C$1:$G$58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8" i="4" l="1"/>
  <c r="F27" i="4" l="1"/>
  <c r="F25" i="4"/>
  <c r="F22" i="4"/>
  <c r="F20" i="4"/>
  <c r="F16" i="4"/>
  <c r="F10" i="4"/>
  <c r="F9" i="4"/>
  <c r="F8" i="4"/>
  <c r="F5" i="4"/>
  <c r="F4" i="4"/>
  <c r="F26" i="4" l="1"/>
  <c r="F21" i="4"/>
  <c r="F15" i="4"/>
  <c r="E2" i="4" l="1"/>
  <c r="E58" i="4"/>
  <c r="E57" i="4"/>
  <c r="E56" i="4"/>
  <c r="E55" i="4"/>
  <c r="E54" i="4"/>
  <c r="E53" i="4"/>
  <c r="E52" i="4"/>
  <c r="E51" i="4"/>
  <c r="E50" i="4"/>
  <c r="F33" i="4"/>
  <c r="F32" i="4"/>
  <c r="F31" i="4"/>
  <c r="F30" i="4"/>
  <c r="F29" i="4"/>
  <c r="F28" i="4"/>
  <c r="F24" i="4"/>
  <c r="F23" i="4"/>
  <c r="F19" i="4"/>
  <c r="F18" i="4"/>
  <c r="F17" i="4"/>
  <c r="F14" i="4"/>
  <c r="F13" i="4"/>
  <c r="F12" i="4"/>
  <c r="F11" i="4"/>
  <c r="F7" i="4"/>
  <c r="F6" i="4"/>
  <c r="F3" i="4"/>
  <c r="D3" i="4" l="1"/>
  <c r="M13" i="4"/>
  <c r="M7" i="4"/>
  <c r="M6" i="4"/>
  <c r="M14" i="4"/>
  <c r="M12" i="4"/>
  <c r="M10" i="4"/>
  <c r="M11" i="4"/>
  <c r="M4" i="4"/>
  <c r="M3" i="4"/>
  <c r="E3" i="4"/>
  <c r="F35" i="4"/>
  <c r="M9" i="4" l="1"/>
  <c r="M5" i="4"/>
  <c r="M8" i="4" s="1"/>
  <c r="D4" i="4"/>
  <c r="H3" i="4"/>
  <c r="F39" i="4"/>
  <c r="F41" i="4" s="1"/>
  <c r="H4" i="4" l="1"/>
  <c r="D5" i="4"/>
  <c r="E4" i="4"/>
  <c r="D6" i="4" l="1"/>
  <c r="H5" i="4"/>
  <c r="E5" i="4"/>
  <c r="H6" i="4" l="1"/>
  <c r="E6" i="4"/>
  <c r="D7" i="4"/>
  <c r="H7" i="4" l="1"/>
  <c r="E7" i="4"/>
  <c r="D8" i="4"/>
  <c r="H8" i="4" l="1"/>
  <c r="E8" i="4"/>
  <c r="D9" i="4"/>
  <c r="H9" i="4" l="1"/>
  <c r="E9" i="4"/>
  <c r="D10" i="4"/>
  <c r="H10" i="4" l="1"/>
  <c r="D11" i="4"/>
  <c r="E10" i="4"/>
  <c r="H11" i="4" l="1"/>
  <c r="D12" i="4"/>
  <c r="E11" i="4"/>
  <c r="H12" i="4" l="1"/>
  <c r="E12" i="4"/>
  <c r="D13" i="4"/>
  <c r="H13" i="4" l="1"/>
  <c r="D14" i="4"/>
  <c r="E13" i="4"/>
  <c r="H14" i="4" l="1"/>
  <c r="E14" i="4"/>
  <c r="D15" i="4"/>
  <c r="H15" i="4" l="1"/>
  <c r="E15" i="4"/>
  <c r="D16" i="4"/>
  <c r="H16" i="4" l="1"/>
  <c r="E16" i="4"/>
  <c r="D17" i="4"/>
  <c r="H17" i="4" l="1"/>
  <c r="D18" i="4"/>
  <c r="E17" i="4"/>
  <c r="H18" i="4" l="1"/>
  <c r="E18" i="4"/>
  <c r="D19" i="4"/>
  <c r="H19" i="4" l="1"/>
  <c r="E19" i="4"/>
  <c r="D20" i="4"/>
  <c r="H20" i="4" l="1"/>
  <c r="D21" i="4"/>
  <c r="E20" i="4"/>
  <c r="H21" i="4" l="1"/>
  <c r="E21" i="4"/>
  <c r="D22" i="4"/>
  <c r="H22" i="4" l="1"/>
  <c r="E22" i="4"/>
  <c r="D23" i="4"/>
  <c r="H23" i="4" l="1"/>
  <c r="D24" i="4"/>
  <c r="E23" i="4"/>
  <c r="H24" i="4" l="1"/>
  <c r="D25" i="4"/>
  <c r="E24" i="4"/>
  <c r="H25" i="4" l="1"/>
  <c r="E25" i="4"/>
  <c r="D26" i="4"/>
  <c r="H26" i="4" l="1"/>
  <c r="D27" i="4"/>
  <c r="E26" i="4"/>
  <c r="H27" i="4" l="1"/>
  <c r="E27" i="4"/>
  <c r="D28" i="4"/>
  <c r="H28" i="4" l="1"/>
  <c r="E28" i="4"/>
  <c r="D29" i="4"/>
  <c r="H29" i="4" l="1"/>
  <c r="E29" i="4"/>
  <c r="D30" i="4"/>
  <c r="H30" i="4" l="1"/>
  <c r="E30" i="4"/>
  <c r="D31" i="4"/>
  <c r="H31" i="4" l="1"/>
  <c r="D32" i="4"/>
  <c r="E31" i="4"/>
  <c r="H32" i="4" l="1"/>
  <c r="E32" i="4"/>
  <c r="D33" i="4"/>
  <c r="H33" i="4" l="1"/>
  <c r="E33" i="4"/>
</calcChain>
</file>

<file path=xl/sharedStrings.xml><?xml version="1.0" encoding="utf-8"?>
<sst xmlns="http://schemas.openxmlformats.org/spreadsheetml/2006/main" count="93" uniqueCount="50">
  <si>
    <t>Matin</t>
  </si>
  <si>
    <t>Soir</t>
  </si>
  <si>
    <t>Descente de Nuit</t>
  </si>
  <si>
    <t>M</t>
  </si>
  <si>
    <t>S</t>
  </si>
  <si>
    <t>MN</t>
  </si>
  <si>
    <t>DN</t>
  </si>
  <si>
    <t>RH</t>
  </si>
  <si>
    <t>C</t>
  </si>
  <si>
    <t>Repos</t>
  </si>
  <si>
    <t>D</t>
  </si>
  <si>
    <t>J</t>
  </si>
  <si>
    <t>V</t>
  </si>
  <si>
    <t>L</t>
  </si>
  <si>
    <t>MS</t>
  </si>
  <si>
    <t>Coupure</t>
  </si>
  <si>
    <t>Nuit</t>
  </si>
  <si>
    <t>NS</t>
  </si>
  <si>
    <t>Matin Soir</t>
  </si>
  <si>
    <t>Heure effectuer</t>
  </si>
  <si>
    <t>Heure supp</t>
  </si>
  <si>
    <t>A</t>
  </si>
  <si>
    <t>Maladie</t>
  </si>
  <si>
    <t>Nuit Sec</t>
  </si>
  <si>
    <t>Heure exigible</t>
  </si>
  <si>
    <t>Rappel</t>
  </si>
  <si>
    <t>Heure SUP à rémnuérer</t>
  </si>
  <si>
    <t>Reste à payé</t>
  </si>
  <si>
    <t>Montant heure SUP</t>
  </si>
  <si>
    <t>17€ la nuit semaine</t>
  </si>
  <si>
    <t>36€ Dimanche et jours férié</t>
  </si>
  <si>
    <t>20€ la nuit dimanche ou jours férié</t>
  </si>
  <si>
    <t>Taux heure supp 13,64€</t>
  </si>
  <si>
    <t>Férié</t>
  </si>
  <si>
    <t>Liste jours fériés</t>
  </si>
  <si>
    <t>Jours fériés</t>
  </si>
  <si>
    <t>Date</t>
  </si>
  <si>
    <t xml:space="preserve">Jour de l'an </t>
  </si>
  <si>
    <t xml:space="preserve">Pâques </t>
  </si>
  <si>
    <t xml:space="preserve">Lundi de Pâques </t>
  </si>
  <si>
    <t xml:space="preserve">Fête du Travail </t>
  </si>
  <si>
    <t>8 Mai 1945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</si>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</sst>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mmmm"/>
    <numFmt numFmtId="165" formatCode="dd"/>
    <numFmt numFmtId="166" formatCode="[$-F400]hh:mm"/>
    <numFmt numFmtId="167" formatCode="[h]:mm:ss;@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color rgb="FF00206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20" fontId="1" fillId="0" borderId="0" xfId="0" applyNumberFormat="1" applyFont="1" applyAlignment="1">
      <alignment horizontal="center"/>
    </xf>
    <xf numFmtId="165" fontId="1" fillId="0" borderId="3" xfId="0" applyNumberFormat="1" applyFont="1" applyBorder="1" applyAlignment="1">
      <alignment horizontal="center" vertical="center"/>
    </xf>
    <xf numFmtId="20" fontId="1" fillId="0" borderId="0" xfId="0" applyNumberFormat="1" applyFont="1"/>
    <xf numFmtId="166" fontId="1" fillId="0" borderId="1" xfId="0" applyNumberFormat="1" applyFont="1" applyBorder="1" applyAlignment="1">
      <alignment horizontal="center"/>
    </xf>
    <xf numFmtId="166" fontId="1" fillId="0" borderId="2" xfId="0" applyNumberFormat="1" applyFont="1" applyBorder="1" applyAlignment="1">
      <alignment horizontal="center"/>
    </xf>
    <xf numFmtId="166" fontId="1" fillId="0" borderId="12" xfId="0" applyNumberFormat="1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14" fontId="4" fillId="2" borderId="0" xfId="0" applyNumberFormat="1" applyFont="1" applyFill="1" applyAlignment="1">
      <alignment horizontal="center"/>
    </xf>
    <xf numFmtId="20" fontId="1" fillId="3" borderId="7" xfId="0" applyNumberFormat="1" applyFont="1" applyFill="1" applyBorder="1" applyAlignment="1">
      <alignment horizontal="center"/>
    </xf>
    <xf numFmtId="20" fontId="1" fillId="3" borderId="9" xfId="0" applyNumberFormat="1" applyFont="1" applyFill="1" applyBorder="1" applyAlignment="1">
      <alignment horizontal="center"/>
    </xf>
    <xf numFmtId="20" fontId="1" fillId="3" borderId="1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167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46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4" borderId="0" xfId="0" applyFont="1" applyFill="1" applyAlignment="1">
      <alignment horizontal="left"/>
    </xf>
    <xf numFmtId="2" fontId="5" fillId="4" borderId="0" xfId="0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20" fontId="1" fillId="0" borderId="10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2" fontId="1" fillId="0" borderId="0" xfId="0" applyNumberFormat="1" applyFont="1" applyFill="1" applyAlignment="1">
      <alignment horizontal="center" vertical="center"/>
    </xf>
    <xf numFmtId="0" fontId="1" fillId="0" borderId="0" xfId="0" applyFont="1" applyBorder="1"/>
    <xf numFmtId="0" fontId="1" fillId="0" borderId="0" xfId="0" applyFont="1" applyFill="1" applyBorder="1"/>
    <xf numFmtId="167" fontId="1" fillId="0" borderId="0" xfId="0" applyNumberFormat="1" applyFont="1" applyFill="1" applyAlignment="1">
      <alignment horizontal="center"/>
    </xf>
    <xf numFmtId="46" fontId="1" fillId="0" borderId="0" xfId="0" applyNumberFormat="1" applyFont="1" applyFill="1" applyAlignment="1">
      <alignment horizontal="center"/>
    </xf>
    <xf numFmtId="46" fontId="1" fillId="0" borderId="0" xfId="0" applyNumberFormat="1" applyFont="1" applyAlignment="1">
      <alignment horizontal="center"/>
    </xf>
    <xf numFmtId="2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1" fontId="1" fillId="0" borderId="14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44" fontId="1" fillId="0" borderId="0" xfId="0" applyNumberFormat="1" applyFont="1"/>
    <xf numFmtId="18" fontId="1" fillId="0" borderId="0" xfId="0" applyNumberFormat="1" applyFont="1"/>
    <xf numFmtId="0" fontId="7" fillId="0" borderId="0" xfId="0" applyNumberFormat="1" applyFont="1" applyFill="1" applyAlignment="1" applyProtection="1">
      <alignment horizontal="right" vertical="center"/>
    </xf>
    <xf numFmtId="0" fontId="0" fillId="0" borderId="0" xfId="0" applyFont="1" applyFill="1" applyAlignment="1" applyProtection="1">
      <alignment horizontal="left" vertical="center"/>
      <protection locked="0"/>
    </xf>
    <xf numFmtId="14" fontId="8" fillId="0" borderId="0" xfId="0" applyNumberFormat="1" applyFont="1" applyAlignment="1" applyProtection="1">
      <alignment horizontal="right" vertical="center" indent="1"/>
    </xf>
    <xf numFmtId="14" fontId="9" fillId="5" borderId="0" xfId="0" quotePrefix="1" applyNumberFormat="1" applyFont="1" applyFill="1" applyAlignment="1" applyProtection="1">
      <alignment horizontal="center" vertical="center"/>
    </xf>
    <xf numFmtId="49" fontId="8" fillId="0" borderId="0" xfId="0" applyNumberFormat="1" applyFont="1" applyAlignment="1" applyProtection="1">
      <alignment horizontal="right" vertical="center" indent="1"/>
    </xf>
    <xf numFmtId="44" fontId="1" fillId="0" borderId="0" xfId="0" applyNumberFormat="1" applyFont="1" applyBorder="1"/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70" formatCode="m/d/yyyy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m/d/yyyy"/>
      <alignment horizontal="right" vertical="center" textRotation="0" wrapText="0" indent="1" justifyLastLine="0" shrinkToFit="0" readingOrder="0"/>
      <protection locked="1" hidden="0"/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JF" displayName="JF" ref="L2:M14" totalsRowShown="0">
  <autoFilter ref="L2:M14"/>
  <tableColumns count="2">
    <tableColumn id="1" name="Jours fériés" dataDxfId="8"/>
    <tableColumn id="2" name="Date" dataDxfId="7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67"/>
  <sheetViews>
    <sheetView tabSelected="1" zoomScale="85" zoomScaleNormal="85" workbookViewId="0">
      <selection activeCell="A49" sqref="A49"/>
    </sheetView>
  </sheetViews>
  <sheetFormatPr baseColWidth="10" defaultColWidth="12" defaultRowHeight="15" x14ac:dyDescent="0.25"/>
  <cols>
    <col min="1" max="1" width="37.42578125" style="1" customWidth="1"/>
    <col min="2" max="2" width="12" style="2"/>
    <col min="3" max="3" width="28.28515625" style="1" bestFit="1" customWidth="1"/>
    <col min="4" max="4" width="12" style="2"/>
    <col min="5" max="5" width="5.7109375" style="1" customWidth="1"/>
    <col min="6" max="6" width="12" style="1"/>
    <col min="7" max="7" width="5.7109375" style="1" customWidth="1"/>
    <col min="8" max="8" width="14.28515625" style="2" customWidth="1"/>
    <col min="9" max="9" width="11.28515625" style="2" customWidth="1"/>
    <col min="10" max="10" width="12" style="2"/>
    <col min="11" max="11" width="11.140625" style="2" customWidth="1"/>
    <col min="12" max="12" width="19.85546875" style="2" bestFit="1" customWidth="1"/>
    <col min="13" max="16384" width="12" style="2"/>
  </cols>
  <sheetData>
    <row r="1" spans="1:13" ht="15.75" thickBot="1" x14ac:dyDescent="0.3">
      <c r="H1" s="31"/>
      <c r="I1" s="31"/>
      <c r="L1" s="2" t="s">
        <v>34</v>
      </c>
      <c r="M1" s="32"/>
    </row>
    <row r="2" spans="1:13" ht="15.75" x14ac:dyDescent="0.25">
      <c r="D2" s="9">
        <v>2022</v>
      </c>
      <c r="E2" s="40">
        <f>A49</f>
        <v>44562</v>
      </c>
      <c r="F2" s="41"/>
      <c r="G2" s="42"/>
      <c r="H2" s="31" t="s">
        <v>49</v>
      </c>
      <c r="I2" s="31"/>
      <c r="L2" s="45" t="s">
        <v>35</v>
      </c>
      <c r="M2" s="46" t="s">
        <v>36</v>
      </c>
    </row>
    <row r="3" spans="1:13" x14ac:dyDescent="0.25">
      <c r="D3" s="4">
        <f>E2</f>
        <v>44562</v>
      </c>
      <c r="E3" s="11" t="str">
        <f>VLOOKUP(WEEKDAY(D3),CHIFFREJOUR,2)</f>
        <v>S</v>
      </c>
      <c r="F3" s="6">
        <f>IF(G3&lt;&gt;"",VLOOKUP(G3,B50:D57,3,FALSE),"")</f>
        <v>0</v>
      </c>
      <c r="G3" s="26" t="s">
        <v>7</v>
      </c>
      <c r="H3" s="50">
        <f>IF(COUNTIF(JF[Date],D3)&gt;0,INDEX($Q$50:$Q$58,MATCH(G3,$I$50:$I$58,0)),INDEX($J$50:$Q$58,MATCH(G3,$I$50:$I$58,0),MATCH(WEEKDAY(D3,11),$J$49:$Q$49,0)))</f>
        <v>0</v>
      </c>
      <c r="K3" s="44"/>
      <c r="L3" s="47" t="s">
        <v>37</v>
      </c>
      <c r="M3" s="48">
        <f>DATE(YEAR(E2),1,1)</f>
        <v>44562</v>
      </c>
    </row>
    <row r="4" spans="1:13" x14ac:dyDescent="0.25">
      <c r="D4" s="4">
        <f>D3+1</f>
        <v>44563</v>
      </c>
      <c r="E4" s="12" t="str">
        <f t="shared" ref="E4:E33" si="0">VLOOKUP(WEEKDAY(D4),CHIFFREJOUR,2)</f>
        <v>D</v>
      </c>
      <c r="F4" s="6">
        <f>IF(G4&lt;&gt;"",VLOOKUP(G4,B50:D58,3,FALSE),"")</f>
        <v>0.38541666666666669</v>
      </c>
      <c r="G4" s="27" t="s">
        <v>8</v>
      </c>
      <c r="H4" s="50">
        <f>IF(COUNTIF(JF[Date],D4)&gt;0,INDEX($Q$50:$Q$58,MATCH(G4,$I$50:$I$58,0)),INDEX($J$50:$Q$58,MATCH(G4,$I$50:$I$58,0),MATCH(WEEKDAY(D4,11),$J$49:$Q$49,0)))</f>
        <v>36</v>
      </c>
      <c r="K4" s="44"/>
      <c r="L4" s="47" t="s">
        <v>38</v>
      </c>
      <c r="M4" s="48">
        <f>ROUND(DATE(YEAR(E2),4,MOD(234-11*MOD(YEAR(E2),19),30))/7,0)*7-6</f>
        <v>44668</v>
      </c>
    </row>
    <row r="5" spans="1:13" x14ac:dyDescent="0.25">
      <c r="D5" s="4">
        <f t="shared" ref="D5:D33" si="1">D4+1</f>
        <v>44564</v>
      </c>
      <c r="E5" s="12" t="str">
        <f t="shared" si="0"/>
        <v>L</v>
      </c>
      <c r="F5" s="6">
        <f>IF(G5&lt;&gt;"",VLOOKUP(G5,B50:D58,3,FALSE),"")</f>
        <v>0.47916666666666669</v>
      </c>
      <c r="G5" s="27" t="s">
        <v>5</v>
      </c>
      <c r="H5" s="50">
        <f>IF(COUNTIF(JF[Date],D5)&gt;0,INDEX($Q$50:$Q$58,MATCH(G5,$I$50:$I$58,0)),INDEX($J$50:$Q$58,MATCH(G5,$I$50:$I$58,0),MATCH(WEEKDAY(D5,11),$J$49:$Q$49,0)))</f>
        <v>17</v>
      </c>
      <c r="K5" s="44"/>
      <c r="L5" s="47" t="s">
        <v>39</v>
      </c>
      <c r="M5" s="48">
        <f>M4+1</f>
        <v>44669</v>
      </c>
    </row>
    <row r="6" spans="1:13" x14ac:dyDescent="0.25">
      <c r="D6" s="4">
        <f t="shared" si="1"/>
        <v>44565</v>
      </c>
      <c r="E6" s="12" t="str">
        <f t="shared" si="0"/>
        <v>M</v>
      </c>
      <c r="F6" s="7">
        <f>IF(G6&lt;&gt;"",VLOOKUP(G6,B50:D57,3,FALSE),"")</f>
        <v>0.29166666666666669</v>
      </c>
      <c r="G6" s="27" t="s">
        <v>6</v>
      </c>
      <c r="H6" s="50">
        <f>IF(COUNTIF(JF[Date],D6)&gt;0,INDEX($Q$50:$Q$58,MATCH(G6,$I$50:$I$58,0)),INDEX($J$50:$Q$58,MATCH(G6,$I$50:$I$58,0),MATCH(WEEKDAY(D6,11),$J$49:$Q$49,0)))</f>
        <v>0</v>
      </c>
      <c r="K6" s="44"/>
      <c r="L6" s="47" t="s">
        <v>40</v>
      </c>
      <c r="M6" s="48">
        <f>DATE(YEAR(E2),5,1)</f>
        <v>44682</v>
      </c>
    </row>
    <row r="7" spans="1:13" x14ac:dyDescent="0.25">
      <c r="D7" s="4">
        <f t="shared" si="1"/>
        <v>44566</v>
      </c>
      <c r="E7" s="12" t="str">
        <f t="shared" si="0"/>
        <v>M</v>
      </c>
      <c r="F7" s="7">
        <f>IF(G7&lt;&gt;"",VLOOKUP(G7,B50:D57,3,FALSE),"")</f>
        <v>0</v>
      </c>
      <c r="G7" s="27" t="s">
        <v>7</v>
      </c>
      <c r="H7" s="50">
        <f>IF(COUNTIF(JF[Date],D7)&gt;0,INDEX($Q$50:$Q$58,MATCH(G7,$I$50:$I$58,0)),INDEX($J$50:$Q$58,MATCH(G7,$I$50:$I$58,0),MATCH(WEEKDAY(D7,11),$J$49:$Q$49,0)))</f>
        <v>0</v>
      </c>
      <c r="K7" s="44"/>
      <c r="L7" s="49" t="s">
        <v>41</v>
      </c>
      <c r="M7" s="48">
        <f>DATE(YEAR(E2),5,8)</f>
        <v>44689</v>
      </c>
    </row>
    <row r="8" spans="1:13" x14ac:dyDescent="0.25">
      <c r="D8" s="4">
        <f t="shared" si="1"/>
        <v>44567</v>
      </c>
      <c r="E8" s="12" t="str">
        <f t="shared" si="0"/>
        <v>J</v>
      </c>
      <c r="F8" s="7">
        <f>IF(G8&lt;&gt;"",VLOOKUP(G8,B50:D57,3,FALSE),"")</f>
        <v>0.26041666666666669</v>
      </c>
      <c r="G8" s="27" t="s">
        <v>4</v>
      </c>
      <c r="H8" s="50">
        <f>IF(COUNTIF(JF[Date],D8)&gt;0,INDEX($Q$50:$Q$58,MATCH(G8,$I$50:$I$58,0)),INDEX($J$50:$Q$58,MATCH(G8,$I$50:$I$58,0),MATCH(WEEKDAY(D8,11),$J$49:$Q$49,0)))</f>
        <v>0</v>
      </c>
      <c r="K8" s="44"/>
      <c r="L8" s="47" t="s">
        <v>42</v>
      </c>
      <c r="M8" s="48">
        <f>M5+38</f>
        <v>44707</v>
      </c>
    </row>
    <row r="9" spans="1:13" x14ac:dyDescent="0.25">
      <c r="D9" s="4">
        <f t="shared" si="1"/>
        <v>44568</v>
      </c>
      <c r="E9" s="12" t="str">
        <f t="shared" si="0"/>
        <v>V</v>
      </c>
      <c r="F9" s="7">
        <f>IF(G9&lt;&gt;"",VLOOKUP(G9,B50:D57,3,FALSE),"")</f>
        <v>0.38541666666666669</v>
      </c>
      <c r="G9" s="27" t="s">
        <v>8</v>
      </c>
      <c r="H9" s="50">
        <f>IF(COUNTIF(JF[Date],D9)&gt;0,INDEX($Q$50:$Q$58,MATCH(G9,$I$50:$I$58,0)),INDEX($J$50:$Q$58,MATCH(G9,$I$50:$I$58,0),MATCH(WEEKDAY(D9,11),$J$49:$Q$49,0)))</f>
        <v>0</v>
      </c>
      <c r="K9" s="44"/>
      <c r="L9" s="47" t="s">
        <v>43</v>
      </c>
      <c r="M9" s="48">
        <f>M4+50</f>
        <v>44718</v>
      </c>
    </row>
    <row r="10" spans="1:13" x14ac:dyDescent="0.25">
      <c r="A10" s="37"/>
      <c r="D10" s="4">
        <f t="shared" si="1"/>
        <v>44569</v>
      </c>
      <c r="E10" s="12" t="str">
        <f t="shared" si="0"/>
        <v>S</v>
      </c>
      <c r="F10" s="7">
        <f>IF(G10&lt;&gt;"",VLOOKUP(G10,B50:D57,3,FALSE),"")</f>
        <v>0.47916666666666669</v>
      </c>
      <c r="G10" s="27" t="s">
        <v>5</v>
      </c>
      <c r="H10" s="50">
        <f>IF(COUNTIF(JF[Date],D10)&gt;0,INDEX($Q$50:$Q$58,MATCH(G10,$I$50:$I$58,0)),INDEX($J$50:$Q$58,MATCH(G10,$I$50:$I$58,0),MATCH(WEEKDAY(D10,11),$J$49:$Q$49,0)))</f>
        <v>17</v>
      </c>
      <c r="K10" s="44"/>
      <c r="L10" s="47" t="s">
        <v>44</v>
      </c>
      <c r="M10" s="48">
        <f>DATE(YEAR(E2),7,14)</f>
        <v>44756</v>
      </c>
    </row>
    <row r="11" spans="1:13" x14ac:dyDescent="0.25">
      <c r="D11" s="4">
        <f t="shared" si="1"/>
        <v>44570</v>
      </c>
      <c r="E11" s="12" t="str">
        <f t="shared" si="0"/>
        <v>D</v>
      </c>
      <c r="F11" s="7">
        <f>IF(G11&lt;&gt;"",VLOOKUP(G11,B50:D57,3,FALSE),"")</f>
        <v>0.29166666666666669</v>
      </c>
      <c r="G11" s="27" t="s">
        <v>6</v>
      </c>
      <c r="H11" s="50">
        <f>IF(COUNTIF(JF[Date],D11)&gt;0,INDEX($Q$50:$Q$58,MATCH(G11,$I$50:$I$58,0)),INDEX($J$50:$Q$58,MATCH(G11,$I$50:$I$58,0),MATCH(WEEKDAY(D11,11),$J$49:$Q$49,0)))</f>
        <v>36</v>
      </c>
      <c r="K11" s="44"/>
      <c r="L11" s="47" t="s">
        <v>45</v>
      </c>
      <c r="M11" s="48">
        <f>DATE(YEAR(E2),8,15)</f>
        <v>44788</v>
      </c>
    </row>
    <row r="12" spans="1:13" x14ac:dyDescent="0.25">
      <c r="D12" s="4">
        <f t="shared" si="1"/>
        <v>44571</v>
      </c>
      <c r="E12" s="12" t="str">
        <f t="shared" si="0"/>
        <v>L</v>
      </c>
      <c r="F12" s="7">
        <f>IF(G12&lt;&gt;"",VLOOKUP(G12,B50:D57,3,FALSE),"")</f>
        <v>0</v>
      </c>
      <c r="G12" s="27" t="s">
        <v>7</v>
      </c>
      <c r="H12" s="50">
        <f>IF(COUNTIF(JF[Date],D12)&gt;0,INDEX($Q$50:$Q$58,MATCH(G12,$I$50:$I$58,0)),INDEX($J$50:$Q$58,MATCH(G12,$I$50:$I$58,0),MATCH(WEEKDAY(D12,11),$J$49:$Q$49,0)))</f>
        <v>0</v>
      </c>
      <c r="K12" s="44"/>
      <c r="L12" s="47" t="s">
        <v>46</v>
      </c>
      <c r="M12" s="48">
        <f>DATE(YEAR(E2),11,1)</f>
        <v>44866</v>
      </c>
    </row>
    <row r="13" spans="1:13" x14ac:dyDescent="0.25">
      <c r="A13" s="35"/>
      <c r="D13" s="4">
        <f t="shared" si="1"/>
        <v>44572</v>
      </c>
      <c r="E13" s="12" t="str">
        <f t="shared" si="0"/>
        <v>M</v>
      </c>
      <c r="F13" s="7">
        <f>IF(G13&lt;&gt;"",VLOOKUP(G13,B50:D57,3,FALSE),"")</f>
        <v>0.26041666666666669</v>
      </c>
      <c r="G13" s="27" t="s">
        <v>4</v>
      </c>
      <c r="H13" s="50">
        <f>IF(COUNTIF(JF[Date],D13)&gt;0,INDEX($Q$50:$Q$58,MATCH(G13,$I$50:$I$58,0)),INDEX($J$50:$Q$58,MATCH(G13,$I$50:$I$58,0),MATCH(WEEKDAY(D13,11),$J$49:$Q$49,0)))</f>
        <v>0</v>
      </c>
      <c r="K13" s="44"/>
      <c r="L13" s="47" t="s">
        <v>47</v>
      </c>
      <c r="M13" s="48">
        <f>DATE(YEAR(E2),11,11)</f>
        <v>44876</v>
      </c>
    </row>
    <row r="14" spans="1:13" x14ac:dyDescent="0.25">
      <c r="A14" s="35"/>
      <c r="D14" s="4">
        <f t="shared" si="1"/>
        <v>44573</v>
      </c>
      <c r="E14" s="12" t="str">
        <f t="shared" si="0"/>
        <v>M</v>
      </c>
      <c r="F14" s="7">
        <f>IF(G14&lt;&gt;"",VLOOKUP(G14,B50:D57,3,FALSE),"")</f>
        <v>0.26041666666666669</v>
      </c>
      <c r="G14" s="27" t="s">
        <v>4</v>
      </c>
      <c r="H14" s="50">
        <f>IF(COUNTIF(JF[Date],D14)&gt;0,INDEX($Q$50:$Q$58,MATCH(G14,$I$50:$I$58,0)),INDEX($J$50:$Q$58,MATCH(G14,$I$50:$I$58,0),MATCH(WEEKDAY(D14,11),$J$49:$Q$49,0)))</f>
        <v>0</v>
      </c>
      <c r="K14" s="44"/>
      <c r="L14" s="47" t="s">
        <v>48</v>
      </c>
      <c r="M14" s="48">
        <f>DATE(YEAR(E2),12,25)</f>
        <v>44920</v>
      </c>
    </row>
    <row r="15" spans="1:13" x14ac:dyDescent="0.25">
      <c r="A15" s="35"/>
      <c r="D15" s="4">
        <f t="shared" si="1"/>
        <v>44574</v>
      </c>
      <c r="E15" s="12" t="str">
        <f t="shared" si="0"/>
        <v>J</v>
      </c>
      <c r="F15" s="7">
        <f>IF(G15&lt;&gt;"",VLOOKUP(G15,B50:D57,3,FALSE),"")</f>
        <v>0.38541666666666669</v>
      </c>
      <c r="G15" s="27" t="s">
        <v>8</v>
      </c>
      <c r="H15" s="50">
        <f>IF(COUNTIF(JF[Date],D15)&gt;0,INDEX($Q$50:$Q$58,MATCH(G15,$I$50:$I$58,0)),INDEX($J$50:$Q$58,MATCH(G15,$I$50:$I$58,0),MATCH(WEEKDAY(D15,11),$J$49:$Q$49,0)))</f>
        <v>0</v>
      </c>
      <c r="K15" s="44"/>
    </row>
    <row r="16" spans="1:13" x14ac:dyDescent="0.25">
      <c r="D16" s="4">
        <f t="shared" si="1"/>
        <v>44575</v>
      </c>
      <c r="E16" s="12" t="str">
        <f t="shared" si="0"/>
        <v>V</v>
      </c>
      <c r="F16" s="7">
        <f>IF(G16&lt;&gt;"",VLOOKUP(G16,B50:D57,3,FALSE),"")</f>
        <v>0.47916666666666669</v>
      </c>
      <c r="G16" s="27" t="s">
        <v>5</v>
      </c>
      <c r="H16" s="50">
        <f>IF(COUNTIF(JF[Date],D16)&gt;0,INDEX($Q$50:$Q$58,MATCH(G16,$I$50:$I$58,0)),INDEX($J$50:$Q$58,MATCH(G16,$I$50:$I$58,0),MATCH(WEEKDAY(D16,11),$J$49:$Q$49,0)))</f>
        <v>17</v>
      </c>
      <c r="K16" s="44"/>
    </row>
    <row r="17" spans="1:11" x14ac:dyDescent="0.25">
      <c r="D17" s="4">
        <f t="shared" si="1"/>
        <v>44576</v>
      </c>
      <c r="E17" s="12" t="str">
        <f t="shared" si="0"/>
        <v>S</v>
      </c>
      <c r="F17" s="7">
        <f>IF(G17&lt;&gt;"",VLOOKUP(G17,B50:D57,3,FALSE),"")</f>
        <v>0.29166666666666669</v>
      </c>
      <c r="G17" s="27" t="s">
        <v>6</v>
      </c>
      <c r="H17" s="50">
        <f>IF(COUNTIF(JF[Date],D17)&gt;0,INDEX($Q$50:$Q$58,MATCH(G17,$I$50:$I$58,0)),INDEX($J$50:$Q$58,MATCH(G17,$I$50:$I$58,0),MATCH(WEEKDAY(D17,11),$J$49:$Q$49,0)))</f>
        <v>0</v>
      </c>
      <c r="K17" s="44"/>
    </row>
    <row r="18" spans="1:11" x14ac:dyDescent="0.25">
      <c r="D18" s="4">
        <f t="shared" si="1"/>
        <v>44577</v>
      </c>
      <c r="E18" s="12" t="str">
        <f t="shared" si="0"/>
        <v>D</v>
      </c>
      <c r="F18" s="7">
        <f>IF(G18&lt;&gt;"",VLOOKUP(G18,B50:D57,3,FALSE),"")</f>
        <v>0.26041666666666669</v>
      </c>
      <c r="G18" s="27" t="s">
        <v>4</v>
      </c>
      <c r="H18" s="50">
        <f>IF(COUNTIF(JF[Date],D18)&gt;0,INDEX($Q$50:$Q$58,MATCH(G18,$I$50:$I$58,0)),INDEX($J$50:$Q$58,MATCH(G18,$I$50:$I$58,0),MATCH(WEEKDAY(D18,11),$J$49:$Q$49,0)))</f>
        <v>36</v>
      </c>
      <c r="K18" s="44"/>
    </row>
    <row r="19" spans="1:11" x14ac:dyDescent="0.25">
      <c r="D19" s="4">
        <f t="shared" si="1"/>
        <v>44578</v>
      </c>
      <c r="E19" s="12" t="str">
        <f t="shared" si="0"/>
        <v>L</v>
      </c>
      <c r="F19" s="7">
        <f>IF(G19&lt;&gt;"",VLOOKUP(G19,B50:D57,3,FALSE),"")</f>
        <v>0.26041666666666669</v>
      </c>
      <c r="G19" s="27" t="s">
        <v>3</v>
      </c>
      <c r="H19" s="50">
        <f>IF(COUNTIF(JF[Date],D19)&gt;0,INDEX($Q$50:$Q$58,MATCH(G19,$I$50:$I$58,0)),INDEX($J$50:$Q$58,MATCH(G19,$I$50:$I$58,0),MATCH(WEEKDAY(D19,11),$J$49:$Q$49,0)))</f>
        <v>0</v>
      </c>
      <c r="K19" s="44"/>
    </row>
    <row r="20" spans="1:11" x14ac:dyDescent="0.25">
      <c r="D20" s="4">
        <f t="shared" si="1"/>
        <v>44579</v>
      </c>
      <c r="E20" s="12" t="str">
        <f t="shared" si="0"/>
        <v>M</v>
      </c>
      <c r="F20" s="7">
        <f>IF(G20&lt;&gt;"",VLOOKUP(G20,B50:D57,3,FALSE),"")</f>
        <v>0.26041666666666669</v>
      </c>
      <c r="G20" s="27" t="s">
        <v>3</v>
      </c>
      <c r="H20" s="50">
        <f>IF(COUNTIF(JF[Date],D20)&gt;0,INDEX($Q$50:$Q$58,MATCH(G20,$I$50:$I$58,0)),INDEX($J$50:$Q$58,MATCH(G20,$I$50:$I$58,0),MATCH(WEEKDAY(D20,11),$J$49:$Q$49,0)))</f>
        <v>0</v>
      </c>
      <c r="K20" s="44"/>
    </row>
    <row r="21" spans="1:11" x14ac:dyDescent="0.25">
      <c r="D21" s="4">
        <f t="shared" si="1"/>
        <v>44580</v>
      </c>
      <c r="E21" s="12" t="str">
        <f t="shared" si="0"/>
        <v>M</v>
      </c>
      <c r="F21" s="7">
        <f>IF(G21&lt;&gt;"",VLOOKUP(G21,B50:D57,3,FALSE),"")</f>
        <v>0.38541666666666669</v>
      </c>
      <c r="G21" s="27" t="s">
        <v>8</v>
      </c>
      <c r="H21" s="50">
        <f>IF(COUNTIF(JF[Date],D21)&gt;0,INDEX($Q$50:$Q$58,MATCH(G21,$I$50:$I$58,0)),INDEX($J$50:$Q$58,MATCH(G21,$I$50:$I$58,0),MATCH(WEEKDAY(D21,11),$J$49:$Q$49,0)))</f>
        <v>0</v>
      </c>
      <c r="K21" s="44"/>
    </row>
    <row r="22" spans="1:11" x14ac:dyDescent="0.25">
      <c r="D22" s="4">
        <f t="shared" si="1"/>
        <v>44581</v>
      </c>
      <c r="E22" s="12" t="str">
        <f t="shared" si="0"/>
        <v>J</v>
      </c>
      <c r="F22" s="7">
        <f>IF(G22&lt;&gt;"",VLOOKUP(G22,B50:D57,3,FALSE),"")</f>
        <v>0.47916666666666669</v>
      </c>
      <c r="G22" s="27" t="s">
        <v>5</v>
      </c>
      <c r="H22" s="50">
        <f>IF(COUNTIF(JF[Date],D22)&gt;0,INDEX($Q$50:$Q$58,MATCH(G22,$I$50:$I$58,0)),INDEX($J$50:$Q$58,MATCH(G22,$I$50:$I$58,0),MATCH(WEEKDAY(D22,11),$J$49:$Q$49,0)))</f>
        <v>17</v>
      </c>
      <c r="K22" s="44"/>
    </row>
    <row r="23" spans="1:11" x14ac:dyDescent="0.25">
      <c r="D23" s="4">
        <f t="shared" si="1"/>
        <v>44582</v>
      </c>
      <c r="E23" s="12" t="str">
        <f t="shared" si="0"/>
        <v>V</v>
      </c>
      <c r="F23" s="7">
        <f>IF(G23&lt;&gt;"",VLOOKUP(G23,B50:D57,3,FALSE),"")</f>
        <v>0.29166666666666669</v>
      </c>
      <c r="G23" s="27" t="s">
        <v>6</v>
      </c>
      <c r="H23" s="50">
        <f>IF(COUNTIF(JF[Date],D23)&gt;0,INDEX($Q$50:$Q$58,MATCH(G23,$I$50:$I$58,0)),INDEX($J$50:$Q$58,MATCH(G23,$I$50:$I$58,0),MATCH(WEEKDAY(D23,11),$J$49:$Q$49,0)))</f>
        <v>0</v>
      </c>
      <c r="K23" s="44"/>
    </row>
    <row r="24" spans="1:11" x14ac:dyDescent="0.25">
      <c r="D24" s="4">
        <f t="shared" si="1"/>
        <v>44583</v>
      </c>
      <c r="E24" s="12" t="str">
        <f t="shared" si="0"/>
        <v>S</v>
      </c>
      <c r="F24" s="7">
        <f>IF(G24&lt;&gt;"",VLOOKUP(G24,B50:D57,3,FALSE),"")</f>
        <v>0</v>
      </c>
      <c r="G24" s="27" t="s">
        <v>7</v>
      </c>
      <c r="H24" s="50">
        <f>IF(COUNTIF(JF[Date],D24)&gt;0,INDEX($Q$50:$Q$58,MATCH(G24,$I$50:$I$58,0)),INDEX($J$50:$Q$58,MATCH(G24,$I$50:$I$58,0),MATCH(WEEKDAY(D24,11),$J$49:$Q$49,0)))</f>
        <v>0</v>
      </c>
      <c r="K24" s="44"/>
    </row>
    <row r="25" spans="1:11" x14ac:dyDescent="0.25">
      <c r="A25" s="35"/>
      <c r="D25" s="4">
        <f t="shared" si="1"/>
        <v>44584</v>
      </c>
      <c r="E25" s="12" t="str">
        <f t="shared" si="0"/>
        <v>D</v>
      </c>
      <c r="F25" s="7">
        <f>IF(G25&lt;&gt;"",VLOOKUP(G25,B50:D57,3,FALSE),"")</f>
        <v>0.26041666666666669</v>
      </c>
      <c r="G25" s="27" t="s">
        <v>4</v>
      </c>
      <c r="H25" s="50">
        <f>IF(COUNTIF(JF[Date],D25)&gt;0,INDEX($Q$50:$Q$58,MATCH(G25,$I$50:$I$58,0)),INDEX($J$50:$Q$58,MATCH(G25,$I$50:$I$58,0),MATCH(WEEKDAY(D25,11),$J$49:$Q$49,0)))</f>
        <v>36</v>
      </c>
      <c r="K25" s="44"/>
    </row>
    <row r="26" spans="1:11" x14ac:dyDescent="0.25">
      <c r="A26" s="35"/>
      <c r="D26" s="4">
        <f t="shared" si="1"/>
        <v>44585</v>
      </c>
      <c r="E26" s="12" t="str">
        <f t="shared" si="0"/>
        <v>L</v>
      </c>
      <c r="F26" s="7">
        <f>IF(G26&lt;&gt;"",VLOOKUP(G26,B50:D57,3,FALSE),"")</f>
        <v>0.26041666666666669</v>
      </c>
      <c r="G26" s="27" t="s">
        <v>4</v>
      </c>
      <c r="H26" s="50">
        <f>IF(COUNTIF(JF[Date],D26)&gt;0,INDEX($Q$50:$Q$58,MATCH(G26,$I$50:$I$58,0)),INDEX($J$50:$Q$58,MATCH(G26,$I$50:$I$58,0),MATCH(WEEKDAY(D26,11),$J$49:$Q$49,0)))</f>
        <v>0</v>
      </c>
      <c r="K26" s="44"/>
    </row>
    <row r="27" spans="1:11" x14ac:dyDescent="0.25">
      <c r="A27" s="35"/>
      <c r="D27" s="4">
        <f t="shared" si="1"/>
        <v>44586</v>
      </c>
      <c r="E27" s="12" t="str">
        <f t="shared" si="0"/>
        <v>M</v>
      </c>
      <c r="F27" s="7">
        <f>IF(G27&lt;&gt;"",VLOOKUP(G27,B50:D57,3,FALSE),"")</f>
        <v>0.38541666666666669</v>
      </c>
      <c r="G27" s="27" t="s">
        <v>8</v>
      </c>
      <c r="H27" s="50">
        <f>IF(COUNTIF(JF[Date],D27)&gt;0,INDEX($Q$50:$Q$58,MATCH(G27,$I$50:$I$58,0)),INDEX($J$50:$Q$58,MATCH(G27,$I$50:$I$58,0),MATCH(WEEKDAY(D27,11),$J$49:$Q$49,0)))</f>
        <v>0</v>
      </c>
      <c r="K27" s="44"/>
    </row>
    <row r="28" spans="1:11" x14ac:dyDescent="0.25">
      <c r="D28" s="4">
        <f t="shared" si="1"/>
        <v>44587</v>
      </c>
      <c r="E28" s="12" t="str">
        <f t="shared" si="0"/>
        <v>M</v>
      </c>
      <c r="F28" s="7">
        <f>IF(G28&lt;&gt;"",VLOOKUP(G28,B50:D57,3,FALSE),"")</f>
        <v>0.47916666666666669</v>
      </c>
      <c r="G28" s="27" t="s">
        <v>5</v>
      </c>
      <c r="H28" s="50">
        <f>IF(COUNTIF(JF[Date],D28)&gt;0,INDEX($Q$50:$Q$58,MATCH(G28,$I$50:$I$58,0)),INDEX($J$50:$Q$58,MATCH(G28,$I$50:$I$58,0),MATCH(WEEKDAY(D28,11),$J$49:$Q$49,0)))</f>
        <v>17</v>
      </c>
      <c r="K28" s="44"/>
    </row>
    <row r="29" spans="1:11" x14ac:dyDescent="0.25">
      <c r="D29" s="4">
        <f t="shared" si="1"/>
        <v>44588</v>
      </c>
      <c r="E29" s="12" t="str">
        <f t="shared" si="0"/>
        <v>J</v>
      </c>
      <c r="F29" s="7">
        <f>IF(G29&lt;&gt;"",VLOOKUP(G29,B50:D57,3,FALSE),"")</f>
        <v>0.29166666666666669</v>
      </c>
      <c r="G29" s="27" t="s">
        <v>6</v>
      </c>
      <c r="H29" s="50">
        <f>IF(COUNTIF(JF[Date],D29)&gt;0,INDEX($Q$50:$Q$58,MATCH(G29,$I$50:$I$58,0)),INDEX($J$50:$Q$58,MATCH(G29,$I$50:$I$58,0),MATCH(WEEKDAY(D29,11),$J$49:$Q$49,0)))</f>
        <v>0</v>
      </c>
      <c r="K29" s="44"/>
    </row>
    <row r="30" spans="1:11" x14ac:dyDescent="0.25">
      <c r="D30" s="4">
        <f t="shared" si="1"/>
        <v>44589</v>
      </c>
      <c r="E30" s="12" t="str">
        <f t="shared" si="0"/>
        <v>V</v>
      </c>
      <c r="F30" s="7">
        <f>IF(G30&lt;&gt;"",VLOOKUP(G30,B50:D57,3,FALSE),"")</f>
        <v>0</v>
      </c>
      <c r="G30" s="27" t="s">
        <v>7</v>
      </c>
      <c r="H30" s="50">
        <f>IF(COUNTIF(JF[Date],D30)&gt;0,INDEX($Q$50:$Q$58,MATCH(G30,$I$50:$I$58,0)),INDEX($J$50:$Q$58,MATCH(G30,$I$50:$I$58,0),MATCH(WEEKDAY(D30,11),$J$49:$Q$49,0)))</f>
        <v>0</v>
      </c>
      <c r="K30" s="44"/>
    </row>
    <row r="31" spans="1:11" x14ac:dyDescent="0.25">
      <c r="D31" s="4">
        <f t="shared" si="1"/>
        <v>44590</v>
      </c>
      <c r="E31" s="12" t="str">
        <f t="shared" si="0"/>
        <v>S</v>
      </c>
      <c r="F31" s="7">
        <f>IF(G31&lt;&gt;"",VLOOKUP(G31,B50:D57,3,FALSE),"")</f>
        <v>0</v>
      </c>
      <c r="G31" s="27" t="s">
        <v>7</v>
      </c>
      <c r="H31" s="50">
        <f>IF(COUNTIF(JF[Date],D31)&gt;0,INDEX($Q$50:$Q$58,MATCH(G31,$I$50:$I$58,0)),INDEX($J$50:$Q$58,MATCH(G31,$I$50:$I$58,0),MATCH(WEEKDAY(D31,11),$J$49:$Q$49,0)))</f>
        <v>0</v>
      </c>
      <c r="K31" s="44"/>
    </row>
    <row r="32" spans="1:11" x14ac:dyDescent="0.25">
      <c r="D32" s="4">
        <f t="shared" si="1"/>
        <v>44591</v>
      </c>
      <c r="E32" s="12" t="str">
        <f t="shared" si="0"/>
        <v>D</v>
      </c>
      <c r="F32" s="7">
        <f>IF(G32&lt;&gt;"",VLOOKUP(G32,B50:D57,3,FALSE),"")</f>
        <v>0.26041666666666669</v>
      </c>
      <c r="G32" s="29" t="s">
        <v>4</v>
      </c>
      <c r="H32" s="50">
        <f>IF(COUNTIF(JF[Date],D32)&gt;0,INDEX($Q$50:$Q$58,MATCH(G32,$I$50:$I$58,0)),INDEX($J$50:$Q$58,MATCH(G32,$I$50:$I$58,0),MATCH(WEEKDAY(D32,11),$J$49:$Q$49,0)))</f>
        <v>36</v>
      </c>
      <c r="K32" s="44"/>
    </row>
    <row r="33" spans="1:11" ht="15.75" thickBot="1" x14ac:dyDescent="0.3">
      <c r="D33" s="4">
        <f t="shared" si="1"/>
        <v>44592</v>
      </c>
      <c r="E33" s="13" t="str">
        <f t="shared" si="0"/>
        <v>L</v>
      </c>
      <c r="F33" s="8">
        <f>IF(G33&lt;&gt;"",VLOOKUP(G33,B50:D57,3,FALSE),"")</f>
        <v>0.26041666666666669</v>
      </c>
      <c r="G33" s="28" t="s">
        <v>3</v>
      </c>
      <c r="H33" s="50">
        <f>IF(COUNTIF(JF[Date],D33)&gt;0,INDEX($Q$50:$Q$58,MATCH(G33,$I$50:$I$58,0)),INDEX($J$50:$Q$58,MATCH(G33,$I$50:$I$58,0),MATCH(WEEKDAY(D33,11),$J$49:$Q$49,0)))</f>
        <v>0</v>
      </c>
      <c r="K33" s="44"/>
    </row>
    <row r="35" spans="1:11" x14ac:dyDescent="0.25">
      <c r="C35" s="14" t="s">
        <v>19</v>
      </c>
      <c r="F35" s="33">
        <f>SUM(F3:F33)</f>
        <v>8.3854166666666679</v>
      </c>
      <c r="G35" s="33"/>
    </row>
    <row r="36" spans="1:11" x14ac:dyDescent="0.25">
      <c r="C36" s="14"/>
      <c r="F36" s="16"/>
      <c r="G36" s="16"/>
    </row>
    <row r="37" spans="1:11" x14ac:dyDescent="0.25">
      <c r="C37" s="14" t="s">
        <v>24</v>
      </c>
      <c r="F37" s="34">
        <v>6.5812499999999998</v>
      </c>
      <c r="G37" s="34"/>
    </row>
    <row r="38" spans="1:11" x14ac:dyDescent="0.25">
      <c r="C38" s="14"/>
      <c r="F38" s="16"/>
      <c r="G38" s="16"/>
    </row>
    <row r="39" spans="1:11" x14ac:dyDescent="0.25">
      <c r="C39" s="14" t="s">
        <v>20</v>
      </c>
      <c r="F39" s="33">
        <f>SUM(F35-F37)</f>
        <v>1.804166666666668</v>
      </c>
      <c r="G39" s="33"/>
    </row>
    <row r="40" spans="1:11" x14ac:dyDescent="0.25">
      <c r="C40" s="14"/>
      <c r="F40" s="35"/>
    </row>
    <row r="41" spans="1:11" s="17" customFormat="1" x14ac:dyDescent="0.25">
      <c r="C41" s="14" t="s">
        <v>26</v>
      </c>
      <c r="F41" s="30">
        <f>SUM(F39*24)</f>
        <v>43.300000000000033</v>
      </c>
      <c r="G41" s="30"/>
    </row>
    <row r="42" spans="1:11" s="17" customFormat="1" ht="15.75" x14ac:dyDescent="0.25">
      <c r="C42" s="14"/>
      <c r="F42" s="19"/>
      <c r="I42" s="38" t="s">
        <v>32</v>
      </c>
    </row>
    <row r="43" spans="1:11" s="17" customFormat="1" ht="15.75" x14ac:dyDescent="0.25">
      <c r="C43" s="14" t="s">
        <v>25</v>
      </c>
      <c r="F43" s="36"/>
      <c r="I43" s="38" t="s">
        <v>31</v>
      </c>
    </row>
    <row r="44" spans="1:11" s="17" customFormat="1" ht="15.75" x14ac:dyDescent="0.25">
      <c r="F44" s="15"/>
      <c r="I44" s="38" t="s">
        <v>29</v>
      </c>
    </row>
    <row r="45" spans="1:11" s="17" customFormat="1" ht="15.75" x14ac:dyDescent="0.25">
      <c r="C45" s="14" t="s">
        <v>27</v>
      </c>
      <c r="F45" s="18"/>
      <c r="I45" s="38" t="s">
        <v>30</v>
      </c>
    </row>
    <row r="46" spans="1:11" s="21" customFormat="1" x14ac:dyDescent="0.25">
      <c r="F46" s="20"/>
    </row>
    <row r="47" spans="1:11" s="17" customFormat="1" x14ac:dyDescent="0.25">
      <c r="F47" s="24"/>
    </row>
    <row r="48" spans="1:11" s="17" customFormat="1" x14ac:dyDescent="0.25">
      <c r="A48" s="1">
        <v>13.64</v>
      </c>
      <c r="C48" s="22" t="s">
        <v>28</v>
      </c>
      <c r="D48" s="25"/>
      <c r="E48" s="25"/>
      <c r="F48" s="23">
        <f>SUM(F41*A48)</f>
        <v>590.61200000000042</v>
      </c>
      <c r="G48" s="24"/>
    </row>
    <row r="49" spans="1:17" x14ac:dyDescent="0.25">
      <c r="A49" s="10">
        <v>44562</v>
      </c>
      <c r="J49" s="2">
        <v>1</v>
      </c>
      <c r="K49" s="2">
        <v>2</v>
      </c>
      <c r="L49" s="2">
        <v>3</v>
      </c>
      <c r="M49" s="2">
        <v>4</v>
      </c>
      <c r="N49" s="2">
        <v>5</v>
      </c>
      <c r="O49" s="2">
        <v>6</v>
      </c>
      <c r="P49" s="2">
        <v>7</v>
      </c>
      <c r="Q49" s="2" t="s">
        <v>33</v>
      </c>
    </row>
    <row r="50" spans="1:17" x14ac:dyDescent="0.25">
      <c r="A50" s="3"/>
      <c r="B50" s="1" t="s">
        <v>8</v>
      </c>
      <c r="C50" s="2" t="s">
        <v>15</v>
      </c>
      <c r="D50" s="5">
        <v>0.38541666666666669</v>
      </c>
      <c r="E50" s="39">
        <f>COUNTIF(G3:G33,"C")</f>
        <v>5</v>
      </c>
      <c r="F50" s="39"/>
      <c r="G50" s="39"/>
      <c r="I50" s="1" t="s">
        <v>8</v>
      </c>
      <c r="J50" s="43">
        <v>0</v>
      </c>
      <c r="K50" s="43">
        <v>0</v>
      </c>
      <c r="L50" s="43">
        <v>0</v>
      </c>
      <c r="M50" s="43">
        <v>0</v>
      </c>
      <c r="N50" s="43">
        <v>0</v>
      </c>
      <c r="O50" s="43">
        <v>0</v>
      </c>
      <c r="P50" s="43">
        <v>36</v>
      </c>
      <c r="Q50" s="43">
        <v>36</v>
      </c>
    </row>
    <row r="51" spans="1:17" x14ac:dyDescent="0.25">
      <c r="A51" s="3"/>
      <c r="B51" s="3" t="s">
        <v>3</v>
      </c>
      <c r="C51" s="2" t="s">
        <v>0</v>
      </c>
      <c r="D51" s="5">
        <v>0.26041666666666669</v>
      </c>
      <c r="E51" s="39">
        <f>COUNTIF(G3:G33,"M")+COUNTIF(G3:G33,"MN")</f>
        <v>8</v>
      </c>
      <c r="F51" s="39"/>
      <c r="G51" s="39"/>
      <c r="I51" s="3" t="s">
        <v>3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3">
        <v>36</v>
      </c>
      <c r="Q51" s="43">
        <v>36</v>
      </c>
    </row>
    <row r="52" spans="1:17" x14ac:dyDescent="0.25">
      <c r="A52" s="3"/>
      <c r="B52" s="3" t="s">
        <v>4</v>
      </c>
      <c r="C52" s="2" t="s">
        <v>1</v>
      </c>
      <c r="D52" s="5">
        <v>0.26041666666666669</v>
      </c>
      <c r="E52" s="39">
        <f>COUNTIF(G3:G33,"S")</f>
        <v>7</v>
      </c>
      <c r="F52" s="39"/>
      <c r="G52" s="39"/>
      <c r="I52" s="3" t="s">
        <v>4</v>
      </c>
      <c r="J52" s="43">
        <v>0</v>
      </c>
      <c r="K52" s="43">
        <v>0</v>
      </c>
      <c r="L52" s="43">
        <v>0</v>
      </c>
      <c r="M52" s="43">
        <v>0</v>
      </c>
      <c r="N52" s="43">
        <v>0</v>
      </c>
      <c r="O52" s="43">
        <v>0</v>
      </c>
      <c r="P52" s="43">
        <v>36</v>
      </c>
      <c r="Q52" s="43">
        <v>36</v>
      </c>
    </row>
    <row r="53" spans="1:17" x14ac:dyDescent="0.25">
      <c r="A53" s="3"/>
      <c r="B53" s="3" t="s">
        <v>5</v>
      </c>
      <c r="C53" s="2" t="s">
        <v>16</v>
      </c>
      <c r="D53" s="5">
        <v>0.47916666666666669</v>
      </c>
      <c r="E53" s="39">
        <f>COUNTIF(G3:G33,"MN")</f>
        <v>5</v>
      </c>
      <c r="F53" s="39"/>
      <c r="G53" s="39"/>
      <c r="I53" s="3" t="s">
        <v>5</v>
      </c>
      <c r="J53" s="43">
        <v>17</v>
      </c>
      <c r="K53" s="43">
        <v>17</v>
      </c>
      <c r="L53" s="43">
        <v>17</v>
      </c>
      <c r="M53" s="43">
        <v>17</v>
      </c>
      <c r="N53" s="43">
        <v>17</v>
      </c>
      <c r="O53" s="43">
        <v>17</v>
      </c>
      <c r="P53" s="43">
        <v>20</v>
      </c>
      <c r="Q53" s="43">
        <v>20</v>
      </c>
    </row>
    <row r="54" spans="1:17" x14ac:dyDescent="0.25">
      <c r="A54" s="3"/>
      <c r="B54" s="3" t="s">
        <v>6</v>
      </c>
      <c r="C54" s="2" t="s">
        <v>2</v>
      </c>
      <c r="D54" s="5">
        <v>0.29166666666666669</v>
      </c>
      <c r="E54" s="39">
        <f>COUNTIF(G3:G33,"DN")</f>
        <v>5</v>
      </c>
      <c r="F54" s="39"/>
      <c r="G54" s="39"/>
      <c r="I54" s="3" t="s">
        <v>6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3">
        <v>36</v>
      </c>
      <c r="Q54" s="43">
        <v>36</v>
      </c>
    </row>
    <row r="55" spans="1:17" x14ac:dyDescent="0.25">
      <c r="A55" s="3"/>
      <c r="B55" s="1" t="s">
        <v>7</v>
      </c>
      <c r="C55" s="2" t="s">
        <v>9</v>
      </c>
      <c r="D55" s="5">
        <v>0</v>
      </c>
      <c r="E55" s="39">
        <f>COUNTIF(G3:G33,"RH")</f>
        <v>6</v>
      </c>
      <c r="F55" s="39"/>
      <c r="G55" s="39"/>
      <c r="I55" s="1" t="s">
        <v>7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  <c r="O55" s="43">
        <v>0</v>
      </c>
      <c r="P55" s="43">
        <v>0</v>
      </c>
      <c r="Q55" s="43">
        <v>0</v>
      </c>
    </row>
    <row r="56" spans="1:17" x14ac:dyDescent="0.25">
      <c r="A56" s="3"/>
      <c r="B56" s="3" t="s">
        <v>14</v>
      </c>
      <c r="C56" s="2" t="s">
        <v>18</v>
      </c>
      <c r="D56" s="5">
        <v>0.51041666666666663</v>
      </c>
      <c r="E56" s="39">
        <f>COUNTIF(G3:G33,"MS")</f>
        <v>0</v>
      </c>
      <c r="F56" s="39"/>
      <c r="G56" s="39"/>
      <c r="I56" s="3" t="s">
        <v>14</v>
      </c>
      <c r="J56" s="43">
        <v>0</v>
      </c>
      <c r="K56" s="43">
        <v>0</v>
      </c>
      <c r="L56" s="43">
        <v>0</v>
      </c>
      <c r="M56" s="43">
        <v>0</v>
      </c>
      <c r="N56" s="43">
        <v>0</v>
      </c>
      <c r="O56" s="43">
        <v>0</v>
      </c>
      <c r="P56" s="43">
        <v>36</v>
      </c>
      <c r="Q56" s="43">
        <v>36</v>
      </c>
    </row>
    <row r="57" spans="1:17" x14ac:dyDescent="0.25">
      <c r="A57" s="3"/>
      <c r="B57" s="1" t="s">
        <v>21</v>
      </c>
      <c r="C57" s="2" t="s">
        <v>22</v>
      </c>
      <c r="D57" s="5">
        <v>0</v>
      </c>
      <c r="E57" s="39">
        <f>COUNTIF(G3:G33,"A")</f>
        <v>0</v>
      </c>
      <c r="F57" s="39"/>
      <c r="G57" s="39"/>
      <c r="I57" s="1" t="s">
        <v>21</v>
      </c>
      <c r="J57" s="43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</row>
    <row r="58" spans="1:17" x14ac:dyDescent="0.25">
      <c r="A58" s="3"/>
      <c r="B58" s="1" t="s">
        <v>17</v>
      </c>
      <c r="C58" s="2" t="s">
        <v>23</v>
      </c>
      <c r="D58" s="5">
        <v>0.21875</v>
      </c>
      <c r="E58" s="39">
        <f>COUNTIF(G4:G34,"NS")</f>
        <v>0</v>
      </c>
      <c r="F58" s="39"/>
      <c r="G58" s="39"/>
      <c r="I58" s="1" t="s">
        <v>17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3">
        <v>36</v>
      </c>
      <c r="Q58" s="43">
        <v>36</v>
      </c>
    </row>
    <row r="60" spans="1:17" x14ac:dyDescent="0.25">
      <c r="A60" s="1">
        <v>1</v>
      </c>
      <c r="B60" s="2" t="s">
        <v>10</v>
      </c>
    </row>
    <row r="61" spans="1:17" x14ac:dyDescent="0.25">
      <c r="A61" s="1">
        <v>2</v>
      </c>
      <c r="B61" s="2" t="s">
        <v>13</v>
      </c>
    </row>
    <row r="62" spans="1:17" s="1" customFormat="1" x14ac:dyDescent="0.25">
      <c r="A62" s="1">
        <v>3</v>
      </c>
      <c r="B62" s="2" t="s">
        <v>3</v>
      </c>
      <c r="D62" s="2"/>
    </row>
    <row r="63" spans="1:17" s="1" customFormat="1" x14ac:dyDescent="0.25">
      <c r="A63" s="1">
        <v>4</v>
      </c>
      <c r="B63" s="2" t="s">
        <v>3</v>
      </c>
      <c r="D63" s="2"/>
    </row>
    <row r="64" spans="1:17" s="1" customFormat="1" x14ac:dyDescent="0.25">
      <c r="A64" s="1">
        <v>5</v>
      </c>
      <c r="B64" s="2" t="s">
        <v>11</v>
      </c>
      <c r="D64" s="2"/>
    </row>
    <row r="65" spans="1:4" s="1" customFormat="1" x14ac:dyDescent="0.25">
      <c r="A65" s="1">
        <v>6</v>
      </c>
      <c r="B65" s="2" t="s">
        <v>12</v>
      </c>
      <c r="D65" s="2"/>
    </row>
    <row r="66" spans="1:4" s="1" customFormat="1" x14ac:dyDescent="0.25">
      <c r="A66" s="1">
        <v>7</v>
      </c>
      <c r="B66" s="2" t="s">
        <v>4</v>
      </c>
      <c r="D66" s="2"/>
    </row>
    <row r="67" spans="1:4" s="1" customFormat="1" x14ac:dyDescent="0.25">
      <c r="B67" s="2"/>
      <c r="D67" s="2"/>
    </row>
  </sheetData>
  <mergeCells count="10">
    <mergeCell ref="E53:G53"/>
    <mergeCell ref="E52:G52"/>
    <mergeCell ref="E51:G51"/>
    <mergeCell ref="E50:G50"/>
    <mergeCell ref="E2:G2"/>
    <mergeCell ref="E58:G58"/>
    <mergeCell ref="E57:G57"/>
    <mergeCell ref="E56:G56"/>
    <mergeCell ref="E55:G55"/>
    <mergeCell ref="E54:G54"/>
  </mergeCells>
  <conditionalFormatting sqref="E3 F3:F32">
    <cfRule type="cellIs" dxfId="6" priority="40" operator="equal">
      <formula>$D$55</formula>
    </cfRule>
    <cfRule type="cellIs" dxfId="5" priority="41" operator="equal">
      <formula>$D$53</formula>
    </cfRule>
  </conditionalFormatting>
  <conditionalFormatting sqref="F3:F32">
    <cfRule type="cellIs" dxfId="4" priority="43" operator="equal">
      <formula>$D$54</formula>
    </cfRule>
  </conditionalFormatting>
  <conditionalFormatting sqref="F33">
    <cfRule type="cellIs" dxfId="3" priority="26" operator="equal">
      <formula>$A$55</formula>
    </cfRule>
    <cfRule type="cellIs" dxfId="2" priority="27" operator="equal">
      <formula>$A$53</formula>
    </cfRule>
  </conditionalFormatting>
  <conditionalFormatting sqref="F33">
    <cfRule type="cellIs" dxfId="1" priority="25" operator="equal">
      <formula>$A$54</formula>
    </cfRule>
  </conditionalFormatting>
  <conditionalFormatting sqref="F4:F32">
    <cfRule type="cellIs" dxfId="0" priority="12" operator="equal">
      <formula>$D$53</formula>
    </cfRule>
  </conditionalFormatting>
  <pageMargins left="3.937007874015748E-2" right="3.937007874015748E-2" top="3.937007874015748E-2" bottom="3.937007874015748E-2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2022</vt:lpstr>
      <vt:lpstr>'2022'!CHIFFREJOUR</vt:lpstr>
      <vt:lpstr>'2022'!plageservice</vt:lpstr>
      <vt:lpstr>'2022'!Zone_d_impression</vt:lpstr>
    </vt:vector>
  </TitlesOfParts>
  <Company>PSA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Noël D</cp:lastModifiedBy>
  <cp:lastPrinted>2019-10-30T06:17:21Z</cp:lastPrinted>
  <dcterms:created xsi:type="dcterms:W3CDTF">2018-12-11T13:26:02Z</dcterms:created>
  <dcterms:modified xsi:type="dcterms:W3CDTF">2022-02-06T13:53:59Z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2021-02-05T08:39:42Z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</Properties>
</file>