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Saisie de données" sheetId="11" r:id="rId1"/>
    <sheet name="outil chiffrage" sheetId="5" r:id="rId2"/>
  </sheets>
  <definedNames>
    <definedName name="_xlnm._FilterDatabase" localSheetId="1" hidden="1">'outil chiffrage'!$C$120:$U$120</definedName>
  </definedNames>
  <calcPr calcId="152511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1" i="5" l="1"/>
  <c r="M121" i="5" s="1"/>
  <c r="I121" i="5"/>
  <c r="H122" i="5" s="1"/>
  <c r="Q121" i="5"/>
  <c r="G122" i="5"/>
  <c r="M122" i="5" s="1"/>
  <c r="Q122" i="5"/>
  <c r="G123" i="5"/>
  <c r="M123" i="5"/>
  <c r="Q123" i="5"/>
  <c r="G124" i="5"/>
  <c r="M124" i="5"/>
  <c r="Q124" i="5"/>
  <c r="G125" i="5"/>
  <c r="M125" i="5" s="1"/>
  <c r="Q125" i="5"/>
  <c r="G126" i="5"/>
  <c r="M126" i="5"/>
  <c r="Q126" i="5"/>
  <c r="H127" i="5"/>
  <c r="M127" i="5"/>
  <c r="Q127" i="5"/>
  <c r="M128" i="5"/>
  <c r="Q128" i="5"/>
  <c r="M129" i="5"/>
  <c r="Q129" i="5"/>
  <c r="G130" i="5"/>
  <c r="Q130" i="5"/>
  <c r="M131" i="5"/>
  <c r="G132" i="5"/>
  <c r="M132" i="5" s="1"/>
  <c r="H132" i="5"/>
  <c r="Q132" i="5"/>
  <c r="M133" i="5"/>
  <c r="G134" i="5"/>
  <c r="M134" i="5"/>
  <c r="Q134" i="5"/>
  <c r="M135" i="5"/>
  <c r="H128" i="5" l="1"/>
  <c r="H125" i="5"/>
  <c r="H124" i="5"/>
  <c r="Q137" i="5"/>
  <c r="U121" i="5" s="1"/>
  <c r="H130" i="5"/>
  <c r="M130" i="5" s="1"/>
  <c r="H129" i="5"/>
  <c r="H123" i="5"/>
  <c r="H121" i="5"/>
  <c r="H134" i="5"/>
  <c r="H126" i="5"/>
  <c r="J4" i="11" l="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I111" i="5" l="1"/>
  <c r="I100" i="5"/>
  <c r="J101" i="5" l="1"/>
  <c r="J100" i="5"/>
  <c r="J114" i="5"/>
  <c r="J116" i="5"/>
  <c r="Q116" i="5" s="1"/>
  <c r="J111" i="5" l="1"/>
  <c r="J113" i="5"/>
  <c r="Q111" i="5" l="1"/>
  <c r="J112" i="5"/>
  <c r="I95" i="5" l="1"/>
  <c r="J45" i="5"/>
  <c r="I62" i="5"/>
  <c r="J71" i="5"/>
  <c r="I36" i="5"/>
  <c r="I34" i="5"/>
  <c r="J97" i="5" l="1"/>
  <c r="J98" i="5"/>
  <c r="I38" i="5"/>
  <c r="J48" i="5" s="1"/>
  <c r="W25" i="11"/>
  <c r="W24" i="11"/>
  <c r="J68" i="5"/>
  <c r="J44" i="5" l="1"/>
  <c r="J43" i="5"/>
  <c r="J49" i="5"/>
  <c r="J50" i="5"/>
  <c r="W65" i="5" l="1"/>
  <c r="M41" i="5" l="1"/>
  <c r="G41" i="5"/>
  <c r="G65" i="5" l="1"/>
  <c r="V25" i="11"/>
  <c r="V26" i="11"/>
  <c r="V27" i="11"/>
  <c r="V28" i="11"/>
  <c r="V29" i="11"/>
  <c r="V30" i="11"/>
  <c r="V24" i="11"/>
  <c r="U25" i="11"/>
  <c r="U26" i="11"/>
  <c r="U27" i="11"/>
  <c r="U28" i="11"/>
  <c r="U29" i="11"/>
  <c r="U30" i="11"/>
  <c r="U24" i="11"/>
  <c r="T30" i="11" l="1"/>
  <c r="T29" i="11"/>
  <c r="T28" i="11"/>
  <c r="J87" i="5"/>
  <c r="Q87" i="5" s="1"/>
  <c r="J88" i="5" l="1"/>
  <c r="M88" i="5" s="1"/>
  <c r="M87" i="5"/>
  <c r="J89" i="5" l="1"/>
  <c r="M89" i="5" s="1"/>
  <c r="Q88" i="5"/>
  <c r="Q89" i="5" l="1"/>
  <c r="I15" i="11" l="1"/>
  <c r="E15" i="11"/>
  <c r="I14" i="11"/>
  <c r="E14" i="11"/>
  <c r="G38" i="5"/>
  <c r="G39" i="5"/>
  <c r="G40" i="5"/>
  <c r="G115" i="5" l="1"/>
  <c r="J115" i="5" s="1"/>
  <c r="Q115" i="5" s="1"/>
  <c r="G63" i="5"/>
  <c r="G36" i="5"/>
  <c r="J36" i="5" s="1"/>
  <c r="G37" i="5"/>
  <c r="J37" i="5" s="1"/>
  <c r="G85" i="5"/>
  <c r="J85" i="5" s="1"/>
  <c r="G86" i="5"/>
  <c r="J86" i="5" s="1"/>
  <c r="G84" i="5"/>
  <c r="G62" i="5"/>
  <c r="G35" i="5"/>
  <c r="G64" i="5"/>
  <c r="G34" i="5"/>
  <c r="M36" i="5" l="1"/>
  <c r="Q36" i="5"/>
  <c r="M37" i="5"/>
  <c r="Q37" i="5"/>
  <c r="Q85" i="5"/>
  <c r="M85" i="5"/>
  <c r="M86" i="5"/>
  <c r="Q86" i="5"/>
  <c r="Q45" i="5"/>
  <c r="M106" i="5" l="1"/>
  <c r="M107" i="5"/>
  <c r="M105" i="5"/>
  <c r="M45" i="5"/>
  <c r="H71" i="5"/>
  <c r="H68" i="5" s="1"/>
  <c r="J102" i="5" l="1"/>
  <c r="M102" i="5" s="1"/>
  <c r="M43" i="5" l="1"/>
  <c r="Q44" i="5"/>
  <c r="W19" i="11"/>
  <c r="I22" i="11"/>
  <c r="D22" i="11"/>
  <c r="V17" i="11"/>
  <c r="W28" i="11"/>
  <c r="W29" i="11"/>
  <c r="W30" i="11"/>
  <c r="I26" i="11"/>
  <c r="I25" i="11"/>
  <c r="I13" i="11"/>
  <c r="I12" i="11"/>
  <c r="I11" i="11"/>
  <c r="I10" i="11"/>
  <c r="M52" i="5"/>
  <c r="H52" i="5"/>
  <c r="O19" i="11"/>
  <c r="P19" i="11" s="1"/>
  <c r="O15" i="11"/>
  <c r="P15" i="11" s="1"/>
  <c r="P17" i="11"/>
  <c r="P13" i="11"/>
  <c r="P11" i="11"/>
  <c r="O8" i="11"/>
  <c r="W27" i="11"/>
  <c r="T27" i="11"/>
  <c r="W26" i="11"/>
  <c r="T26" i="11"/>
  <c r="T25" i="11"/>
  <c r="T24" i="11"/>
  <c r="J41" i="5" l="1"/>
  <c r="Q41" i="5" s="1"/>
  <c r="J65" i="5"/>
  <c r="M65" i="5" s="1"/>
  <c r="H63" i="5"/>
  <c r="J63" i="5" s="1"/>
  <c r="H64" i="5"/>
  <c r="T31" i="11"/>
  <c r="H35" i="5"/>
  <c r="H56" i="5"/>
  <c r="H55" i="5"/>
  <c r="J84" i="5"/>
  <c r="M84" i="5" s="1"/>
  <c r="H54" i="5"/>
  <c r="J54" i="5" s="1"/>
  <c r="H53" i="5"/>
  <c r="H58" i="5"/>
  <c r="J58" i="5" s="1"/>
  <c r="H80" i="5"/>
  <c r="H39" i="5"/>
  <c r="J39" i="5" s="1"/>
  <c r="H69" i="5"/>
  <c r="H40" i="5"/>
  <c r="J40" i="5" s="1"/>
  <c r="H57" i="5"/>
  <c r="H34" i="5"/>
  <c r="H38" i="5"/>
  <c r="J38" i="5" s="1"/>
  <c r="H62" i="5"/>
  <c r="H79" i="5"/>
  <c r="H47" i="5"/>
  <c r="J47" i="5" s="1"/>
  <c r="I84" i="5" l="1"/>
  <c r="H46" i="5"/>
  <c r="J46" i="5" s="1"/>
  <c r="H77" i="5"/>
  <c r="J77" i="5" s="1"/>
  <c r="J55" i="5"/>
  <c r="Q55" i="5" s="1"/>
  <c r="J57" i="5"/>
  <c r="M57" i="5" s="1"/>
  <c r="H78" i="5"/>
  <c r="J78" i="5" s="1"/>
  <c r="J56" i="5"/>
  <c r="Q56" i="5" s="1"/>
  <c r="J53" i="5"/>
  <c r="M53" i="5" s="1"/>
  <c r="Q84" i="5"/>
  <c r="Q91" i="5" s="1"/>
  <c r="Q54" i="5"/>
  <c r="M54" i="5"/>
  <c r="M58" i="5"/>
  <c r="Q46" i="5" l="1"/>
  <c r="M46" i="5"/>
  <c r="M55" i="5"/>
  <c r="M77" i="5"/>
  <c r="Q77" i="5"/>
  <c r="M78" i="5"/>
  <c r="Q78" i="5"/>
  <c r="M56" i="5"/>
  <c r="U84" i="5"/>
  <c r="H74" i="5" l="1"/>
  <c r="H76" i="5" l="1"/>
  <c r="J76" i="5" s="1"/>
  <c r="Q76" i="5" s="1"/>
  <c r="H75" i="5"/>
  <c r="M76" i="5" l="1"/>
  <c r="M98" i="5"/>
  <c r="M97" i="5"/>
  <c r="J72" i="5"/>
  <c r="J95" i="5"/>
  <c r="M95" i="5" s="1"/>
  <c r="J96" i="5"/>
  <c r="M96" i="5" s="1"/>
  <c r="J103" i="5"/>
  <c r="H70" i="5"/>
  <c r="H67" i="5"/>
  <c r="R60" i="5"/>
  <c r="M100" i="5" l="1"/>
  <c r="Q72" i="5"/>
  <c r="M103" i="5"/>
  <c r="Q43" i="5"/>
  <c r="Q74" i="5"/>
  <c r="Q96" i="5"/>
  <c r="R82" i="5"/>
  <c r="M49" i="5"/>
  <c r="J67" i="5"/>
  <c r="M67" i="5" s="1"/>
  <c r="J70" i="5"/>
  <c r="M70" i="5" s="1"/>
  <c r="Q97" i="5"/>
  <c r="Q95" i="5"/>
  <c r="Q103" i="5"/>
  <c r="Q98" i="5"/>
  <c r="Q100" i="5"/>
  <c r="M48" i="5" l="1"/>
  <c r="Q49" i="5"/>
  <c r="Q67" i="5"/>
  <c r="M44" i="5"/>
  <c r="Q50" i="5"/>
  <c r="M74" i="5"/>
  <c r="Q48" i="5"/>
  <c r="Q70" i="5"/>
  <c r="J64" i="5" l="1"/>
  <c r="M64" i="5" s="1"/>
  <c r="J69" i="5" l="1"/>
  <c r="M69" i="5" s="1"/>
  <c r="M38" i="5"/>
  <c r="Q64" i="5"/>
  <c r="M47" i="5"/>
  <c r="Q69" i="5" l="1"/>
  <c r="J62" i="5"/>
  <c r="M62" i="5" s="1"/>
  <c r="J75" i="5"/>
  <c r="M40" i="5"/>
  <c r="M39" i="5"/>
  <c r="Q52" i="5"/>
  <c r="Q47" i="5"/>
  <c r="J34" i="5"/>
  <c r="M34" i="5" s="1"/>
  <c r="Q38" i="5"/>
  <c r="Q62" i="5" l="1"/>
  <c r="M63" i="5"/>
  <c r="J35" i="5"/>
  <c r="M35" i="5" s="1"/>
  <c r="J79" i="5"/>
  <c r="Q39" i="5"/>
  <c r="Q40" i="5"/>
  <c r="Q75" i="5"/>
  <c r="M75" i="5"/>
  <c r="Q34" i="5"/>
  <c r="Q53" i="5"/>
  <c r="M72" i="5" l="1"/>
  <c r="M50" i="5"/>
  <c r="J80" i="5"/>
  <c r="Q35" i="5"/>
  <c r="Q63" i="5"/>
  <c r="Q57" i="5"/>
  <c r="M79" i="5"/>
  <c r="Q79" i="5"/>
  <c r="Q58" i="5" l="1"/>
  <c r="Q60" i="5" s="1"/>
  <c r="M80" i="5"/>
  <c r="Q80" i="5"/>
  <c r="L17" i="5" l="1"/>
  <c r="M17" i="5" s="1"/>
  <c r="U34" i="5"/>
  <c r="Q68" i="5" l="1"/>
  <c r="M71" i="5" l="1"/>
  <c r="Q71" i="5"/>
  <c r="Q82" i="5" s="1"/>
  <c r="M68" i="5"/>
  <c r="L23" i="5" l="1"/>
  <c r="M23" i="5" s="1"/>
  <c r="U62" i="5"/>
  <c r="J94" i="5" l="1"/>
  <c r="I93" i="5"/>
  <c r="J93" i="5" s="1"/>
  <c r="M93" i="5" s="1"/>
  <c r="Q94" i="5" l="1"/>
  <c r="M94" i="5"/>
  <c r="Q93" i="5"/>
  <c r="Q119" i="5" s="1"/>
  <c r="U93" i="5" l="1"/>
  <c r="U145" i="5" l="1"/>
</calcChain>
</file>

<file path=xl/sharedStrings.xml><?xml version="1.0" encoding="utf-8"?>
<sst xmlns="http://schemas.openxmlformats.org/spreadsheetml/2006/main" count="608" uniqueCount="236">
  <si>
    <t>BA 13</t>
  </si>
  <si>
    <t>m2</t>
  </si>
  <si>
    <t>m3</t>
  </si>
  <si>
    <t>Ensemble</t>
  </si>
  <si>
    <t>Unité</t>
  </si>
  <si>
    <t>PU</t>
  </si>
  <si>
    <t>Platelage</t>
  </si>
  <si>
    <t>contrefiche</t>
  </si>
  <si>
    <t>Entraxe montant</t>
  </si>
  <si>
    <t>nombre montant</t>
  </si>
  <si>
    <t>U</t>
  </si>
  <si>
    <t>Entraxe contrelatte</t>
  </si>
  <si>
    <t>nombre contrelatte</t>
  </si>
  <si>
    <t>Pannes</t>
  </si>
  <si>
    <t>pannes</t>
  </si>
  <si>
    <t>Entrait</t>
  </si>
  <si>
    <t>Arbaletrier</t>
  </si>
  <si>
    <t>Poincon</t>
  </si>
  <si>
    <t>ferme tradi</t>
  </si>
  <si>
    <t>chevrons</t>
  </si>
  <si>
    <t>longueur</t>
  </si>
  <si>
    <t>nombre</t>
  </si>
  <si>
    <t>ml</t>
  </si>
  <si>
    <t>surface</t>
  </si>
  <si>
    <t>Surface total</t>
  </si>
  <si>
    <t>nombres</t>
  </si>
  <si>
    <t>Référence</t>
  </si>
  <si>
    <t>total</t>
  </si>
  <si>
    <t>OSB 18</t>
  </si>
  <si>
    <t>bandeau</t>
  </si>
  <si>
    <t>TOTAL</t>
  </si>
  <si>
    <t>Pose</t>
  </si>
  <si>
    <t>Entraxe latte</t>
  </si>
  <si>
    <t>nombre latte</t>
  </si>
  <si>
    <t>Sous ensemble</t>
  </si>
  <si>
    <t>Montant HT</t>
  </si>
  <si>
    <t>Montants</t>
  </si>
  <si>
    <t>Lisses</t>
  </si>
  <si>
    <t>Coefficient de perte</t>
  </si>
  <si>
    <t>Lattes</t>
  </si>
  <si>
    <t>Contrelattes</t>
  </si>
  <si>
    <t>Pare pluie</t>
  </si>
  <si>
    <t>Pare Vapeur</t>
  </si>
  <si>
    <t>Ancrage</t>
  </si>
  <si>
    <t>Chevilles</t>
  </si>
  <si>
    <t>Pointes 50</t>
  </si>
  <si>
    <t>Bois rouge</t>
  </si>
  <si>
    <t>Isolant</t>
  </si>
  <si>
    <t>Rockwood</t>
  </si>
  <si>
    <t>Rothoblass</t>
  </si>
  <si>
    <t>Achat</t>
  </si>
  <si>
    <t>éléments bois</t>
  </si>
  <si>
    <t>Lattes MOB extérieur</t>
  </si>
  <si>
    <t>Contrelattes MOB extérieur</t>
  </si>
  <si>
    <t>Montants/ lisses MOB extérieur</t>
  </si>
  <si>
    <t>Montants/lisses MOB intérieur</t>
  </si>
  <si>
    <t>Tasseaux</t>
  </si>
  <si>
    <t>Structures murs</t>
  </si>
  <si>
    <t>Doublage extérieur</t>
  </si>
  <si>
    <t>Doublage intérieur</t>
  </si>
  <si>
    <t>Bande d'arase</t>
  </si>
  <si>
    <t>Tasseaux intérieur</t>
  </si>
  <si>
    <t xml:space="preserve">Arbaletrier </t>
  </si>
  <si>
    <t>Poinçon</t>
  </si>
  <si>
    <t>Contrefiche</t>
  </si>
  <si>
    <t>Fiche</t>
  </si>
  <si>
    <t>Charpente</t>
  </si>
  <si>
    <t>Ferme traditionnelle</t>
  </si>
  <si>
    <t>Fermette industriel</t>
  </si>
  <si>
    <t>Chevrons</t>
  </si>
  <si>
    <t>Habillage</t>
  </si>
  <si>
    <t>Bandeaux</t>
  </si>
  <si>
    <t>Bardage</t>
  </si>
  <si>
    <t>Volige</t>
  </si>
  <si>
    <t>type de bois</t>
  </si>
  <si>
    <t>ACHAT</t>
  </si>
  <si>
    <t>BM</t>
  </si>
  <si>
    <t>BLC</t>
  </si>
  <si>
    <t>METRÉ</t>
  </si>
  <si>
    <t>CHIFFRAGE MP</t>
  </si>
  <si>
    <t>plaques</t>
  </si>
  <si>
    <t>Quantité Total</t>
  </si>
  <si>
    <t>2,5x1,25x12</t>
  </si>
  <si>
    <t>Placo 1200x2800</t>
  </si>
  <si>
    <t xml:space="preserve">Rockwood </t>
  </si>
  <si>
    <t>Dimensions menuiserie</t>
  </si>
  <si>
    <t xml:space="preserve">hauteur </t>
  </si>
  <si>
    <t xml:space="preserve">largeur </t>
  </si>
  <si>
    <t>menuiserie 1</t>
  </si>
  <si>
    <t>menuiserie 2</t>
  </si>
  <si>
    <t>appui fenetre</t>
  </si>
  <si>
    <t>Linteau</t>
  </si>
  <si>
    <t>Montant contreventement</t>
  </si>
  <si>
    <t>type</t>
  </si>
  <si>
    <t>Pare vapeur</t>
  </si>
  <si>
    <t>BA 13 hydrofuge</t>
  </si>
  <si>
    <t xml:space="preserve">Isolant </t>
  </si>
  <si>
    <t>Suspente</t>
  </si>
  <si>
    <t>Fourrures</t>
  </si>
  <si>
    <t>Placo Hydrofuge 1200x2800</t>
  </si>
  <si>
    <t>2,5x1,25x18</t>
  </si>
  <si>
    <t>MOB EXTERIEUR</t>
  </si>
  <si>
    <t>MOB INTERIEUR</t>
  </si>
  <si>
    <t>CHEVETRE MOB</t>
  </si>
  <si>
    <t>CHIFFRAGE MO</t>
  </si>
  <si>
    <t>FERMETTE INDUSTRIEL</t>
  </si>
  <si>
    <t>Connecteur</t>
  </si>
  <si>
    <t>Lambourdes</t>
  </si>
  <si>
    <t>Assemblage (prix/m2)</t>
  </si>
  <si>
    <t>Usinage (Prix / m3)</t>
  </si>
  <si>
    <t>CLOISONS</t>
  </si>
  <si>
    <t>HT</t>
  </si>
  <si>
    <t>Quantité / m2 d'Ensemble</t>
  </si>
  <si>
    <t>OSB 12</t>
  </si>
  <si>
    <t>Placo 1200x2800 hydro</t>
  </si>
  <si>
    <t>Appui fenetre</t>
  </si>
  <si>
    <t>Montant contreventemment</t>
  </si>
  <si>
    <t>Rouleau 10x0,2</t>
  </si>
  <si>
    <t>prix</t>
  </si>
  <si>
    <t>pointe cranté</t>
  </si>
  <si>
    <t>MOB ext (sans BA13/bardage)</t>
  </si>
  <si>
    <t>MOB int(sans BA13/bardage)</t>
  </si>
  <si>
    <t>Rouleau</t>
  </si>
  <si>
    <t>Equerre</t>
  </si>
  <si>
    <t>Simpson 100x100</t>
  </si>
  <si>
    <t>Lisse de filage</t>
  </si>
  <si>
    <t>Contreventement</t>
  </si>
  <si>
    <t>lisse de filage</t>
  </si>
  <si>
    <t>antiflambage</t>
  </si>
  <si>
    <t>contreventement</t>
  </si>
  <si>
    <t>menuiserie 3</t>
  </si>
  <si>
    <t>menuiserie 4</t>
  </si>
  <si>
    <t>Poteau portique</t>
  </si>
  <si>
    <t>Poutre portique</t>
  </si>
  <si>
    <t>nombre par éléments</t>
  </si>
  <si>
    <t>nombre de fermettes</t>
  </si>
  <si>
    <t xml:space="preserve"> fermette industrielle</t>
  </si>
  <si>
    <t>nombre de fermes</t>
  </si>
  <si>
    <t>Antiflambage</t>
  </si>
  <si>
    <t>Structure habillage</t>
  </si>
  <si>
    <t>sections achetés</t>
  </si>
  <si>
    <t>sections utilisés</t>
  </si>
  <si>
    <t>MOB extérieur</t>
  </si>
  <si>
    <t>MOB intérieur</t>
  </si>
  <si>
    <t>Entraxe tasseaux</t>
  </si>
  <si>
    <t>nombre tasseaux</t>
  </si>
  <si>
    <t>charpente</t>
  </si>
  <si>
    <t>menuiserie 5</t>
  </si>
  <si>
    <t>menuiserie 6</t>
  </si>
  <si>
    <t>menuiserie 7</t>
  </si>
  <si>
    <t>éléments débité</t>
  </si>
  <si>
    <t>SAISIE DES SECTIONS BOIS</t>
  </si>
  <si>
    <t>Largeur</t>
  </si>
  <si>
    <t>Hauteur</t>
  </si>
  <si>
    <t>Surface ( en m²)</t>
  </si>
  <si>
    <t>SAISIE MOB</t>
  </si>
  <si>
    <t>SAISIE CHARPENTE</t>
  </si>
  <si>
    <t>SAISIE MENUISERIES</t>
  </si>
  <si>
    <t>Entretoise</t>
  </si>
  <si>
    <t>entretoise</t>
  </si>
  <si>
    <t xml:space="preserve">Ba13 </t>
  </si>
  <si>
    <t>baie coulissante</t>
  </si>
  <si>
    <t>48x70</t>
  </si>
  <si>
    <t>48x150</t>
  </si>
  <si>
    <t>90x270</t>
  </si>
  <si>
    <t>90x360</t>
  </si>
  <si>
    <t>48x100</t>
  </si>
  <si>
    <t>180x180</t>
  </si>
  <si>
    <t>Sabot</t>
  </si>
  <si>
    <t xml:space="preserve">Simpson </t>
  </si>
  <si>
    <t>Sabot AKR 285x3</t>
  </si>
  <si>
    <t>cheville HST d120x100</t>
  </si>
  <si>
    <t>Pointes 35</t>
  </si>
  <si>
    <t>pointe SIMPSON 4x35</t>
  </si>
  <si>
    <t>cheville HILTI HUB d8x100</t>
  </si>
  <si>
    <t>Pointe 35</t>
  </si>
  <si>
    <t>Pertes</t>
  </si>
  <si>
    <t>perte débit</t>
  </si>
  <si>
    <t>cheville HILTI HUD d8x100</t>
  </si>
  <si>
    <t>Vis</t>
  </si>
  <si>
    <t>5x90</t>
  </si>
  <si>
    <t>LEGENDE</t>
  </si>
  <si>
    <t>CASE A SAISIR</t>
  </si>
  <si>
    <t>CASE FIGES</t>
  </si>
  <si>
    <t>CASE CALCULES</t>
  </si>
  <si>
    <t>M20</t>
  </si>
  <si>
    <t>FAUX PLAFOND</t>
  </si>
  <si>
    <t>BARDAGE</t>
  </si>
  <si>
    <t>PLATELAGE</t>
  </si>
  <si>
    <t>M2</t>
  </si>
  <si>
    <t>Pointes 70</t>
  </si>
  <si>
    <t>Pointes 90</t>
  </si>
  <si>
    <t>Pointe 4x50</t>
  </si>
  <si>
    <t>contrebandeau</t>
  </si>
  <si>
    <t>crochet</t>
  </si>
  <si>
    <t>vis 5x30</t>
  </si>
  <si>
    <t>goutière horizontale</t>
  </si>
  <si>
    <t>descente vertical</t>
  </si>
  <si>
    <t>Pointes  90</t>
  </si>
  <si>
    <t>Tasseaux 45</t>
  </si>
  <si>
    <t>Tasseaux intérieur hydro</t>
  </si>
  <si>
    <t xml:space="preserve">fenêtre </t>
  </si>
  <si>
    <t>Couverture PVC</t>
  </si>
  <si>
    <t>Montants 145</t>
  </si>
  <si>
    <t>Lisses 145</t>
  </si>
  <si>
    <t>Montants 95</t>
  </si>
  <si>
    <t>Lisses 95</t>
  </si>
  <si>
    <t>NON ACCESSIBLE</t>
  </si>
  <si>
    <t>ACCESSIBLE</t>
  </si>
  <si>
    <t>etancheité bicouche</t>
  </si>
  <si>
    <t>cales lambourdes</t>
  </si>
  <si>
    <t>lambourdes</t>
  </si>
  <si>
    <t>platelage</t>
  </si>
  <si>
    <t>M3</t>
  </si>
  <si>
    <t>Isolant 100</t>
  </si>
  <si>
    <t>Isolant 140</t>
  </si>
  <si>
    <t>w</t>
  </si>
  <si>
    <t xml:space="preserve">Menuiseries </t>
  </si>
  <si>
    <t xml:space="preserve">Embrasures </t>
  </si>
  <si>
    <t xml:space="preserve">TOITURE </t>
  </si>
  <si>
    <t>Etancheité</t>
  </si>
  <si>
    <t>SELECTION DES LOTS</t>
  </si>
  <si>
    <t>CHARPENTE INDUSTRIELLE</t>
  </si>
  <si>
    <t>CHARPENTE TRADITIONNELLE</t>
  </si>
  <si>
    <t>CHEVRONS</t>
  </si>
  <si>
    <t>TOITURE INACCESSIBLE</t>
  </si>
  <si>
    <t>TOITURE ACCESSIBLE</t>
  </si>
  <si>
    <t>BALCON</t>
  </si>
  <si>
    <t>PLANCHER BOIS</t>
  </si>
  <si>
    <t>ENDUIT/PEINTURE</t>
  </si>
  <si>
    <t>X</t>
  </si>
  <si>
    <t>MOB EXTERIEUR 145</t>
  </si>
  <si>
    <t>MOB EXTERIEUR 95</t>
  </si>
  <si>
    <t>LOTS</t>
  </si>
  <si>
    <t>SELECTION</t>
  </si>
  <si>
    <t>120:130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</si>
</sst>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_-;\-* #,##0.00_-;_-* &quot;-&quot;??_-;_-@_-"/>
    <numFmt numFmtId="165" formatCode="0.0000000"/>
    <numFmt numFmtId="166" formatCode="0.0000"/>
    <numFmt numFmtId="167" formatCode="0.000"/>
    <numFmt numFmtId="168" formatCode="0.0"/>
    <numFmt numFmtId="169" formatCode="#,##0.00\ [$DH-380C]"/>
    <numFmt numFmtId="170" formatCode="#,##0.0\ [$DH-380C]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6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theme="5" tint="-0.249977111117893"/>
      </right>
      <top style="medium">
        <color theme="5" tint="-0.249977111117893"/>
      </top>
      <bottom/>
      <diagonal/>
    </border>
    <border>
      <left/>
      <right style="medium">
        <color theme="5" tint="-0.249977111117893"/>
      </right>
      <top/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/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indexed="64"/>
      </left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 style="medium">
        <color rgb="FF00B0F0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rgb="FF00B0F0"/>
      </left>
      <right/>
      <top/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theme="5" tint="-0.249977111117893"/>
      </bottom>
      <diagonal/>
    </border>
    <border>
      <left style="dotted">
        <color indexed="64"/>
      </left>
      <right style="dotted">
        <color indexed="64"/>
      </right>
      <top/>
      <bottom style="medium">
        <color theme="5" tint="-0.249977111117893"/>
      </bottom>
      <diagonal/>
    </border>
    <border>
      <left/>
      <right style="medium">
        <color theme="5" tint="-0.249977111117893"/>
      </right>
      <top/>
      <bottom style="medium">
        <color theme="5" tint="-0.249977111117893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5" tint="-0.249977111117893"/>
      </left>
      <right style="medium">
        <color theme="5" tint="-0.249977111117893"/>
      </right>
      <top style="medium">
        <color theme="5" tint="-0.249977111117893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dotted">
        <color indexed="64"/>
      </left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indexed="64"/>
      </left>
      <right style="thin">
        <color indexed="64"/>
      </right>
      <top/>
      <bottom style="medium">
        <color theme="5" tint="-0.249977111117893"/>
      </bottom>
      <diagonal/>
    </border>
    <border>
      <left/>
      <right style="medium">
        <color indexed="64"/>
      </right>
      <top/>
      <bottom style="medium">
        <color theme="5" tint="-0.249977111117893"/>
      </bottom>
      <diagonal/>
    </border>
    <border>
      <left style="thin">
        <color indexed="64"/>
      </left>
      <right style="thin">
        <color indexed="64"/>
      </right>
      <top style="medium">
        <color rgb="FF0070C0"/>
      </top>
      <bottom/>
      <diagonal/>
    </border>
    <border>
      <left style="thin">
        <color indexed="64"/>
      </left>
      <right style="medium">
        <color rgb="FF0070C0"/>
      </right>
      <top style="thin">
        <color indexed="64"/>
      </top>
      <bottom/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theme="5" tint="-0.249977111117893"/>
      </bottom>
      <diagonal/>
    </border>
    <border>
      <left style="medium">
        <color indexed="64"/>
      </left>
      <right style="medium">
        <color theme="5" tint="-0.249977111117893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 style="medium">
        <color indexed="64"/>
      </right>
      <top style="medium">
        <color rgb="FF0070C0"/>
      </top>
      <bottom style="medium">
        <color rgb="FF0070C0"/>
      </bottom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theme="5" tint="-0.249977111117893"/>
      </right>
      <top style="medium">
        <color theme="5" tint="-0.249977111117893"/>
      </top>
      <bottom/>
      <diagonal/>
    </border>
    <border>
      <left style="medium">
        <color indexed="64"/>
      </left>
      <right style="medium">
        <color theme="5" tint="-0.249977111117893"/>
      </right>
      <top/>
      <bottom style="medium">
        <color theme="5" tint="-0.249977111117893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92">
    <xf numFmtId="0" fontId="0" fillId="0" borderId="0" xfId="0"/>
    <xf numFmtId="0" fontId="0" fillId="3" borderId="0" xfId="0" applyFill="1" applyBorder="1"/>
    <xf numFmtId="0" fontId="0" fillId="0" borderId="0" xfId="0" applyFill="1" applyBorder="1"/>
    <xf numFmtId="0" fontId="0" fillId="0" borderId="0" xfId="0" applyBorder="1"/>
    <xf numFmtId="2" fontId="0" fillId="0" borderId="0" xfId="0" applyNumberFormat="1"/>
    <xf numFmtId="168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 vertical="center"/>
    </xf>
    <xf numFmtId="2" fontId="0" fillId="0" borderId="0" xfId="0" applyNumberFormat="1" applyFill="1" applyBorder="1"/>
    <xf numFmtId="9" fontId="0" fillId="0" borderId="0" xfId="2" applyFont="1" applyFill="1" applyBorder="1"/>
    <xf numFmtId="165" fontId="0" fillId="0" borderId="0" xfId="0" applyNumberFormat="1" applyFill="1" applyBorder="1"/>
    <xf numFmtId="0" fontId="0" fillId="0" borderId="0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2" fontId="0" fillId="10" borderId="25" xfId="0" applyNumberForma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0" fillId="10" borderId="25" xfId="0" applyFont="1" applyFill="1" applyBorder="1" applyAlignment="1">
      <alignment horizontal="center" vertical="center"/>
    </xf>
    <xf numFmtId="0" fontId="1" fillId="10" borderId="35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8" fontId="0" fillId="3" borderId="0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0" fillId="10" borderId="40" xfId="0" applyFont="1" applyFill="1" applyBorder="1"/>
    <xf numFmtId="0" fontId="0" fillId="10" borderId="43" xfId="0" applyFont="1" applyFill="1" applyBorder="1"/>
    <xf numFmtId="0" fontId="0" fillId="0" borderId="43" xfId="0" applyFill="1" applyBorder="1"/>
    <xf numFmtId="0" fontId="0" fillId="3" borderId="0" xfId="0" applyFill="1"/>
    <xf numFmtId="0" fontId="0" fillId="11" borderId="17" xfId="0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0" fontId="0" fillId="11" borderId="26" xfId="0" applyFont="1" applyFill="1" applyBorder="1" applyAlignment="1">
      <alignment horizontal="center" vertical="center"/>
    </xf>
    <xf numFmtId="0" fontId="0" fillId="10" borderId="28" xfId="0" applyFont="1" applyFill="1" applyBorder="1" applyAlignment="1">
      <alignment horizontal="center" vertical="center"/>
    </xf>
    <xf numFmtId="0" fontId="0" fillId="10" borderId="33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167" fontId="0" fillId="10" borderId="22" xfId="0" applyNumberFormat="1" applyFont="1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10" borderId="56" xfId="0" applyFill="1" applyBorder="1" applyAlignment="1">
      <alignment horizontal="center" vertical="center"/>
    </xf>
    <xf numFmtId="170" fontId="10" fillId="8" borderId="55" xfId="0" applyNumberFormat="1" applyFont="1" applyFill="1" applyBorder="1" applyAlignment="1">
      <alignment horizontal="right" vertical="center" indent="1"/>
    </xf>
    <xf numFmtId="2" fontId="1" fillId="10" borderId="35" xfId="0" applyNumberFormat="1" applyFont="1" applyFill="1" applyBorder="1" applyAlignment="1">
      <alignment horizontal="center" vertical="center"/>
    </xf>
    <xf numFmtId="169" fontId="11" fillId="0" borderId="8" xfId="0" applyNumberFormat="1" applyFont="1" applyBorder="1"/>
    <xf numFmtId="0" fontId="11" fillId="0" borderId="7" xfId="0" applyFont="1" applyBorder="1"/>
    <xf numFmtId="169" fontId="11" fillId="0" borderId="9" xfId="0" applyNumberFormat="1" applyFont="1" applyBorder="1"/>
    <xf numFmtId="167" fontId="0" fillId="10" borderId="40" xfId="0" applyNumberFormat="1" applyFont="1" applyFill="1" applyBorder="1" applyAlignment="1">
      <alignment horizontal="center" vertical="center"/>
    </xf>
    <xf numFmtId="166" fontId="0" fillId="10" borderId="40" xfId="0" applyNumberFormat="1" applyFont="1" applyFill="1" applyBorder="1" applyAlignment="1">
      <alignment horizontal="center" vertical="center"/>
    </xf>
    <xf numFmtId="169" fontId="0" fillId="0" borderId="0" xfId="0" applyNumberFormat="1"/>
    <xf numFmtId="0" fontId="1" fillId="0" borderId="0" xfId="0" applyFont="1"/>
    <xf numFmtId="169" fontId="1" fillId="0" borderId="0" xfId="0" applyNumberFormat="1" applyFont="1"/>
    <xf numFmtId="168" fontId="1" fillId="0" borderId="0" xfId="0" applyNumberFormat="1" applyFont="1"/>
    <xf numFmtId="9" fontId="0" fillId="0" borderId="0" xfId="2" applyFont="1"/>
    <xf numFmtId="0" fontId="11" fillId="0" borderId="0" xfId="0" applyFont="1" applyBorder="1"/>
    <xf numFmtId="169" fontId="11" fillId="0" borderId="0" xfId="0" applyNumberFormat="1" applyFont="1" applyBorder="1"/>
    <xf numFmtId="1" fontId="0" fillId="0" borderId="1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46" xfId="0" applyFill="1" applyBorder="1"/>
    <xf numFmtId="0" fontId="0" fillId="3" borderId="6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2" fontId="0" fillId="7" borderId="16" xfId="0" applyNumberFormat="1" applyFill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2" fontId="1" fillId="6" borderId="3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2" fontId="0" fillId="5" borderId="17" xfId="0" applyNumberFormat="1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1" fillId="6" borderId="19" xfId="0" applyNumberFormat="1" applyFont="1" applyFill="1" applyBorder="1" applyAlignment="1">
      <alignment horizontal="center" vertical="center"/>
    </xf>
    <xf numFmtId="2" fontId="1" fillId="6" borderId="20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3" borderId="61" xfId="0" applyFill="1" applyBorder="1"/>
    <xf numFmtId="0" fontId="0" fillId="3" borderId="62" xfId="0" applyFill="1" applyBorder="1"/>
    <xf numFmtId="0" fontId="0" fillId="3" borderId="45" xfId="0" applyFill="1" applyBorder="1"/>
    <xf numFmtId="0" fontId="0" fillId="3" borderId="63" xfId="0" applyFill="1" applyBorder="1"/>
    <xf numFmtId="0" fontId="0" fillId="3" borderId="64" xfId="0" applyFill="1" applyBorder="1"/>
    <xf numFmtId="2" fontId="1" fillId="0" borderId="10" xfId="0" applyNumberFormat="1" applyFon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3" borderId="18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66" xfId="0" applyFill="1" applyBorder="1"/>
    <xf numFmtId="0" fontId="0" fillId="3" borderId="67" xfId="0" applyFill="1" applyBorder="1"/>
    <xf numFmtId="0" fontId="0" fillId="3" borderId="69" xfId="0" applyFill="1" applyBorder="1"/>
    <xf numFmtId="0" fontId="0" fillId="3" borderId="71" xfId="0" applyFill="1" applyBorder="1"/>
    <xf numFmtId="0" fontId="0" fillId="3" borderId="72" xfId="0" applyFill="1" applyBorder="1"/>
    <xf numFmtId="167" fontId="0" fillId="0" borderId="12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0" fontId="0" fillId="3" borderId="74" xfId="0" applyFill="1" applyBorder="1"/>
    <xf numFmtId="0" fontId="0" fillId="3" borderId="75" xfId="0" applyFill="1" applyBorder="1"/>
    <xf numFmtId="0" fontId="0" fillId="3" borderId="39" xfId="0" applyFill="1" applyBorder="1"/>
    <xf numFmtId="0" fontId="0" fillId="3" borderId="77" xfId="0" applyFill="1" applyBorder="1"/>
    <xf numFmtId="0" fontId="0" fillId="3" borderId="78" xfId="0" applyFill="1" applyBorder="1"/>
    <xf numFmtId="0" fontId="0" fillId="3" borderId="80" xfId="0" applyFill="1" applyBorder="1"/>
    <xf numFmtId="0" fontId="0" fillId="3" borderId="81" xfId="0" applyFill="1" applyBorder="1"/>
    <xf numFmtId="0" fontId="0" fillId="3" borderId="83" xfId="0" applyFill="1" applyBorder="1"/>
    <xf numFmtId="0" fontId="0" fillId="0" borderId="85" xfId="0" applyBorder="1"/>
    <xf numFmtId="0" fontId="0" fillId="3" borderId="85" xfId="0" applyFill="1" applyBorder="1"/>
    <xf numFmtId="0" fontId="0" fillId="0" borderId="86" xfId="0" applyBorder="1"/>
    <xf numFmtId="0" fontId="1" fillId="0" borderId="1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0" borderId="87" xfId="0" applyFill="1" applyBorder="1" applyAlignment="1">
      <alignment horizontal="center" vertical="center"/>
    </xf>
    <xf numFmtId="0" fontId="0" fillId="0" borderId="88" xfId="0" applyFill="1" applyBorder="1" applyAlignment="1">
      <alignment horizontal="center" vertical="center"/>
    </xf>
    <xf numFmtId="0" fontId="0" fillId="0" borderId="91" xfId="0" applyFill="1" applyBorder="1" applyAlignment="1">
      <alignment horizontal="center" vertical="center"/>
    </xf>
    <xf numFmtId="0" fontId="0" fillId="5" borderId="92" xfId="0" applyFill="1" applyBorder="1" applyAlignment="1">
      <alignment horizontal="center" vertical="center"/>
    </xf>
    <xf numFmtId="0" fontId="0" fillId="5" borderId="93" xfId="0" applyFill="1" applyBorder="1" applyAlignment="1">
      <alignment horizontal="center" vertical="center"/>
    </xf>
    <xf numFmtId="0" fontId="0" fillId="5" borderId="94" xfId="0" applyFill="1" applyBorder="1" applyAlignment="1">
      <alignment horizontal="center" vertical="center"/>
    </xf>
    <xf numFmtId="0" fontId="0" fillId="0" borderId="89" xfId="0" applyFill="1" applyBorder="1" applyAlignment="1">
      <alignment horizontal="center" vertical="center"/>
    </xf>
    <xf numFmtId="0" fontId="0" fillId="0" borderId="90" xfId="0" applyFill="1" applyBorder="1" applyAlignment="1">
      <alignment horizontal="center" vertical="center"/>
    </xf>
    <xf numFmtId="0" fontId="1" fillId="0" borderId="95" xfId="0" applyFont="1" applyFill="1" applyBorder="1" applyAlignment="1">
      <alignment horizontal="center" vertical="center"/>
    </xf>
    <xf numFmtId="0" fontId="13" fillId="2" borderId="96" xfId="0" applyFont="1" applyFill="1" applyBorder="1" applyAlignment="1">
      <alignment horizontal="center" vertical="center"/>
    </xf>
    <xf numFmtId="0" fontId="13" fillId="2" borderId="97" xfId="0" applyFont="1" applyFill="1" applyBorder="1" applyAlignment="1">
      <alignment horizontal="center" vertical="center"/>
    </xf>
    <xf numFmtId="0" fontId="13" fillId="2" borderId="98" xfId="0" applyFont="1" applyFill="1" applyBorder="1" applyAlignment="1">
      <alignment horizontal="center" vertical="center"/>
    </xf>
    <xf numFmtId="0" fontId="13" fillId="2" borderId="99" xfId="0" applyFont="1" applyFill="1" applyBorder="1" applyAlignment="1">
      <alignment horizontal="center" vertical="center"/>
    </xf>
    <xf numFmtId="0" fontId="13" fillId="2" borderId="10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9" fontId="0" fillId="0" borderId="0" xfId="2" applyFont="1" applyFill="1" applyBorder="1" applyAlignment="1">
      <alignment horizontal="center" vertical="center"/>
    </xf>
    <xf numFmtId="2" fontId="0" fillId="10" borderId="27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9" fontId="0" fillId="6" borderId="46" xfId="0" applyNumberFormat="1" applyFill="1" applyBorder="1" applyAlignment="1">
      <alignment horizontal="center" vertical="center"/>
    </xf>
    <xf numFmtId="9" fontId="0" fillId="3" borderId="46" xfId="2" applyFont="1" applyFill="1" applyBorder="1" applyAlignment="1">
      <alignment horizontal="center" vertical="center"/>
    </xf>
    <xf numFmtId="9" fontId="0" fillId="3" borderId="20" xfId="2" applyFon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2" fontId="0" fillId="9" borderId="25" xfId="0" applyNumberFormat="1" applyFill="1" applyBorder="1" applyAlignment="1">
      <alignment horizontal="center" vertical="center"/>
    </xf>
    <xf numFmtId="0" fontId="0" fillId="0" borderId="13" xfId="0" applyBorder="1"/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2" applyFont="1" applyAlignment="1">
      <alignment horizontal="center" vertical="center"/>
    </xf>
    <xf numFmtId="0" fontId="1" fillId="0" borderId="0" xfId="0" applyFont="1" applyFill="1" applyBorder="1" applyAlignment="1">
      <alignment horizontal="left" vertical="center" indent="2"/>
    </xf>
    <xf numFmtId="2" fontId="1" fillId="0" borderId="0" xfId="0" applyNumberFormat="1" applyFont="1" applyAlignment="1">
      <alignment horizontal="left" vertical="center" indent="2"/>
    </xf>
    <xf numFmtId="0" fontId="1" fillId="0" borderId="0" xfId="0" applyFont="1" applyAlignment="1">
      <alignment horizontal="left" vertical="center" indent="2"/>
    </xf>
    <xf numFmtId="2" fontId="0" fillId="0" borderId="95" xfId="0" applyNumberFormat="1" applyBorder="1" applyAlignment="1">
      <alignment horizontal="center" vertical="center"/>
    </xf>
    <xf numFmtId="0" fontId="9" fillId="0" borderId="0" xfId="0" applyFont="1" applyAlignment="1">
      <alignment vertical="center" textRotation="45"/>
    </xf>
    <xf numFmtId="0" fontId="0" fillId="11" borderId="58" xfId="0" applyFill="1" applyBorder="1" applyAlignment="1">
      <alignment horizontal="center" vertical="center"/>
    </xf>
    <xf numFmtId="0" fontId="0" fillId="10" borderId="110" xfId="0" applyFill="1" applyBorder="1" applyAlignment="1">
      <alignment horizontal="center" vertical="center"/>
    </xf>
    <xf numFmtId="0" fontId="0" fillId="10" borderId="117" xfId="0" applyFont="1" applyFill="1" applyBorder="1" applyAlignment="1">
      <alignment horizontal="center" vertical="center"/>
    </xf>
    <xf numFmtId="0" fontId="0" fillId="10" borderId="118" xfId="0" applyFont="1" applyFill="1" applyBorder="1" applyAlignment="1">
      <alignment horizontal="center" vertical="center"/>
    </xf>
    <xf numFmtId="0" fontId="0" fillId="4" borderId="104" xfId="0" applyFont="1" applyFill="1" applyBorder="1" applyAlignment="1">
      <alignment horizontal="center" vertical="center"/>
    </xf>
    <xf numFmtId="0" fontId="0" fillId="10" borderId="104" xfId="0" applyFont="1" applyFill="1" applyBorder="1" applyAlignment="1">
      <alignment horizontal="center" vertical="center"/>
    </xf>
    <xf numFmtId="0" fontId="0" fillId="4" borderId="118" xfId="0" applyFont="1" applyFill="1" applyBorder="1" applyAlignment="1">
      <alignment horizontal="center" vertical="center"/>
    </xf>
    <xf numFmtId="0" fontId="1" fillId="10" borderId="119" xfId="0" applyFont="1" applyFill="1" applyBorder="1" applyAlignment="1">
      <alignment horizontal="center" vertical="center"/>
    </xf>
    <xf numFmtId="0" fontId="0" fillId="11" borderId="104" xfId="0" applyFont="1" applyFill="1" applyBorder="1" applyAlignment="1">
      <alignment horizontal="center" vertical="center"/>
    </xf>
    <xf numFmtId="0" fontId="0" fillId="10" borderId="120" xfId="0" applyFont="1" applyFill="1" applyBorder="1" applyAlignment="1">
      <alignment horizontal="center" vertical="center"/>
    </xf>
    <xf numFmtId="0" fontId="0" fillId="11" borderId="117" xfId="0" applyFont="1" applyFill="1" applyBorder="1" applyAlignment="1">
      <alignment horizontal="center" vertical="center"/>
    </xf>
    <xf numFmtId="0" fontId="0" fillId="10" borderId="121" xfId="0" applyFont="1" applyFill="1" applyBorder="1" applyAlignment="1">
      <alignment horizontal="center" vertical="center"/>
    </xf>
    <xf numFmtId="0" fontId="0" fillId="10" borderId="121" xfId="0" applyFont="1" applyFill="1" applyBorder="1"/>
    <xf numFmtId="0" fontId="0" fillId="10" borderId="122" xfId="0" applyFont="1" applyFill="1" applyBorder="1"/>
    <xf numFmtId="0" fontId="0" fillId="10" borderId="120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11" borderId="57" xfId="0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10" borderId="121" xfId="0" applyFill="1" applyBorder="1" applyAlignment="1">
      <alignment horizontal="center" vertical="center"/>
    </xf>
    <xf numFmtId="0" fontId="0" fillId="10" borderId="128" xfId="0" applyFill="1" applyBorder="1" applyAlignment="1">
      <alignment horizontal="center" vertical="center"/>
    </xf>
    <xf numFmtId="0" fontId="0" fillId="10" borderId="117" xfId="0" applyFill="1" applyBorder="1" applyAlignment="1">
      <alignment horizontal="center" vertical="center"/>
    </xf>
    <xf numFmtId="0" fontId="0" fillId="10" borderId="118" xfId="0" applyFill="1" applyBorder="1" applyAlignment="1">
      <alignment horizontal="center" vertical="center"/>
    </xf>
    <xf numFmtId="0" fontId="0" fillId="4" borderId="118" xfId="0" applyFill="1" applyBorder="1" applyAlignment="1">
      <alignment horizontal="center" vertical="center"/>
    </xf>
    <xf numFmtId="0" fontId="0" fillId="4" borderId="104" xfId="0" applyFill="1" applyBorder="1" applyAlignment="1">
      <alignment horizontal="center" vertical="center"/>
    </xf>
    <xf numFmtId="0" fontId="0" fillId="10" borderId="104" xfId="0" applyFill="1" applyBorder="1" applyAlignment="1">
      <alignment horizontal="center" vertical="center"/>
    </xf>
    <xf numFmtId="0" fontId="0" fillId="11" borderId="104" xfId="0" applyFill="1" applyBorder="1" applyAlignment="1">
      <alignment horizontal="center" vertical="center"/>
    </xf>
    <xf numFmtId="0" fontId="0" fillId="10" borderId="130" xfId="0" applyFill="1" applyBorder="1" applyAlignment="1">
      <alignment horizontal="center" vertical="center"/>
    </xf>
    <xf numFmtId="0" fontId="0" fillId="10" borderId="130" xfId="0" applyFill="1" applyBorder="1"/>
    <xf numFmtId="0" fontId="0" fillId="10" borderId="119" xfId="0" applyFill="1" applyBorder="1"/>
    <xf numFmtId="0" fontId="0" fillId="10" borderId="133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1" fillId="10" borderId="126" xfId="0" applyFont="1" applyFill="1" applyBorder="1" applyAlignment="1">
      <alignment horizontal="center" vertical="center"/>
    </xf>
    <xf numFmtId="0" fontId="0" fillId="11" borderId="131" xfId="0" applyFill="1" applyBorder="1" applyAlignment="1">
      <alignment horizontal="center" vertical="center"/>
    </xf>
    <xf numFmtId="0" fontId="0" fillId="4" borderId="128" xfId="0" applyFill="1" applyBorder="1" applyAlignment="1">
      <alignment horizontal="center" vertical="center"/>
    </xf>
    <xf numFmtId="0" fontId="0" fillId="10" borderId="134" xfId="0" applyFill="1" applyBorder="1" applyAlignment="1">
      <alignment horizontal="center" vertical="center"/>
    </xf>
    <xf numFmtId="0" fontId="0" fillId="11" borderId="133" xfId="0" applyFill="1" applyBorder="1" applyAlignment="1">
      <alignment horizontal="center" vertical="center"/>
    </xf>
    <xf numFmtId="168" fontId="0" fillId="11" borderId="131" xfId="0" applyNumberFormat="1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10" borderId="135" xfId="0" applyFill="1" applyBorder="1" applyAlignment="1">
      <alignment horizontal="center" vertical="center"/>
    </xf>
    <xf numFmtId="0" fontId="0" fillId="10" borderId="13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7" xfId="0" applyFill="1" applyBorder="1" applyAlignment="1">
      <alignment horizontal="center" vertical="center"/>
    </xf>
    <xf numFmtId="166" fontId="0" fillId="10" borderId="34" xfId="0" applyNumberFormat="1" applyFont="1" applyFill="1" applyBorder="1" applyAlignment="1">
      <alignment horizontal="center" vertical="center"/>
    </xf>
    <xf numFmtId="166" fontId="0" fillId="10" borderId="28" xfId="0" applyNumberFormat="1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167" fontId="0" fillId="10" borderId="28" xfId="0" applyNumberFormat="1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4" borderId="28" xfId="0" applyFont="1" applyFill="1" applyBorder="1" applyAlignment="1">
      <alignment horizontal="center" vertical="center"/>
    </xf>
    <xf numFmtId="2" fontId="0" fillId="10" borderId="28" xfId="1" applyNumberFormat="1" applyFont="1" applyFill="1" applyBorder="1" applyAlignment="1">
      <alignment horizontal="center" vertical="center"/>
    </xf>
    <xf numFmtId="2" fontId="0" fillId="10" borderId="28" xfId="0" applyNumberFormat="1" applyFont="1" applyFill="1" applyBorder="1" applyAlignment="1">
      <alignment horizontal="center" vertical="center"/>
    </xf>
    <xf numFmtId="168" fontId="5" fillId="12" borderId="137" xfId="0" applyNumberFormat="1" applyFont="1" applyFill="1" applyBorder="1" applyAlignment="1">
      <alignment horizontal="center" vertical="center"/>
    </xf>
    <xf numFmtId="0" fontId="13" fillId="4" borderId="111" xfId="0" applyFont="1" applyFill="1" applyBorder="1" applyAlignment="1">
      <alignment horizontal="center" vertical="center"/>
    </xf>
    <xf numFmtId="0" fontId="13" fillId="4" borderId="58" xfId="0" applyFont="1" applyFill="1" applyBorder="1" applyAlignment="1">
      <alignment horizontal="center" vertical="center"/>
    </xf>
    <xf numFmtId="0" fontId="13" fillId="11" borderId="107" xfId="0" applyFont="1" applyFill="1" applyBorder="1" applyAlignment="1">
      <alignment horizontal="center" vertical="center"/>
    </xf>
    <xf numFmtId="167" fontId="13" fillId="4" borderId="58" xfId="0" applyNumberFormat="1" applyFont="1" applyFill="1" applyBorder="1" applyAlignment="1">
      <alignment horizontal="center" vertical="center"/>
    </xf>
    <xf numFmtId="0" fontId="13" fillId="11" borderId="58" xfId="0" applyFont="1" applyFill="1" applyBorder="1" applyAlignment="1">
      <alignment horizontal="center" vertical="center"/>
    </xf>
    <xf numFmtId="167" fontId="13" fillId="0" borderId="131" xfId="0" applyNumberFormat="1" applyFont="1" applyFill="1" applyBorder="1" applyAlignment="1">
      <alignment horizontal="center" vertical="center"/>
    </xf>
    <xf numFmtId="167" fontId="13" fillId="0" borderId="111" xfId="0" applyNumberFormat="1" applyFont="1" applyFill="1" applyBorder="1" applyAlignment="1">
      <alignment horizontal="center" vertical="center"/>
    </xf>
    <xf numFmtId="0" fontId="13" fillId="0" borderId="111" xfId="0" applyFont="1" applyFill="1" applyBorder="1" applyAlignment="1">
      <alignment horizontal="center" vertical="center"/>
    </xf>
    <xf numFmtId="168" fontId="13" fillId="0" borderId="127" xfId="0" applyNumberFormat="1" applyFont="1" applyFill="1" applyBorder="1" applyAlignment="1">
      <alignment horizontal="center" vertical="center"/>
    </xf>
    <xf numFmtId="168" fontId="13" fillId="0" borderId="131" xfId="0" applyNumberFormat="1" applyFont="1" applyFill="1" applyBorder="1" applyAlignment="1">
      <alignment horizontal="center" vertical="center"/>
    </xf>
    <xf numFmtId="0" fontId="13" fillId="0" borderId="58" xfId="0" applyFont="1" applyFill="1" applyBorder="1" applyAlignment="1">
      <alignment horizontal="center" vertical="center"/>
    </xf>
    <xf numFmtId="168" fontId="13" fillId="0" borderId="111" xfId="0" applyNumberFormat="1" applyFont="1" applyFill="1" applyBorder="1" applyAlignment="1">
      <alignment horizontal="center" vertical="center"/>
    </xf>
    <xf numFmtId="1" fontId="13" fillId="0" borderId="111" xfId="0" applyNumberFormat="1" applyFont="1" applyFill="1" applyBorder="1" applyAlignment="1">
      <alignment horizontal="center" vertical="center"/>
    </xf>
    <xf numFmtId="0" fontId="13" fillId="0" borderId="107" xfId="0" applyFont="1" applyFill="1" applyBorder="1" applyAlignment="1">
      <alignment horizontal="center" vertical="center"/>
    </xf>
    <xf numFmtId="0" fontId="16" fillId="0" borderId="106" xfId="0" applyFont="1" applyFill="1" applyBorder="1" applyAlignment="1">
      <alignment horizontal="center" vertical="center"/>
    </xf>
    <xf numFmtId="168" fontId="13" fillId="0" borderId="58" xfId="0" applyNumberFormat="1" applyFont="1" applyFill="1" applyBorder="1" applyAlignment="1">
      <alignment horizontal="center" vertical="center"/>
    </xf>
    <xf numFmtId="1" fontId="13" fillId="0" borderId="58" xfId="0" applyNumberFormat="1" applyFont="1" applyFill="1" applyBorder="1" applyAlignment="1">
      <alignment horizontal="center" vertical="center"/>
    </xf>
    <xf numFmtId="2" fontId="13" fillId="0" borderId="105" xfId="0" applyNumberFormat="1" applyFont="1" applyFill="1" applyBorder="1" applyAlignment="1">
      <alignment horizontal="center" vertical="center"/>
    </xf>
    <xf numFmtId="2" fontId="13" fillId="0" borderId="111" xfId="0" applyNumberFormat="1" applyFont="1" applyFill="1" applyBorder="1" applyAlignment="1">
      <alignment horizontal="center" vertical="center"/>
    </xf>
    <xf numFmtId="2" fontId="13" fillId="0" borderId="58" xfId="0" applyNumberFormat="1" applyFont="1" applyFill="1" applyBorder="1" applyAlignment="1">
      <alignment horizontal="center" vertical="center"/>
    </xf>
    <xf numFmtId="167" fontId="13" fillId="0" borderId="108" xfId="0" applyNumberFormat="1" applyFont="1" applyFill="1" applyBorder="1" applyAlignment="1">
      <alignment horizontal="center" vertical="center"/>
    </xf>
    <xf numFmtId="0" fontId="13" fillId="0" borderId="108" xfId="0" applyFont="1" applyFill="1" applyBorder="1" applyAlignment="1">
      <alignment horizontal="center" vertical="center"/>
    </xf>
    <xf numFmtId="0" fontId="13" fillId="0" borderId="110" xfId="0" applyFont="1" applyFill="1" applyBorder="1" applyAlignment="1">
      <alignment horizontal="center" vertical="center"/>
    </xf>
    <xf numFmtId="167" fontId="13" fillId="0" borderId="110" xfId="0" applyNumberFormat="1" applyFont="1" applyFill="1" applyBorder="1" applyAlignment="1">
      <alignment horizontal="center" vertical="center"/>
    </xf>
    <xf numFmtId="0" fontId="13" fillId="0" borderId="110" xfId="0" applyFont="1" applyFill="1" applyBorder="1"/>
    <xf numFmtId="0" fontId="13" fillId="0" borderId="123" xfId="0" applyFont="1" applyFill="1" applyBorder="1"/>
    <xf numFmtId="1" fontId="13" fillId="0" borderId="108" xfId="0" applyNumberFormat="1" applyFont="1" applyFill="1" applyBorder="1" applyAlignment="1">
      <alignment horizontal="center" vertical="center"/>
    </xf>
    <xf numFmtId="2" fontId="13" fillId="0" borderId="127" xfId="0" applyNumberFormat="1" applyFont="1" applyFill="1" applyBorder="1" applyAlignment="1">
      <alignment horizontal="center" vertical="center"/>
    </xf>
    <xf numFmtId="168" fontId="7" fillId="0" borderId="109" xfId="0" applyNumberFormat="1" applyFont="1" applyFill="1" applyBorder="1" applyAlignment="1">
      <alignment horizontal="center" vertical="center"/>
    </xf>
    <xf numFmtId="0" fontId="7" fillId="0" borderId="109" xfId="0" applyFont="1" applyFill="1" applyBorder="1" applyAlignment="1">
      <alignment horizontal="center" vertical="center"/>
    </xf>
    <xf numFmtId="168" fontId="0" fillId="0" borderId="127" xfId="0" applyNumberFormat="1" applyFill="1" applyBorder="1" applyAlignment="1">
      <alignment horizontal="center" vertical="center"/>
    </xf>
    <xf numFmtId="168" fontId="13" fillId="0" borderId="103" xfId="0" applyNumberFormat="1" applyFont="1" applyFill="1" applyBorder="1" applyAlignment="1">
      <alignment horizontal="center" vertical="center"/>
    </xf>
    <xf numFmtId="168" fontId="13" fillId="0" borderId="105" xfId="0" applyNumberFormat="1" applyFont="1" applyFill="1" applyBorder="1" applyAlignment="1">
      <alignment horizontal="center" vertical="center"/>
    </xf>
    <xf numFmtId="0" fontId="13" fillId="4" borderId="105" xfId="0" applyFont="1" applyFill="1" applyBorder="1" applyAlignment="1">
      <alignment horizontal="center" vertical="center"/>
    </xf>
    <xf numFmtId="1" fontId="13" fillId="0" borderId="105" xfId="0" applyNumberFormat="1" applyFont="1" applyFill="1" applyBorder="1" applyAlignment="1">
      <alignment horizontal="center" vertical="center"/>
    </xf>
    <xf numFmtId="0" fontId="13" fillId="0" borderId="105" xfId="0" applyFont="1" applyFill="1" applyBorder="1" applyAlignment="1">
      <alignment horizontal="center" vertical="center"/>
    </xf>
    <xf numFmtId="0" fontId="13" fillId="0" borderId="127" xfId="0" applyFont="1" applyFill="1" applyBorder="1" applyAlignment="1">
      <alignment horizontal="center" vertical="center"/>
    </xf>
    <xf numFmtId="0" fontId="16" fillId="0" borderId="109" xfId="0" applyFont="1" applyFill="1" applyBorder="1" applyAlignment="1">
      <alignment horizontal="center" vertical="center"/>
    </xf>
    <xf numFmtId="168" fontId="13" fillId="0" borderId="111" xfId="0" applyNumberFormat="1" applyFont="1" applyFill="1" applyBorder="1" applyAlignment="1">
      <alignment horizontal="center"/>
    </xf>
    <xf numFmtId="167" fontId="13" fillId="0" borderId="127" xfId="0" applyNumberFormat="1" applyFont="1" applyFill="1" applyBorder="1" applyAlignment="1">
      <alignment horizontal="center" vertical="center"/>
    </xf>
    <xf numFmtId="1" fontId="13" fillId="0" borderId="127" xfId="0" applyNumberFormat="1" applyFont="1" applyFill="1" applyBorder="1" applyAlignment="1">
      <alignment horizontal="center" vertical="center"/>
    </xf>
    <xf numFmtId="0" fontId="13" fillId="0" borderId="127" xfId="0" applyFont="1" applyFill="1" applyBorder="1"/>
    <xf numFmtId="0" fontId="13" fillId="0" borderId="109" xfId="0" applyFont="1" applyFill="1" applyBorder="1"/>
    <xf numFmtId="9" fontId="17" fillId="10" borderId="26" xfId="0" applyNumberFormat="1" applyFont="1" applyFill="1" applyBorder="1" applyAlignment="1">
      <alignment horizontal="center" vertical="center"/>
    </xf>
    <xf numFmtId="9" fontId="17" fillId="10" borderId="25" xfId="0" applyNumberFormat="1" applyFont="1" applyFill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9" fontId="17" fillId="10" borderId="25" xfId="2" applyFont="1" applyFill="1" applyBorder="1" applyAlignment="1">
      <alignment horizontal="center" vertical="center"/>
    </xf>
    <xf numFmtId="9" fontId="17" fillId="10" borderId="17" xfId="2" applyFont="1" applyFill="1" applyBorder="1" applyAlignment="1">
      <alignment horizontal="center" vertical="center"/>
    </xf>
    <xf numFmtId="0" fontId="17" fillId="4" borderId="25" xfId="0" applyFont="1" applyFill="1" applyBorder="1" applyAlignment="1">
      <alignment horizontal="center" vertical="center"/>
    </xf>
    <xf numFmtId="0" fontId="17" fillId="10" borderId="17" xfId="0" applyFont="1" applyFill="1" applyBorder="1" applyAlignment="1">
      <alignment horizontal="center" vertical="center"/>
    </xf>
    <xf numFmtId="0" fontId="18" fillId="10" borderId="35" xfId="0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9" fontId="17" fillId="4" borderId="17" xfId="2" applyFont="1" applyFill="1" applyBorder="1" applyAlignment="1">
      <alignment horizontal="center" vertical="center"/>
    </xf>
    <xf numFmtId="0" fontId="17" fillId="10" borderId="27" xfId="0" applyFont="1" applyFill="1" applyBorder="1" applyAlignment="1">
      <alignment horizontal="center" vertical="center"/>
    </xf>
    <xf numFmtId="0" fontId="17" fillId="11" borderId="26" xfId="0" applyFont="1" applyFill="1" applyBorder="1" applyAlignment="1">
      <alignment horizontal="center" vertical="center"/>
    </xf>
    <xf numFmtId="9" fontId="17" fillId="10" borderId="24" xfId="0" applyNumberFormat="1" applyFont="1" applyFill="1" applyBorder="1" applyAlignment="1">
      <alignment horizontal="center" vertical="center"/>
    </xf>
    <xf numFmtId="9" fontId="17" fillId="10" borderId="29" xfId="0" applyNumberFormat="1" applyFont="1" applyFill="1" applyBorder="1" applyAlignment="1">
      <alignment horizontal="center" vertical="center"/>
    </xf>
    <xf numFmtId="9" fontId="17" fillId="10" borderId="22" xfId="0" applyNumberFormat="1" applyFont="1" applyFill="1" applyBorder="1" applyAlignment="1">
      <alignment horizontal="center" vertical="center"/>
    </xf>
    <xf numFmtId="9" fontId="17" fillId="10" borderId="22" xfId="2" applyFont="1" applyFill="1" applyBorder="1" applyAlignment="1">
      <alignment horizontal="center" vertical="center"/>
    </xf>
    <xf numFmtId="9" fontId="17" fillId="10" borderId="40" xfId="2" applyFont="1" applyFill="1" applyBorder="1" applyAlignment="1">
      <alignment horizontal="center" vertical="center"/>
    </xf>
    <xf numFmtId="0" fontId="17" fillId="10" borderId="40" xfId="0" applyFont="1" applyFill="1" applyBorder="1" applyAlignment="1">
      <alignment horizontal="center" vertical="center"/>
    </xf>
    <xf numFmtId="0" fontId="17" fillId="10" borderId="43" xfId="0" applyFont="1" applyFill="1" applyBorder="1"/>
    <xf numFmtId="0" fontId="1" fillId="10" borderId="141" xfId="0" applyFont="1" applyFill="1" applyBorder="1" applyAlignment="1">
      <alignment horizontal="center" vertical="center"/>
    </xf>
    <xf numFmtId="0" fontId="16" fillId="0" borderId="142" xfId="0" applyFont="1" applyFill="1" applyBorder="1" applyAlignment="1">
      <alignment horizontal="center" vertical="center"/>
    </xf>
    <xf numFmtId="9" fontId="17" fillId="10" borderId="29" xfId="2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10" borderId="30" xfId="0" applyFont="1" applyFill="1" applyBorder="1" applyAlignment="1">
      <alignment horizontal="left" vertical="center" indent="2"/>
    </xf>
    <xf numFmtId="0" fontId="5" fillId="10" borderId="24" xfId="0" applyFont="1" applyFill="1" applyBorder="1" applyAlignment="1">
      <alignment horizontal="left" vertical="center" indent="2"/>
    </xf>
    <xf numFmtId="0" fontId="5" fillId="4" borderId="24" xfId="0" applyFont="1" applyFill="1" applyBorder="1" applyAlignment="1">
      <alignment horizontal="left" vertical="center" indent="2"/>
    </xf>
    <xf numFmtId="0" fontId="5" fillId="10" borderId="29" xfId="0" applyFont="1" applyFill="1" applyBorder="1" applyAlignment="1">
      <alignment horizontal="left" vertical="center" indent="2"/>
    </xf>
    <xf numFmtId="0" fontId="5" fillId="10" borderId="36" xfId="0" applyFont="1" applyFill="1" applyBorder="1" applyAlignment="1">
      <alignment horizontal="left" vertical="center" indent="2"/>
    </xf>
    <xf numFmtId="0" fontId="5" fillId="11" borderId="30" xfId="0" applyFont="1" applyFill="1" applyBorder="1" applyAlignment="1">
      <alignment horizontal="left" vertical="center" indent="2"/>
    </xf>
    <xf numFmtId="0" fontId="5" fillId="10" borderId="13" xfId="0" applyFont="1" applyFill="1" applyBorder="1" applyAlignment="1">
      <alignment horizontal="left" vertical="center" indent="2"/>
    </xf>
    <xf numFmtId="0" fontId="5" fillId="11" borderId="13" xfId="0" applyFont="1" applyFill="1" applyBorder="1" applyAlignment="1">
      <alignment horizontal="left" vertical="center" indent="2"/>
    </xf>
    <xf numFmtId="0" fontId="5" fillId="10" borderId="22" xfId="0" applyFont="1" applyFill="1" applyBorder="1" applyAlignment="1">
      <alignment horizontal="left" vertical="center" indent="2"/>
    </xf>
    <xf numFmtId="2" fontId="5" fillId="10" borderId="24" xfId="0" applyNumberFormat="1" applyFont="1" applyFill="1" applyBorder="1" applyAlignment="1">
      <alignment horizontal="left" vertical="center" indent="2"/>
    </xf>
    <xf numFmtId="2" fontId="5" fillId="10" borderId="29" xfId="0" applyNumberFormat="1" applyFont="1" applyFill="1" applyBorder="1" applyAlignment="1">
      <alignment horizontal="left" vertical="center" indent="2"/>
    </xf>
    <xf numFmtId="2" fontId="5" fillId="10" borderId="36" xfId="0" applyNumberFormat="1" applyFont="1" applyFill="1" applyBorder="1" applyAlignment="1">
      <alignment horizontal="left" vertical="center" indent="2"/>
    </xf>
    <xf numFmtId="0" fontId="5" fillId="10" borderId="24" xfId="0" applyFont="1" applyFill="1" applyBorder="1" applyAlignment="1">
      <alignment horizontal="left" indent="2"/>
    </xf>
    <xf numFmtId="0" fontId="5" fillId="10" borderId="13" xfId="0" applyFont="1" applyFill="1" applyBorder="1" applyAlignment="1">
      <alignment horizontal="left" indent="2"/>
    </xf>
    <xf numFmtId="0" fontId="5" fillId="10" borderId="29" xfId="0" applyFont="1" applyFill="1" applyBorder="1" applyAlignment="1">
      <alignment horizontal="left" indent="2"/>
    </xf>
    <xf numFmtId="0" fontId="15" fillId="11" borderId="104" xfId="0" applyFont="1" applyFill="1" applyBorder="1"/>
    <xf numFmtId="0" fontId="13" fillId="10" borderId="33" xfId="0" applyFont="1" applyFill="1" applyBorder="1" applyAlignment="1">
      <alignment horizontal="center"/>
    </xf>
    <xf numFmtId="0" fontId="13" fillId="10" borderId="34" xfId="0" applyFont="1" applyFill="1" applyBorder="1" applyAlignment="1">
      <alignment horizontal="center" vertical="center"/>
    </xf>
    <xf numFmtId="0" fontId="13" fillId="10" borderId="28" xfId="0" applyFont="1" applyFill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2" fontId="13" fillId="10" borderId="28" xfId="0" applyNumberFormat="1" applyFont="1" applyFill="1" applyBorder="1" applyAlignment="1">
      <alignment horizontal="center" vertical="center"/>
    </xf>
    <xf numFmtId="0" fontId="13" fillId="4" borderId="28" xfId="0" applyFont="1" applyFill="1" applyBorder="1" applyAlignment="1">
      <alignment vertical="center"/>
    </xf>
    <xf numFmtId="0" fontId="13" fillId="10" borderId="33" xfId="0" applyFont="1" applyFill="1" applyBorder="1" applyAlignment="1">
      <alignment vertical="center"/>
    </xf>
    <xf numFmtId="0" fontId="16" fillId="10" borderId="37" xfId="0" applyFont="1" applyFill="1" applyBorder="1" applyAlignment="1">
      <alignment vertical="center"/>
    </xf>
    <xf numFmtId="0" fontId="13" fillId="11" borderId="34" xfId="0" applyFont="1" applyFill="1" applyBorder="1" applyAlignment="1">
      <alignment vertical="center"/>
    </xf>
    <xf numFmtId="0" fontId="13" fillId="10" borderId="12" xfId="0" applyFont="1" applyFill="1" applyBorder="1" applyAlignment="1">
      <alignment vertical="center"/>
    </xf>
    <xf numFmtId="0" fontId="13" fillId="11" borderId="12" xfId="0" applyFont="1" applyFill="1" applyBorder="1"/>
    <xf numFmtId="0" fontId="13" fillId="10" borderId="23" xfId="0" applyFont="1" applyFill="1" applyBorder="1" applyAlignment="1">
      <alignment horizontal="center" vertical="center"/>
    </xf>
    <xf numFmtId="0" fontId="13" fillId="10" borderId="12" xfId="0" applyFont="1" applyFill="1" applyBorder="1" applyAlignment="1">
      <alignment horizontal="center"/>
    </xf>
    <xf numFmtId="0" fontId="16" fillId="10" borderId="37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center"/>
    </xf>
    <xf numFmtId="0" fontId="13" fillId="10" borderId="28" xfId="0" applyFont="1" applyFill="1" applyBorder="1" applyAlignment="1">
      <alignment horizontal="center"/>
    </xf>
    <xf numFmtId="0" fontId="13" fillId="10" borderId="12" xfId="0" applyFont="1" applyFill="1" applyBorder="1" applyAlignment="1">
      <alignment horizontal="center" vertical="center"/>
    </xf>
    <xf numFmtId="0" fontId="13" fillId="10" borderId="33" xfId="0" applyFont="1" applyFill="1" applyBorder="1" applyAlignment="1">
      <alignment horizontal="center" vertical="center"/>
    </xf>
    <xf numFmtId="0" fontId="13" fillId="10" borderId="33" xfId="0" applyFont="1" applyFill="1" applyBorder="1"/>
    <xf numFmtId="0" fontId="13" fillId="10" borderId="37" xfId="0" applyFont="1" applyFill="1" applyBorder="1"/>
    <xf numFmtId="0" fontId="0" fillId="7" borderId="4" xfId="0" applyFill="1" applyBorder="1"/>
    <xf numFmtId="0" fontId="9" fillId="7" borderId="5" xfId="0" applyFont="1" applyFill="1" applyBorder="1"/>
    <xf numFmtId="0" fontId="4" fillId="7" borderId="6" xfId="0" applyFont="1" applyFill="1" applyBorder="1"/>
    <xf numFmtId="9" fontId="17" fillId="10" borderId="17" xfId="0" applyNumberFormat="1" applyFont="1" applyFill="1" applyBorder="1" applyAlignment="1">
      <alignment horizontal="center" vertical="center"/>
    </xf>
    <xf numFmtId="166" fontId="0" fillId="10" borderId="12" xfId="0" applyNumberFormat="1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1" fillId="0" borderId="12" xfId="0" applyFont="1" applyFill="1" applyBorder="1"/>
    <xf numFmtId="0" fontId="0" fillId="0" borderId="0" xfId="0" applyNumberFormat="1"/>
    <xf numFmtId="0" fontId="0" fillId="10" borderId="120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0" borderId="0" xfId="2" applyNumberFormat="1" applyFont="1" applyAlignment="1">
      <alignment horizontal="center" vertical="center"/>
    </xf>
    <xf numFmtId="0" fontId="13" fillId="12" borderId="151" xfId="0" applyFont="1" applyFill="1" applyBorder="1" applyAlignment="1">
      <alignment horizontal="center" vertical="center"/>
    </xf>
    <xf numFmtId="0" fontId="13" fillId="4" borderId="131" xfId="0" applyFont="1" applyFill="1" applyBorder="1" applyAlignment="1">
      <alignment horizontal="center" vertical="center"/>
    </xf>
    <xf numFmtId="167" fontId="13" fillId="12" borderId="148" xfId="0" applyNumberFormat="1" applyFont="1" applyFill="1" applyBorder="1" applyAlignment="1">
      <alignment horizontal="center" vertical="center"/>
    </xf>
    <xf numFmtId="168" fontId="13" fillId="12" borderId="148" xfId="0" applyNumberFormat="1" applyFont="1" applyFill="1" applyBorder="1" applyAlignment="1">
      <alignment horizontal="center" vertical="center"/>
    </xf>
    <xf numFmtId="168" fontId="5" fillId="12" borderId="154" xfId="0" applyNumberFormat="1" applyFont="1" applyFill="1" applyBorder="1" applyAlignment="1">
      <alignment horizontal="center" vertical="center"/>
    </xf>
    <xf numFmtId="168" fontId="5" fillId="12" borderId="152" xfId="0" applyNumberFormat="1" applyFont="1" applyFill="1" applyBorder="1" applyAlignment="1">
      <alignment vertical="center"/>
    </xf>
    <xf numFmtId="168" fontId="5" fillId="12" borderId="150" xfId="0" applyNumberFormat="1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3" fillId="5" borderId="0" xfId="0" applyFont="1" applyFill="1" applyBorder="1" applyAlignment="1">
      <alignment vertical="center"/>
    </xf>
    <xf numFmtId="0" fontId="1" fillId="4" borderId="155" xfId="0" applyFont="1" applyFill="1" applyBorder="1" applyAlignment="1">
      <alignment horizontal="center" vertical="center"/>
    </xf>
    <xf numFmtId="0" fontId="1" fillId="4" borderId="156" xfId="0" applyFont="1" applyFill="1" applyBorder="1" applyAlignment="1">
      <alignment horizontal="center" vertical="center"/>
    </xf>
    <xf numFmtId="0" fontId="1" fillId="4" borderId="157" xfId="0" applyFont="1" applyFill="1" applyBorder="1" applyAlignment="1">
      <alignment horizontal="center" vertical="center"/>
    </xf>
    <xf numFmtId="0" fontId="1" fillId="4" borderId="15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left" vertical="center"/>
    </xf>
    <xf numFmtId="0" fontId="13" fillId="0" borderId="5" xfId="0" applyFont="1" applyFill="1" applyBorder="1" applyAlignment="1">
      <alignment vertical="center"/>
    </xf>
    <xf numFmtId="0" fontId="0" fillId="3" borderId="5" xfId="0" applyFill="1" applyBorder="1" applyAlignment="1">
      <alignment horizontal="center" vertical="center"/>
    </xf>
    <xf numFmtId="9" fontId="0" fillId="3" borderId="6" xfId="2" applyFont="1" applyFill="1" applyBorder="1" applyAlignment="1">
      <alignment horizontal="center" vertical="center"/>
    </xf>
    <xf numFmtId="9" fontId="0" fillId="3" borderId="58" xfId="2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/>
    </xf>
    <xf numFmtId="9" fontId="0" fillId="3" borderId="58" xfId="2" applyNumberFormat="1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3" fillId="5" borderId="8" xfId="0" applyFont="1" applyFill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9" fontId="0" fillId="3" borderId="9" xfId="2" applyNumberFormat="1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vertical="center"/>
    </xf>
    <xf numFmtId="0" fontId="0" fillId="10" borderId="57" xfId="0" applyFont="1" applyFill="1" applyBorder="1" applyAlignment="1">
      <alignment horizontal="center" vertical="center"/>
    </xf>
    <xf numFmtId="168" fontId="5" fillId="10" borderId="0" xfId="0" applyNumberFormat="1" applyFont="1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0" fontId="13" fillId="5" borderId="111" xfId="0" applyFont="1" applyFill="1" applyBorder="1" applyAlignment="1">
      <alignment horizontal="center" vertical="center"/>
    </xf>
    <xf numFmtId="0" fontId="13" fillId="5" borderId="58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left" vertical="center" indent="2"/>
    </xf>
    <xf numFmtId="0" fontId="13" fillId="5" borderId="28" xfId="0" applyFont="1" applyFill="1" applyBorder="1" applyAlignment="1">
      <alignment horizontal="center" vertical="center"/>
    </xf>
    <xf numFmtId="0" fontId="0" fillId="5" borderId="104" xfId="0" applyFont="1" applyFill="1" applyBorder="1" applyAlignment="1">
      <alignment horizontal="center" vertical="center"/>
    </xf>
    <xf numFmtId="9" fontId="17" fillId="5" borderId="17" xfId="2" applyFont="1" applyFill="1" applyBorder="1" applyAlignment="1">
      <alignment horizontal="center" vertical="center"/>
    </xf>
    <xf numFmtId="0" fontId="0" fillId="5" borderId="28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13" fillId="5" borderId="33" xfId="0" applyFont="1" applyFill="1" applyBorder="1" applyAlignment="1">
      <alignment horizontal="center"/>
    </xf>
    <xf numFmtId="0" fontId="0" fillId="5" borderId="57" xfId="0" applyFont="1" applyFill="1" applyBorder="1" applyAlignment="1">
      <alignment horizontal="center" vertical="center"/>
    </xf>
    <xf numFmtId="9" fontId="17" fillId="5" borderId="29" xfId="2" applyFont="1" applyFill="1" applyBorder="1" applyAlignment="1">
      <alignment horizontal="center" vertical="center"/>
    </xf>
    <xf numFmtId="0" fontId="0" fillId="5" borderId="33" xfId="0" applyFont="1" applyFill="1" applyBorder="1" applyAlignment="1">
      <alignment horizontal="center" vertical="center"/>
    </xf>
    <xf numFmtId="0" fontId="0" fillId="5" borderId="0" xfId="0" applyFill="1"/>
    <xf numFmtId="2" fontId="13" fillId="5" borderId="58" xfId="0" applyNumberFormat="1" applyFont="1" applyFill="1" applyBorder="1" applyAlignment="1">
      <alignment horizontal="center" vertical="center"/>
    </xf>
    <xf numFmtId="0" fontId="8" fillId="13" borderId="115" xfId="0" applyFont="1" applyFill="1" applyBorder="1" applyAlignment="1">
      <alignment horizontal="center" vertical="center"/>
    </xf>
    <xf numFmtId="0" fontId="8" fillId="13" borderId="19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1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13" borderId="129" xfId="0" applyFont="1" applyFill="1" applyBorder="1" applyAlignment="1">
      <alignment horizontal="center" vertical="center"/>
    </xf>
    <xf numFmtId="0" fontId="8" fillId="13" borderId="10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13" borderId="18" xfId="0" applyFont="1" applyFill="1" applyBorder="1" applyAlignment="1">
      <alignment horizontal="center" vertical="center"/>
    </xf>
    <xf numFmtId="0" fontId="8" fillId="13" borderId="132" xfId="0" applyFont="1" applyFill="1" applyBorder="1" applyAlignment="1">
      <alignment horizontal="center" vertical="center"/>
    </xf>
    <xf numFmtId="0" fontId="8" fillId="13" borderId="57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58" xfId="0" applyFont="1" applyFill="1" applyBorder="1" applyAlignment="1">
      <alignment horizontal="center" vertical="center"/>
    </xf>
    <xf numFmtId="0" fontId="5" fillId="0" borderId="0" xfId="0" applyFont="1"/>
    <xf numFmtId="0" fontId="0" fillId="0" borderId="5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0" fillId="6" borderId="57" xfId="0" applyFont="1" applyFill="1" applyBorder="1" applyAlignment="1">
      <alignment horizontal="center" vertical="center"/>
    </xf>
    <xf numFmtId="0" fontId="20" fillId="6" borderId="58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5" fillId="14" borderId="4" xfId="0" applyFont="1" applyFill="1" applyBorder="1" applyAlignment="1">
      <alignment horizontal="center" vertical="center"/>
    </xf>
    <xf numFmtId="0" fontId="15" fillId="14" borderId="6" xfId="0" applyFont="1" applyFill="1" applyBorder="1" applyAlignment="1">
      <alignment horizontal="center" vertical="center"/>
    </xf>
    <xf numFmtId="0" fontId="15" fillId="14" borderId="57" xfId="0" applyFont="1" applyFill="1" applyBorder="1" applyAlignment="1">
      <alignment horizontal="center" vertical="center"/>
    </xf>
    <xf numFmtId="0" fontId="15" fillId="14" borderId="58" xfId="0" applyFont="1" applyFill="1" applyBorder="1" applyAlignment="1">
      <alignment horizontal="center" vertical="center"/>
    </xf>
    <xf numFmtId="0" fontId="12" fillId="3" borderId="45" xfId="0" applyFont="1" applyFill="1" applyBorder="1" applyAlignment="1">
      <alignment horizontal="center" vertical="center" textRotation="90"/>
    </xf>
    <xf numFmtId="0" fontId="12" fillId="3" borderId="65" xfId="0" applyFont="1" applyFill="1" applyBorder="1" applyAlignment="1">
      <alignment horizontal="center" vertical="center" textRotation="90"/>
    </xf>
    <xf numFmtId="0" fontId="12" fillId="3" borderId="68" xfId="0" applyFont="1" applyFill="1" applyBorder="1" applyAlignment="1">
      <alignment horizontal="center" vertical="center" textRotation="90"/>
    </xf>
    <xf numFmtId="0" fontId="12" fillId="3" borderId="70" xfId="0" applyFont="1" applyFill="1" applyBorder="1" applyAlignment="1">
      <alignment horizontal="center" vertical="center" textRotation="90"/>
    </xf>
    <xf numFmtId="0" fontId="12" fillId="3" borderId="73" xfId="0" applyFont="1" applyFill="1" applyBorder="1" applyAlignment="1">
      <alignment horizontal="center" vertical="center" textRotation="90"/>
    </xf>
    <xf numFmtId="0" fontId="12" fillId="3" borderId="44" xfId="0" applyFont="1" applyFill="1" applyBorder="1" applyAlignment="1">
      <alignment horizontal="center" vertical="center" textRotation="90"/>
    </xf>
    <xf numFmtId="0" fontId="12" fillId="3" borderId="76" xfId="0" applyFont="1" applyFill="1" applyBorder="1" applyAlignment="1">
      <alignment horizontal="center" vertical="center" textRotation="90"/>
    </xf>
    <xf numFmtId="0" fontId="14" fillId="3" borderId="79" xfId="0" applyFont="1" applyFill="1" applyBorder="1" applyAlignment="1">
      <alignment horizontal="center" vertical="center" textRotation="90"/>
    </xf>
    <xf numFmtId="0" fontId="14" fillId="3" borderId="82" xfId="0" applyFont="1" applyFill="1" applyBorder="1" applyAlignment="1">
      <alignment horizontal="center" vertical="center" textRotation="90"/>
    </xf>
    <xf numFmtId="0" fontId="14" fillId="3" borderId="84" xfId="0" applyFont="1" applyFill="1" applyBorder="1" applyAlignment="1">
      <alignment horizontal="center" vertical="center" textRotation="90"/>
    </xf>
    <xf numFmtId="1" fontId="0" fillId="0" borderId="11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4" fillId="6" borderId="104" xfId="0" applyFont="1" applyFill="1" applyBorder="1" applyAlignment="1">
      <alignment horizontal="center" vertical="center" textRotation="45"/>
    </xf>
    <xf numFmtId="0" fontId="19" fillId="4" borderId="19" xfId="0" applyFont="1" applyFill="1" applyBorder="1" applyAlignment="1">
      <alignment horizontal="center" vertical="center"/>
    </xf>
    <xf numFmtId="0" fontId="19" fillId="4" borderId="20" xfId="0" applyFont="1" applyFill="1" applyBorder="1" applyAlignment="1">
      <alignment horizontal="center" vertical="center"/>
    </xf>
    <xf numFmtId="0" fontId="5" fillId="10" borderId="40" xfId="0" applyFont="1" applyFill="1" applyBorder="1" applyAlignment="1">
      <alignment horizontal="center" vertical="center"/>
    </xf>
    <xf numFmtId="0" fontId="5" fillId="10" borderId="41" xfId="0" applyFont="1" applyFill="1" applyBorder="1" applyAlignment="1">
      <alignment horizontal="center" vertical="center"/>
    </xf>
    <xf numFmtId="0" fontId="5" fillId="10" borderId="48" xfId="0" applyFont="1" applyFill="1" applyBorder="1" applyAlignment="1">
      <alignment horizontal="center" vertical="center"/>
    </xf>
    <xf numFmtId="0" fontId="8" fillId="0" borderId="112" xfId="0" applyFont="1" applyBorder="1" applyAlignment="1">
      <alignment horizontal="center"/>
    </xf>
    <xf numFmtId="0" fontId="8" fillId="0" borderId="113" xfId="0" applyFont="1" applyBorder="1" applyAlignment="1">
      <alignment horizontal="center"/>
    </xf>
    <xf numFmtId="0" fontId="8" fillId="0" borderId="114" xfId="0" applyFont="1" applyBorder="1" applyAlignment="1">
      <alignment horizontal="center"/>
    </xf>
    <xf numFmtId="1" fontId="5" fillId="12" borderId="138" xfId="0" applyNumberFormat="1" applyFont="1" applyFill="1" applyBorder="1" applyAlignment="1">
      <alignment horizontal="center" vertical="center"/>
    </xf>
    <xf numFmtId="1" fontId="5" fillId="12" borderId="139" xfId="0" applyNumberFormat="1" applyFont="1" applyFill="1" applyBorder="1" applyAlignment="1">
      <alignment horizontal="center" vertical="center"/>
    </xf>
    <xf numFmtId="1" fontId="5" fillId="12" borderId="153" xfId="0" applyNumberFormat="1" applyFont="1" applyFill="1" applyBorder="1" applyAlignment="1">
      <alignment horizontal="center" vertical="center"/>
    </xf>
    <xf numFmtId="1" fontId="5" fillId="12" borderId="140" xfId="0" applyNumberFormat="1" applyFont="1" applyFill="1" applyBorder="1" applyAlignment="1">
      <alignment horizontal="center" vertical="center"/>
    </xf>
    <xf numFmtId="0" fontId="14" fillId="0" borderId="144" xfId="0" applyFont="1" applyFill="1" applyBorder="1" applyAlignment="1">
      <alignment horizontal="center"/>
    </xf>
    <xf numFmtId="0" fontId="14" fillId="0" borderId="145" xfId="0" applyFont="1" applyFill="1" applyBorder="1" applyAlignment="1">
      <alignment horizontal="center"/>
    </xf>
    <xf numFmtId="0" fontId="14" fillId="0" borderId="10" xfId="0" applyFont="1" applyFill="1" applyBorder="1" applyAlignment="1">
      <alignment horizontal="center"/>
    </xf>
    <xf numFmtId="0" fontId="14" fillId="0" borderId="14" xfId="0" applyFont="1" applyFill="1" applyBorder="1" applyAlignment="1">
      <alignment horizontal="center"/>
    </xf>
    <xf numFmtId="0" fontId="14" fillId="0" borderId="12" xfId="0" applyFont="1" applyFill="1" applyBorder="1" applyAlignment="1">
      <alignment horizontal="center"/>
    </xf>
    <xf numFmtId="0" fontId="0" fillId="10" borderId="143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2" borderId="138" xfId="0" applyFill="1" applyBorder="1" applyAlignment="1">
      <alignment horizontal="center" vertical="center"/>
    </xf>
    <xf numFmtId="0" fontId="0" fillId="12" borderId="140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169" fontId="8" fillId="0" borderId="31" xfId="0" applyNumberFormat="1" applyFont="1" applyFill="1" applyBorder="1" applyAlignment="1">
      <alignment horizontal="center" vertical="center"/>
    </xf>
    <xf numFmtId="169" fontId="8" fillId="0" borderId="32" xfId="0" applyNumberFormat="1" applyFont="1" applyFill="1" applyBorder="1" applyAlignment="1">
      <alignment horizontal="center" vertical="center"/>
    </xf>
    <xf numFmtId="169" fontId="8" fillId="0" borderId="49" xfId="0" applyNumberFormat="1" applyFont="1" applyFill="1" applyBorder="1" applyAlignment="1">
      <alignment horizontal="center" vertical="center"/>
    </xf>
    <xf numFmtId="169" fontId="8" fillId="0" borderId="0" xfId="0" applyNumberFormat="1" applyFont="1" applyFill="1" applyBorder="1" applyAlignment="1">
      <alignment horizontal="center" vertical="center"/>
    </xf>
    <xf numFmtId="0" fontId="0" fillId="10" borderId="110" xfId="0" applyFill="1" applyBorder="1" applyAlignment="1">
      <alignment horizontal="center" vertical="center"/>
    </xf>
    <xf numFmtId="0" fontId="0" fillId="10" borderId="136" xfId="0" applyFill="1" applyBorder="1" applyAlignment="1">
      <alignment horizontal="center" vertical="center"/>
    </xf>
    <xf numFmtId="0" fontId="0" fillId="10" borderId="125" xfId="0" applyFill="1" applyBorder="1" applyAlignment="1">
      <alignment horizontal="center" vertical="center"/>
    </xf>
    <xf numFmtId="169" fontId="8" fillId="0" borderId="159" xfId="0" applyNumberFormat="1" applyFont="1" applyFill="1" applyBorder="1" applyAlignment="1">
      <alignment horizontal="center" vertical="center"/>
    </xf>
    <xf numFmtId="169" fontId="8" fillId="0" borderId="147" xfId="0" applyNumberFormat="1" applyFont="1" applyFill="1" applyBorder="1" applyAlignment="1">
      <alignment horizontal="center" vertical="center"/>
    </xf>
    <xf numFmtId="169" fontId="8" fillId="0" borderId="16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10" borderId="120" xfId="0" applyNumberFormat="1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5" fillId="10" borderId="17" xfId="0" applyFont="1" applyFill="1" applyBorder="1" applyAlignment="1">
      <alignment horizontal="center" vertical="center"/>
    </xf>
    <xf numFmtId="0" fontId="14" fillId="6" borderId="57" xfId="0" applyFont="1" applyFill="1" applyBorder="1" applyAlignment="1">
      <alignment horizontal="center" vertical="center" textRotation="45"/>
    </xf>
    <xf numFmtId="0" fontId="0" fillId="10" borderId="121" xfId="0" applyFill="1" applyBorder="1" applyAlignment="1">
      <alignment horizontal="center" vertical="center"/>
    </xf>
    <xf numFmtId="0" fontId="0" fillId="10" borderId="135" xfId="0" applyFill="1" applyBorder="1" applyAlignment="1">
      <alignment horizontal="center" vertical="center"/>
    </xf>
    <xf numFmtId="0" fontId="0" fillId="10" borderId="124" xfId="0" applyFill="1" applyBorder="1" applyAlignment="1">
      <alignment horizontal="center" vertical="center"/>
    </xf>
    <xf numFmtId="0" fontId="7" fillId="0" borderId="126" xfId="0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center" vertical="center"/>
    </xf>
    <xf numFmtId="0" fontId="7" fillId="0" borderId="109" xfId="0" applyFont="1" applyFill="1" applyBorder="1" applyAlignment="1">
      <alignment horizontal="center" vertical="center"/>
    </xf>
    <xf numFmtId="0" fontId="8" fillId="0" borderId="112" xfId="0" applyFont="1" applyBorder="1" applyAlignment="1">
      <alignment horizontal="center" vertical="center"/>
    </xf>
    <xf numFmtId="0" fontId="8" fillId="0" borderId="113" xfId="0" applyFont="1" applyBorder="1" applyAlignment="1">
      <alignment horizontal="center" vertical="center"/>
    </xf>
    <xf numFmtId="0" fontId="8" fillId="0" borderId="114" xfId="0" applyFont="1" applyBorder="1" applyAlignment="1">
      <alignment horizontal="center" vertical="center"/>
    </xf>
    <xf numFmtId="0" fontId="14" fillId="6" borderId="102" xfId="0" applyFont="1" applyFill="1" applyBorder="1" applyAlignment="1">
      <alignment horizontal="center" vertical="center" textRotation="45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0" borderId="112" xfId="0" applyBorder="1" applyAlignment="1">
      <alignment horizontal="center"/>
    </xf>
    <xf numFmtId="0" fontId="0" fillId="0" borderId="113" xfId="0" applyBorder="1" applyAlignment="1">
      <alignment horizontal="center"/>
    </xf>
    <xf numFmtId="0" fontId="0" fillId="0" borderId="114" xfId="0" applyBorder="1" applyAlignment="1">
      <alignment horizontal="center"/>
    </xf>
    <xf numFmtId="0" fontId="0" fillId="10" borderId="57" xfId="0" applyFill="1" applyBorder="1" applyAlignment="1">
      <alignment horizontal="center" vertical="center"/>
    </xf>
    <xf numFmtId="168" fontId="5" fillId="12" borderId="149" xfId="0" applyNumberFormat="1" applyFont="1" applyFill="1" applyBorder="1" applyAlignment="1">
      <alignment horizontal="center" vertical="center"/>
    </xf>
    <xf numFmtId="168" fontId="5" fillId="12" borderId="152" xfId="0" applyNumberFormat="1" applyFont="1" applyFill="1" applyBorder="1" applyAlignment="1">
      <alignment horizontal="center" vertical="center"/>
    </xf>
    <xf numFmtId="168" fontId="5" fillId="12" borderId="150" xfId="0" applyNumberFormat="1" applyFont="1" applyFill="1" applyBorder="1" applyAlignment="1">
      <alignment horizontal="center" vertical="center"/>
    </xf>
    <xf numFmtId="0" fontId="5" fillId="0" borderId="126" xfId="0" applyFont="1" applyFill="1" applyBorder="1" applyAlignment="1">
      <alignment horizontal="center" vertical="center"/>
    </xf>
    <xf numFmtId="0" fontId="5" fillId="0" borderId="38" xfId="0" applyFont="1" applyFill="1" applyBorder="1" applyAlignment="1">
      <alignment horizontal="center" vertical="center"/>
    </xf>
    <xf numFmtId="0" fontId="5" fillId="0" borderId="109" xfId="0" applyFont="1" applyFill="1" applyBorder="1" applyAlignment="1">
      <alignment horizontal="center" vertical="center"/>
    </xf>
    <xf numFmtId="0" fontId="0" fillId="10" borderId="48" xfId="0" applyFill="1" applyBorder="1" applyAlignment="1">
      <alignment horizontal="center" vertical="center"/>
    </xf>
    <xf numFmtId="0" fontId="0" fillId="10" borderId="146" xfId="0" applyFill="1" applyBorder="1" applyAlignment="1">
      <alignment horizontal="center" vertical="center"/>
    </xf>
    <xf numFmtId="0" fontId="8" fillId="0" borderId="112" xfId="0" applyFont="1" applyFill="1" applyBorder="1" applyAlignment="1">
      <alignment horizontal="center"/>
    </xf>
    <xf numFmtId="0" fontId="8" fillId="0" borderId="114" xfId="0" applyFont="1" applyFill="1" applyBorder="1" applyAlignment="1">
      <alignment horizontal="center"/>
    </xf>
    <xf numFmtId="0" fontId="0" fillId="10" borderId="120" xfId="0" applyFill="1" applyBorder="1" applyAlignment="1">
      <alignment horizontal="center" vertical="center"/>
    </xf>
    <xf numFmtId="0" fontId="0" fillId="10" borderId="108" xfId="0" applyFill="1" applyBorder="1" applyAlignment="1">
      <alignment horizontal="center" vertical="center"/>
    </xf>
    <xf numFmtId="1" fontId="5" fillId="12" borderId="149" xfId="0" applyNumberFormat="1" applyFont="1" applyFill="1" applyBorder="1" applyAlignment="1">
      <alignment horizontal="center" vertical="center"/>
    </xf>
    <xf numFmtId="1" fontId="5" fillId="12" borderId="150" xfId="0" applyNumberFormat="1" applyFont="1" applyFill="1" applyBorder="1" applyAlignment="1">
      <alignment horizontal="center" vertical="center"/>
    </xf>
    <xf numFmtId="1" fontId="5" fillId="12" borderId="152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13">
    <dxf>
      <numFmt numFmtId="13" formatCode="0%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dotted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dotted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</dxfs>
  <tableStyles count="0" defaultTableStyle="TableStyleMedium2" defaultPivotStyle="PivotStyleLight16"/>
  <colors>
    <mruColors>
      <color rgb="FFFBFBFB"/>
      <color rgb="FFF8F8FE"/>
      <color rgb="FFFCF7F2"/>
      <color rgb="FFF3F5FB"/>
      <color rgb="FFF8F8F8"/>
      <color rgb="FFEFFF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530679</xdr:colOff>
      <xdr:row>0</xdr:row>
      <xdr:rowOff>27214</xdr:rowOff>
    </xdr:from>
    <xdr:to>
      <xdr:col>32</xdr:col>
      <xdr:colOff>149679</xdr:colOff>
      <xdr:row>1</xdr:row>
      <xdr:rowOff>176893</xdr:rowOff>
    </xdr:to>
    <xdr:sp macro="[0]!CIsuppression" textlink="">
      <xdr:nvSpPr>
        <xdr:cNvPr id="2" name="Rectangle 1"/>
        <xdr:cNvSpPr/>
      </xdr:nvSpPr>
      <xdr:spPr>
        <a:xfrm>
          <a:off x="49706893" y="27214"/>
          <a:ext cx="2462893" cy="72117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suppression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B3:K32" headerRowCount="0" totalsRowShown="0">
  <tableColumns count="10">
    <tableColumn id="1" name="Colonne1" dataDxfId="12"/>
    <tableColumn id="2" name="Colonne2" headerRowDxfId="11" dataDxfId="10"/>
    <tableColumn id="3" name="Colonne3" headerRowDxfId="9" dataDxfId="8"/>
    <tableColumn id="4" name="Colonne4" headerRowDxfId="7" dataDxfId="6"/>
    <tableColumn id="5" name="Colonne5" headerRowDxfId="5"/>
    <tableColumn id="6" name="Colonne6" headerRowDxfId="4"/>
    <tableColumn id="7" name="Colonne7" headerRowDxfId="3" dataDxfId="2"/>
    <tableColumn id="8" name="Colonne8" dataDxfId="1"/>
    <tableColumn id="9" name="Colonne9" dataDxfId="0">
      <calculatedColumnFormula>((Tableau4[[#This Row],[Colonne7]]*Tableau4[[#This Row],[Colonne6]]-Tableau4[[#This Row],[Colonne4]]*Tableau4[[#This Row],[Colonne3]])/(Tableau4[[#This Row],[Colonne6]]*Tableau4[[#This Row],[Colonne7]]*Tableau4[[#This Row],[Colonne8]]))</calculatedColumnFormula>
    </tableColumn>
    <tableColumn id="10" name="Colonne1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8"/>
  <sheetViews>
    <sheetView tabSelected="1" topLeftCell="AA1" zoomScale="70" zoomScaleNormal="70" workbookViewId="0">
      <selection activeCell="AF10" sqref="AF10"/>
    </sheetView>
  </sheetViews>
  <sheetFormatPr baseColWidth="10" defaultRowHeight="15" x14ac:dyDescent="0.25"/>
  <cols>
    <col min="1" max="1" width="21.140625" customWidth="1"/>
    <col min="2" max="2" width="33.28515625" customWidth="1"/>
    <col min="3" max="3" width="38.140625" customWidth="1"/>
    <col min="4" max="4" width="18.85546875" customWidth="1"/>
    <col min="5" max="5" width="16.7109375" customWidth="1"/>
    <col min="6" max="6" width="18.140625" customWidth="1"/>
    <col min="7" max="7" width="21.5703125" customWidth="1"/>
    <col min="9" max="9" width="25.140625" customWidth="1"/>
    <col min="10" max="10" width="19.85546875" customWidth="1"/>
    <col min="11" max="11" width="25.85546875" customWidth="1"/>
    <col min="12" max="12" width="24.140625" customWidth="1"/>
    <col min="13" max="13" width="27.28515625" customWidth="1"/>
    <col min="14" max="14" width="27.85546875" customWidth="1"/>
    <col min="15" max="15" width="31.42578125" customWidth="1"/>
    <col min="16" max="16" width="32.7109375" customWidth="1"/>
    <col min="17" max="17" width="18.7109375" customWidth="1"/>
    <col min="18" max="18" width="20" customWidth="1"/>
    <col min="19" max="19" width="21.85546875" customWidth="1"/>
    <col min="20" max="20" width="36" customWidth="1"/>
    <col min="21" max="21" width="36.42578125" customWidth="1"/>
    <col min="22" max="22" width="30.7109375" customWidth="1"/>
    <col min="23" max="23" width="33.28515625" customWidth="1"/>
    <col min="24" max="24" width="33.7109375" customWidth="1"/>
    <col min="30" max="30" width="33.7109375" customWidth="1"/>
    <col min="31" max="31" width="22.140625" customWidth="1"/>
    <col min="32" max="32" width="42.5703125" style="490" customWidth="1"/>
  </cols>
  <sheetData>
    <row r="1" spans="1:34" ht="45.6" customHeight="1" x14ac:dyDescent="0.25">
      <c r="A1" s="99"/>
      <c r="B1" s="100"/>
      <c r="C1" s="100"/>
      <c r="D1" s="100"/>
      <c r="E1" s="100"/>
      <c r="F1" s="100"/>
      <c r="G1" s="100"/>
      <c r="H1" s="100"/>
      <c r="I1" s="151" t="s">
        <v>177</v>
      </c>
      <c r="J1" s="154">
        <v>0.1</v>
      </c>
      <c r="L1" s="405" t="s">
        <v>155</v>
      </c>
      <c r="M1" s="110"/>
      <c r="N1" s="110"/>
      <c r="O1" s="110"/>
      <c r="P1" s="110"/>
      <c r="Q1" s="111"/>
      <c r="S1" s="408" t="s">
        <v>156</v>
      </c>
      <c r="T1" s="117"/>
      <c r="U1" s="117"/>
      <c r="V1" s="117"/>
      <c r="W1" s="117"/>
      <c r="X1" s="117"/>
      <c r="Y1" s="118"/>
      <c r="AD1" s="400" t="s">
        <v>221</v>
      </c>
      <c r="AE1" s="401"/>
      <c r="AF1" s="491"/>
      <c r="AG1" s="161"/>
      <c r="AH1" s="161"/>
    </row>
    <row r="2" spans="1:34" ht="25.9" customHeight="1" thickBot="1" x14ac:dyDescent="0.3">
      <c r="A2" s="101"/>
      <c r="B2" s="1"/>
      <c r="C2" s="1"/>
      <c r="D2" s="1"/>
      <c r="E2" s="1"/>
      <c r="F2" s="1"/>
      <c r="G2" s="1"/>
      <c r="H2" s="1"/>
      <c r="I2" s="1"/>
      <c r="J2" s="71"/>
      <c r="L2" s="406"/>
      <c r="M2" s="1"/>
      <c r="N2" s="1"/>
      <c r="O2" s="1"/>
      <c r="P2" s="1"/>
      <c r="Q2" s="112"/>
      <c r="S2" s="409"/>
      <c r="T2" s="1"/>
      <c r="U2" s="83" t="s">
        <v>18</v>
      </c>
      <c r="V2" s="88" t="s">
        <v>20</v>
      </c>
      <c r="W2" s="84" t="s">
        <v>134</v>
      </c>
      <c r="X2" s="89" t="s">
        <v>137</v>
      </c>
      <c r="Y2" s="119"/>
      <c r="AD2" s="402"/>
      <c r="AE2" s="403"/>
    </row>
    <row r="3" spans="1:34" ht="37.9" customHeight="1" thickBot="1" x14ac:dyDescent="0.3">
      <c r="A3" s="101"/>
      <c r="B3" s="1"/>
      <c r="C3" s="343" t="s">
        <v>51</v>
      </c>
      <c r="D3" s="344" t="s">
        <v>141</v>
      </c>
      <c r="E3" s="345"/>
      <c r="F3" s="346" t="s">
        <v>74</v>
      </c>
      <c r="G3" s="344" t="s">
        <v>140</v>
      </c>
      <c r="H3" s="347"/>
      <c r="I3" s="348" t="s">
        <v>150</v>
      </c>
      <c r="J3" s="152" t="s">
        <v>176</v>
      </c>
      <c r="L3" s="406"/>
      <c r="M3" s="1"/>
      <c r="N3" s="1"/>
      <c r="O3" s="76" t="s">
        <v>153</v>
      </c>
      <c r="P3" s="1"/>
      <c r="Q3" s="112"/>
      <c r="S3" s="409"/>
      <c r="T3" s="1"/>
      <c r="U3" s="85" t="s">
        <v>15</v>
      </c>
      <c r="V3" s="115">
        <v>0</v>
      </c>
      <c r="W3" s="11">
        <v>1</v>
      </c>
      <c r="X3" s="414">
        <v>0</v>
      </c>
      <c r="Y3" s="119"/>
      <c r="AD3" s="402"/>
      <c r="AE3" s="403"/>
    </row>
    <row r="4" spans="1:34" ht="30.6" customHeight="1" x14ac:dyDescent="0.25">
      <c r="A4" s="404" t="s">
        <v>151</v>
      </c>
      <c r="B4" s="67" t="s">
        <v>57</v>
      </c>
      <c r="C4" s="350" t="s">
        <v>54</v>
      </c>
      <c r="D4" s="70">
        <v>145</v>
      </c>
      <c r="E4" s="70">
        <v>45</v>
      </c>
      <c r="F4" s="70" t="s">
        <v>76</v>
      </c>
      <c r="G4" s="70">
        <v>150</v>
      </c>
      <c r="H4" s="70">
        <v>50</v>
      </c>
      <c r="I4" s="351">
        <v>1</v>
      </c>
      <c r="J4" s="352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L4" s="406"/>
      <c r="M4" s="1"/>
      <c r="N4" s="1"/>
      <c r="O4" s="77">
        <v>3.3</v>
      </c>
      <c r="P4" s="1"/>
      <c r="Q4" s="112"/>
      <c r="S4" s="409"/>
      <c r="T4" s="1"/>
      <c r="U4" s="85" t="s">
        <v>17</v>
      </c>
      <c r="V4" s="115">
        <v>0</v>
      </c>
      <c r="W4" s="11">
        <v>1</v>
      </c>
      <c r="X4" s="415"/>
      <c r="Y4" s="119"/>
      <c r="AD4" s="397" t="s">
        <v>233</v>
      </c>
      <c r="AE4" s="398" t="s">
        <v>234</v>
      </c>
    </row>
    <row r="5" spans="1:34" ht="29.45" customHeight="1" x14ac:dyDescent="0.25">
      <c r="A5" s="404"/>
      <c r="B5" s="68"/>
      <c r="C5" s="341" t="s">
        <v>55</v>
      </c>
      <c r="D5" s="11">
        <v>95</v>
      </c>
      <c r="E5" s="11">
        <v>45</v>
      </c>
      <c r="F5" s="11" t="s">
        <v>76</v>
      </c>
      <c r="G5" s="11">
        <v>100</v>
      </c>
      <c r="H5" s="11">
        <v>50</v>
      </c>
      <c r="I5" s="24">
        <v>1</v>
      </c>
      <c r="J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0.25</v>
      </c>
      <c r="L5" s="406"/>
      <c r="M5" s="1"/>
      <c r="N5" s="1"/>
      <c r="O5" s="76" t="s">
        <v>152</v>
      </c>
      <c r="P5" s="1"/>
      <c r="Q5" s="112"/>
      <c r="S5" s="409"/>
      <c r="T5" s="1"/>
      <c r="U5" s="85" t="s">
        <v>16</v>
      </c>
      <c r="V5" s="115">
        <v>0</v>
      </c>
      <c r="W5" s="11">
        <v>2</v>
      </c>
      <c r="X5" s="415"/>
      <c r="Y5" s="119"/>
      <c r="AD5" s="364" t="s">
        <v>231</v>
      </c>
      <c r="AE5" s="395" t="s">
        <v>230</v>
      </c>
    </row>
    <row r="6" spans="1:34" ht="29.45" customHeight="1" x14ac:dyDescent="0.25">
      <c r="A6" s="404"/>
      <c r="B6" s="68" t="s">
        <v>58</v>
      </c>
      <c r="C6" s="341" t="s">
        <v>52</v>
      </c>
      <c r="D6" s="11">
        <v>18</v>
      </c>
      <c r="E6" s="11">
        <v>45</v>
      </c>
      <c r="F6" s="11" t="s">
        <v>76</v>
      </c>
      <c r="G6" s="11">
        <v>100</v>
      </c>
      <c r="H6" s="11">
        <v>50</v>
      </c>
      <c r="I6" s="24">
        <v>5</v>
      </c>
      <c r="J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0.28999999999999998</v>
      </c>
      <c r="L6" s="406"/>
      <c r="M6" s="1"/>
      <c r="N6" s="1"/>
      <c r="O6" s="77">
        <v>2.4</v>
      </c>
      <c r="P6" s="1"/>
      <c r="Q6" s="112"/>
      <c r="S6" s="409"/>
      <c r="T6" s="1"/>
      <c r="U6" s="86" t="s">
        <v>7</v>
      </c>
      <c r="V6" s="116">
        <v>0</v>
      </c>
      <c r="W6" s="87">
        <v>2</v>
      </c>
      <c r="X6" s="416"/>
      <c r="Y6" s="119"/>
      <c r="AD6" s="364" t="s">
        <v>232</v>
      </c>
      <c r="AE6" s="395" t="s">
        <v>230</v>
      </c>
    </row>
    <row r="7" spans="1:34" ht="36" customHeight="1" x14ac:dyDescent="0.25">
      <c r="A7" s="404"/>
      <c r="B7" s="68"/>
      <c r="C7" s="341" t="s">
        <v>53</v>
      </c>
      <c r="D7" s="11">
        <v>27</v>
      </c>
      <c r="E7" s="11">
        <v>45</v>
      </c>
      <c r="F7" s="11" t="s">
        <v>76</v>
      </c>
      <c r="G7" s="11">
        <v>100</v>
      </c>
      <c r="H7" s="11">
        <v>50</v>
      </c>
      <c r="I7" s="24">
        <v>3</v>
      </c>
      <c r="J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0.37</v>
      </c>
      <c r="L7" s="406"/>
      <c r="M7" s="1"/>
      <c r="N7" s="1"/>
      <c r="O7" s="76" t="s">
        <v>154</v>
      </c>
      <c r="P7" s="1"/>
      <c r="Q7" s="112"/>
      <c r="S7" s="409"/>
      <c r="T7" s="1"/>
      <c r="U7" s="11"/>
      <c r="V7" s="11"/>
      <c r="W7" s="11"/>
      <c r="X7" s="11"/>
      <c r="Y7" s="119"/>
      <c r="AD7" s="364" t="s">
        <v>102</v>
      </c>
      <c r="AE7" s="395" t="s">
        <v>230</v>
      </c>
    </row>
    <row r="8" spans="1:34" ht="36" customHeight="1" x14ac:dyDescent="0.25">
      <c r="A8" s="404"/>
      <c r="B8" s="354" t="s">
        <v>59</v>
      </c>
      <c r="C8" s="341" t="s">
        <v>61</v>
      </c>
      <c r="D8" s="11">
        <v>27</v>
      </c>
      <c r="E8" s="11">
        <v>45</v>
      </c>
      <c r="F8" s="11" t="s">
        <v>76</v>
      </c>
      <c r="G8" s="11">
        <v>100</v>
      </c>
      <c r="H8" s="11">
        <v>50</v>
      </c>
      <c r="I8" s="24">
        <v>3</v>
      </c>
      <c r="J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0.37</v>
      </c>
      <c r="L8" s="406"/>
      <c r="M8" s="1"/>
      <c r="N8" s="1"/>
      <c r="O8" s="77">
        <f>O4*O6</f>
        <v>7.92</v>
      </c>
      <c r="P8" s="1"/>
      <c r="Q8" s="112"/>
      <c r="S8" s="409"/>
      <c r="T8" s="1"/>
      <c r="U8" s="88" t="s">
        <v>136</v>
      </c>
      <c r="V8" s="83" t="s">
        <v>20</v>
      </c>
      <c r="W8" s="89" t="s">
        <v>134</v>
      </c>
      <c r="X8" s="83" t="s">
        <v>135</v>
      </c>
      <c r="Y8" s="119"/>
      <c r="AD8" s="364" t="s">
        <v>222</v>
      </c>
      <c r="AE8" s="395"/>
      <c r="AF8" s="490" t="s">
        <v>235</v>
      </c>
    </row>
    <row r="9" spans="1:34" ht="28.9" customHeight="1" x14ac:dyDescent="0.25">
      <c r="A9" s="404"/>
      <c r="B9" s="68"/>
      <c r="C9" s="341" t="s">
        <v>200</v>
      </c>
      <c r="D9" s="11">
        <v>45</v>
      </c>
      <c r="E9" s="11">
        <v>45</v>
      </c>
      <c r="F9" s="11" t="s">
        <v>76</v>
      </c>
      <c r="G9" s="11">
        <v>100</v>
      </c>
      <c r="H9" s="11">
        <v>50</v>
      </c>
      <c r="I9" s="24">
        <v>2</v>
      </c>
      <c r="J9" s="355">
        <f>((Tableau4[[#This Row],[Colonne7]]*Tableau4[[#This Row],[Colonne6]]-Tableau4[[#This Row],[Colonne4]]*Tableau4[[#This Row],[Colonne3]])/(Tableau4[[#This Row],[Colonne6]]*Tableau4[[#This Row],[Colonne7]]*Tableau4[[#This Row],[Colonne8]]))</f>
        <v>0.3</v>
      </c>
      <c r="L9" s="406"/>
      <c r="M9" s="1"/>
      <c r="N9" s="1"/>
      <c r="O9" s="1"/>
      <c r="P9" s="1"/>
      <c r="Q9" s="112"/>
      <c r="S9" s="409"/>
      <c r="T9" s="1"/>
      <c r="U9" s="85" t="s">
        <v>165</v>
      </c>
      <c r="V9" s="7">
        <v>0</v>
      </c>
      <c r="W9" s="90">
        <v>1</v>
      </c>
      <c r="X9" s="414">
        <v>0</v>
      </c>
      <c r="Y9" s="119"/>
      <c r="AD9" s="364" t="s">
        <v>223</v>
      </c>
      <c r="AE9" s="395" t="s">
        <v>230</v>
      </c>
    </row>
    <row r="10" spans="1:34" ht="28.9" customHeight="1" x14ac:dyDescent="0.25">
      <c r="A10" s="404"/>
      <c r="B10" s="68" t="s">
        <v>67</v>
      </c>
      <c r="C10" s="341" t="s">
        <v>62</v>
      </c>
      <c r="D10" s="11">
        <v>172</v>
      </c>
      <c r="E10" s="11">
        <v>172</v>
      </c>
      <c r="F10" s="11" t="s">
        <v>77</v>
      </c>
      <c r="G10" s="11">
        <v>100</v>
      </c>
      <c r="H10" s="11">
        <v>50</v>
      </c>
      <c r="I10" s="24">
        <f>1/8</f>
        <v>0.125</v>
      </c>
      <c r="J1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0" s="406"/>
      <c r="M10" s="1"/>
      <c r="N10" s="104" t="s">
        <v>142</v>
      </c>
      <c r="O10" s="107" t="s">
        <v>8</v>
      </c>
      <c r="P10" s="78" t="s">
        <v>9</v>
      </c>
      <c r="Q10" s="112"/>
      <c r="S10" s="409"/>
      <c r="T10" s="1"/>
      <c r="U10" s="160" t="s">
        <v>164</v>
      </c>
      <c r="V10" s="115">
        <v>0</v>
      </c>
      <c r="W10" s="91">
        <v>1</v>
      </c>
      <c r="X10" s="415"/>
      <c r="Y10" s="119"/>
      <c r="AD10" s="364" t="s">
        <v>224</v>
      </c>
      <c r="AE10" s="395" t="s">
        <v>230</v>
      </c>
    </row>
    <row r="11" spans="1:34" ht="31.9" customHeight="1" x14ac:dyDescent="0.25">
      <c r="A11" s="404"/>
      <c r="B11" s="68"/>
      <c r="C11" s="341" t="s">
        <v>15</v>
      </c>
      <c r="D11" s="11">
        <v>172</v>
      </c>
      <c r="E11" s="11">
        <v>172</v>
      </c>
      <c r="F11" s="11" t="s">
        <v>77</v>
      </c>
      <c r="G11" s="11">
        <v>100</v>
      </c>
      <c r="H11" s="11">
        <v>50</v>
      </c>
      <c r="I11" s="24">
        <f>1/8</f>
        <v>0.125</v>
      </c>
      <c r="J1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1" s="406"/>
      <c r="M11" s="1"/>
      <c r="N11" s="105"/>
      <c r="O11" s="105">
        <v>0.6</v>
      </c>
      <c r="P11" s="64">
        <f>(O6/O11)+1</f>
        <v>5</v>
      </c>
      <c r="Q11" s="112"/>
      <c r="S11" s="409"/>
      <c r="T11" s="1"/>
      <c r="U11" s="85" t="s">
        <v>163</v>
      </c>
      <c r="V11" s="115">
        <v>0</v>
      </c>
      <c r="W11" s="11">
        <v>1</v>
      </c>
      <c r="X11" s="415"/>
      <c r="Y11" s="119"/>
      <c r="AD11" s="364" t="s">
        <v>186</v>
      </c>
      <c r="AE11" s="395" t="s">
        <v>230</v>
      </c>
    </row>
    <row r="12" spans="1:34" ht="36" customHeight="1" x14ac:dyDescent="0.25">
      <c r="A12" s="404"/>
      <c r="B12" s="68"/>
      <c r="C12" s="341" t="s">
        <v>63</v>
      </c>
      <c r="D12" s="11">
        <v>172</v>
      </c>
      <c r="E12" s="11">
        <v>172</v>
      </c>
      <c r="F12" s="11" t="s">
        <v>77</v>
      </c>
      <c r="G12" s="11">
        <v>100</v>
      </c>
      <c r="H12" s="11">
        <v>50</v>
      </c>
      <c r="I12" s="24">
        <f>1/8</f>
        <v>0.125</v>
      </c>
      <c r="J12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2" s="406"/>
      <c r="M12" s="1"/>
      <c r="N12" s="104" t="s">
        <v>143</v>
      </c>
      <c r="O12" s="107" t="s">
        <v>8</v>
      </c>
      <c r="P12" s="78" t="s">
        <v>9</v>
      </c>
      <c r="Q12" s="112"/>
      <c r="S12" s="409"/>
      <c r="T12" s="1"/>
      <c r="U12" s="85" t="s">
        <v>166</v>
      </c>
      <c r="V12" s="115">
        <v>0</v>
      </c>
      <c r="W12" s="11">
        <v>1</v>
      </c>
      <c r="X12" s="415"/>
      <c r="Y12" s="119"/>
      <c r="AD12" s="364" t="s">
        <v>225</v>
      </c>
      <c r="AE12" s="395" t="s">
        <v>230</v>
      </c>
    </row>
    <row r="13" spans="1:34" ht="29.45" customHeight="1" x14ac:dyDescent="0.25">
      <c r="A13" s="404"/>
      <c r="B13" s="68"/>
      <c r="C13" s="341" t="s">
        <v>64</v>
      </c>
      <c r="D13" s="11">
        <v>129</v>
      </c>
      <c r="E13" s="11">
        <v>129</v>
      </c>
      <c r="F13" s="11" t="s">
        <v>77</v>
      </c>
      <c r="G13" s="11">
        <v>100</v>
      </c>
      <c r="H13" s="11">
        <v>50</v>
      </c>
      <c r="I13" s="24">
        <f>1/4</f>
        <v>0.25</v>
      </c>
      <c r="J13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0.27</v>
      </c>
      <c r="L13" s="406"/>
      <c r="M13" s="1"/>
      <c r="N13" s="106"/>
      <c r="O13" s="106">
        <v>0.6</v>
      </c>
      <c r="P13" s="65">
        <f>(O6/O13)+1</f>
        <v>5</v>
      </c>
      <c r="Q13" s="112"/>
      <c r="S13" s="409"/>
      <c r="T13" s="1"/>
      <c r="U13" s="85" t="s">
        <v>162</v>
      </c>
      <c r="V13" s="115">
        <v>0</v>
      </c>
      <c r="W13" s="11">
        <v>1</v>
      </c>
      <c r="X13" s="415"/>
      <c r="Y13" s="119"/>
      <c r="AD13" s="364" t="s">
        <v>226</v>
      </c>
      <c r="AE13" s="395" t="s">
        <v>230</v>
      </c>
    </row>
    <row r="14" spans="1:34" ht="26.45" customHeight="1" x14ac:dyDescent="0.25">
      <c r="A14" s="404"/>
      <c r="B14" s="68" t="s">
        <v>68</v>
      </c>
      <c r="C14" s="341" t="s">
        <v>62</v>
      </c>
      <c r="D14" s="11">
        <v>90</v>
      </c>
      <c r="E14" s="11">
        <f>387</f>
        <v>387</v>
      </c>
      <c r="F14" s="11" t="s">
        <v>76</v>
      </c>
      <c r="G14" s="11">
        <v>100</v>
      </c>
      <c r="H14" s="11">
        <v>50</v>
      </c>
      <c r="I14" s="28">
        <f>1/9</f>
        <v>0.11</v>
      </c>
      <c r="J14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0.33</v>
      </c>
      <c r="L14" s="406"/>
      <c r="M14" s="1"/>
      <c r="N14" s="104" t="s">
        <v>58</v>
      </c>
      <c r="O14" s="107" t="s">
        <v>32</v>
      </c>
      <c r="P14" s="78" t="s">
        <v>33</v>
      </c>
      <c r="Q14" s="112"/>
      <c r="S14" s="409"/>
      <c r="T14" s="1"/>
      <c r="U14" s="147" t="s">
        <v>167</v>
      </c>
      <c r="V14" s="97">
        <v>0</v>
      </c>
      <c r="W14" s="97">
        <v>1</v>
      </c>
      <c r="X14" s="416"/>
      <c r="Y14" s="119"/>
      <c r="AD14" s="364" t="s">
        <v>110</v>
      </c>
      <c r="AE14" s="395" t="s">
        <v>230</v>
      </c>
    </row>
    <row r="15" spans="1:34" ht="26.45" customHeight="1" x14ac:dyDescent="0.25">
      <c r="A15" s="404"/>
      <c r="B15" s="68"/>
      <c r="C15" s="341" t="s">
        <v>15</v>
      </c>
      <c r="D15" s="11">
        <v>90</v>
      </c>
      <c r="E15" s="11">
        <f>43*7</f>
        <v>301</v>
      </c>
      <c r="F15" s="11" t="s">
        <v>76</v>
      </c>
      <c r="G15" s="11">
        <v>100</v>
      </c>
      <c r="H15" s="11">
        <v>50</v>
      </c>
      <c r="I15" s="28">
        <f>1/7</f>
        <v>0.14000000000000001</v>
      </c>
      <c r="J1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0.34</v>
      </c>
      <c r="L15" s="406"/>
      <c r="M15" s="1"/>
      <c r="N15" s="106"/>
      <c r="O15" s="106">
        <f>O11</f>
        <v>0.6</v>
      </c>
      <c r="P15" s="65">
        <f>O6/O15+1</f>
        <v>5</v>
      </c>
      <c r="Q15" s="112"/>
      <c r="S15" s="409"/>
      <c r="T15" s="1"/>
      <c r="X15" s="24"/>
      <c r="Y15" s="119"/>
      <c r="AD15" s="364" t="s">
        <v>187</v>
      </c>
      <c r="AE15" s="395" t="s">
        <v>230</v>
      </c>
    </row>
    <row r="16" spans="1:34" ht="28.9" customHeight="1" x14ac:dyDescent="0.25">
      <c r="A16" s="404"/>
      <c r="B16" s="68"/>
      <c r="C16" s="341" t="s">
        <v>63</v>
      </c>
      <c r="D16" s="11">
        <v>48</v>
      </c>
      <c r="E16" s="11">
        <v>150</v>
      </c>
      <c r="F16" s="11" t="s">
        <v>76</v>
      </c>
      <c r="G16" s="11">
        <v>50</v>
      </c>
      <c r="H16" s="11">
        <v>150</v>
      </c>
      <c r="I16" s="24">
        <v>1</v>
      </c>
      <c r="J1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0.14000000000000001</v>
      </c>
      <c r="L16" s="406"/>
      <c r="M16" s="1"/>
      <c r="N16" s="104" t="s">
        <v>58</v>
      </c>
      <c r="O16" s="107" t="s">
        <v>11</v>
      </c>
      <c r="P16" s="78" t="s">
        <v>12</v>
      </c>
      <c r="Q16" s="112"/>
      <c r="S16" s="409"/>
      <c r="T16" s="1"/>
      <c r="U16" s="66" t="s">
        <v>146</v>
      </c>
      <c r="V16" s="130" t="s">
        <v>20</v>
      </c>
      <c r="W16" s="131" t="s">
        <v>25</v>
      </c>
      <c r="X16" s="11"/>
      <c r="Y16" s="119"/>
      <c r="AD16" s="364" t="s">
        <v>188</v>
      </c>
      <c r="AE16" s="395" t="s">
        <v>230</v>
      </c>
    </row>
    <row r="17" spans="1:31" ht="30.6" customHeight="1" x14ac:dyDescent="0.25">
      <c r="A17" s="404"/>
      <c r="B17" s="68"/>
      <c r="C17" s="341" t="s">
        <v>64</v>
      </c>
      <c r="D17" s="11">
        <v>48</v>
      </c>
      <c r="E17" s="11">
        <v>100</v>
      </c>
      <c r="F17" s="11" t="s">
        <v>76</v>
      </c>
      <c r="G17" s="11">
        <v>100</v>
      </c>
      <c r="H17" s="11">
        <v>48</v>
      </c>
      <c r="I17" s="24">
        <v>1</v>
      </c>
      <c r="J1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</v>
      </c>
      <c r="L17" s="406"/>
      <c r="M17" s="1"/>
      <c r="N17" s="105"/>
      <c r="O17" s="105">
        <v>0.6</v>
      </c>
      <c r="P17" s="64">
        <f>O4/O17+1</f>
        <v>7</v>
      </c>
      <c r="Q17" s="112"/>
      <c r="S17" s="409"/>
      <c r="T17" s="1"/>
      <c r="U17" s="135" t="s">
        <v>14</v>
      </c>
      <c r="V17" s="134">
        <f>7+2</f>
        <v>9</v>
      </c>
      <c r="W17" s="132">
        <v>0</v>
      </c>
      <c r="X17" s="24"/>
      <c r="Y17" s="119"/>
      <c r="AD17" s="364" t="s">
        <v>227</v>
      </c>
      <c r="AE17" s="395" t="s">
        <v>230</v>
      </c>
    </row>
    <row r="18" spans="1:31" ht="24" customHeight="1" x14ac:dyDescent="0.25">
      <c r="A18" s="404"/>
      <c r="B18" s="68"/>
      <c r="C18" s="341" t="s">
        <v>65</v>
      </c>
      <c r="D18" s="11">
        <v>70</v>
      </c>
      <c r="E18" s="11">
        <v>48</v>
      </c>
      <c r="F18" s="11" t="s">
        <v>76</v>
      </c>
      <c r="G18" s="11">
        <v>150</v>
      </c>
      <c r="H18" s="11">
        <v>50</v>
      </c>
      <c r="I18" s="24">
        <v>2</v>
      </c>
      <c r="J1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</v>
      </c>
      <c r="L18" s="406"/>
      <c r="M18" s="1"/>
      <c r="N18" s="79" t="s">
        <v>59</v>
      </c>
      <c r="O18" s="80" t="s">
        <v>144</v>
      </c>
      <c r="P18" s="81" t="s">
        <v>145</v>
      </c>
      <c r="Q18" s="112"/>
      <c r="S18" s="409"/>
      <c r="T18" s="1"/>
      <c r="U18" s="136" t="s">
        <v>19</v>
      </c>
      <c r="V18" s="69">
        <v>5.8</v>
      </c>
      <c r="W18" s="133">
        <v>12</v>
      </c>
      <c r="X18" s="1"/>
      <c r="Y18" s="119"/>
      <c r="AD18" s="364" t="s">
        <v>228</v>
      </c>
      <c r="AE18" s="395" t="s">
        <v>230</v>
      </c>
    </row>
    <row r="19" spans="1:31" ht="23.45" customHeight="1" thickBot="1" x14ac:dyDescent="0.3">
      <c r="A19" s="404"/>
      <c r="B19" s="68"/>
      <c r="C19" s="341" t="s">
        <v>125</v>
      </c>
      <c r="D19" s="69">
        <v>75</v>
      </c>
      <c r="E19" s="69">
        <v>25</v>
      </c>
      <c r="F19" s="69" t="s">
        <v>76</v>
      </c>
      <c r="G19" s="69">
        <v>150</v>
      </c>
      <c r="H19" s="69">
        <v>27</v>
      </c>
      <c r="I19" s="24">
        <v>2</v>
      </c>
      <c r="J19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L19" s="406"/>
      <c r="M19" s="1"/>
      <c r="N19" s="82"/>
      <c r="O19" s="108">
        <f>O11</f>
        <v>0.6</v>
      </c>
      <c r="P19" s="109">
        <f>O4/O19+1</f>
        <v>6.5</v>
      </c>
      <c r="Q19" s="112"/>
      <c r="S19" s="409"/>
      <c r="T19" s="1"/>
      <c r="U19" s="137" t="s">
        <v>159</v>
      </c>
      <c r="V19" s="138">
        <v>0.6</v>
      </c>
      <c r="W19" s="139">
        <f>W18*2</f>
        <v>24</v>
      </c>
      <c r="X19" s="1"/>
      <c r="Y19" s="119"/>
      <c r="AD19" s="399" t="s">
        <v>229</v>
      </c>
      <c r="AE19" s="396" t="s">
        <v>230</v>
      </c>
    </row>
    <row r="20" spans="1:31" ht="23.45" customHeight="1" thickBot="1" x14ac:dyDescent="0.3">
      <c r="A20" s="404"/>
      <c r="B20" s="68"/>
      <c r="C20" s="341" t="s">
        <v>138</v>
      </c>
      <c r="D20" s="69">
        <v>97</v>
      </c>
      <c r="E20" s="69">
        <v>36</v>
      </c>
      <c r="F20" s="69" t="s">
        <v>76</v>
      </c>
      <c r="G20" s="69">
        <v>100</v>
      </c>
      <c r="H20" s="69">
        <v>50</v>
      </c>
      <c r="I20" s="24">
        <v>1</v>
      </c>
      <c r="J2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0.4</v>
      </c>
      <c r="L20" s="407"/>
      <c r="M20" s="113"/>
      <c r="N20" s="113"/>
      <c r="O20" s="113"/>
      <c r="P20" s="113"/>
      <c r="Q20" s="114"/>
      <c r="S20" s="410"/>
      <c r="T20" s="120"/>
      <c r="U20" s="120"/>
      <c r="V20" s="120"/>
      <c r="W20" s="120"/>
      <c r="X20" s="120"/>
      <c r="Y20" s="121"/>
    </row>
    <row r="21" spans="1:31" ht="25.15" customHeight="1" thickBot="1" x14ac:dyDescent="0.3">
      <c r="A21" s="404"/>
      <c r="B21" s="68"/>
      <c r="C21" s="341" t="s">
        <v>126</v>
      </c>
      <c r="D21" s="69">
        <v>70</v>
      </c>
      <c r="E21" s="69">
        <v>25</v>
      </c>
      <c r="F21" s="69" t="s">
        <v>76</v>
      </c>
      <c r="G21" s="69">
        <v>150</v>
      </c>
      <c r="H21" s="69">
        <v>27</v>
      </c>
      <c r="I21" s="24">
        <v>2</v>
      </c>
      <c r="J2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0.24</v>
      </c>
    </row>
    <row r="22" spans="1:31" ht="25.15" customHeight="1" x14ac:dyDescent="0.25">
      <c r="A22" s="404"/>
      <c r="B22" s="68" t="s">
        <v>66</v>
      </c>
      <c r="C22" s="341" t="s">
        <v>13</v>
      </c>
      <c r="D22" s="11">
        <f>215+43</f>
        <v>258</v>
      </c>
      <c r="E22" s="11">
        <v>90</v>
      </c>
      <c r="F22" s="11" t="s">
        <v>77</v>
      </c>
      <c r="G22" s="11">
        <v>100</v>
      </c>
      <c r="H22" s="11">
        <v>50</v>
      </c>
      <c r="I22" s="28">
        <f>1/6</f>
        <v>0.17</v>
      </c>
      <c r="J22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0.31</v>
      </c>
      <c r="M22" s="411" t="s">
        <v>157</v>
      </c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123"/>
    </row>
    <row r="23" spans="1:31" ht="26.45" customHeight="1" x14ac:dyDescent="0.25">
      <c r="A23" s="404"/>
      <c r="B23" s="68"/>
      <c r="C23" s="341" t="s">
        <v>69</v>
      </c>
      <c r="D23" s="11">
        <v>145</v>
      </c>
      <c r="E23" s="11">
        <v>45</v>
      </c>
      <c r="F23" s="11" t="s">
        <v>76</v>
      </c>
      <c r="G23" s="11">
        <v>150</v>
      </c>
      <c r="H23" s="11">
        <v>50</v>
      </c>
      <c r="I23" s="24">
        <v>1</v>
      </c>
      <c r="J23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M23" s="412"/>
      <c r="N23" s="1"/>
      <c r="O23" s="141" t="s">
        <v>85</v>
      </c>
      <c r="P23" s="142" t="s">
        <v>93</v>
      </c>
      <c r="Q23" s="142" t="s">
        <v>86</v>
      </c>
      <c r="R23" s="142" t="s">
        <v>87</v>
      </c>
      <c r="S23" s="143" t="s">
        <v>21</v>
      </c>
      <c r="T23" s="144" t="s">
        <v>23</v>
      </c>
      <c r="U23" s="145" t="s">
        <v>91</v>
      </c>
      <c r="V23" s="142" t="s">
        <v>92</v>
      </c>
      <c r="W23" s="143" t="s">
        <v>90</v>
      </c>
      <c r="X23" s="124"/>
    </row>
    <row r="24" spans="1:31" ht="31.9" customHeight="1" x14ac:dyDescent="0.25">
      <c r="A24" s="404"/>
      <c r="B24" s="68"/>
      <c r="C24" s="341" t="s">
        <v>71</v>
      </c>
      <c r="D24" s="11">
        <v>150</v>
      </c>
      <c r="E24" s="11">
        <v>25</v>
      </c>
      <c r="F24" s="11" t="s">
        <v>76</v>
      </c>
      <c r="G24" s="11">
        <v>150</v>
      </c>
      <c r="H24" s="11">
        <v>27</v>
      </c>
      <c r="I24" s="24">
        <v>1</v>
      </c>
      <c r="J24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M24" s="412"/>
      <c r="N24" s="1"/>
      <c r="O24" s="128" t="s">
        <v>88</v>
      </c>
      <c r="P24" s="92" t="s">
        <v>201</v>
      </c>
      <c r="Q24" s="11">
        <v>0.7</v>
      </c>
      <c r="R24" s="11">
        <v>0.7</v>
      </c>
      <c r="S24" s="95">
        <v>2</v>
      </c>
      <c r="T24" s="48">
        <f t="shared" ref="T24:T30" si="0">Q24*R24*S24</f>
        <v>0.98</v>
      </c>
      <c r="U24" s="92">
        <f>IF(R24&gt;1.25,3,2)</f>
        <v>2</v>
      </c>
      <c r="V24" s="11">
        <f>IF(Q24&gt;1,8,6)</f>
        <v>6</v>
      </c>
      <c r="W24" s="95">
        <f>S24</f>
        <v>2</v>
      </c>
      <c r="X24" s="124"/>
    </row>
    <row r="25" spans="1:31" ht="29.45" customHeight="1" x14ac:dyDescent="0.25">
      <c r="A25" s="404"/>
      <c r="B25" s="68"/>
      <c r="C25" s="341" t="s">
        <v>132</v>
      </c>
      <c r="D25" s="11">
        <v>172</v>
      </c>
      <c r="E25" s="11">
        <v>172</v>
      </c>
      <c r="F25" s="11" t="s">
        <v>77</v>
      </c>
      <c r="G25" s="11">
        <v>100</v>
      </c>
      <c r="H25" s="11">
        <v>50</v>
      </c>
      <c r="I25" s="24">
        <f>1/8</f>
        <v>0.125</v>
      </c>
      <c r="J2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M25" s="412"/>
      <c r="N25" s="1"/>
      <c r="O25" s="128" t="s">
        <v>89</v>
      </c>
      <c r="P25" s="92" t="s">
        <v>201</v>
      </c>
      <c r="Q25" s="11">
        <v>0.5</v>
      </c>
      <c r="R25" s="11">
        <v>0.5</v>
      </c>
      <c r="S25" s="95">
        <v>5</v>
      </c>
      <c r="T25" s="48">
        <f t="shared" si="0"/>
        <v>1.25</v>
      </c>
      <c r="U25" s="92">
        <f t="shared" ref="U25:U30" si="1">IF(R25&gt;1.25,3,2)</f>
        <v>2</v>
      </c>
      <c r="V25" s="11">
        <f t="shared" ref="V25:V30" si="2">IF(Q25&gt;1,8,6)</f>
        <v>6</v>
      </c>
      <c r="W25" s="95">
        <f>S25</f>
        <v>5</v>
      </c>
      <c r="X25" s="124"/>
    </row>
    <row r="26" spans="1:31" ht="24" customHeight="1" x14ac:dyDescent="0.25">
      <c r="A26" s="404"/>
      <c r="B26" s="68"/>
      <c r="C26" s="341" t="s">
        <v>133</v>
      </c>
      <c r="D26" s="11">
        <v>215</v>
      </c>
      <c r="E26" s="11">
        <v>90</v>
      </c>
      <c r="F26" s="11" t="s">
        <v>77</v>
      </c>
      <c r="G26" s="11">
        <v>100</v>
      </c>
      <c r="H26" s="11">
        <v>50</v>
      </c>
      <c r="I26" s="24">
        <f>1/5</f>
        <v>0.2</v>
      </c>
      <c r="J2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0.33</v>
      </c>
      <c r="M26" s="412"/>
      <c r="N26" s="1"/>
      <c r="O26" s="129" t="s">
        <v>130</v>
      </c>
      <c r="P26" s="93" t="s">
        <v>161</v>
      </c>
      <c r="Q26" s="11">
        <v>2.2000000000000002</v>
      </c>
      <c r="R26" s="11">
        <v>2.7</v>
      </c>
      <c r="S26" s="95">
        <v>3</v>
      </c>
      <c r="T26" s="48">
        <f t="shared" si="0"/>
        <v>17.82</v>
      </c>
      <c r="U26" s="92">
        <f t="shared" si="1"/>
        <v>3</v>
      </c>
      <c r="V26" s="11">
        <f t="shared" si="2"/>
        <v>8</v>
      </c>
      <c r="W26" s="95">
        <f>IF(P26="fenêtre",1,0)</f>
        <v>0</v>
      </c>
      <c r="X26" s="124"/>
    </row>
    <row r="27" spans="1:31" ht="23.45" customHeight="1" x14ac:dyDescent="0.25">
      <c r="A27" s="404"/>
      <c r="B27" s="68"/>
      <c r="C27" s="349" t="s">
        <v>158</v>
      </c>
      <c r="D27" s="11">
        <v>145</v>
      </c>
      <c r="E27" s="11">
        <v>45</v>
      </c>
      <c r="F27" s="11" t="s">
        <v>76</v>
      </c>
      <c r="G27" s="11">
        <v>150</v>
      </c>
      <c r="H27" s="11">
        <v>50</v>
      </c>
      <c r="I27" s="24">
        <v>1</v>
      </c>
      <c r="J2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M27" s="412"/>
      <c r="N27" s="1"/>
      <c r="O27" s="129" t="s">
        <v>131</v>
      </c>
      <c r="P27" s="93" t="s">
        <v>161</v>
      </c>
      <c r="Q27" s="69">
        <v>2.2000000000000002</v>
      </c>
      <c r="R27" s="69">
        <v>1.7</v>
      </c>
      <c r="S27" s="96">
        <v>4</v>
      </c>
      <c r="T27" s="12">
        <f t="shared" si="0"/>
        <v>14.96</v>
      </c>
      <c r="U27" s="92">
        <f t="shared" si="1"/>
        <v>3</v>
      </c>
      <c r="V27" s="11">
        <f t="shared" si="2"/>
        <v>8</v>
      </c>
      <c r="W27" s="96">
        <f>IF(P27="fenêtre",1,0)</f>
        <v>0</v>
      </c>
      <c r="X27" s="124"/>
    </row>
    <row r="28" spans="1:31" ht="31.9" customHeight="1" x14ac:dyDescent="0.25">
      <c r="A28" s="404"/>
      <c r="B28" s="68" t="s">
        <v>70</v>
      </c>
      <c r="C28" s="342" t="s">
        <v>72</v>
      </c>
      <c r="D28" s="11">
        <v>100</v>
      </c>
      <c r="E28" s="11">
        <v>25</v>
      </c>
      <c r="F28" s="11" t="s">
        <v>76</v>
      </c>
      <c r="G28" s="11">
        <v>100</v>
      </c>
      <c r="H28" s="11">
        <v>27</v>
      </c>
      <c r="I28" s="24">
        <v>1</v>
      </c>
      <c r="J2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M28" s="412"/>
      <c r="N28" s="1"/>
      <c r="O28" s="129" t="s">
        <v>147</v>
      </c>
      <c r="P28" s="93" t="s">
        <v>161</v>
      </c>
      <c r="Q28" s="69">
        <v>2.2000000000000002</v>
      </c>
      <c r="R28" s="69">
        <v>3.6</v>
      </c>
      <c r="S28" s="96">
        <v>3</v>
      </c>
      <c r="T28" s="12">
        <f t="shared" si="0"/>
        <v>23.76</v>
      </c>
      <c r="U28" s="92">
        <f t="shared" si="1"/>
        <v>3</v>
      </c>
      <c r="V28" s="11">
        <f t="shared" si="2"/>
        <v>8</v>
      </c>
      <c r="W28" s="96">
        <f>IF(P28="fenêtre",1,0)</f>
        <v>0</v>
      </c>
      <c r="X28" s="124"/>
    </row>
    <row r="29" spans="1:31" ht="28.15" customHeight="1" x14ac:dyDescent="0.25">
      <c r="A29" s="404"/>
      <c r="B29" s="68"/>
      <c r="C29" s="342" t="s">
        <v>6</v>
      </c>
      <c r="D29" s="11">
        <v>145</v>
      </c>
      <c r="E29" s="11">
        <v>25</v>
      </c>
      <c r="F29" s="11" t="s">
        <v>76</v>
      </c>
      <c r="G29" s="11">
        <v>150</v>
      </c>
      <c r="H29" s="11">
        <v>27</v>
      </c>
      <c r="I29" s="24">
        <v>1</v>
      </c>
      <c r="J29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</v>
      </c>
      <c r="M29" s="412"/>
      <c r="N29" s="1"/>
      <c r="O29" s="129" t="s">
        <v>148</v>
      </c>
      <c r="P29" s="93"/>
      <c r="Q29" s="69"/>
      <c r="R29" s="69"/>
      <c r="S29" s="96"/>
      <c r="T29" s="12">
        <f t="shared" si="0"/>
        <v>0</v>
      </c>
      <c r="U29" s="92">
        <f t="shared" si="1"/>
        <v>2</v>
      </c>
      <c r="V29" s="11">
        <f t="shared" si="2"/>
        <v>6</v>
      </c>
      <c r="W29" s="96">
        <f>IF(P29="fenêtre",1,0)</f>
        <v>0</v>
      </c>
      <c r="X29" s="124"/>
    </row>
    <row r="30" spans="1:31" ht="24" customHeight="1" x14ac:dyDescent="0.25">
      <c r="A30" s="101"/>
      <c r="B30" s="68"/>
      <c r="C30" s="342" t="s">
        <v>73</v>
      </c>
      <c r="D30" s="11">
        <v>145</v>
      </c>
      <c r="E30" s="11">
        <v>27</v>
      </c>
      <c r="F30" s="11" t="s">
        <v>76</v>
      </c>
      <c r="G30" s="11">
        <v>150</v>
      </c>
      <c r="H30" s="11">
        <v>27</v>
      </c>
      <c r="I30" s="24">
        <v>1</v>
      </c>
      <c r="J3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0.13</v>
      </c>
      <c r="M30" s="412"/>
      <c r="N30" s="1"/>
      <c r="O30" s="146" t="s">
        <v>149</v>
      </c>
      <c r="P30" s="94"/>
      <c r="Q30" s="97"/>
      <c r="R30" s="97"/>
      <c r="S30" s="98"/>
      <c r="T30" s="147">
        <f t="shared" si="0"/>
        <v>0</v>
      </c>
      <c r="U30" s="208">
        <f t="shared" si="1"/>
        <v>2</v>
      </c>
      <c r="V30" s="87">
        <f t="shared" si="2"/>
        <v>6</v>
      </c>
      <c r="W30" s="98">
        <f>IF(P30="fenêtre",1,0)</f>
        <v>0</v>
      </c>
      <c r="X30" s="124"/>
    </row>
    <row r="31" spans="1:31" ht="24" customHeight="1" thickBot="1" x14ac:dyDescent="0.3">
      <c r="B31" s="68" t="s">
        <v>139</v>
      </c>
      <c r="C31" s="341" t="s">
        <v>107</v>
      </c>
      <c r="D31" s="11">
        <v>48</v>
      </c>
      <c r="E31" s="11">
        <v>68</v>
      </c>
      <c r="F31" s="11" t="s">
        <v>76</v>
      </c>
      <c r="G31" s="11">
        <v>48</v>
      </c>
      <c r="H31" s="11">
        <v>68</v>
      </c>
      <c r="I31" s="24">
        <v>1</v>
      </c>
      <c r="J3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</v>
      </c>
      <c r="M31" s="412"/>
      <c r="N31" s="1"/>
      <c r="O31" s="140" t="s">
        <v>27</v>
      </c>
      <c r="P31" s="24"/>
      <c r="Q31" s="24"/>
      <c r="R31" s="24"/>
      <c r="S31" s="24"/>
      <c r="T31" s="166">
        <f>SUM(T24:T30)</f>
        <v>58.77</v>
      </c>
      <c r="U31" s="24"/>
      <c r="V31" s="24"/>
      <c r="W31" s="24"/>
      <c r="X31" s="124"/>
    </row>
    <row r="32" spans="1:31" ht="24" customHeight="1" thickBot="1" x14ac:dyDescent="0.3">
      <c r="A32" s="32"/>
      <c r="B32" s="356" t="s">
        <v>217</v>
      </c>
      <c r="C32" s="357" t="s">
        <v>218</v>
      </c>
      <c r="D32" s="358">
        <v>145</v>
      </c>
      <c r="E32" s="358">
        <v>25</v>
      </c>
      <c r="F32" s="358" t="s">
        <v>76</v>
      </c>
      <c r="G32" s="358">
        <v>150</v>
      </c>
      <c r="H32" s="358">
        <v>50</v>
      </c>
      <c r="I32" s="359">
        <v>2</v>
      </c>
      <c r="J32" s="360">
        <f>((Tableau4[[#This Row],[Colonne7]]*Tableau4[[#This Row],[Colonne6]]-Tableau4[[#This Row],[Colonne4]]*Tableau4[[#This Row],[Colonne3]]*Tableau4[[#This Row],[Colonne8]])/(Tableau4[[#This Row],[Colonne6]]*Tableau4[[#This Row],[Colonne7]]))+J1</f>
        <v>0.13</v>
      </c>
      <c r="K32" s="3"/>
      <c r="M32" s="412"/>
      <c r="N32" s="1"/>
      <c r="O32" s="73"/>
      <c r="P32" s="24"/>
      <c r="Q32" s="24"/>
      <c r="R32" s="24"/>
      <c r="S32" s="24"/>
      <c r="T32" s="185"/>
      <c r="U32" s="24"/>
      <c r="V32" s="24"/>
      <c r="W32" s="24"/>
      <c r="X32" s="124"/>
    </row>
    <row r="33" spans="1:24" ht="24" customHeight="1" x14ac:dyDescent="0.25">
      <c r="A33" s="32"/>
      <c r="B33" s="73"/>
      <c r="C33" s="361"/>
      <c r="D33" s="24"/>
      <c r="E33" s="24"/>
      <c r="F33" s="24"/>
      <c r="G33" s="24"/>
      <c r="H33" s="24"/>
      <c r="I33" s="24"/>
      <c r="J33" s="153"/>
      <c r="M33" s="412"/>
      <c r="N33" s="1"/>
      <c r="O33" s="73"/>
      <c r="P33" s="24"/>
      <c r="Q33" s="24"/>
      <c r="R33" s="24"/>
      <c r="S33" s="24"/>
      <c r="T33" s="185"/>
      <c r="U33" s="24"/>
      <c r="V33" s="24"/>
      <c r="W33" s="24"/>
      <c r="X33" s="124"/>
    </row>
    <row r="34" spans="1:24" ht="21.6" customHeight="1" thickBot="1" x14ac:dyDescent="0.3">
      <c r="A34" s="102"/>
      <c r="B34" s="103"/>
      <c r="C34" s="103"/>
      <c r="D34" s="103"/>
      <c r="E34" s="103"/>
      <c r="F34" s="103"/>
      <c r="G34" s="103"/>
      <c r="H34" s="103"/>
      <c r="I34" s="103"/>
      <c r="J34" s="72"/>
      <c r="M34" s="413"/>
      <c r="N34" s="125"/>
      <c r="O34" s="126"/>
      <c r="P34" s="126"/>
      <c r="Q34" s="126"/>
      <c r="R34" s="126"/>
      <c r="S34" s="126"/>
      <c r="T34" s="126"/>
      <c r="U34" s="126"/>
      <c r="V34" s="126"/>
      <c r="W34" s="126"/>
      <c r="X34" s="127"/>
    </row>
    <row r="35" spans="1:24" ht="16.899999999999999" customHeight="1" x14ac:dyDescent="0.25">
      <c r="B35" s="3"/>
      <c r="C35" s="3"/>
      <c r="D35" s="3"/>
      <c r="E35" s="3"/>
      <c r="F35" s="3"/>
      <c r="G35" s="3"/>
      <c r="H35" s="3"/>
      <c r="I35" s="1"/>
      <c r="J35" s="3"/>
    </row>
    <row r="36" spans="1:24" ht="18.600000000000001" customHeight="1" x14ac:dyDescent="0.25">
      <c r="A36" s="3"/>
      <c r="B36" s="3"/>
      <c r="C36" s="3"/>
      <c r="D36" s="3"/>
      <c r="E36" s="3"/>
      <c r="F36" s="3"/>
      <c r="G36" s="3"/>
      <c r="H36" s="3"/>
      <c r="I36" s="2"/>
    </row>
    <row r="37" spans="1:24" ht="13.9" customHeight="1" x14ac:dyDescent="0.25">
      <c r="A37" s="3"/>
      <c r="B37" s="2"/>
      <c r="C37" s="2"/>
      <c r="D37" s="2"/>
      <c r="E37" s="2"/>
      <c r="F37" s="2"/>
      <c r="G37" s="3"/>
      <c r="H37" s="3"/>
      <c r="I37" s="3"/>
    </row>
    <row r="38" spans="1:24" ht="15" customHeight="1" x14ac:dyDescent="0.25">
      <c r="B38" s="3"/>
      <c r="C38" s="3"/>
      <c r="D38" s="3"/>
      <c r="E38" s="3"/>
      <c r="F38" s="3"/>
      <c r="G38" s="3"/>
      <c r="H38" s="3"/>
      <c r="I38" s="3"/>
    </row>
  </sheetData>
  <mergeCells count="7">
    <mergeCell ref="AD1:AE3"/>
    <mergeCell ref="A4:A29"/>
    <mergeCell ref="L1:L20"/>
    <mergeCell ref="S1:S20"/>
    <mergeCell ref="M22:M34"/>
    <mergeCell ref="X3:X6"/>
    <mergeCell ref="X9:X14"/>
  </mergeCells>
  <pageMargins left="0.7" right="0.7" top="0.75" bottom="0.75" header="0.3" footer="0.3"/>
  <pageSetup paperSize="9" orientation="portrait" horizont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C163"/>
  <sheetViews>
    <sheetView zoomScale="40" zoomScaleNormal="40" workbookViewId="0">
      <selection activeCell="J124" sqref="J124"/>
    </sheetView>
  </sheetViews>
  <sheetFormatPr baseColWidth="10" defaultRowHeight="15" x14ac:dyDescent="0.25"/>
  <cols>
    <col min="1" max="1" width="8.140625" customWidth="1"/>
    <col min="2" max="2" width="11.5703125" hidden="1" customWidth="1"/>
    <col min="3" max="3" width="36" customWidth="1"/>
    <col min="4" max="4" width="55.7109375" customWidth="1"/>
    <col min="5" max="5" width="45" customWidth="1"/>
    <col min="6" max="6" width="32.5703125" customWidth="1"/>
    <col min="7" max="7" width="46.85546875" customWidth="1"/>
    <col min="8" max="8" width="54" customWidth="1"/>
    <col min="9" max="9" width="31.42578125" customWidth="1"/>
    <col min="10" max="10" width="31.5703125" customWidth="1"/>
    <col min="11" max="11" width="14" customWidth="1"/>
    <col min="12" max="12" width="54.5703125" customWidth="1"/>
    <col min="13" max="13" width="39.85546875" customWidth="1"/>
    <col min="14" max="14" width="11.7109375" customWidth="1"/>
    <col min="15" max="15" width="21.85546875" customWidth="1"/>
    <col min="16" max="16" width="24" customWidth="1"/>
    <col min="17" max="17" width="32.28515625" customWidth="1"/>
    <col min="18" max="18" width="55.85546875" customWidth="1"/>
    <col min="19" max="19" width="60.85546875" customWidth="1"/>
    <col min="20" max="20" width="26.7109375" customWidth="1"/>
    <col min="21" max="21" width="45.7109375" customWidth="1"/>
    <col min="22" max="22" width="25.140625" customWidth="1"/>
    <col min="23" max="23" width="24.140625" customWidth="1"/>
    <col min="24" max="24" width="29.42578125" customWidth="1"/>
    <col min="25" max="25" width="70.7109375" customWidth="1"/>
    <col min="26" max="26" width="16" customWidth="1"/>
    <col min="27" max="27" width="15.28515625" customWidth="1"/>
  </cols>
  <sheetData>
    <row r="2" spans="3:29" ht="80.45" customHeight="1" x14ac:dyDescent="0.25">
      <c r="D2" s="418" t="s">
        <v>181</v>
      </c>
      <c r="E2" s="419"/>
      <c r="O2" s="2"/>
      <c r="P2" s="2"/>
      <c r="Q2" s="2"/>
      <c r="R2" s="2"/>
      <c r="S2" s="2"/>
      <c r="T2" s="2"/>
      <c r="U2" s="2"/>
      <c r="V2" s="2"/>
      <c r="W2" s="2"/>
      <c r="Y2" s="2"/>
      <c r="Z2" s="2"/>
      <c r="AA2" s="2"/>
      <c r="AB2" s="2"/>
      <c r="AC2" s="2"/>
    </row>
    <row r="3" spans="3:29" ht="23.45" customHeight="1" thickBot="1" x14ac:dyDescent="0.3">
      <c r="C3" s="2"/>
      <c r="D3" s="329"/>
      <c r="E3" s="157"/>
      <c r="F3" s="74"/>
      <c r="G3" s="21"/>
      <c r="H3" s="74"/>
      <c r="I3" s="74"/>
      <c r="L3" s="2"/>
      <c r="M3" s="2"/>
      <c r="O3" s="2"/>
      <c r="P3" s="2"/>
      <c r="Q3" s="2"/>
      <c r="R3" s="2"/>
      <c r="S3" s="2"/>
      <c r="T3" s="2"/>
      <c r="U3" s="2"/>
      <c r="V3" s="2"/>
      <c r="W3" s="2"/>
      <c r="Y3" s="21"/>
      <c r="Z3" s="69"/>
      <c r="AA3" s="327"/>
    </row>
    <row r="4" spans="3:29" ht="18.600000000000001" customHeight="1" x14ac:dyDescent="0.25">
      <c r="C4" s="75"/>
      <c r="D4" s="430" t="s">
        <v>182</v>
      </c>
      <c r="E4" s="437"/>
      <c r="F4" s="69"/>
      <c r="G4" s="69"/>
      <c r="H4" s="69"/>
      <c r="I4" s="69"/>
      <c r="L4" s="2"/>
      <c r="M4" s="2"/>
      <c r="O4" s="2"/>
      <c r="P4" s="2"/>
      <c r="Q4" s="2"/>
      <c r="R4" s="2"/>
      <c r="S4" s="2"/>
      <c r="T4" s="2"/>
      <c r="U4" s="2"/>
      <c r="V4" s="2"/>
      <c r="W4" s="2"/>
      <c r="Y4" s="21"/>
      <c r="Z4" s="69"/>
      <c r="AA4" s="327"/>
    </row>
    <row r="5" spans="3:29" ht="15" customHeight="1" thickBot="1" x14ac:dyDescent="0.3">
      <c r="C5" s="75"/>
      <c r="D5" s="431"/>
      <c r="E5" s="438"/>
      <c r="F5" s="69"/>
      <c r="G5" s="69"/>
      <c r="H5" s="69"/>
      <c r="I5" s="69"/>
      <c r="L5" s="2"/>
      <c r="M5" s="2"/>
      <c r="O5" s="2"/>
      <c r="P5" s="2"/>
      <c r="Q5" s="2"/>
      <c r="R5" s="2"/>
      <c r="S5" s="2"/>
      <c r="T5" s="2"/>
      <c r="U5" s="2"/>
      <c r="V5" s="2"/>
      <c r="W5" s="2"/>
      <c r="Y5" s="21"/>
      <c r="Z5" s="69"/>
      <c r="AA5" s="327"/>
    </row>
    <row r="6" spans="3:29" ht="23.45" customHeight="1" x14ac:dyDescent="0.25">
      <c r="C6" s="75"/>
      <c r="D6" s="432" t="s">
        <v>183</v>
      </c>
      <c r="E6" s="435"/>
      <c r="F6" s="69"/>
      <c r="G6" s="69"/>
      <c r="H6" s="69"/>
      <c r="I6" s="69"/>
      <c r="O6" s="2"/>
      <c r="P6" s="2"/>
      <c r="Q6" s="2"/>
      <c r="R6" s="2"/>
      <c r="S6" s="2"/>
      <c r="T6" s="2"/>
      <c r="U6" s="2"/>
      <c r="V6" s="2"/>
      <c r="W6" s="2"/>
      <c r="Y6" s="21"/>
      <c r="Z6" s="69"/>
      <c r="AA6" s="327"/>
    </row>
    <row r="7" spans="3:29" ht="14.45" customHeight="1" x14ac:dyDescent="0.25">
      <c r="C7" s="75"/>
      <c r="D7" s="433"/>
      <c r="E7" s="436"/>
      <c r="F7" s="69"/>
      <c r="G7" s="69"/>
      <c r="H7" s="69"/>
      <c r="I7" s="69"/>
      <c r="O7" s="2"/>
      <c r="P7" s="2"/>
      <c r="Q7" s="2"/>
      <c r="R7" s="2"/>
      <c r="S7" s="2"/>
      <c r="T7" s="2"/>
      <c r="U7" s="2"/>
      <c r="V7" s="2"/>
      <c r="W7" s="2"/>
      <c r="Y7" s="21"/>
      <c r="Z7" s="69"/>
      <c r="AA7" s="327"/>
    </row>
    <row r="8" spans="3:29" ht="23.45" customHeight="1" x14ac:dyDescent="0.25">
      <c r="C8" s="22"/>
      <c r="D8" s="434" t="s">
        <v>184</v>
      </c>
      <c r="E8" s="439"/>
      <c r="F8" s="69"/>
      <c r="G8" s="69"/>
      <c r="H8" s="69"/>
      <c r="I8" s="69"/>
      <c r="Y8" s="2"/>
      <c r="Z8" s="2"/>
      <c r="AA8" s="2"/>
    </row>
    <row r="9" spans="3:29" ht="14.45" customHeight="1" x14ac:dyDescent="0.25">
      <c r="C9" s="75"/>
      <c r="D9" s="433"/>
      <c r="E9" s="440"/>
      <c r="F9" s="69"/>
      <c r="G9" s="69"/>
      <c r="H9" s="69"/>
      <c r="I9" s="69"/>
      <c r="Y9" s="21"/>
      <c r="Z9" s="69"/>
      <c r="AA9" s="327"/>
    </row>
    <row r="10" spans="3:29" x14ac:dyDescent="0.25">
      <c r="C10" s="75"/>
      <c r="D10" s="2"/>
      <c r="E10" s="69"/>
      <c r="F10" s="69"/>
      <c r="G10" s="69"/>
      <c r="H10" s="69"/>
      <c r="I10" s="69"/>
      <c r="Y10" s="2"/>
      <c r="Z10" s="69"/>
      <c r="AA10" s="327"/>
    </row>
    <row r="11" spans="3:29" x14ac:dyDescent="0.25">
      <c r="C11" s="75"/>
      <c r="D11" s="2"/>
      <c r="E11" s="69"/>
      <c r="F11" s="69"/>
      <c r="G11" s="69"/>
      <c r="H11" s="69"/>
      <c r="I11" s="69"/>
      <c r="Y11" s="2"/>
      <c r="Z11" s="2"/>
      <c r="AA11" s="2"/>
    </row>
    <row r="12" spans="3:29" x14ac:dyDescent="0.25">
      <c r="C12" s="75"/>
      <c r="D12" s="2"/>
      <c r="E12" s="69"/>
      <c r="F12" s="69"/>
      <c r="G12" s="69"/>
      <c r="H12" s="69"/>
      <c r="I12" s="69"/>
      <c r="Y12" s="2"/>
      <c r="Z12" s="2"/>
      <c r="AA12" s="2"/>
    </row>
    <row r="13" spans="3:29" x14ac:dyDescent="0.25">
      <c r="C13" s="75"/>
      <c r="D13" s="2"/>
      <c r="E13" s="69"/>
      <c r="F13" s="69"/>
      <c r="G13" s="69"/>
      <c r="H13" s="69"/>
      <c r="I13" s="69"/>
      <c r="Y13" s="21"/>
      <c r="Z13" s="69"/>
      <c r="AA13" s="328"/>
    </row>
    <row r="14" spans="3:29" x14ac:dyDescent="0.25">
      <c r="C14" s="75"/>
      <c r="D14" s="2"/>
      <c r="E14" s="69"/>
      <c r="F14" s="69"/>
      <c r="G14" s="69"/>
      <c r="H14" s="69"/>
      <c r="I14" s="69"/>
      <c r="K14" s="3"/>
      <c r="Y14" s="21"/>
      <c r="Z14" s="69"/>
      <c r="AA14" s="328"/>
    </row>
    <row r="15" spans="3:29" ht="15.75" thickBot="1" x14ac:dyDescent="0.3">
      <c r="C15" s="75"/>
      <c r="D15" s="2"/>
      <c r="E15" s="69"/>
      <c r="F15" s="69"/>
      <c r="G15" s="69"/>
      <c r="H15" s="69"/>
      <c r="I15" s="69"/>
      <c r="Y15" s="21"/>
      <c r="Z15" s="69"/>
      <c r="AA15" s="327"/>
    </row>
    <row r="16" spans="3:29" ht="31.5" x14ac:dyDescent="0.5">
      <c r="C16" s="75"/>
      <c r="D16" s="2"/>
      <c r="E16" s="69"/>
      <c r="F16" s="69"/>
      <c r="G16" s="69"/>
      <c r="H16" s="69"/>
      <c r="I16" s="69"/>
      <c r="K16" s="322"/>
      <c r="L16" s="323" t="s">
        <v>120</v>
      </c>
      <c r="M16" s="324" t="s">
        <v>1</v>
      </c>
      <c r="Y16" s="21"/>
      <c r="Z16" s="69"/>
      <c r="AA16" s="328"/>
    </row>
    <row r="17" spans="3:27" ht="47.25" thickBot="1" x14ac:dyDescent="0.75">
      <c r="C17" s="75"/>
      <c r="D17" s="2"/>
      <c r="E17" s="69"/>
      <c r="F17" s="69"/>
      <c r="G17" s="69"/>
      <c r="H17" s="69"/>
      <c r="I17" s="69"/>
      <c r="K17" s="53" t="s">
        <v>118</v>
      </c>
      <c r="L17" s="52">
        <f>Q60-Q44-Q45</f>
        <v>0</v>
      </c>
      <c r="M17" s="54">
        <f>L17/I38</f>
        <v>0</v>
      </c>
      <c r="Y17" s="21"/>
      <c r="Z17" s="69"/>
      <c r="AA17" s="328"/>
    </row>
    <row r="18" spans="3:27" x14ac:dyDescent="0.25">
      <c r="C18" s="2"/>
      <c r="D18" s="2"/>
      <c r="E18" s="69"/>
      <c r="F18" s="69"/>
      <c r="G18" s="69"/>
      <c r="H18" s="69"/>
      <c r="I18" s="69"/>
      <c r="Y18" s="21"/>
      <c r="Z18" s="69"/>
      <c r="AA18" s="327"/>
    </row>
    <row r="19" spans="3:27" x14ac:dyDescent="0.25">
      <c r="C19" s="2"/>
      <c r="D19" s="2"/>
      <c r="E19" s="69"/>
      <c r="F19" s="69"/>
      <c r="G19" s="69"/>
      <c r="H19" s="69"/>
      <c r="I19" s="69"/>
      <c r="P19" s="57"/>
      <c r="Y19" s="21"/>
      <c r="Z19" s="69"/>
      <c r="AA19" s="328"/>
    </row>
    <row r="20" spans="3:27" x14ac:dyDescent="0.25">
      <c r="C20" s="2"/>
      <c r="D20" s="2"/>
      <c r="E20" s="69"/>
      <c r="F20" s="69"/>
      <c r="G20" s="69"/>
      <c r="H20" s="69"/>
      <c r="I20" s="69"/>
      <c r="R20" s="6"/>
      <c r="Y20" s="21"/>
      <c r="Z20" s="69"/>
      <c r="AA20" s="91"/>
    </row>
    <row r="21" spans="3:27" ht="15.75" thickBot="1" x14ac:dyDescent="0.3">
      <c r="C21" s="75"/>
      <c r="D21" s="2"/>
      <c r="E21" s="69"/>
      <c r="F21" s="69"/>
      <c r="G21" s="69"/>
      <c r="H21" s="69"/>
      <c r="I21" s="69"/>
      <c r="Y21" s="2"/>
      <c r="Z21" s="2"/>
      <c r="AA21" s="2"/>
    </row>
    <row r="22" spans="3:27" ht="30.6" customHeight="1" x14ac:dyDescent="0.5">
      <c r="C22" s="75"/>
      <c r="D22" s="2"/>
      <c r="E22" s="69"/>
      <c r="F22" s="69"/>
      <c r="G22" s="69"/>
      <c r="H22" s="69"/>
      <c r="I22" s="69"/>
      <c r="K22" s="322"/>
      <c r="L22" s="323" t="s">
        <v>121</v>
      </c>
      <c r="M22" s="324" t="s">
        <v>1</v>
      </c>
      <c r="P22" s="453"/>
      <c r="Q22" s="453"/>
      <c r="Y22" s="21"/>
      <c r="Z22" s="69"/>
      <c r="AA22" s="69"/>
    </row>
    <row r="23" spans="3:27" ht="48.6" customHeight="1" thickBot="1" x14ac:dyDescent="0.75">
      <c r="C23" s="75"/>
      <c r="D23" s="2"/>
      <c r="E23" s="69"/>
      <c r="F23" s="69"/>
      <c r="G23" s="69"/>
      <c r="H23" s="69"/>
      <c r="I23" s="69"/>
      <c r="K23" s="53" t="s">
        <v>118</v>
      </c>
      <c r="L23" s="52">
        <f>Q82-Q67-Q71</f>
        <v>0</v>
      </c>
      <c r="M23" s="54">
        <f>L23/I62</f>
        <v>0</v>
      </c>
      <c r="Y23" s="21"/>
      <c r="Z23" s="69"/>
      <c r="AA23" s="91"/>
    </row>
    <row r="24" spans="3:27" ht="48.6" customHeight="1" x14ac:dyDescent="0.7">
      <c r="C24" s="73"/>
      <c r="D24" s="2"/>
      <c r="E24" s="69"/>
      <c r="F24" s="69"/>
      <c r="G24" s="69"/>
      <c r="H24" s="69"/>
      <c r="I24" s="69"/>
      <c r="K24" s="62"/>
      <c r="L24" s="63"/>
      <c r="M24" s="63"/>
      <c r="Y24" s="21"/>
      <c r="Z24" s="69"/>
      <c r="AA24" s="327"/>
    </row>
    <row r="25" spans="3:27" ht="48.6" customHeight="1" x14ac:dyDescent="0.7">
      <c r="C25" s="73"/>
      <c r="D25" s="2"/>
      <c r="E25" s="69"/>
      <c r="F25" s="69"/>
      <c r="G25" s="69"/>
      <c r="H25" s="69"/>
      <c r="I25" s="69"/>
      <c r="K25" s="62"/>
      <c r="L25" s="63"/>
      <c r="M25" s="63"/>
      <c r="Y25" s="21"/>
      <c r="Z25" s="69"/>
      <c r="AA25" s="91"/>
    </row>
    <row r="26" spans="3:27" x14ac:dyDescent="0.25">
      <c r="C26" s="73"/>
      <c r="D26" s="2"/>
      <c r="E26" s="69"/>
      <c r="F26" s="69"/>
      <c r="G26" s="69"/>
      <c r="H26" s="69"/>
      <c r="I26" s="69"/>
      <c r="J26" s="3"/>
      <c r="T26" s="5"/>
      <c r="V26" s="5"/>
      <c r="Y26" s="69"/>
      <c r="Z26" s="69"/>
      <c r="AA26" s="91"/>
    </row>
    <row r="27" spans="3:27" x14ac:dyDescent="0.25">
      <c r="C27" s="73"/>
      <c r="D27" s="2"/>
      <c r="E27" s="69"/>
      <c r="F27" s="69"/>
      <c r="G27" s="69"/>
      <c r="H27" s="69"/>
      <c r="I27" s="148"/>
      <c r="Q27" s="58"/>
      <c r="R27" s="57"/>
      <c r="S27" s="59"/>
      <c r="T27" s="5"/>
      <c r="U27" s="60"/>
      <c r="V27" s="5"/>
      <c r="W27" s="60"/>
      <c r="Y27" s="69"/>
      <c r="Z27" s="69"/>
      <c r="AA27" s="91"/>
    </row>
    <row r="28" spans="3:27" x14ac:dyDescent="0.25">
      <c r="C28" s="73"/>
      <c r="D28" s="2"/>
      <c r="E28" s="69"/>
      <c r="F28" s="69"/>
      <c r="G28" s="69"/>
      <c r="H28" s="69"/>
      <c r="I28" s="69"/>
      <c r="L28" s="330"/>
      <c r="Y28" s="74"/>
      <c r="Z28" s="69"/>
      <c r="AA28" s="328"/>
    </row>
    <row r="29" spans="3:27" x14ac:dyDescent="0.25">
      <c r="C29" s="73"/>
      <c r="D29" s="2"/>
      <c r="E29" s="69"/>
      <c r="F29" s="69"/>
      <c r="G29" s="69"/>
      <c r="H29" s="69"/>
      <c r="I29" s="69"/>
      <c r="Y29" s="21"/>
      <c r="Z29" s="69"/>
      <c r="AA29" s="2"/>
    </row>
    <row r="30" spans="3:27" x14ac:dyDescent="0.25">
      <c r="L30" s="7"/>
      <c r="Y30" s="2"/>
      <c r="Z30" s="69"/>
      <c r="AA30" s="328"/>
    </row>
    <row r="31" spans="3:27" ht="15.75" thickBot="1" x14ac:dyDescent="0.3">
      <c r="F31" s="3"/>
      <c r="G31" s="3"/>
      <c r="H31" s="3"/>
      <c r="I31" s="3"/>
      <c r="J31" s="3"/>
      <c r="K31" s="3"/>
      <c r="M31" s="3"/>
      <c r="Y31" s="21"/>
      <c r="Z31" s="69"/>
      <c r="AA31" s="328"/>
    </row>
    <row r="32" spans="3:27" ht="33.75" x14ac:dyDescent="0.5">
      <c r="C32" s="471"/>
      <c r="D32" s="472"/>
      <c r="E32" s="473"/>
      <c r="F32" s="423" t="s">
        <v>78</v>
      </c>
      <c r="G32" s="424"/>
      <c r="H32" s="424"/>
      <c r="I32" s="424"/>
      <c r="J32" s="425"/>
      <c r="K32" s="284"/>
      <c r="L32" s="483" t="s">
        <v>75</v>
      </c>
      <c r="M32" s="484"/>
      <c r="N32" s="285"/>
      <c r="O32" s="464" t="s">
        <v>79</v>
      </c>
      <c r="P32" s="465"/>
      <c r="Q32" s="466"/>
      <c r="R32" s="464" t="s">
        <v>104</v>
      </c>
      <c r="S32" s="465"/>
      <c r="T32" s="466"/>
      <c r="U32" s="441" t="s">
        <v>30</v>
      </c>
      <c r="Y32" s="2"/>
      <c r="Z32" s="69"/>
      <c r="AA32" s="69"/>
    </row>
    <row r="33" spans="3:29" ht="34.5" thickBot="1" x14ac:dyDescent="0.3">
      <c r="C33" s="379" t="s">
        <v>3</v>
      </c>
      <c r="D33" s="380" t="s">
        <v>34</v>
      </c>
      <c r="E33" s="381" t="s">
        <v>26</v>
      </c>
      <c r="F33" s="382" t="s">
        <v>4</v>
      </c>
      <c r="G33" s="381" t="s">
        <v>38</v>
      </c>
      <c r="H33" s="381" t="s">
        <v>112</v>
      </c>
      <c r="I33" s="383" t="s">
        <v>24</v>
      </c>
      <c r="J33" s="384" t="s">
        <v>81</v>
      </c>
      <c r="K33" s="385"/>
      <c r="L33" s="386" t="s">
        <v>4</v>
      </c>
      <c r="M33" s="387" t="s">
        <v>50</v>
      </c>
      <c r="N33" s="388"/>
      <c r="O33" s="386" t="s">
        <v>4</v>
      </c>
      <c r="P33" s="389" t="s">
        <v>5</v>
      </c>
      <c r="Q33" s="390" t="s">
        <v>35</v>
      </c>
      <c r="R33" s="391" t="s">
        <v>109</v>
      </c>
      <c r="S33" s="392" t="s">
        <v>108</v>
      </c>
      <c r="T33" s="393" t="s">
        <v>31</v>
      </c>
      <c r="U33" s="442"/>
      <c r="Y33" s="2"/>
      <c r="Z33" s="69"/>
      <c r="AA33" s="69"/>
    </row>
    <row r="34" spans="3:29" ht="28.9" customHeight="1" x14ac:dyDescent="0.25">
      <c r="C34" s="467" t="s">
        <v>101</v>
      </c>
      <c r="D34" s="286" t="s">
        <v>203</v>
      </c>
      <c r="E34" s="303" t="s">
        <v>46</v>
      </c>
      <c r="F34" s="170" t="s">
        <v>2</v>
      </c>
      <c r="G34" s="262">
        <f>'Saisie de données'!J4</f>
        <v>0.23</v>
      </c>
      <c r="H34" s="210">
        <f>('Saisie de données'!P11*'Saisie de données'!D4*'Saisie de données'!E4*'Saisie de données'!O4)*0.000001/'Saisie de données'!O8</f>
        <v>1.3599999999999999E-2</v>
      </c>
      <c r="I34" s="487">
        <f>3.6*(5.79+0.55+6.27+5.32+5.79+5.32+3.09)+3.1*(5.32+5.32+5.79)</f>
        <v>167</v>
      </c>
      <c r="J34" s="224">
        <f>H34*(1+G34)*$I$34</f>
        <v>2.794</v>
      </c>
      <c r="K34" s="23"/>
      <c r="L34" s="188" t="s">
        <v>22</v>
      </c>
      <c r="M34" s="250">
        <f>J34/('Saisie de données'!D4*'Saisie de données'!E4*0.000001*(1+G34))</f>
        <v>348.1</v>
      </c>
      <c r="N34" s="25"/>
      <c r="O34" s="197" t="s">
        <v>2</v>
      </c>
      <c r="P34" s="49">
        <v>0</v>
      </c>
      <c r="Q34" s="228">
        <f t="shared" ref="Q34:Q41" si="0">J34*P34</f>
        <v>0</v>
      </c>
      <c r="R34" s="454">
        <v>0</v>
      </c>
      <c r="S34" s="455">
        <v>0</v>
      </c>
      <c r="T34" s="486"/>
      <c r="U34" s="443">
        <f>Q60+R60</f>
        <v>0</v>
      </c>
      <c r="Y34" s="2"/>
      <c r="Z34" s="69"/>
      <c r="AA34" s="91"/>
    </row>
    <row r="35" spans="3:29" ht="29.45" customHeight="1" thickBot="1" x14ac:dyDescent="0.3">
      <c r="C35" s="417"/>
      <c r="D35" s="287" t="s">
        <v>204</v>
      </c>
      <c r="E35" s="304" t="s">
        <v>46</v>
      </c>
      <c r="F35" s="171" t="s">
        <v>2</v>
      </c>
      <c r="G35" s="263">
        <f>'Saisie de données'!J4</f>
        <v>0.23</v>
      </c>
      <c r="H35" s="211">
        <f>('Saisie de données'!D4*'Saisie de données'!E4*0.000001*'Saisie de données'!O6*4)/'Saisie de données'!O8</f>
        <v>7.9000000000000008E-3</v>
      </c>
      <c r="I35" s="488"/>
      <c r="J35" s="225">
        <f>H35*(1+G35)*$I$34</f>
        <v>1.623</v>
      </c>
      <c r="K35" s="23"/>
      <c r="L35" s="189" t="s">
        <v>22</v>
      </c>
      <c r="M35" s="251">
        <f>J35/('Saisie de données'!D4*'Saisie de données'!E4*0.000001*(1+G35))</f>
        <v>202.2</v>
      </c>
      <c r="N35" s="25"/>
      <c r="O35" s="187" t="s">
        <v>2</v>
      </c>
      <c r="P35" s="13">
        <v>0</v>
      </c>
      <c r="Q35" s="230">
        <f t="shared" si="0"/>
        <v>0</v>
      </c>
      <c r="R35" s="454"/>
      <c r="S35" s="455"/>
      <c r="T35" s="486"/>
      <c r="U35" s="444"/>
      <c r="Y35" s="2"/>
      <c r="Z35" s="69"/>
      <c r="AA35" s="2"/>
    </row>
    <row r="36" spans="3:29" ht="29.45" customHeight="1" x14ac:dyDescent="0.25">
      <c r="C36" s="417"/>
      <c r="D36" s="287" t="s">
        <v>205</v>
      </c>
      <c r="E36" s="304" t="s">
        <v>46</v>
      </c>
      <c r="F36" s="171" t="s">
        <v>2</v>
      </c>
      <c r="G36" s="265">
        <f>'Saisie de données'!J5</f>
        <v>0.25</v>
      </c>
      <c r="H36" s="211">
        <v>8.8999999999999999E-3</v>
      </c>
      <c r="I36" s="427">
        <f>3.6*(5.32*2+5.79*2+12+11)+3.1*(5.32*2+5.79*2+6.82+6.82+5.79)</f>
        <v>292</v>
      </c>
      <c r="J36" s="225">
        <f>H36*(G36+1)*I36</f>
        <v>3.2490000000000001</v>
      </c>
      <c r="K36" s="23"/>
      <c r="L36" s="189" t="s">
        <v>22</v>
      </c>
      <c r="M36" s="251">
        <f>J36/(0.000001*'Saisie de données'!D5*'Saisie de données'!E5*(1+G36))</f>
        <v>608</v>
      </c>
      <c r="N36" s="25"/>
      <c r="O36" s="187" t="s">
        <v>2</v>
      </c>
      <c r="P36" s="13">
        <v>0</v>
      </c>
      <c r="Q36" s="230">
        <f t="shared" si="0"/>
        <v>0</v>
      </c>
      <c r="R36" s="454"/>
      <c r="S36" s="455"/>
      <c r="T36" s="486"/>
      <c r="U36" s="444"/>
      <c r="Y36" s="2"/>
      <c r="Z36" s="69"/>
      <c r="AA36" s="2"/>
    </row>
    <row r="37" spans="3:29" ht="29.45" customHeight="1" thickBot="1" x14ac:dyDescent="0.3">
      <c r="C37" s="417"/>
      <c r="D37" s="287" t="s">
        <v>206</v>
      </c>
      <c r="E37" s="304" t="s">
        <v>46</v>
      </c>
      <c r="F37" s="171" t="s">
        <v>2</v>
      </c>
      <c r="G37" s="265">
        <f>'Saisie de données'!J5</f>
        <v>0.25</v>
      </c>
      <c r="H37" s="211">
        <v>5.8999999999999999E-3</v>
      </c>
      <c r="I37" s="427"/>
      <c r="J37" s="225">
        <f>I36*H37*(G37+1)</f>
        <v>2.1539999999999999</v>
      </c>
      <c r="K37" s="23" t="s">
        <v>216</v>
      </c>
      <c r="L37" s="189" t="s">
        <v>22</v>
      </c>
      <c r="M37" s="251">
        <f>J37/(0.000001*'Saisie de données'!D5*'Saisie de données'!E5*(1+'outil chiffrage'!G37))</f>
        <v>403.1</v>
      </c>
      <c r="N37" s="25"/>
      <c r="O37" s="187" t="s">
        <v>2</v>
      </c>
      <c r="P37" s="13">
        <v>0</v>
      </c>
      <c r="Q37" s="230">
        <f t="shared" si="0"/>
        <v>0</v>
      </c>
      <c r="R37" s="454"/>
      <c r="S37" s="455"/>
      <c r="T37" s="486"/>
      <c r="U37" s="444"/>
      <c r="Y37" s="2"/>
      <c r="Z37" s="69"/>
      <c r="AA37" s="2"/>
    </row>
    <row r="38" spans="3:29" ht="27.6" customHeight="1" x14ac:dyDescent="0.25">
      <c r="C38" s="417"/>
      <c r="D38" s="287" t="s">
        <v>39</v>
      </c>
      <c r="E38" s="304" t="s">
        <v>46</v>
      </c>
      <c r="F38" s="171" t="s">
        <v>2</v>
      </c>
      <c r="G38" s="263">
        <f>'Saisie de données'!J6</f>
        <v>0.28999999999999998</v>
      </c>
      <c r="H38" s="211">
        <f>('Saisie de données'!D6*'Saisie de données'!E6*0.000001*'Saisie de données'!P15*'Saisie de données'!O4)/'Saisie de données'!O8</f>
        <v>1.6999999999999999E-3</v>
      </c>
      <c r="I38" s="487">
        <f>I34+I36</f>
        <v>459</v>
      </c>
      <c r="J38" s="225">
        <f>H38*(1+G38)*$I$38</f>
        <v>1.0069999999999999</v>
      </c>
      <c r="K38" s="23"/>
      <c r="L38" s="189" t="s">
        <v>22</v>
      </c>
      <c r="M38" s="251">
        <f>J38/('Saisie de données'!D6*'Saisie de données'!E6*0.000001*2*(1+G38))</f>
        <v>481.9</v>
      </c>
      <c r="N38" s="25"/>
      <c r="O38" s="187" t="s">
        <v>2</v>
      </c>
      <c r="P38" s="13">
        <v>0</v>
      </c>
      <c r="Q38" s="230">
        <f t="shared" si="0"/>
        <v>0</v>
      </c>
      <c r="R38" s="454"/>
      <c r="S38" s="455"/>
      <c r="T38" s="486"/>
      <c r="U38" s="444"/>
      <c r="Y38" s="2"/>
      <c r="Z38" s="69"/>
      <c r="AA38" s="2"/>
    </row>
    <row r="39" spans="3:29" ht="30.6" customHeight="1" x14ac:dyDescent="0.25">
      <c r="C39" s="417"/>
      <c r="D39" s="287" t="s">
        <v>40</v>
      </c>
      <c r="E39" s="304" t="s">
        <v>46</v>
      </c>
      <c r="F39" s="171" t="s">
        <v>2</v>
      </c>
      <c r="G39" s="263">
        <f>'Saisie de données'!J7</f>
        <v>0.37</v>
      </c>
      <c r="H39" s="211">
        <f>('Saisie de données'!D7*'Saisie de données'!E7*'Saisie de données'!P17*'Saisie de données'!O6*0.000001)/'Saisie de données'!O8</f>
        <v>2.5999999999999999E-3</v>
      </c>
      <c r="I39" s="489"/>
      <c r="J39" s="225">
        <f>H39*(1+G39)*$I$38</f>
        <v>1.635</v>
      </c>
      <c r="K39" s="23"/>
      <c r="L39" s="189" t="s">
        <v>22</v>
      </c>
      <c r="M39" s="251">
        <f>J39/('Saisie de données'!D7*'Saisie de données'!E7*0.000001*2)</f>
        <v>672.8</v>
      </c>
      <c r="N39" s="25"/>
      <c r="O39" s="187" t="s">
        <v>2</v>
      </c>
      <c r="P39" s="13">
        <v>0</v>
      </c>
      <c r="Q39" s="230">
        <f t="shared" si="0"/>
        <v>0</v>
      </c>
      <c r="R39" s="454"/>
      <c r="S39" s="455"/>
      <c r="T39" s="486"/>
      <c r="U39" s="444"/>
      <c r="Y39" s="2"/>
      <c r="Z39" s="69"/>
      <c r="AA39" s="2"/>
    </row>
    <row r="40" spans="3:29" ht="26.45" customHeight="1" thickBot="1" x14ac:dyDescent="0.3">
      <c r="C40" s="417"/>
      <c r="D40" s="287" t="s">
        <v>56</v>
      </c>
      <c r="E40" s="304" t="s">
        <v>46</v>
      </c>
      <c r="F40" s="171" t="s">
        <v>2</v>
      </c>
      <c r="G40" s="263">
        <f>'Saisie de données'!J8</f>
        <v>0.37</v>
      </c>
      <c r="H40" s="211">
        <f>('Saisie de données'!P19*'Saisie de données'!O4*'Saisie de données'!D8*'Saisie de données'!E8*0.000001)/'Saisie de données'!O8</f>
        <v>3.3E-3</v>
      </c>
      <c r="I40" s="489"/>
      <c r="J40" s="258">
        <f>H40*(1+G40)*$I$38</f>
        <v>2.0750000000000002</v>
      </c>
      <c r="K40" s="23"/>
      <c r="L40" s="189" t="s">
        <v>22</v>
      </c>
      <c r="M40" s="251">
        <f>J40/('Saisie de données'!D8*'Saisie de données'!E8*0.000001*2*(1+G40))</f>
        <v>623.29999999999995</v>
      </c>
      <c r="N40" s="25"/>
      <c r="O40" s="187" t="s">
        <v>2</v>
      </c>
      <c r="P40" s="13">
        <v>0</v>
      </c>
      <c r="Q40" s="230">
        <f t="shared" si="0"/>
        <v>0</v>
      </c>
      <c r="R40" s="454"/>
      <c r="S40" s="455"/>
      <c r="T40" s="486"/>
      <c r="U40" s="444"/>
      <c r="V40" s="5"/>
      <c r="W40" s="5"/>
      <c r="Y40" s="2"/>
      <c r="Z40" s="69"/>
      <c r="AA40" s="2"/>
    </row>
    <row r="41" spans="3:29" ht="26.45" customHeight="1" thickBot="1" x14ac:dyDescent="0.3">
      <c r="C41" s="417"/>
      <c r="D41" s="287" t="s">
        <v>199</v>
      </c>
      <c r="E41" s="304" t="s">
        <v>46</v>
      </c>
      <c r="F41" s="173" t="s">
        <v>2</v>
      </c>
      <c r="G41" s="325">
        <f>'Saisie de données'!J9</f>
        <v>0.3</v>
      </c>
      <c r="H41" s="326"/>
      <c r="I41" s="489"/>
      <c r="J41" s="336">
        <f>'Saisie de données'!D9*'Saisie de données'!E9*'Saisie de données'!P19*0.000001*(0)</f>
        <v>0</v>
      </c>
      <c r="K41" s="23"/>
      <c r="L41" s="189" t="s">
        <v>22</v>
      </c>
      <c r="M41" s="251">
        <f>(1.6*6.25)/2</f>
        <v>5</v>
      </c>
      <c r="N41" s="25"/>
      <c r="O41" s="205" t="s">
        <v>2</v>
      </c>
      <c r="P41" s="13">
        <v>0</v>
      </c>
      <c r="Q41" s="230">
        <f t="shared" si="0"/>
        <v>0</v>
      </c>
      <c r="R41" s="454"/>
      <c r="S41" s="455"/>
      <c r="T41" s="486"/>
      <c r="U41" s="444"/>
      <c r="V41" s="5"/>
      <c r="W41" s="5"/>
      <c r="Y41" s="2"/>
      <c r="Z41" s="69"/>
      <c r="AA41" s="2"/>
    </row>
    <row r="42" spans="3:29" ht="13.15" customHeight="1" x14ac:dyDescent="0.25">
      <c r="C42" s="417"/>
      <c r="D42" s="288"/>
      <c r="E42" s="305"/>
      <c r="F42" s="172"/>
      <c r="G42" s="264"/>
      <c r="H42" s="212"/>
      <c r="I42" s="489"/>
      <c r="J42" s="335"/>
      <c r="K42" s="24"/>
      <c r="L42" s="190"/>
      <c r="M42" s="252"/>
      <c r="N42" s="24"/>
      <c r="O42" s="198"/>
      <c r="P42" s="20">
        <v>0</v>
      </c>
      <c r="Q42" s="219"/>
      <c r="R42" s="454"/>
      <c r="S42" s="455"/>
      <c r="T42" s="486"/>
      <c r="U42" s="444"/>
      <c r="Y42" s="2"/>
      <c r="Z42" s="69"/>
      <c r="AA42" s="2"/>
    </row>
    <row r="43" spans="3:29" ht="28.9" customHeight="1" x14ac:dyDescent="0.25">
      <c r="C43" s="417"/>
      <c r="D43" s="287" t="s">
        <v>113</v>
      </c>
      <c r="E43" s="304" t="s">
        <v>82</v>
      </c>
      <c r="F43" s="171" t="s">
        <v>1</v>
      </c>
      <c r="G43" s="265">
        <v>0.1</v>
      </c>
      <c r="H43" s="38">
        <v>1</v>
      </c>
      <c r="I43" s="489"/>
      <c r="J43" s="226">
        <f>$I$38*(1+G43)*H43</f>
        <v>504.9</v>
      </c>
      <c r="K43" s="24"/>
      <c r="L43" s="189" t="s">
        <v>23</v>
      </c>
      <c r="M43" s="253">
        <f>J43</f>
        <v>505</v>
      </c>
      <c r="N43" s="26"/>
      <c r="O43" s="187" t="s">
        <v>1</v>
      </c>
      <c r="P43" s="13">
        <v>0</v>
      </c>
      <c r="Q43" s="230">
        <f t="shared" ref="Q43:Q49" si="1">J43*P43</f>
        <v>0</v>
      </c>
      <c r="R43" s="454"/>
      <c r="S43" s="455"/>
      <c r="T43" s="486"/>
      <c r="U43" s="444"/>
      <c r="Y43" s="2"/>
      <c r="Z43" s="2"/>
      <c r="AA43" s="2"/>
    </row>
    <row r="44" spans="3:29" ht="24" customHeight="1" thickBot="1" x14ac:dyDescent="0.3">
      <c r="C44" s="417"/>
      <c r="D44" s="287" t="s">
        <v>0</v>
      </c>
      <c r="E44" s="306" t="s">
        <v>83</v>
      </c>
      <c r="F44" s="171" t="s">
        <v>1</v>
      </c>
      <c r="G44" s="265">
        <v>0.15</v>
      </c>
      <c r="H44" s="213"/>
      <c r="I44" s="489"/>
      <c r="J44" s="227">
        <f>(I38*(1+G44))-J45</f>
        <v>398.6</v>
      </c>
      <c r="K44" s="24"/>
      <c r="L44" s="189" t="s">
        <v>80</v>
      </c>
      <c r="M44" s="253">
        <f>J44/3.36</f>
        <v>119</v>
      </c>
      <c r="N44" s="26"/>
      <c r="O44" s="187" t="s">
        <v>1</v>
      </c>
      <c r="P44" s="13">
        <v>0</v>
      </c>
      <c r="Q44" s="230">
        <f t="shared" si="1"/>
        <v>0</v>
      </c>
      <c r="R44" s="454"/>
      <c r="S44" s="455"/>
      <c r="T44" s="486"/>
      <c r="U44" s="444"/>
      <c r="Y44" s="2"/>
      <c r="Z44" s="2"/>
      <c r="AA44" s="2"/>
    </row>
    <row r="45" spans="3:29" ht="24" customHeight="1" thickBot="1" x14ac:dyDescent="0.3">
      <c r="C45" s="417"/>
      <c r="D45" s="287" t="s">
        <v>95</v>
      </c>
      <c r="E45" s="306" t="s">
        <v>83</v>
      </c>
      <c r="F45" s="171" t="s">
        <v>1</v>
      </c>
      <c r="G45" s="265">
        <v>0.15</v>
      </c>
      <c r="H45" s="213"/>
      <c r="I45" s="489"/>
      <c r="J45" s="334">
        <f>3.6*(4.5+3.4+5+3.4+5)+3.1*(6.5+2.2*0.75+5.3+3.5)</f>
        <v>129.22499999999999</v>
      </c>
      <c r="K45" s="25"/>
      <c r="L45" s="189" t="s">
        <v>80</v>
      </c>
      <c r="M45" s="253">
        <f>J45/3.36</f>
        <v>38</v>
      </c>
      <c r="N45" s="26"/>
      <c r="O45" s="187" t="s">
        <v>1</v>
      </c>
      <c r="P45" s="13">
        <v>0</v>
      </c>
      <c r="Q45" s="230">
        <f t="shared" si="1"/>
        <v>0</v>
      </c>
      <c r="R45" s="454"/>
      <c r="S45" s="455"/>
      <c r="T45" s="486"/>
      <c r="U45" s="444"/>
      <c r="Y45" s="2"/>
      <c r="Z45" s="2"/>
      <c r="AA45" s="2"/>
    </row>
    <row r="46" spans="3:29" ht="24" customHeight="1" x14ac:dyDescent="0.25">
      <c r="C46" s="417"/>
      <c r="D46" s="287" t="s">
        <v>214</v>
      </c>
      <c r="E46" s="304" t="s">
        <v>84</v>
      </c>
      <c r="F46" s="171" t="s">
        <v>1</v>
      </c>
      <c r="G46" s="265">
        <v>0.05</v>
      </c>
      <c r="H46" s="213">
        <f>H47</f>
        <v>0.90600000000000003</v>
      </c>
      <c r="I46" s="489"/>
      <c r="J46" s="235">
        <f>I34*(1+G46)*H46</f>
        <v>159</v>
      </c>
      <c r="K46" s="25"/>
      <c r="L46" s="189" t="s">
        <v>23</v>
      </c>
      <c r="M46" s="253">
        <f>J46</f>
        <v>159</v>
      </c>
      <c r="N46" s="26"/>
      <c r="O46" s="187" t="s">
        <v>1</v>
      </c>
      <c r="P46" s="13">
        <v>0</v>
      </c>
      <c r="Q46" s="230">
        <f t="shared" si="1"/>
        <v>0</v>
      </c>
      <c r="R46" s="454"/>
      <c r="S46" s="455"/>
      <c r="T46" s="486"/>
      <c r="U46" s="444"/>
      <c r="Y46" s="2"/>
      <c r="Z46" s="2"/>
      <c r="AA46" s="2"/>
    </row>
    <row r="47" spans="3:29" ht="24.6" customHeight="1" x14ac:dyDescent="0.25">
      <c r="C47" s="417"/>
      <c r="D47" s="287" t="s">
        <v>215</v>
      </c>
      <c r="E47" s="304" t="s">
        <v>84</v>
      </c>
      <c r="F47" s="171" t="s">
        <v>1</v>
      </c>
      <c r="G47" s="265">
        <v>0.05</v>
      </c>
      <c r="H47" s="211">
        <f>('Saisie de données'!O8-('Saisie de données'!E4*0.001*'Saisie de données'!O4*'Saisie de données'!P11))/'Saisie de données'!O8</f>
        <v>0.90629999999999999</v>
      </c>
      <c r="I47" s="489"/>
      <c r="J47" s="228">
        <f>I36*H47*(1+G47)</f>
        <v>277.89999999999998</v>
      </c>
      <c r="K47" s="23"/>
      <c r="L47" s="189" t="s">
        <v>23</v>
      </c>
      <c r="M47" s="253">
        <f>J47</f>
        <v>278</v>
      </c>
      <c r="N47" s="26"/>
      <c r="O47" s="187" t="s">
        <v>1</v>
      </c>
      <c r="P47" s="13">
        <v>0</v>
      </c>
      <c r="Q47" s="230">
        <f t="shared" si="1"/>
        <v>0</v>
      </c>
      <c r="R47" s="454"/>
      <c r="S47" s="455"/>
      <c r="T47" s="486"/>
      <c r="U47" s="444"/>
      <c r="Y47" s="21"/>
      <c r="Z47" s="69"/>
      <c r="AA47" s="91"/>
      <c r="AB47" s="8"/>
      <c r="AC47" s="8"/>
    </row>
    <row r="48" spans="3:29" ht="24" customHeight="1" x14ac:dyDescent="0.25">
      <c r="C48" s="417"/>
      <c r="D48" s="287" t="s">
        <v>41</v>
      </c>
      <c r="E48" s="304" t="s">
        <v>49</v>
      </c>
      <c r="F48" s="171" t="s">
        <v>1</v>
      </c>
      <c r="G48" s="265">
        <v>0.15</v>
      </c>
      <c r="H48" s="38">
        <v>1</v>
      </c>
      <c r="I48" s="489"/>
      <c r="J48" s="226">
        <f>$I$38*(1+G48)*H48</f>
        <v>527.85</v>
      </c>
      <c r="K48" s="24"/>
      <c r="L48" s="189" t="s">
        <v>23</v>
      </c>
      <c r="M48" s="236">
        <f>J48</f>
        <v>527.85</v>
      </c>
      <c r="N48" s="28"/>
      <c r="O48" s="187" t="s">
        <v>1</v>
      </c>
      <c r="P48" s="13">
        <v>0</v>
      </c>
      <c r="Q48" s="230">
        <f t="shared" si="1"/>
        <v>0</v>
      </c>
      <c r="R48" s="454"/>
      <c r="S48" s="455"/>
      <c r="T48" s="486"/>
      <c r="U48" s="444"/>
      <c r="V48" s="5"/>
      <c r="W48" s="5"/>
      <c r="Y48" s="21"/>
      <c r="Z48" s="69"/>
      <c r="AA48" s="327"/>
      <c r="AB48" s="8"/>
      <c r="AC48" s="8"/>
    </row>
    <row r="49" spans="3:29" ht="27.6" customHeight="1" x14ac:dyDescent="0.25">
      <c r="C49" s="417"/>
      <c r="D49" s="287" t="s">
        <v>42</v>
      </c>
      <c r="E49" s="304" t="s">
        <v>49</v>
      </c>
      <c r="F49" s="171" t="s">
        <v>1</v>
      </c>
      <c r="G49" s="265">
        <v>0.1</v>
      </c>
      <c r="H49" s="38">
        <v>1</v>
      </c>
      <c r="I49" s="489"/>
      <c r="J49" s="226">
        <f>$I$38*(1+G49)*H49</f>
        <v>504.9</v>
      </c>
      <c r="K49" s="24"/>
      <c r="L49" s="189" t="s">
        <v>23</v>
      </c>
      <c r="M49" s="236">
        <f>J49</f>
        <v>504.9</v>
      </c>
      <c r="N49" s="28"/>
      <c r="O49" s="187" t="s">
        <v>1</v>
      </c>
      <c r="P49" s="13">
        <v>0</v>
      </c>
      <c r="Q49" s="230">
        <f t="shared" si="1"/>
        <v>0</v>
      </c>
      <c r="R49" s="454"/>
      <c r="S49" s="455"/>
      <c r="T49" s="486"/>
      <c r="U49" s="444"/>
      <c r="Y49" s="21"/>
      <c r="Z49" s="69"/>
      <c r="AA49" s="327"/>
      <c r="AB49" s="8"/>
      <c r="AC49" s="8"/>
    </row>
    <row r="50" spans="3:29" ht="29.45" customHeight="1" x14ac:dyDescent="0.25">
      <c r="C50" s="417"/>
      <c r="D50" s="287" t="s">
        <v>60</v>
      </c>
      <c r="E50" s="304" t="s">
        <v>117</v>
      </c>
      <c r="F50" s="173" t="s">
        <v>1</v>
      </c>
      <c r="G50" s="266">
        <v>0.1</v>
      </c>
      <c r="H50" s="214">
        <v>0.315</v>
      </c>
      <c r="I50" s="489"/>
      <c r="J50" s="229">
        <f>I38*H50*(1+G50)</f>
        <v>159.04349999999999</v>
      </c>
      <c r="K50" s="24"/>
      <c r="L50" s="189" t="s">
        <v>22</v>
      </c>
      <c r="M50" s="254">
        <f>M35/4</f>
        <v>50.55</v>
      </c>
      <c r="N50" s="24"/>
      <c r="O50" s="183" t="s">
        <v>22</v>
      </c>
      <c r="P50" s="155">
        <v>0</v>
      </c>
      <c r="Q50" s="237">
        <f>P50*J50</f>
        <v>0</v>
      </c>
      <c r="R50" s="454"/>
      <c r="S50" s="455"/>
      <c r="T50" s="486"/>
      <c r="U50" s="444"/>
      <c r="Y50" s="21"/>
      <c r="Z50" s="69"/>
      <c r="AA50" s="327"/>
      <c r="AB50" s="8"/>
      <c r="AC50" s="8"/>
    </row>
    <row r="51" spans="3:29" ht="15.6" customHeight="1" x14ac:dyDescent="0.25">
      <c r="C51" s="417"/>
      <c r="D51" s="288"/>
      <c r="E51" s="307"/>
      <c r="F51" s="174"/>
      <c r="G51" s="267"/>
      <c r="H51" s="215"/>
      <c r="I51" s="489"/>
      <c r="J51" s="220"/>
      <c r="K51" s="24"/>
      <c r="L51" s="191"/>
      <c r="M51" s="252"/>
      <c r="N51" s="24"/>
      <c r="O51" s="198"/>
      <c r="P51" s="20">
        <v>0</v>
      </c>
      <c r="Q51" s="219"/>
      <c r="R51" s="454"/>
      <c r="S51" s="455"/>
      <c r="T51" s="486"/>
      <c r="U51" s="444"/>
      <c r="Y51" s="21"/>
      <c r="Z51" s="69"/>
      <c r="AA51" s="327"/>
      <c r="AB51" s="8"/>
      <c r="AC51" s="8"/>
    </row>
    <row r="52" spans="3:29" ht="27.6" customHeight="1" x14ac:dyDescent="0.25">
      <c r="C52" s="417"/>
      <c r="D52" s="287" t="s">
        <v>43</v>
      </c>
      <c r="E52" s="304" t="s">
        <v>170</v>
      </c>
      <c r="F52" s="171" t="s">
        <v>10</v>
      </c>
      <c r="G52" s="265">
        <v>0.02</v>
      </c>
      <c r="H52" s="211">
        <f>J52/I34</f>
        <v>0.17960000000000001</v>
      </c>
      <c r="I52" s="489"/>
      <c r="J52" s="230">
        <v>30</v>
      </c>
      <c r="K52" s="25"/>
      <c r="L52" s="189" t="s">
        <v>10</v>
      </c>
      <c r="M52" s="253">
        <f t="shared" ref="M52:M58" si="2">J52</f>
        <v>30</v>
      </c>
      <c r="N52" s="26"/>
      <c r="O52" s="187" t="s">
        <v>10</v>
      </c>
      <c r="P52" s="155">
        <v>0</v>
      </c>
      <c r="Q52" s="230">
        <f>J52*P52</f>
        <v>0</v>
      </c>
      <c r="R52" s="454"/>
      <c r="S52" s="455"/>
      <c r="T52" s="486"/>
      <c r="U52" s="444"/>
      <c r="Y52" s="21"/>
      <c r="Z52" s="69"/>
      <c r="AA52" s="327"/>
      <c r="AB52" s="8"/>
      <c r="AC52" s="8"/>
    </row>
    <row r="53" spans="3:29" ht="23.45" customHeight="1" x14ac:dyDescent="0.25">
      <c r="C53" s="417"/>
      <c r="D53" s="287" t="s">
        <v>44</v>
      </c>
      <c r="E53" s="304" t="s">
        <v>171</v>
      </c>
      <c r="F53" s="171" t="s">
        <v>10</v>
      </c>
      <c r="G53" s="265">
        <v>0.02</v>
      </c>
      <c r="H53" s="211">
        <f>H52</f>
        <v>0.17960000000000001</v>
      </c>
      <c r="I53" s="489"/>
      <c r="J53" s="230">
        <f>(1+G53)*H53*$I$38</f>
        <v>84.1</v>
      </c>
      <c r="K53" s="25"/>
      <c r="L53" s="189" t="s">
        <v>10</v>
      </c>
      <c r="M53" s="253">
        <f t="shared" si="2"/>
        <v>84</v>
      </c>
      <c r="N53" s="26"/>
      <c r="O53" s="187" t="s">
        <v>10</v>
      </c>
      <c r="P53" s="155">
        <v>0</v>
      </c>
      <c r="Q53" s="230">
        <f t="shared" ref="Q53:Q58" si="3">J53*P53</f>
        <v>0</v>
      </c>
      <c r="R53" s="454"/>
      <c r="S53" s="455"/>
      <c r="T53" s="486"/>
      <c r="U53" s="444"/>
      <c r="Y53" s="2"/>
      <c r="Z53" s="2"/>
      <c r="AA53" s="2"/>
      <c r="AB53" s="8"/>
      <c r="AC53" s="8"/>
    </row>
    <row r="54" spans="3:29" ht="23.45" customHeight="1" x14ac:dyDescent="0.25">
      <c r="C54" s="417"/>
      <c r="D54" s="287" t="s">
        <v>172</v>
      </c>
      <c r="E54" s="304" t="s">
        <v>173</v>
      </c>
      <c r="F54" s="171" t="s">
        <v>10</v>
      </c>
      <c r="G54" s="265">
        <v>0.02</v>
      </c>
      <c r="H54" s="211">
        <f>3*H52</f>
        <v>0.53879999999999995</v>
      </c>
      <c r="I54" s="489"/>
      <c r="J54" s="230">
        <f>(1+G54)*H54*$I$38</f>
        <v>252.3</v>
      </c>
      <c r="K54" s="25"/>
      <c r="L54" s="189" t="s">
        <v>10</v>
      </c>
      <c r="M54" s="253">
        <f t="shared" si="2"/>
        <v>252</v>
      </c>
      <c r="N54" s="26"/>
      <c r="O54" s="187" t="s">
        <v>10</v>
      </c>
      <c r="P54" s="155">
        <v>0</v>
      </c>
      <c r="Q54" s="230">
        <f t="shared" si="3"/>
        <v>0</v>
      </c>
      <c r="R54" s="454"/>
      <c r="S54" s="455"/>
      <c r="T54" s="486"/>
      <c r="U54" s="444"/>
      <c r="Y54" s="21"/>
      <c r="Z54" s="69"/>
      <c r="AA54" s="8"/>
      <c r="AB54" s="8"/>
      <c r="AC54" s="8"/>
    </row>
    <row r="55" spans="3:29" ht="23.45" customHeight="1" x14ac:dyDescent="0.25">
      <c r="C55" s="417"/>
      <c r="D55" s="287" t="s">
        <v>44</v>
      </c>
      <c r="E55" s="304" t="s">
        <v>178</v>
      </c>
      <c r="F55" s="171" t="s">
        <v>10</v>
      </c>
      <c r="G55" s="265">
        <v>0.02</v>
      </c>
      <c r="H55" s="211">
        <f>('Saisie de données'!O6/1)/'Saisie de données'!O8</f>
        <v>0.30299999999999999</v>
      </c>
      <c r="I55" s="489"/>
      <c r="J55" s="230">
        <f>(1+G55)*H55*$I$38</f>
        <v>141.9</v>
      </c>
      <c r="K55" s="25"/>
      <c r="L55" s="189" t="s">
        <v>10</v>
      </c>
      <c r="M55" s="253">
        <f t="shared" si="2"/>
        <v>142</v>
      </c>
      <c r="N55" s="26"/>
      <c r="O55" s="187" t="s">
        <v>10</v>
      </c>
      <c r="P55" s="155">
        <v>0</v>
      </c>
      <c r="Q55" s="230">
        <f t="shared" si="3"/>
        <v>0</v>
      </c>
      <c r="R55" s="454"/>
      <c r="S55" s="455"/>
      <c r="T55" s="486"/>
      <c r="U55" s="444"/>
      <c r="Y55" s="21"/>
      <c r="Z55" s="69"/>
      <c r="AA55" s="327"/>
      <c r="AB55" s="8"/>
      <c r="AC55" s="8"/>
    </row>
    <row r="56" spans="3:29" ht="23.45" customHeight="1" x14ac:dyDescent="0.25">
      <c r="C56" s="417"/>
      <c r="D56" s="287" t="s">
        <v>179</v>
      </c>
      <c r="E56" s="304" t="s">
        <v>180</v>
      </c>
      <c r="F56" s="171" t="s">
        <v>10</v>
      </c>
      <c r="G56" s="265">
        <v>0.02</v>
      </c>
      <c r="H56" s="211">
        <f>(('Saisie de données'!O6/0.4)/'Saisie de données'!O8)*2</f>
        <v>1.5152000000000001</v>
      </c>
      <c r="I56" s="489"/>
      <c r="J56" s="230">
        <f>I38*H56*(1+G56)</f>
        <v>709.4</v>
      </c>
      <c r="K56" s="25"/>
      <c r="L56" s="189" t="s">
        <v>10</v>
      </c>
      <c r="M56" s="253">
        <f t="shared" si="2"/>
        <v>709</v>
      </c>
      <c r="N56" s="26"/>
      <c r="O56" s="187" t="s">
        <v>10</v>
      </c>
      <c r="P56" s="155">
        <v>0</v>
      </c>
      <c r="Q56" s="230">
        <f t="shared" si="3"/>
        <v>0</v>
      </c>
      <c r="R56" s="454"/>
      <c r="S56" s="455"/>
      <c r="T56" s="486"/>
      <c r="U56" s="444"/>
      <c r="Y56" s="21"/>
      <c r="Z56" s="69"/>
      <c r="AA56" s="327"/>
      <c r="AB56" s="8"/>
      <c r="AC56" s="8"/>
    </row>
    <row r="57" spans="3:29" ht="27.6" customHeight="1" x14ac:dyDescent="0.25">
      <c r="C57" s="417"/>
      <c r="D57" s="287" t="s">
        <v>45</v>
      </c>
      <c r="E57" s="304" t="s">
        <v>119</v>
      </c>
      <c r="F57" s="171" t="s">
        <v>10</v>
      </c>
      <c r="G57" s="265">
        <v>0.02</v>
      </c>
      <c r="H57" s="216">
        <f>(('Saisie de données'!O4*'Saisie de données'!P11/2)/0.3+('Saisie de données'!O4*'Saisie de données'!P11/2)/0.15+(2*'Saisie de données'!O4/0.1)+(2*'Saisie de données'!O6/0.1)+'Saisie de données'!P15*'Saisie de données'!P17+'Saisie de données'!P19*'Saisie de données'!P11+'Saisie de données'!P15*'Saisie de données'!P11)/'Saisie de données'!O8</f>
        <v>36.49</v>
      </c>
      <c r="I57" s="489"/>
      <c r="J57" s="231">
        <f>(1+G57)*H57*$I$38</f>
        <v>17084</v>
      </c>
      <c r="K57" s="26"/>
      <c r="L57" s="189" t="s">
        <v>10</v>
      </c>
      <c r="M57" s="253">
        <f t="shared" si="2"/>
        <v>17084</v>
      </c>
      <c r="N57" s="26"/>
      <c r="O57" s="187" t="s">
        <v>10</v>
      </c>
      <c r="P57" s="13">
        <v>0</v>
      </c>
      <c r="Q57" s="230">
        <f t="shared" si="3"/>
        <v>0</v>
      </c>
      <c r="R57" s="454"/>
      <c r="S57" s="455"/>
      <c r="T57" s="486"/>
      <c r="U57" s="444"/>
      <c r="Y57" s="21"/>
      <c r="Z57" s="69"/>
      <c r="AA57" s="328"/>
      <c r="AB57" s="8"/>
      <c r="AC57" s="8"/>
    </row>
    <row r="58" spans="3:29" ht="24.6" customHeight="1" thickBot="1" x14ac:dyDescent="0.3">
      <c r="C58" s="417"/>
      <c r="D58" s="287" t="s">
        <v>198</v>
      </c>
      <c r="E58" s="304" t="s">
        <v>119</v>
      </c>
      <c r="F58" s="171" t="s">
        <v>10</v>
      </c>
      <c r="G58" s="265">
        <v>0.02</v>
      </c>
      <c r="H58" s="211">
        <f>('Saisie de données'!P11*3*2)/'Saisie de données'!O8</f>
        <v>3.7879</v>
      </c>
      <c r="I58" s="488"/>
      <c r="J58" s="231">
        <f>(1+G58)*H58*$I$38</f>
        <v>1773</v>
      </c>
      <c r="K58" s="26"/>
      <c r="L58" s="189" t="s">
        <v>10</v>
      </c>
      <c r="M58" s="253">
        <f t="shared" si="2"/>
        <v>1773</v>
      </c>
      <c r="N58" s="26"/>
      <c r="O58" s="187" t="s">
        <v>10</v>
      </c>
      <c r="P58" s="13">
        <v>0</v>
      </c>
      <c r="Q58" s="230">
        <f t="shared" si="3"/>
        <v>0</v>
      </c>
      <c r="R58" s="454"/>
      <c r="S58" s="455"/>
      <c r="T58" s="486"/>
      <c r="U58" s="444"/>
      <c r="V58" s="5"/>
      <c r="W58" s="5"/>
      <c r="Z58" s="10"/>
      <c r="AA58" s="10"/>
      <c r="AB58" s="8"/>
      <c r="AC58" s="8"/>
    </row>
    <row r="59" spans="3:29" ht="29.25" thickBot="1" x14ac:dyDescent="0.3">
      <c r="C59" s="417"/>
      <c r="D59" s="289"/>
      <c r="E59" s="308"/>
      <c r="F59" s="173"/>
      <c r="G59" s="268"/>
      <c r="H59" s="16"/>
      <c r="I59" s="12"/>
      <c r="J59" s="232"/>
      <c r="K59" s="24"/>
      <c r="L59" s="192"/>
      <c r="M59" s="232"/>
      <c r="N59" s="24"/>
      <c r="O59" s="183"/>
      <c r="P59" s="14">
        <v>0</v>
      </c>
      <c r="Q59" s="209"/>
      <c r="R59" s="186"/>
      <c r="S59" s="158"/>
      <c r="T59" s="169"/>
      <c r="U59" s="444"/>
      <c r="Z59" s="10"/>
      <c r="AA59" s="9"/>
      <c r="AB59" s="8"/>
      <c r="AC59" s="8"/>
    </row>
    <row r="60" spans="3:29" ht="33" customHeight="1" thickBot="1" x14ac:dyDescent="0.3">
      <c r="C60" s="417"/>
      <c r="D60" s="290" t="s">
        <v>30</v>
      </c>
      <c r="E60" s="309"/>
      <c r="F60" s="175"/>
      <c r="G60" s="269"/>
      <c r="H60" s="18"/>
      <c r="I60" s="19"/>
      <c r="J60" s="233"/>
      <c r="K60" s="27"/>
      <c r="L60" s="175"/>
      <c r="M60" s="233"/>
      <c r="N60" s="27"/>
      <c r="O60" s="199" t="s">
        <v>1</v>
      </c>
      <c r="P60" s="51">
        <v>0</v>
      </c>
      <c r="Q60" s="247">
        <f>SUM(Q34:Q58)</f>
        <v>0</v>
      </c>
      <c r="R60" s="461">
        <f>(S34)*I34+R34*(I34*0.025)</f>
        <v>0</v>
      </c>
      <c r="S60" s="462"/>
      <c r="T60" s="463"/>
      <c r="U60" s="445"/>
      <c r="V60" s="3"/>
    </row>
    <row r="61" spans="3:29" ht="13.15" customHeight="1" thickBot="1" x14ac:dyDescent="0.6">
      <c r="C61" s="301"/>
      <c r="D61" s="291"/>
      <c r="E61" s="310"/>
      <c r="F61" s="176"/>
      <c r="G61" s="270"/>
      <c r="H61" s="33"/>
      <c r="I61" s="34"/>
      <c r="J61" s="221"/>
      <c r="K61" s="24"/>
      <c r="L61" s="193"/>
      <c r="M61" s="221"/>
      <c r="N61" s="24"/>
      <c r="O61" s="184"/>
      <c r="P61" s="36">
        <v>0</v>
      </c>
      <c r="Q61" s="200"/>
      <c r="R61" s="184"/>
      <c r="S61" s="35"/>
      <c r="T61" s="168"/>
      <c r="U61" s="42"/>
    </row>
    <row r="62" spans="3:29" ht="29.45" customHeight="1" x14ac:dyDescent="0.25">
      <c r="C62" s="417" t="s">
        <v>102</v>
      </c>
      <c r="D62" s="287" t="s">
        <v>36</v>
      </c>
      <c r="E62" s="304" t="s">
        <v>46</v>
      </c>
      <c r="F62" s="171" t="s">
        <v>2</v>
      </c>
      <c r="G62" s="265">
        <f>'Saisie de données'!J5</f>
        <v>0.25</v>
      </c>
      <c r="H62" s="211">
        <f>('Saisie de données'!P13*'Saisie de données'!D5*'Saisie de données'!E5*'Saisie de données'!O4*0.000001)/'Saisie de données'!O8</f>
        <v>8.8999999999999999E-3</v>
      </c>
      <c r="I62" s="426">
        <f>3.6*(0.75*11+3*0.75+4*0.75)+3.1*(0.75*7.3+4.8*0.75+2.3*0.75+0.75*5.5)</f>
        <v>95</v>
      </c>
      <c r="J62" s="225">
        <f>$I$62*H62*(1+G62)</f>
        <v>1.0569999999999999</v>
      </c>
      <c r="K62" s="24"/>
      <c r="L62" s="189" t="s">
        <v>22</v>
      </c>
      <c r="M62" s="237">
        <f>J62/(0.000001*'Saisie de données'!D5*'Saisie de données'!E5*(1+G62))</f>
        <v>197.8</v>
      </c>
      <c r="N62" s="24"/>
      <c r="O62" s="187" t="s">
        <v>2</v>
      </c>
      <c r="P62" s="13">
        <v>0</v>
      </c>
      <c r="Q62" s="230">
        <f>P62*J62</f>
        <v>0</v>
      </c>
      <c r="R62" s="485">
        <v>0</v>
      </c>
      <c r="S62" s="455">
        <v>0</v>
      </c>
      <c r="T62" s="486"/>
      <c r="U62" s="443">
        <f>Q82+R82</f>
        <v>0</v>
      </c>
    </row>
    <row r="63" spans="3:29" ht="33" customHeight="1" x14ac:dyDescent="0.25">
      <c r="C63" s="417"/>
      <c r="D63" s="287" t="s">
        <v>37</v>
      </c>
      <c r="E63" s="304" t="s">
        <v>46</v>
      </c>
      <c r="F63" s="171" t="s">
        <v>2</v>
      </c>
      <c r="G63" s="265">
        <f>'Saisie de données'!J5</f>
        <v>0.25</v>
      </c>
      <c r="H63" s="211">
        <f>('Saisie de données'!D5*'Saisie de données'!E5*'Saisie de données'!O6*0.000001*'Saisie de données'!P11)/'Saisie de données'!O8</f>
        <v>6.4999999999999997E-3</v>
      </c>
      <c r="I63" s="427"/>
      <c r="J63" s="225">
        <f>$I$62*H63*(1+G63)</f>
        <v>0.77200000000000002</v>
      </c>
      <c r="K63" s="24"/>
      <c r="L63" s="189" t="s">
        <v>22</v>
      </c>
      <c r="M63" s="237">
        <f>J63/(0.000001*'Saisie de données'!D5*'Saisie de données'!E5*(1+G63))</f>
        <v>144.47</v>
      </c>
      <c r="N63" s="24"/>
      <c r="O63" s="187" t="s">
        <v>2</v>
      </c>
      <c r="P63" s="13">
        <v>0</v>
      </c>
      <c r="Q63" s="230">
        <f t="shared" ref="Q63:Q80" si="4">P63*J63</f>
        <v>0</v>
      </c>
      <c r="R63" s="485"/>
      <c r="S63" s="455"/>
      <c r="T63" s="486"/>
      <c r="U63" s="444"/>
    </row>
    <row r="64" spans="3:29" ht="26.45" customHeight="1" thickBot="1" x14ac:dyDescent="0.3">
      <c r="C64" s="417"/>
      <c r="D64" s="287" t="s">
        <v>56</v>
      </c>
      <c r="E64" s="304" t="s">
        <v>46</v>
      </c>
      <c r="F64" s="171" t="s">
        <v>2</v>
      </c>
      <c r="G64" s="265">
        <f>'Saisie de données'!J8</f>
        <v>0.37</v>
      </c>
      <c r="H64" s="211">
        <f>('Saisie de données'!P19*'Saisie de données'!D8*'Saisie de données'!E8*'Saisie de données'!O4*2)*0.000001/'Saisie de données'!O8</f>
        <v>6.6E-3</v>
      </c>
      <c r="I64" s="427"/>
      <c r="J64" s="258">
        <f>$I$62*H64*(1+G64)</f>
        <v>0.85899999999999999</v>
      </c>
      <c r="K64" s="24"/>
      <c r="L64" s="189" t="s">
        <v>22</v>
      </c>
      <c r="M64" s="230">
        <f>J64/(0.000001*'Saisie de données'!D8*'Saisie de données'!E8*2*(1+G64))</f>
        <v>258</v>
      </c>
      <c r="N64" s="24"/>
      <c r="O64" s="187" t="s">
        <v>2</v>
      </c>
      <c r="P64" s="13">
        <v>0</v>
      </c>
      <c r="Q64" s="230">
        <f t="shared" si="4"/>
        <v>0</v>
      </c>
      <c r="R64" s="485"/>
      <c r="S64" s="455"/>
      <c r="T64" s="486"/>
      <c r="U64" s="444"/>
    </row>
    <row r="65" spans="3:23" ht="26.45" customHeight="1" thickBot="1" x14ac:dyDescent="0.3">
      <c r="C65" s="417"/>
      <c r="D65" s="287" t="s">
        <v>199</v>
      </c>
      <c r="E65" s="304" t="s">
        <v>46</v>
      </c>
      <c r="F65" s="171" t="s">
        <v>2</v>
      </c>
      <c r="G65" s="266">
        <f>'Saisie de données'!J9</f>
        <v>0.3</v>
      </c>
      <c r="H65" s="326"/>
      <c r="I65" s="428"/>
      <c r="J65" s="336">
        <f>'Saisie de données'!P19*'Saisie de données'!D9*'Saisie de données'!E9*0.000001*(0)</f>
        <v>0</v>
      </c>
      <c r="K65" s="24"/>
      <c r="L65" s="189" t="s">
        <v>22</v>
      </c>
      <c r="M65" s="230">
        <f>J65/('Saisie de données'!D9*'Saisie de données'!E9*'Saisie de données'!I9*0.000001)</f>
        <v>0</v>
      </c>
      <c r="N65" s="24"/>
      <c r="O65" s="187"/>
      <c r="P65" s="13">
        <v>0</v>
      </c>
      <c r="Q65" s="230"/>
      <c r="R65" s="485"/>
      <c r="S65" s="455"/>
      <c r="T65" s="486"/>
      <c r="U65" s="444"/>
      <c r="W65">
        <f>0.4*8.5+0.5*4.2+1.3*5.8+0.3*4.2+1.1*6.4+4.4*0.4</f>
        <v>23.1</v>
      </c>
    </row>
    <row r="66" spans="3:23" ht="12.6" customHeight="1" x14ac:dyDescent="0.25">
      <c r="C66" s="417"/>
      <c r="D66" s="288"/>
      <c r="E66" s="307"/>
      <c r="F66" s="172"/>
      <c r="G66" s="271"/>
      <c r="H66" s="212"/>
      <c r="I66" s="427"/>
      <c r="J66" s="222"/>
      <c r="K66" s="24"/>
      <c r="L66" s="190"/>
      <c r="M66" s="219"/>
      <c r="N66" s="24"/>
      <c r="O66" s="201"/>
      <c r="P66" s="20">
        <v>0</v>
      </c>
      <c r="Q66" s="219"/>
      <c r="R66" s="485"/>
      <c r="S66" s="455"/>
      <c r="T66" s="486"/>
      <c r="U66" s="444"/>
    </row>
    <row r="67" spans="3:23" ht="22.15" customHeight="1" x14ac:dyDescent="0.25">
      <c r="C67" s="417"/>
      <c r="D67" s="287" t="s">
        <v>113</v>
      </c>
      <c r="E67" s="304" t="s">
        <v>82</v>
      </c>
      <c r="F67" s="171" t="s">
        <v>1</v>
      </c>
      <c r="G67" s="265">
        <v>0.1</v>
      </c>
      <c r="H67" s="38">
        <f>H43</f>
        <v>1</v>
      </c>
      <c r="I67" s="427"/>
      <c r="J67" s="230">
        <f>(1+G67)*H67*$I$62</f>
        <v>104.5</v>
      </c>
      <c r="K67" s="24"/>
      <c r="L67" s="189" t="s">
        <v>23</v>
      </c>
      <c r="M67" s="230">
        <f>J67</f>
        <v>104.5</v>
      </c>
      <c r="N67" s="24"/>
      <c r="O67" s="187" t="s">
        <v>1</v>
      </c>
      <c r="P67" s="13">
        <v>0</v>
      </c>
      <c r="Q67" s="230">
        <f t="shared" si="4"/>
        <v>0</v>
      </c>
      <c r="R67" s="485"/>
      <c r="S67" s="455"/>
      <c r="T67" s="486"/>
      <c r="U67" s="444"/>
    </row>
    <row r="68" spans="3:23" ht="22.15" customHeight="1" x14ac:dyDescent="0.25">
      <c r="C68" s="417"/>
      <c r="D68" s="287" t="s">
        <v>0</v>
      </c>
      <c r="E68" s="306" t="s">
        <v>83</v>
      </c>
      <c r="F68" s="171" t="s">
        <v>1</v>
      </c>
      <c r="G68" s="265">
        <v>0.15</v>
      </c>
      <c r="H68" s="38">
        <f>1-H71</f>
        <v>0.19</v>
      </c>
      <c r="I68" s="427"/>
      <c r="J68" s="230">
        <f>I62*2-J71-38</f>
        <v>75.3</v>
      </c>
      <c r="K68" s="24"/>
      <c r="L68" s="189" t="s">
        <v>80</v>
      </c>
      <c r="M68" s="230">
        <f>J68/3.36</f>
        <v>22.4</v>
      </c>
      <c r="N68" s="24"/>
      <c r="O68" s="187" t="s">
        <v>1</v>
      </c>
      <c r="P68" s="13">
        <v>0</v>
      </c>
      <c r="Q68" s="230">
        <f t="shared" si="4"/>
        <v>0</v>
      </c>
      <c r="R68" s="485"/>
      <c r="S68" s="455"/>
      <c r="T68" s="486"/>
      <c r="U68" s="444"/>
    </row>
    <row r="69" spans="3:23" ht="24" customHeight="1" x14ac:dyDescent="0.25">
      <c r="C69" s="417"/>
      <c r="D69" s="287" t="s">
        <v>47</v>
      </c>
      <c r="E69" s="304" t="s">
        <v>84</v>
      </c>
      <c r="F69" s="171" t="s">
        <v>1</v>
      </c>
      <c r="G69" s="265">
        <v>0.05</v>
      </c>
      <c r="H69" s="38">
        <f>('Saisie de données'!O8-('Saisie de données'!E5*'Saisie de données'!O4*'Saisie de données'!P13*0.001))/'Saisie de données'!O8</f>
        <v>0.90625</v>
      </c>
      <c r="I69" s="427"/>
      <c r="J69" s="230">
        <f>(1+G69)*H69*$I$62</f>
        <v>90.4</v>
      </c>
      <c r="K69" s="24"/>
      <c r="L69" s="189" t="s">
        <v>23</v>
      </c>
      <c r="M69" s="230">
        <f>J69</f>
        <v>90.4</v>
      </c>
      <c r="N69" s="24"/>
      <c r="O69" s="187" t="s">
        <v>1</v>
      </c>
      <c r="P69" s="13">
        <v>0</v>
      </c>
      <c r="Q69" s="230">
        <f>P69*J69</f>
        <v>0</v>
      </c>
      <c r="R69" s="485"/>
      <c r="S69" s="455"/>
      <c r="T69" s="486"/>
      <c r="U69" s="444"/>
    </row>
    <row r="70" spans="3:23" ht="26.45" customHeight="1" thickBot="1" x14ac:dyDescent="0.3">
      <c r="C70" s="417"/>
      <c r="D70" s="287" t="s">
        <v>94</v>
      </c>
      <c r="E70" s="304" t="s">
        <v>49</v>
      </c>
      <c r="F70" s="171" t="s">
        <v>1</v>
      </c>
      <c r="G70" s="265">
        <v>0.1</v>
      </c>
      <c r="H70" s="38">
        <f>H48</f>
        <v>1</v>
      </c>
      <c r="I70" s="427"/>
      <c r="J70" s="227">
        <f>(1+G70)*H70*$I$62</f>
        <v>104.5</v>
      </c>
      <c r="K70" s="24"/>
      <c r="L70" s="189" t="s">
        <v>23</v>
      </c>
      <c r="M70" s="237">
        <f>J70</f>
        <v>104.5</v>
      </c>
      <c r="N70" s="24"/>
      <c r="O70" s="187" t="s">
        <v>1</v>
      </c>
      <c r="P70" s="13">
        <v>0</v>
      </c>
      <c r="Q70" s="230">
        <f t="shared" si="4"/>
        <v>0</v>
      </c>
      <c r="R70" s="485"/>
      <c r="S70" s="455"/>
      <c r="T70" s="486"/>
      <c r="U70" s="444"/>
    </row>
    <row r="71" spans="3:23" ht="23.45" customHeight="1" thickBot="1" x14ac:dyDescent="0.3">
      <c r="C71" s="417"/>
      <c r="D71" s="287" t="s">
        <v>95</v>
      </c>
      <c r="E71" s="304" t="s">
        <v>114</v>
      </c>
      <c r="F71" s="171" t="s">
        <v>1</v>
      </c>
      <c r="G71" s="265">
        <v>0.15</v>
      </c>
      <c r="H71" s="217">
        <f>J71/I62</f>
        <v>0.81</v>
      </c>
      <c r="I71" s="428"/>
      <c r="J71" s="337">
        <f>(12.25*3.6+(14*0.75*3.1))</f>
        <v>76.7</v>
      </c>
      <c r="K71" s="24"/>
      <c r="L71" s="189" t="s">
        <v>80</v>
      </c>
      <c r="M71" s="237">
        <f>J71/3.36</f>
        <v>22.83</v>
      </c>
      <c r="N71" s="24"/>
      <c r="O71" s="187" t="s">
        <v>1</v>
      </c>
      <c r="P71" s="15">
        <v>0</v>
      </c>
      <c r="Q71" s="230">
        <f t="shared" si="4"/>
        <v>0</v>
      </c>
      <c r="R71" s="485"/>
      <c r="S71" s="455"/>
      <c r="T71" s="486"/>
      <c r="U71" s="444"/>
    </row>
    <row r="72" spans="3:23" ht="23.45" customHeight="1" x14ac:dyDescent="0.25">
      <c r="C72" s="417"/>
      <c r="D72" s="287" t="s">
        <v>60</v>
      </c>
      <c r="E72" s="304" t="s">
        <v>122</v>
      </c>
      <c r="F72" s="173" t="s">
        <v>22</v>
      </c>
      <c r="G72" s="266">
        <v>0.1</v>
      </c>
      <c r="H72" s="214">
        <v>0.315</v>
      </c>
      <c r="I72" s="427"/>
      <c r="J72" s="234">
        <f>H72*I62*(1+G72)</f>
        <v>32.9</v>
      </c>
      <c r="K72" s="24"/>
      <c r="L72" s="189" t="s">
        <v>22</v>
      </c>
      <c r="M72" s="237">
        <f>M63/4</f>
        <v>36.119999999999997</v>
      </c>
      <c r="N72" s="24"/>
      <c r="O72" s="187" t="s">
        <v>22</v>
      </c>
      <c r="P72" s="156">
        <v>0</v>
      </c>
      <c r="Q72" s="230">
        <f>P72*J72</f>
        <v>0</v>
      </c>
      <c r="R72" s="485"/>
      <c r="S72" s="455"/>
      <c r="T72" s="486"/>
      <c r="U72" s="444"/>
    </row>
    <row r="73" spans="3:23" ht="15.6" customHeight="1" x14ac:dyDescent="0.25">
      <c r="C73" s="417"/>
      <c r="D73" s="288"/>
      <c r="E73" s="307"/>
      <c r="F73" s="172"/>
      <c r="G73" s="264"/>
      <c r="H73" s="212"/>
      <c r="I73" s="427"/>
      <c r="J73" s="222"/>
      <c r="K73" s="24"/>
      <c r="L73" s="190"/>
      <c r="M73" s="219"/>
      <c r="N73" s="24"/>
      <c r="O73" s="201"/>
      <c r="P73" s="20">
        <v>0</v>
      </c>
      <c r="Q73" s="219"/>
      <c r="R73" s="485"/>
      <c r="S73" s="455"/>
      <c r="T73" s="486"/>
      <c r="U73" s="444"/>
    </row>
    <row r="74" spans="3:23" ht="26.45" customHeight="1" x14ac:dyDescent="0.25">
      <c r="C74" s="417"/>
      <c r="D74" s="287" t="s">
        <v>43</v>
      </c>
      <c r="E74" s="304" t="s">
        <v>170</v>
      </c>
      <c r="F74" s="171" t="s">
        <v>10</v>
      </c>
      <c r="G74" s="265">
        <v>0.02</v>
      </c>
      <c r="H74" s="217">
        <f>J74/I62</f>
        <v>0.17</v>
      </c>
      <c r="I74" s="427"/>
      <c r="J74" s="230">
        <v>16</v>
      </c>
      <c r="K74" s="24"/>
      <c r="L74" s="189" t="s">
        <v>10</v>
      </c>
      <c r="M74" s="231">
        <f t="shared" ref="M74:M80" si="5">J74</f>
        <v>16</v>
      </c>
      <c r="N74" s="24"/>
      <c r="O74" s="187" t="s">
        <v>10</v>
      </c>
      <c r="P74" s="155">
        <v>0</v>
      </c>
      <c r="Q74" s="230">
        <f t="shared" si="4"/>
        <v>0</v>
      </c>
      <c r="R74" s="485"/>
      <c r="S74" s="455"/>
      <c r="T74" s="486"/>
      <c r="U74" s="444"/>
    </row>
    <row r="75" spans="3:23" ht="22.15" customHeight="1" x14ac:dyDescent="0.25">
      <c r="C75" s="417"/>
      <c r="D75" s="287" t="s">
        <v>44</v>
      </c>
      <c r="E75" s="304" t="s">
        <v>171</v>
      </c>
      <c r="F75" s="171" t="s">
        <v>10</v>
      </c>
      <c r="G75" s="265">
        <v>0.02</v>
      </c>
      <c r="H75" s="211">
        <f>H74</f>
        <v>0.17</v>
      </c>
      <c r="I75" s="427"/>
      <c r="J75" s="230">
        <f t="shared" ref="J75:J80" si="6">(1+G75)*H75*$I$62</f>
        <v>16.5</v>
      </c>
      <c r="K75" s="24"/>
      <c r="L75" s="189" t="s">
        <v>10</v>
      </c>
      <c r="M75" s="231">
        <f t="shared" si="5"/>
        <v>17</v>
      </c>
      <c r="N75" s="24"/>
      <c r="O75" s="187" t="s">
        <v>10</v>
      </c>
      <c r="P75" s="155">
        <v>0</v>
      </c>
      <c r="Q75" s="230">
        <f t="shared" si="4"/>
        <v>0</v>
      </c>
      <c r="R75" s="485"/>
      <c r="S75" s="455"/>
      <c r="T75" s="486"/>
      <c r="U75" s="444"/>
    </row>
    <row r="76" spans="3:23" ht="22.15" customHeight="1" x14ac:dyDescent="0.25">
      <c r="C76" s="417"/>
      <c r="D76" s="287" t="s">
        <v>175</v>
      </c>
      <c r="E76" s="304" t="s">
        <v>173</v>
      </c>
      <c r="F76" s="171" t="s">
        <v>10</v>
      </c>
      <c r="G76" s="265">
        <v>0.02</v>
      </c>
      <c r="H76" s="211">
        <f>3*H74</f>
        <v>0.51</v>
      </c>
      <c r="I76" s="427"/>
      <c r="J76" s="230">
        <f t="shared" si="6"/>
        <v>49.4</v>
      </c>
      <c r="K76" s="24"/>
      <c r="L76" s="189" t="s">
        <v>10</v>
      </c>
      <c r="M76" s="231">
        <f t="shared" si="5"/>
        <v>49</v>
      </c>
      <c r="N76" s="24"/>
      <c r="O76" s="187" t="s">
        <v>10</v>
      </c>
      <c r="P76" s="155">
        <v>0</v>
      </c>
      <c r="Q76" s="230">
        <f t="shared" si="4"/>
        <v>0</v>
      </c>
      <c r="R76" s="485"/>
      <c r="S76" s="455"/>
      <c r="T76" s="486"/>
      <c r="U76" s="444"/>
    </row>
    <row r="77" spans="3:23" ht="22.15" customHeight="1" x14ac:dyDescent="0.25">
      <c r="C77" s="417"/>
      <c r="D77" s="287" t="s">
        <v>44</v>
      </c>
      <c r="E77" s="304" t="s">
        <v>174</v>
      </c>
      <c r="F77" s="171" t="s">
        <v>10</v>
      </c>
      <c r="G77" s="265">
        <v>0.02</v>
      </c>
      <c r="H77" s="211">
        <f>H55</f>
        <v>0.30299999999999999</v>
      </c>
      <c r="I77" s="427"/>
      <c r="J77" s="230">
        <f t="shared" si="6"/>
        <v>29.4</v>
      </c>
      <c r="K77" s="24"/>
      <c r="L77" s="189" t="s">
        <v>10</v>
      </c>
      <c r="M77" s="231">
        <f t="shared" si="5"/>
        <v>29</v>
      </c>
      <c r="N77" s="24"/>
      <c r="O77" s="187" t="s">
        <v>10</v>
      </c>
      <c r="P77" s="155">
        <v>0</v>
      </c>
      <c r="Q77" s="230">
        <f t="shared" si="4"/>
        <v>0</v>
      </c>
      <c r="R77" s="485"/>
      <c r="S77" s="455"/>
      <c r="T77" s="486"/>
      <c r="U77" s="444"/>
    </row>
    <row r="78" spans="3:23" ht="22.15" customHeight="1" x14ac:dyDescent="0.25">
      <c r="C78" s="417"/>
      <c r="D78" s="287" t="s">
        <v>179</v>
      </c>
      <c r="E78" s="304" t="s">
        <v>180</v>
      </c>
      <c r="F78" s="171" t="s">
        <v>10</v>
      </c>
      <c r="G78" s="265">
        <v>0.02</v>
      </c>
      <c r="H78" s="211">
        <f>H56</f>
        <v>1.5152000000000001</v>
      </c>
      <c r="I78" s="427"/>
      <c r="J78" s="230">
        <f>I62*H78*(1+G78)</f>
        <v>146.80000000000001</v>
      </c>
      <c r="K78" s="24"/>
      <c r="L78" s="189" t="s">
        <v>10</v>
      </c>
      <c r="M78" s="231">
        <f t="shared" si="5"/>
        <v>147</v>
      </c>
      <c r="N78" s="24"/>
      <c r="O78" s="187" t="s">
        <v>10</v>
      </c>
      <c r="P78" s="155">
        <v>0</v>
      </c>
      <c r="Q78" s="230">
        <f t="shared" si="4"/>
        <v>0</v>
      </c>
      <c r="R78" s="485"/>
      <c r="S78" s="455"/>
      <c r="T78" s="486"/>
      <c r="U78" s="444"/>
    </row>
    <row r="79" spans="3:23" ht="24" customHeight="1" x14ac:dyDescent="0.25">
      <c r="C79" s="417"/>
      <c r="D79" s="287" t="s">
        <v>45</v>
      </c>
      <c r="E79" s="304" t="s">
        <v>119</v>
      </c>
      <c r="F79" s="171" t="s">
        <v>10</v>
      </c>
      <c r="G79" s="265">
        <v>0.02</v>
      </c>
      <c r="H79" s="217">
        <f>(('Saisie de données'!O4*'Saisie de données'!P13/2)/0.3+('Saisie de données'!O4*'Saisie de données'!P13/2)/0.15+('Saisie de données'!O4*2)/0.1+('Saisie de données'!O6*2)/0.1+'Saisie de données'!P19*'Saisie de données'!P13)/'Saisie de données'!O8</f>
        <v>28.91</v>
      </c>
      <c r="I79" s="427"/>
      <c r="J79" s="230">
        <f t="shared" si="6"/>
        <v>2801.4</v>
      </c>
      <c r="K79" s="24"/>
      <c r="L79" s="189" t="s">
        <v>10</v>
      </c>
      <c r="M79" s="231">
        <f t="shared" si="5"/>
        <v>2801</v>
      </c>
      <c r="N79" s="24"/>
      <c r="O79" s="187" t="s">
        <v>10</v>
      </c>
      <c r="P79" s="13">
        <v>0</v>
      </c>
      <c r="Q79" s="230">
        <f t="shared" si="4"/>
        <v>0</v>
      </c>
      <c r="R79" s="485"/>
      <c r="S79" s="455"/>
      <c r="T79" s="486"/>
      <c r="U79" s="444"/>
    </row>
    <row r="80" spans="3:23" ht="23.45" customHeight="1" thickBot="1" x14ac:dyDescent="0.3">
      <c r="C80" s="417"/>
      <c r="D80" s="287" t="s">
        <v>191</v>
      </c>
      <c r="E80" s="304" t="s">
        <v>119</v>
      </c>
      <c r="F80" s="171" t="s">
        <v>10</v>
      </c>
      <c r="G80" s="265">
        <v>0.02</v>
      </c>
      <c r="H80" s="211">
        <f>('Saisie de données'!P13*3*2)/'Saisie de données'!O8</f>
        <v>3.7879</v>
      </c>
      <c r="I80" s="429"/>
      <c r="J80" s="230">
        <f t="shared" si="6"/>
        <v>367</v>
      </c>
      <c r="K80" s="24"/>
      <c r="L80" s="189" t="s">
        <v>10</v>
      </c>
      <c r="M80" s="231">
        <f t="shared" si="5"/>
        <v>367</v>
      </c>
      <c r="N80" s="24"/>
      <c r="O80" s="187" t="s">
        <v>10</v>
      </c>
      <c r="P80" s="13">
        <v>0</v>
      </c>
      <c r="Q80" s="230">
        <f t="shared" si="4"/>
        <v>0</v>
      </c>
      <c r="R80" s="485"/>
      <c r="S80" s="455"/>
      <c r="T80" s="486"/>
      <c r="U80" s="444"/>
    </row>
    <row r="81" spans="3:22" ht="29.25" thickBot="1" x14ac:dyDescent="0.3">
      <c r="C81" s="417"/>
      <c r="D81" s="292"/>
      <c r="E81" s="311"/>
      <c r="F81" s="173"/>
      <c r="G81" s="272"/>
      <c r="H81" s="16"/>
      <c r="I81" s="12"/>
      <c r="J81" s="232"/>
      <c r="K81" s="24"/>
      <c r="L81" s="194"/>
      <c r="M81" s="255"/>
      <c r="N81" s="24"/>
      <c r="O81" s="202"/>
      <c r="P81" s="14">
        <v>0</v>
      </c>
      <c r="Q81" s="209"/>
      <c r="R81" s="186"/>
      <c r="S81" s="158"/>
      <c r="T81" s="169"/>
      <c r="U81" s="444"/>
    </row>
    <row r="82" spans="3:22" ht="37.9" customHeight="1" thickBot="1" x14ac:dyDescent="0.3">
      <c r="C82" s="417"/>
      <c r="D82" s="290" t="s">
        <v>30</v>
      </c>
      <c r="E82" s="309"/>
      <c r="F82" s="175"/>
      <c r="G82" s="269"/>
      <c r="H82" s="18"/>
      <c r="I82" s="19"/>
      <c r="J82" s="233"/>
      <c r="K82" s="27"/>
      <c r="L82" s="175"/>
      <c r="M82" s="256"/>
      <c r="N82" s="27"/>
      <c r="O82" s="199" t="s">
        <v>1</v>
      </c>
      <c r="P82" s="51">
        <v>0</v>
      </c>
      <c r="Q82" s="248">
        <f>SUM(Q62:Q81)</f>
        <v>0</v>
      </c>
      <c r="R82" s="461">
        <f>(S62)*I62+(R62*(I62*0.025))</f>
        <v>0</v>
      </c>
      <c r="S82" s="462"/>
      <c r="T82" s="463"/>
      <c r="U82" s="445"/>
      <c r="V82" s="3"/>
    </row>
    <row r="83" spans="3:22" ht="36.75" thickBot="1" x14ac:dyDescent="0.6">
      <c r="C83" s="301"/>
      <c r="D83" s="293"/>
      <c r="E83" s="312"/>
      <c r="F83" s="176"/>
      <c r="G83" s="273"/>
      <c r="H83" s="33"/>
      <c r="I83" s="34"/>
      <c r="J83" s="221"/>
      <c r="K83" s="24"/>
      <c r="L83" s="193"/>
      <c r="M83" s="223"/>
      <c r="N83" s="24"/>
      <c r="O83" s="203"/>
      <c r="P83" s="36">
        <v>0</v>
      </c>
      <c r="Q83" s="200"/>
      <c r="R83" s="184"/>
      <c r="S83" s="35"/>
      <c r="T83" s="168"/>
      <c r="U83" s="42"/>
    </row>
    <row r="84" spans="3:22" ht="33" customHeight="1" x14ac:dyDescent="0.25">
      <c r="C84" s="417" t="s">
        <v>103</v>
      </c>
      <c r="D84" s="287" t="s">
        <v>115</v>
      </c>
      <c r="E84" s="304" t="s">
        <v>46</v>
      </c>
      <c r="F84" s="171" t="s">
        <v>2</v>
      </c>
      <c r="G84" s="263">
        <f>'Saisie de données'!J4</f>
        <v>0.23</v>
      </c>
      <c r="H84" s="38"/>
      <c r="I84" s="456">
        <f>'Saisie de données'!T31</f>
        <v>58.77</v>
      </c>
      <c r="J84" s="225">
        <f>(('Saisie de données'!W24*'Saisie de données'!D4*'Saisie de données'!E4*'Saisie de données'!R24*0.000001*'Saisie de données'!S24)+('Saisie de données'!W25*'Saisie de données'!R25*'Saisie de données'!D4*'Saisie de données'!E4*0.000001*'Saisie de données'!S25)+('Saisie de données'!W26*'Saisie de données'!R26*0.000001*'Saisie de données'!D4*'Saisie de données'!E4*'Saisie de données'!S26)+('Saisie de données'!W27*'Saisie de données'!R27*'Saisie de données'!S27*'Saisie de données'!D4*'Saisie de données'!E4*0.000001)+(0.000001*'Saisie de données'!W28*'Saisie de données'!S28*'Saisie de données'!R28*'Saisie de données'!D4*'Saisie de données'!E4)+(0.000001*'Saisie de données'!D4*'Saisie de données'!E4*'Saisie de données'!R29*'Saisie de données'!S29*'Saisie de données'!W29)+(0.000001*'Saisie de données'!W30*'Saisie de données'!S30*'Saisie de données'!R30*'Saisie de données'!D4*'Saisie de données'!E4))*(1+G84)</f>
        <v>0.123</v>
      </c>
      <c r="K84" s="24"/>
      <c r="L84" s="189" t="s">
        <v>22</v>
      </c>
      <c r="M84" s="230">
        <f>J84/('Saisie de données'!$D$4*'Saisie de données'!$E$4*0.000001*(1+G84))</f>
        <v>15.3</v>
      </c>
      <c r="N84" s="25"/>
      <c r="O84" s="187" t="s">
        <v>2</v>
      </c>
      <c r="P84" s="13">
        <v>0</v>
      </c>
      <c r="Q84" s="230">
        <f t="shared" ref="Q84:Q89" si="7">P84*J84</f>
        <v>0</v>
      </c>
      <c r="R84" s="458"/>
      <c r="S84" s="468"/>
      <c r="T84" s="447"/>
      <c r="U84" s="443">
        <f>Q91+R91</f>
        <v>0</v>
      </c>
    </row>
    <row r="85" spans="3:22" ht="26.45" customHeight="1" x14ac:dyDescent="0.25">
      <c r="C85" s="417"/>
      <c r="D85" s="287" t="s">
        <v>91</v>
      </c>
      <c r="E85" s="304" t="s">
        <v>46</v>
      </c>
      <c r="F85" s="171" t="s">
        <v>2</v>
      </c>
      <c r="G85" s="263">
        <f>'Saisie de données'!J4</f>
        <v>0.23</v>
      </c>
      <c r="H85" s="38"/>
      <c r="I85" s="456"/>
      <c r="J85" s="225">
        <f>('Saisie de données'!D4*'Saisie de données'!E4*0.000001*('Saisie de données'!U24*'Saisie de données'!R24+'Saisie de données'!U25*'Saisie de données'!R25+'Saisie de données'!V26*'Saisie de données'!R26+'Saisie de données'!U27*'Saisie de données'!R27+'Saisie de données'!U28*'Saisie de données'!R28+'Saisie de données'!U29*'Saisie de données'!R29+'Saisie de données'!U30*'Saisie de données'!R30))*(1+G85)</f>
        <v>0.32</v>
      </c>
      <c r="K85" s="24"/>
      <c r="L85" s="189" t="s">
        <v>22</v>
      </c>
      <c r="M85" s="230">
        <f>J85/('Saisie de données'!$D$4*'Saisie de données'!$E$4*0.000001*(1+G85))</f>
        <v>39.9</v>
      </c>
      <c r="N85" s="25"/>
      <c r="O85" s="187" t="s">
        <v>2</v>
      </c>
      <c r="P85" s="13">
        <v>0</v>
      </c>
      <c r="Q85" s="230">
        <f t="shared" si="7"/>
        <v>0</v>
      </c>
      <c r="R85" s="459"/>
      <c r="S85" s="469"/>
      <c r="T85" s="448"/>
      <c r="U85" s="444"/>
    </row>
    <row r="86" spans="3:22" ht="26.45" customHeight="1" x14ac:dyDescent="0.25">
      <c r="C86" s="457"/>
      <c r="D86" s="294" t="s">
        <v>116</v>
      </c>
      <c r="E86" s="313" t="s">
        <v>46</v>
      </c>
      <c r="F86" s="177" t="s">
        <v>2</v>
      </c>
      <c r="G86" s="274">
        <f>'Saisie de données'!J4</f>
        <v>0.23</v>
      </c>
      <c r="H86" s="38"/>
      <c r="I86" s="456"/>
      <c r="J86" s="225">
        <f>('Saisie de données'!D4*'Saisie de données'!E4*0.000001*('Saisie de données'!O4*('Saisie de données'!V24+'Saisie de données'!V25+'Saisie de données'!V26+'Saisie de données'!V27+'Saisie de données'!V28+'Saisie de données'!V29+'Saisie de données'!V30)))*(1+G86)</f>
        <v>1.2709999999999999</v>
      </c>
      <c r="K86" s="24"/>
      <c r="L86" s="189" t="s">
        <v>22</v>
      </c>
      <c r="M86" s="230">
        <f>J86/('Saisie de données'!$D$4*'Saisie de données'!$E$4*0.000001*(1+G86))</f>
        <v>158.4</v>
      </c>
      <c r="N86" s="25"/>
      <c r="O86" s="187" t="s">
        <v>2</v>
      </c>
      <c r="P86" s="13">
        <v>0</v>
      </c>
      <c r="Q86" s="230">
        <f t="shared" si="7"/>
        <v>0</v>
      </c>
      <c r="R86" s="460"/>
      <c r="S86" s="470"/>
      <c r="T86" s="449"/>
      <c r="U86" s="444"/>
    </row>
    <row r="87" spans="3:22" ht="26.45" customHeight="1" x14ac:dyDescent="0.25">
      <c r="C87" s="457"/>
      <c r="D87" s="294" t="s">
        <v>43</v>
      </c>
      <c r="E87" s="304" t="s">
        <v>170</v>
      </c>
      <c r="F87" s="177" t="s">
        <v>10</v>
      </c>
      <c r="G87" s="275">
        <v>0.02</v>
      </c>
      <c r="H87" s="39"/>
      <c r="I87" s="456"/>
      <c r="J87" s="235">
        <f>2*('Saisie de données'!S24+'Saisie de données'!S25+'Saisie de données'!S26+'Saisie de données'!S27+'Saisie de données'!S28+'Saisie de données'!S29+'Saisie de données'!S30)*(1+G87)</f>
        <v>35</v>
      </c>
      <c r="K87" s="24"/>
      <c r="L87" s="192" t="s">
        <v>10</v>
      </c>
      <c r="M87" s="230">
        <f>J87</f>
        <v>35</v>
      </c>
      <c r="N87" s="25"/>
      <c r="O87" s="202" t="s">
        <v>10</v>
      </c>
      <c r="P87" s="14">
        <v>0</v>
      </c>
      <c r="Q87" s="227">
        <f t="shared" si="7"/>
        <v>0</v>
      </c>
      <c r="R87" s="186"/>
      <c r="S87" s="158"/>
      <c r="T87" s="169"/>
      <c r="U87" s="444"/>
    </row>
    <row r="88" spans="3:22" ht="26.45" customHeight="1" x14ac:dyDescent="0.25">
      <c r="C88" s="457"/>
      <c r="D88" s="287" t="s">
        <v>44</v>
      </c>
      <c r="E88" s="304" t="s">
        <v>171</v>
      </c>
      <c r="F88" s="171" t="s">
        <v>10</v>
      </c>
      <c r="G88" s="275">
        <v>0.02</v>
      </c>
      <c r="H88" s="39"/>
      <c r="I88" s="456"/>
      <c r="J88" s="225">
        <f>J87</f>
        <v>35</v>
      </c>
      <c r="K88" s="24"/>
      <c r="L88" s="189" t="s">
        <v>10</v>
      </c>
      <c r="M88" s="230">
        <f>J88</f>
        <v>35</v>
      </c>
      <c r="N88" s="25"/>
      <c r="O88" s="202" t="s">
        <v>10</v>
      </c>
      <c r="P88" s="14">
        <v>0</v>
      </c>
      <c r="Q88" s="227">
        <f t="shared" si="7"/>
        <v>0</v>
      </c>
      <c r="R88" s="186"/>
      <c r="S88" s="158"/>
      <c r="T88" s="169"/>
      <c r="U88" s="444"/>
    </row>
    <row r="89" spans="3:22" ht="26.45" customHeight="1" x14ac:dyDescent="0.25">
      <c r="C89" s="457"/>
      <c r="D89" s="287" t="s">
        <v>175</v>
      </c>
      <c r="E89" s="304" t="s">
        <v>173</v>
      </c>
      <c r="F89" s="171" t="s">
        <v>10</v>
      </c>
      <c r="G89" s="275">
        <v>0.02</v>
      </c>
      <c r="H89" s="39"/>
      <c r="I89" s="456"/>
      <c r="J89" s="235">
        <f>3*J88</f>
        <v>105</v>
      </c>
      <c r="K89" s="24"/>
      <c r="L89" s="189" t="s">
        <v>10</v>
      </c>
      <c r="M89" s="230">
        <f>J89</f>
        <v>105</v>
      </c>
      <c r="N89" s="25"/>
      <c r="O89" s="202" t="s">
        <v>10</v>
      </c>
      <c r="P89" s="14">
        <v>0</v>
      </c>
      <c r="Q89" s="227">
        <f t="shared" si="7"/>
        <v>0</v>
      </c>
      <c r="R89" s="186"/>
      <c r="S89" s="158"/>
      <c r="T89" s="169"/>
      <c r="U89" s="444"/>
    </row>
    <row r="90" spans="3:22" ht="15" customHeight="1" thickBot="1" x14ac:dyDescent="0.35">
      <c r="C90" s="417"/>
      <c r="D90" s="292"/>
      <c r="E90" s="314"/>
      <c r="F90" s="173"/>
      <c r="G90" s="272"/>
      <c r="H90" s="39"/>
      <c r="I90" s="456"/>
      <c r="J90" s="229"/>
      <c r="K90" s="24"/>
      <c r="L90" s="192"/>
      <c r="M90" s="229"/>
      <c r="N90" s="24"/>
      <c r="O90" s="202"/>
      <c r="P90" s="14">
        <v>0</v>
      </c>
      <c r="Q90" s="249"/>
      <c r="R90" s="186"/>
      <c r="S90" s="158"/>
      <c r="T90" s="169"/>
      <c r="U90" s="444"/>
    </row>
    <row r="91" spans="3:22" ht="40.9" customHeight="1" thickBot="1" x14ac:dyDescent="0.35">
      <c r="C91" s="417"/>
      <c r="D91" s="290" t="s">
        <v>30</v>
      </c>
      <c r="E91" s="315"/>
      <c r="F91" s="175"/>
      <c r="G91" s="269"/>
      <c r="H91" s="18"/>
      <c r="I91" s="40"/>
      <c r="J91" s="233"/>
      <c r="K91" s="27"/>
      <c r="L91" s="175"/>
      <c r="M91" s="256"/>
      <c r="N91" s="27"/>
      <c r="O91" s="199" t="s">
        <v>1</v>
      </c>
      <c r="P91" s="51">
        <v>0</v>
      </c>
      <c r="Q91" s="247">
        <f>SUM(Q84:Q90)</f>
        <v>0</v>
      </c>
      <c r="R91" s="461"/>
      <c r="S91" s="462"/>
      <c r="T91" s="463"/>
      <c r="U91" s="445"/>
      <c r="V91" s="3"/>
    </row>
    <row r="92" spans="3:22" ht="36.75" thickBot="1" x14ac:dyDescent="0.6">
      <c r="C92" s="301"/>
      <c r="D92" s="293"/>
      <c r="E92" s="316"/>
      <c r="F92" s="176"/>
      <c r="G92" s="273"/>
      <c r="H92" s="37"/>
      <c r="I92" s="34"/>
      <c r="J92" s="221"/>
      <c r="K92" s="24"/>
      <c r="L92" s="193"/>
      <c r="M92" s="223"/>
      <c r="N92" s="24"/>
      <c r="O92" s="203"/>
      <c r="P92" s="36">
        <v>0</v>
      </c>
      <c r="Q92" s="204"/>
      <c r="R92" s="184"/>
      <c r="S92" s="35"/>
      <c r="T92" s="168"/>
      <c r="U92" s="42"/>
    </row>
    <row r="93" spans="3:22" ht="37.15" customHeight="1" thickBot="1" x14ac:dyDescent="0.3">
      <c r="C93" s="417" t="s">
        <v>219</v>
      </c>
      <c r="D93" s="295" t="s">
        <v>160</v>
      </c>
      <c r="E93" s="304" t="s">
        <v>83</v>
      </c>
      <c r="F93" s="171" t="s">
        <v>1</v>
      </c>
      <c r="G93" s="265">
        <v>0.15</v>
      </c>
      <c r="H93" s="17">
        <v>1</v>
      </c>
      <c r="I93" s="363">
        <f>+I95-I94</f>
        <v>192</v>
      </c>
      <c r="J93" s="253">
        <f>I93*(1+G93)</f>
        <v>221</v>
      </c>
      <c r="K93" s="28"/>
      <c r="L93" s="189" t="s">
        <v>23</v>
      </c>
      <c r="M93" s="230">
        <f t="shared" ref="M93:M98" si="8">J93</f>
        <v>221</v>
      </c>
      <c r="N93" s="24"/>
      <c r="O93" s="187" t="s">
        <v>1</v>
      </c>
      <c r="P93" s="13">
        <v>0</v>
      </c>
      <c r="Q93" s="230">
        <f>P93*J93</f>
        <v>0</v>
      </c>
      <c r="R93" s="474"/>
      <c r="S93" s="468"/>
      <c r="T93" s="447"/>
      <c r="U93" s="443">
        <f>Q119+R119</f>
        <v>0</v>
      </c>
    </row>
    <row r="94" spans="3:22" ht="26.45" customHeight="1" thickBot="1" x14ac:dyDescent="0.3">
      <c r="C94" s="417"/>
      <c r="D94" s="287" t="s">
        <v>95</v>
      </c>
      <c r="E94" s="304" t="s">
        <v>99</v>
      </c>
      <c r="F94" s="171" t="s">
        <v>1</v>
      </c>
      <c r="G94" s="265">
        <v>0.15</v>
      </c>
      <c r="H94" s="38">
        <v>1</v>
      </c>
      <c r="I94" s="218">
        <v>0</v>
      </c>
      <c r="J94" s="226">
        <f>I94*(1+G94)</f>
        <v>0</v>
      </c>
      <c r="K94" s="24"/>
      <c r="L94" s="189" t="s">
        <v>23</v>
      </c>
      <c r="M94" s="230">
        <f t="shared" si="8"/>
        <v>0</v>
      </c>
      <c r="N94" s="24"/>
      <c r="O94" s="187" t="s">
        <v>1</v>
      </c>
      <c r="P94" s="15">
        <v>0</v>
      </c>
      <c r="Q94" s="230">
        <f t="shared" ref="Q94:Q103" si="9">P94*J94</f>
        <v>0</v>
      </c>
      <c r="R94" s="474"/>
      <c r="S94" s="469"/>
      <c r="T94" s="448"/>
      <c r="U94" s="444"/>
    </row>
    <row r="95" spans="3:22" ht="28.9" customHeight="1" x14ac:dyDescent="0.25">
      <c r="C95" s="417"/>
      <c r="D95" s="295" t="s">
        <v>96</v>
      </c>
      <c r="E95" s="304" t="s">
        <v>48</v>
      </c>
      <c r="F95" s="171" t="s">
        <v>1</v>
      </c>
      <c r="G95" s="265">
        <v>0.05</v>
      </c>
      <c r="H95" s="38">
        <v>1</v>
      </c>
      <c r="I95" s="426">
        <f>5.68*5.09+5.09*5.09+0.75*10.5*5.56+5.09*5.56+11.76*5.56</f>
        <v>192</v>
      </c>
      <c r="J95" s="231">
        <f>I95*(1+G95)</f>
        <v>202</v>
      </c>
      <c r="K95" s="24"/>
      <c r="L95" s="189" t="s">
        <v>23</v>
      </c>
      <c r="M95" s="226">
        <f t="shared" si="8"/>
        <v>202</v>
      </c>
      <c r="N95" s="24"/>
      <c r="O95" s="187" t="s">
        <v>1</v>
      </c>
      <c r="P95" s="13">
        <v>0</v>
      </c>
      <c r="Q95" s="230">
        <f t="shared" si="9"/>
        <v>0</v>
      </c>
      <c r="R95" s="474"/>
      <c r="S95" s="469"/>
      <c r="T95" s="448"/>
      <c r="U95" s="444"/>
    </row>
    <row r="96" spans="3:22" ht="24" customHeight="1" x14ac:dyDescent="0.25">
      <c r="C96" s="417"/>
      <c r="D96" s="295" t="s">
        <v>94</v>
      </c>
      <c r="E96" s="304" t="s">
        <v>49</v>
      </c>
      <c r="F96" s="171" t="s">
        <v>1</v>
      </c>
      <c r="G96" s="265">
        <v>0.15</v>
      </c>
      <c r="H96" s="38">
        <v>1</v>
      </c>
      <c r="I96" s="427"/>
      <c r="J96" s="231">
        <f>I95*(1+G96)</f>
        <v>221</v>
      </c>
      <c r="K96" s="24"/>
      <c r="L96" s="189" t="s">
        <v>23</v>
      </c>
      <c r="M96" s="237">
        <f t="shared" si="8"/>
        <v>221</v>
      </c>
      <c r="N96" s="24"/>
      <c r="O96" s="187" t="s">
        <v>1</v>
      </c>
      <c r="P96" s="13">
        <v>0</v>
      </c>
      <c r="Q96" s="230">
        <f t="shared" si="9"/>
        <v>0</v>
      </c>
      <c r="R96" s="474"/>
      <c r="S96" s="469"/>
      <c r="T96" s="448"/>
      <c r="U96" s="444"/>
    </row>
    <row r="97" spans="3:21" ht="22.15" customHeight="1" x14ac:dyDescent="0.25">
      <c r="C97" s="417"/>
      <c r="D97" s="295" t="s">
        <v>97</v>
      </c>
      <c r="E97" s="304"/>
      <c r="F97" s="171" t="s">
        <v>10</v>
      </c>
      <c r="G97" s="265">
        <v>0.02</v>
      </c>
      <c r="H97" s="217">
        <v>0.76</v>
      </c>
      <c r="I97" s="427"/>
      <c r="J97" s="231">
        <f>I95*H97*(1+G97)</f>
        <v>149</v>
      </c>
      <c r="K97" s="24"/>
      <c r="L97" s="189" t="s">
        <v>10</v>
      </c>
      <c r="M97" s="231">
        <f t="shared" si="8"/>
        <v>149</v>
      </c>
      <c r="N97" s="24"/>
      <c r="O97" s="187" t="s">
        <v>10</v>
      </c>
      <c r="P97" s="15">
        <v>0</v>
      </c>
      <c r="Q97" s="230">
        <f t="shared" si="9"/>
        <v>0</v>
      </c>
      <c r="R97" s="474"/>
      <c r="S97" s="469"/>
      <c r="T97" s="448"/>
      <c r="U97" s="444"/>
    </row>
    <row r="98" spans="3:21" ht="23.45" customHeight="1" thickBot="1" x14ac:dyDescent="0.3">
      <c r="C98" s="417"/>
      <c r="D98" s="295" t="s">
        <v>98</v>
      </c>
      <c r="E98" s="304"/>
      <c r="F98" s="171" t="s">
        <v>22</v>
      </c>
      <c r="G98" s="265">
        <v>0.02</v>
      </c>
      <c r="H98" s="217">
        <v>1.52</v>
      </c>
      <c r="I98" s="429"/>
      <c r="J98" s="231">
        <f>H98*I95*(G98+1)</f>
        <v>298</v>
      </c>
      <c r="K98" s="24"/>
      <c r="L98" s="189" t="s">
        <v>22</v>
      </c>
      <c r="M98" s="231">
        <f t="shared" si="8"/>
        <v>298</v>
      </c>
      <c r="N98" s="24"/>
      <c r="O98" s="187" t="s">
        <v>22</v>
      </c>
      <c r="P98" s="15">
        <v>0</v>
      </c>
      <c r="Q98" s="230">
        <f t="shared" si="9"/>
        <v>0</v>
      </c>
      <c r="R98" s="474"/>
      <c r="S98" s="469"/>
      <c r="T98" s="448"/>
      <c r="U98" s="444"/>
    </row>
    <row r="99" spans="3:21" ht="29.25" thickBot="1" x14ac:dyDescent="0.3">
      <c r="C99" s="417"/>
      <c r="D99" s="367" t="s">
        <v>207</v>
      </c>
      <c r="E99" s="368"/>
      <c r="F99" s="369"/>
      <c r="G99" s="370"/>
      <c r="H99" s="371"/>
      <c r="I99" s="372"/>
      <c r="J99" s="366"/>
      <c r="K99" s="24"/>
      <c r="L99" s="364"/>
      <c r="M99" s="365"/>
      <c r="N99" s="24"/>
      <c r="O99" s="187"/>
      <c r="P99" s="13">
        <v>0</v>
      </c>
      <c r="Q99" s="230"/>
      <c r="R99" s="474"/>
      <c r="S99" s="469"/>
      <c r="T99" s="448"/>
      <c r="U99" s="444"/>
    </row>
    <row r="100" spans="3:21" ht="28.9" customHeight="1" x14ac:dyDescent="0.25">
      <c r="C100" s="417"/>
      <c r="D100" s="295" t="s">
        <v>28</v>
      </c>
      <c r="E100" s="304" t="s">
        <v>100</v>
      </c>
      <c r="F100" s="171" t="s">
        <v>1</v>
      </c>
      <c r="G100" s="265">
        <v>0.1</v>
      </c>
      <c r="H100" s="38"/>
      <c r="I100" s="475">
        <f>6.02*5.55+8.95*6.02+12.26*6.02</f>
        <v>161.1</v>
      </c>
      <c r="J100" s="237">
        <f>I100*(1+G100)</f>
        <v>177.21</v>
      </c>
      <c r="K100" s="28"/>
      <c r="L100" s="182" t="s">
        <v>23</v>
      </c>
      <c r="M100" s="231">
        <f>J100</f>
        <v>177</v>
      </c>
      <c r="N100" s="24"/>
      <c r="O100" s="187" t="s">
        <v>1</v>
      </c>
      <c r="P100" s="15">
        <v>0</v>
      </c>
      <c r="Q100" s="230">
        <f t="shared" si="9"/>
        <v>0</v>
      </c>
      <c r="R100" s="474"/>
      <c r="S100" s="469"/>
      <c r="T100" s="448"/>
      <c r="U100" s="444"/>
    </row>
    <row r="101" spans="3:21" ht="28.9" customHeight="1" x14ac:dyDescent="0.25">
      <c r="C101" s="417"/>
      <c r="D101" s="295" t="s">
        <v>192</v>
      </c>
      <c r="E101" s="304"/>
      <c r="F101" s="171" t="s">
        <v>10</v>
      </c>
      <c r="G101" s="265">
        <v>0.02</v>
      </c>
      <c r="H101" s="38">
        <v>11.7</v>
      </c>
      <c r="I101" s="476"/>
      <c r="J101" s="231">
        <f>I100*H101*(1+G101)</f>
        <v>1923</v>
      </c>
      <c r="K101" s="28"/>
      <c r="L101" s="182"/>
      <c r="M101" s="231"/>
      <c r="N101" s="24"/>
      <c r="O101" s="187"/>
      <c r="P101" s="15">
        <v>0</v>
      </c>
      <c r="Q101" s="230"/>
      <c r="R101" s="474"/>
      <c r="S101" s="469"/>
      <c r="T101" s="448"/>
      <c r="U101" s="444"/>
    </row>
    <row r="102" spans="3:21" ht="28.9" customHeight="1" x14ac:dyDescent="0.25">
      <c r="C102" s="417"/>
      <c r="D102" s="295" t="s">
        <v>220</v>
      </c>
      <c r="E102" s="304"/>
      <c r="F102" s="171" t="s">
        <v>1</v>
      </c>
      <c r="G102" s="265">
        <v>0.05</v>
      </c>
      <c r="H102" s="38"/>
      <c r="I102" s="476"/>
      <c r="J102" s="237">
        <f>I100*(1+G102)</f>
        <v>169.16</v>
      </c>
      <c r="K102" s="28"/>
      <c r="L102" s="182" t="s">
        <v>23</v>
      </c>
      <c r="M102" s="231">
        <f>J102</f>
        <v>169</v>
      </c>
      <c r="N102" s="24"/>
      <c r="O102" s="187"/>
      <c r="P102" s="15">
        <v>0</v>
      </c>
      <c r="Q102" s="230"/>
      <c r="R102" s="474"/>
      <c r="S102" s="469"/>
      <c r="T102" s="448"/>
      <c r="U102" s="444"/>
    </row>
    <row r="103" spans="3:21" ht="27.6" customHeight="1" thickBot="1" x14ac:dyDescent="0.35">
      <c r="C103" s="417"/>
      <c r="D103" s="295" t="s">
        <v>202</v>
      </c>
      <c r="E103" s="317"/>
      <c r="F103" s="171" t="s">
        <v>1</v>
      </c>
      <c r="G103" s="265">
        <v>0.05</v>
      </c>
      <c r="H103" s="38"/>
      <c r="I103" s="477"/>
      <c r="J103" s="237">
        <f>I100*(1+G103)</f>
        <v>169.16</v>
      </c>
      <c r="K103" s="28"/>
      <c r="L103" s="182" t="s">
        <v>23</v>
      </c>
      <c r="M103" s="245">
        <f>J103</f>
        <v>169</v>
      </c>
      <c r="N103" s="24"/>
      <c r="O103" s="187" t="s">
        <v>1</v>
      </c>
      <c r="P103" s="15">
        <v>0</v>
      </c>
      <c r="Q103" s="230">
        <f t="shared" si="9"/>
        <v>0</v>
      </c>
      <c r="R103" s="474"/>
      <c r="S103" s="469"/>
      <c r="T103" s="448"/>
      <c r="U103" s="444"/>
    </row>
    <row r="104" spans="3:21" ht="27.6" customHeight="1" thickBot="1" x14ac:dyDescent="0.35">
      <c r="C104" s="417"/>
      <c r="D104" s="296" t="s">
        <v>193</v>
      </c>
      <c r="E104" s="302"/>
      <c r="F104" s="177" t="s">
        <v>22</v>
      </c>
      <c r="G104" s="283"/>
      <c r="H104" s="39"/>
      <c r="I104" s="339"/>
      <c r="J104" s="238"/>
      <c r="K104" s="28"/>
      <c r="L104" s="182"/>
      <c r="M104" s="245"/>
      <c r="N104" s="24"/>
      <c r="O104" s="202"/>
      <c r="P104" s="149">
        <v>0</v>
      </c>
      <c r="Q104" s="227"/>
      <c r="R104" s="183"/>
      <c r="S104" s="469"/>
      <c r="T104" s="448"/>
      <c r="U104" s="444"/>
    </row>
    <row r="105" spans="3:21" ht="27.6" customHeight="1" thickBot="1" x14ac:dyDescent="0.35">
      <c r="C105" s="417"/>
      <c r="D105" s="296" t="s">
        <v>29</v>
      </c>
      <c r="E105" s="302"/>
      <c r="F105" s="177" t="s">
        <v>22</v>
      </c>
      <c r="G105" s="283">
        <v>0.02</v>
      </c>
      <c r="H105" s="39"/>
      <c r="I105" s="339"/>
      <c r="J105" s="338">
        <v>0</v>
      </c>
      <c r="K105" s="28"/>
      <c r="L105" s="182" t="s">
        <v>22</v>
      </c>
      <c r="M105" s="245">
        <f>J105</f>
        <v>0</v>
      </c>
      <c r="N105" s="24"/>
      <c r="O105" s="202"/>
      <c r="P105" s="149">
        <v>0</v>
      </c>
      <c r="Q105" s="227"/>
      <c r="R105" s="183"/>
      <c r="S105" s="469"/>
      <c r="T105" s="448"/>
      <c r="U105" s="444"/>
    </row>
    <row r="106" spans="3:21" ht="27.6" customHeight="1" x14ac:dyDescent="0.3">
      <c r="C106" s="417"/>
      <c r="D106" s="296" t="s">
        <v>194</v>
      </c>
      <c r="E106" s="302"/>
      <c r="F106" s="177" t="s">
        <v>10</v>
      </c>
      <c r="G106" s="283">
        <v>0.02</v>
      </c>
      <c r="H106" s="39"/>
      <c r="I106" s="339"/>
      <c r="J106" s="238"/>
      <c r="K106" s="28"/>
      <c r="L106" s="182" t="s">
        <v>10</v>
      </c>
      <c r="M106" s="245">
        <f>J106</f>
        <v>0</v>
      </c>
      <c r="N106" s="24"/>
      <c r="O106" s="202"/>
      <c r="P106" s="149">
        <v>0</v>
      </c>
      <c r="Q106" s="227"/>
      <c r="R106" s="183"/>
      <c r="S106" s="469"/>
      <c r="T106" s="448"/>
      <c r="U106" s="444"/>
    </row>
    <row r="107" spans="3:21" ht="27.6" customHeight="1" x14ac:dyDescent="0.3">
      <c r="C107" s="417"/>
      <c r="D107" s="296" t="s">
        <v>195</v>
      </c>
      <c r="E107" s="302"/>
      <c r="F107" s="177" t="s">
        <v>10</v>
      </c>
      <c r="G107" s="283">
        <v>0.02</v>
      </c>
      <c r="H107" s="39"/>
      <c r="I107" s="339"/>
      <c r="J107" s="238"/>
      <c r="K107" s="28"/>
      <c r="L107" s="182" t="s">
        <v>10</v>
      </c>
      <c r="M107" s="245">
        <f>J107</f>
        <v>0</v>
      </c>
      <c r="N107" s="24"/>
      <c r="O107" s="202"/>
      <c r="P107" s="149">
        <v>0</v>
      </c>
      <c r="Q107" s="227"/>
      <c r="R107" s="183"/>
      <c r="S107" s="469"/>
      <c r="T107" s="448"/>
      <c r="U107" s="444"/>
    </row>
    <row r="108" spans="3:21" ht="27.6" customHeight="1" x14ac:dyDescent="0.3">
      <c r="C108" s="417"/>
      <c r="D108" s="296" t="s">
        <v>196</v>
      </c>
      <c r="E108" s="302"/>
      <c r="F108" s="177" t="s">
        <v>22</v>
      </c>
      <c r="G108" s="283"/>
      <c r="H108" s="39"/>
      <c r="I108" s="339"/>
      <c r="J108" s="238"/>
      <c r="K108" s="28"/>
      <c r="L108" s="182"/>
      <c r="M108" s="245"/>
      <c r="N108" s="24"/>
      <c r="O108" s="202"/>
      <c r="P108" s="149">
        <v>0</v>
      </c>
      <c r="Q108" s="227"/>
      <c r="R108" s="183"/>
      <c r="S108" s="469"/>
      <c r="T108" s="448"/>
      <c r="U108" s="444"/>
    </row>
    <row r="109" spans="3:21" ht="27.6" customHeight="1" thickBot="1" x14ac:dyDescent="0.35">
      <c r="C109" s="417"/>
      <c r="D109" s="296" t="s">
        <v>197</v>
      </c>
      <c r="E109" s="302"/>
      <c r="F109" s="177" t="s">
        <v>22</v>
      </c>
      <c r="G109" s="283"/>
      <c r="H109" s="39"/>
      <c r="I109" s="340"/>
      <c r="J109" s="238"/>
      <c r="K109" s="28"/>
      <c r="L109" s="182"/>
      <c r="M109" s="245"/>
      <c r="N109" s="24"/>
      <c r="O109" s="202"/>
      <c r="P109" s="149">
        <v>0</v>
      </c>
      <c r="Q109" s="227"/>
      <c r="R109" s="183"/>
      <c r="S109" s="469"/>
      <c r="T109" s="448"/>
      <c r="U109" s="444"/>
    </row>
    <row r="110" spans="3:21" ht="27.6" customHeight="1" thickBot="1" x14ac:dyDescent="0.35">
      <c r="C110" s="417"/>
      <c r="D110" s="367" t="s">
        <v>208</v>
      </c>
      <c r="E110" s="373"/>
      <c r="F110" s="374"/>
      <c r="G110" s="375"/>
      <c r="H110" s="376"/>
      <c r="I110" s="377"/>
      <c r="J110" s="378"/>
      <c r="K110" s="28"/>
      <c r="L110" s="331"/>
      <c r="M110" s="245"/>
      <c r="N110" s="24"/>
      <c r="O110" s="202"/>
      <c r="P110" s="149">
        <v>0</v>
      </c>
      <c r="Q110" s="227"/>
      <c r="R110" s="332"/>
      <c r="S110" s="469"/>
      <c r="T110" s="448"/>
      <c r="U110" s="444"/>
    </row>
    <row r="111" spans="3:21" ht="27.6" customHeight="1" x14ac:dyDescent="0.3">
      <c r="C111" s="417"/>
      <c r="D111" s="295" t="s">
        <v>28</v>
      </c>
      <c r="E111" s="302"/>
      <c r="F111" s="171" t="s">
        <v>1</v>
      </c>
      <c r="G111" s="283">
        <v>0.1</v>
      </c>
      <c r="H111" s="39"/>
      <c r="I111" s="475">
        <f>6.02*6.14+3.77+2.25</f>
        <v>43</v>
      </c>
      <c r="J111" s="238">
        <f>I111*(1+G111)</f>
        <v>47.3</v>
      </c>
      <c r="K111" s="28"/>
      <c r="L111" s="331" t="s">
        <v>1</v>
      </c>
      <c r="M111" s="245"/>
      <c r="N111" s="24"/>
      <c r="O111" s="202" t="s">
        <v>1</v>
      </c>
      <c r="P111" s="149">
        <v>0</v>
      </c>
      <c r="Q111" s="227">
        <f>P111*J111</f>
        <v>0</v>
      </c>
      <c r="R111" s="332"/>
      <c r="S111" s="469"/>
      <c r="T111" s="448"/>
      <c r="U111" s="444"/>
    </row>
    <row r="112" spans="3:21" ht="27.6" customHeight="1" x14ac:dyDescent="0.3">
      <c r="C112" s="417"/>
      <c r="D112" s="295" t="s">
        <v>192</v>
      </c>
      <c r="E112" s="302"/>
      <c r="F112" s="171" t="s">
        <v>10</v>
      </c>
      <c r="G112" s="283">
        <v>0.02</v>
      </c>
      <c r="H112" s="39"/>
      <c r="I112" s="476"/>
      <c r="J112" s="238">
        <f>(J111/(0.625*1.2)*8)</f>
        <v>504.53</v>
      </c>
      <c r="K112" s="28"/>
      <c r="L112" s="331" t="s">
        <v>10</v>
      </c>
      <c r="M112" s="245"/>
      <c r="N112" s="24"/>
      <c r="O112" s="202" t="s">
        <v>10</v>
      </c>
      <c r="P112" s="149">
        <v>0</v>
      </c>
      <c r="Q112" s="227"/>
      <c r="R112" s="332"/>
      <c r="S112" s="469"/>
      <c r="T112" s="448"/>
      <c r="U112" s="444"/>
    </row>
    <row r="113" spans="3:22" ht="27.6" customHeight="1" x14ac:dyDescent="0.3">
      <c r="C113" s="417"/>
      <c r="D113" s="295" t="s">
        <v>209</v>
      </c>
      <c r="E113" s="302"/>
      <c r="F113" s="171" t="s">
        <v>1</v>
      </c>
      <c r="G113" s="283">
        <v>0.05</v>
      </c>
      <c r="H113" s="39"/>
      <c r="I113" s="476"/>
      <c r="J113" s="238">
        <f>(G113+1)*I111</f>
        <v>45.15</v>
      </c>
      <c r="K113" s="28"/>
      <c r="L113" s="331" t="s">
        <v>1</v>
      </c>
      <c r="M113" s="245"/>
      <c r="N113" s="24"/>
      <c r="O113" s="202" t="s">
        <v>1</v>
      </c>
      <c r="P113" s="149">
        <v>0</v>
      </c>
      <c r="Q113" s="227"/>
      <c r="R113" s="332"/>
      <c r="S113" s="469"/>
      <c r="T113" s="448"/>
      <c r="U113" s="444"/>
    </row>
    <row r="114" spans="3:22" ht="27.6" customHeight="1" x14ac:dyDescent="0.3">
      <c r="C114" s="417"/>
      <c r="D114" s="289" t="s">
        <v>210</v>
      </c>
      <c r="E114" s="302"/>
      <c r="F114" s="362" t="s">
        <v>10</v>
      </c>
      <c r="G114" s="283">
        <v>0.02</v>
      </c>
      <c r="H114" s="39"/>
      <c r="I114" s="476"/>
      <c r="J114" s="238">
        <f>13*13</f>
        <v>169</v>
      </c>
      <c r="K114" s="28"/>
      <c r="L114" s="331" t="s">
        <v>10</v>
      </c>
      <c r="M114" s="245"/>
      <c r="N114" s="24"/>
      <c r="O114" s="202" t="s">
        <v>10</v>
      </c>
      <c r="P114" s="149">
        <v>0</v>
      </c>
      <c r="Q114" s="227"/>
      <c r="R114" s="332"/>
      <c r="S114" s="469"/>
      <c r="T114" s="448"/>
      <c r="U114" s="444"/>
    </row>
    <row r="115" spans="3:22" ht="27.6" customHeight="1" x14ac:dyDescent="0.3">
      <c r="C115" s="417"/>
      <c r="D115" s="289" t="s">
        <v>211</v>
      </c>
      <c r="E115" s="302"/>
      <c r="F115" s="362" t="s">
        <v>213</v>
      </c>
      <c r="G115" s="283">
        <f>'Saisie de données'!J31</f>
        <v>0.1</v>
      </c>
      <c r="H115" s="39"/>
      <c r="I115" s="476"/>
      <c r="J115" s="238">
        <f>13*5.5*'Saisie de données'!D31*'Saisie de données'!E31*0.000001*(1+G115)</f>
        <v>0.26</v>
      </c>
      <c r="K115" s="28"/>
      <c r="L115" s="331" t="s">
        <v>22</v>
      </c>
      <c r="M115" s="245"/>
      <c r="N115" s="24"/>
      <c r="O115" s="202" t="s">
        <v>2</v>
      </c>
      <c r="P115" s="149">
        <v>0</v>
      </c>
      <c r="Q115" s="227">
        <f>P115*J115</f>
        <v>0</v>
      </c>
      <c r="R115" s="332"/>
      <c r="S115" s="469"/>
      <c r="T115" s="448"/>
      <c r="U115" s="444"/>
    </row>
    <row r="116" spans="3:22" ht="27.6" customHeight="1" x14ac:dyDescent="0.3">
      <c r="C116" s="417"/>
      <c r="D116" s="289" t="s">
        <v>212</v>
      </c>
      <c r="E116" s="302"/>
      <c r="F116" s="362" t="s">
        <v>189</v>
      </c>
      <c r="G116" s="283"/>
      <c r="H116" s="39"/>
      <c r="I116" s="476"/>
      <c r="J116" s="238">
        <f>I111/'Saisie de données'!E29</f>
        <v>1.72</v>
      </c>
      <c r="K116" s="28"/>
      <c r="L116" s="331" t="s">
        <v>22</v>
      </c>
      <c r="M116" s="245"/>
      <c r="N116" s="24"/>
      <c r="O116" s="202" t="s">
        <v>2</v>
      </c>
      <c r="P116" s="149">
        <v>0</v>
      </c>
      <c r="Q116" s="227">
        <f>P116*J116</f>
        <v>0</v>
      </c>
      <c r="R116" s="332"/>
      <c r="S116" s="469"/>
      <c r="T116" s="448"/>
      <c r="U116" s="444"/>
    </row>
    <row r="117" spans="3:22" ht="27.6" customHeight="1" x14ac:dyDescent="0.3">
      <c r="C117" s="417"/>
      <c r="D117" s="289"/>
      <c r="E117" s="302"/>
      <c r="F117" s="362"/>
      <c r="G117" s="283"/>
      <c r="H117" s="39"/>
      <c r="I117" s="476"/>
      <c r="J117" s="238"/>
      <c r="K117" s="28"/>
      <c r="L117" s="331"/>
      <c r="M117" s="245"/>
      <c r="N117" s="24"/>
      <c r="O117" s="202"/>
      <c r="P117" s="149">
        <v>0</v>
      </c>
      <c r="Q117" s="227"/>
      <c r="R117" s="332"/>
      <c r="S117" s="469"/>
      <c r="T117" s="448"/>
      <c r="U117" s="444"/>
    </row>
    <row r="118" spans="3:22" ht="29.25" thickBot="1" x14ac:dyDescent="0.35">
      <c r="C118" s="417"/>
      <c r="D118" s="289"/>
      <c r="E118" s="302"/>
      <c r="F118" s="173"/>
      <c r="G118" s="272"/>
      <c r="H118" s="39"/>
      <c r="I118" s="477"/>
      <c r="J118" s="229"/>
      <c r="K118" s="24"/>
      <c r="L118" s="182"/>
      <c r="M118" s="240"/>
      <c r="N118" s="24"/>
      <c r="O118" s="202"/>
      <c r="P118" s="14">
        <v>0</v>
      </c>
      <c r="Q118" s="249"/>
      <c r="R118" s="183"/>
      <c r="S118" s="481"/>
      <c r="T118" s="482"/>
      <c r="U118" s="446"/>
      <c r="V118" s="3"/>
    </row>
    <row r="119" spans="3:22" ht="30" customHeight="1" thickBot="1" x14ac:dyDescent="0.35">
      <c r="C119" s="417"/>
      <c r="D119" s="297" t="s">
        <v>30</v>
      </c>
      <c r="E119" s="315"/>
      <c r="F119" s="175"/>
      <c r="G119" s="269"/>
      <c r="H119" s="18"/>
      <c r="I119" s="40"/>
      <c r="J119" s="233"/>
      <c r="K119" s="27"/>
      <c r="L119" s="281"/>
      <c r="M119" s="282"/>
      <c r="N119" s="27"/>
      <c r="O119" s="199" t="s">
        <v>1</v>
      </c>
      <c r="P119" s="51">
        <v>0</v>
      </c>
      <c r="Q119" s="247">
        <f>SUM(Q93:Q103)</f>
        <v>0</v>
      </c>
      <c r="R119" s="461"/>
      <c r="S119" s="462"/>
      <c r="T119" s="463"/>
      <c r="U119" s="445"/>
      <c r="V119" s="3"/>
    </row>
    <row r="120" spans="3:22" ht="36.75" thickBot="1" x14ac:dyDescent="0.6">
      <c r="C120" s="301"/>
      <c r="D120" s="293"/>
      <c r="E120" s="316"/>
      <c r="F120" s="178"/>
      <c r="G120" s="273"/>
      <c r="H120" s="37"/>
      <c r="I120" s="34"/>
      <c r="J120" s="221"/>
      <c r="L120" s="184"/>
      <c r="M120" s="223"/>
      <c r="N120" s="24"/>
      <c r="O120" s="203"/>
      <c r="P120" s="36">
        <v>0</v>
      </c>
      <c r="Q120" s="204"/>
      <c r="R120" s="184"/>
      <c r="S120" s="35"/>
      <c r="T120" s="168"/>
      <c r="U120" s="42"/>
    </row>
    <row r="121" spans="3:22" ht="20.45" customHeight="1" x14ac:dyDescent="0.45">
      <c r="C121" s="417" t="s">
        <v>105</v>
      </c>
      <c r="D121" s="298" t="s">
        <v>165</v>
      </c>
      <c r="E121" s="304" t="s">
        <v>46</v>
      </c>
      <c r="F121" s="177" t="s">
        <v>2</v>
      </c>
      <c r="G121" s="276">
        <f>'Saisie de données'!J14</f>
        <v>0.33</v>
      </c>
      <c r="H121" s="41">
        <f>J121/I121</f>
        <v>0</v>
      </c>
      <c r="I121" s="420">
        <f>11*13</f>
        <v>143</v>
      </c>
      <c r="J121" s="239">
        <v>0</v>
      </c>
      <c r="K121" s="24"/>
      <c r="L121" s="189" t="s">
        <v>22</v>
      </c>
      <c r="M121" s="257">
        <f>J121/(0.000001*'Saisie de données'!D14*'Saisie de données'!E14*(1+G121)*'Saisie de données'!I14*'Saisie de données'!I14)</f>
        <v>0</v>
      </c>
      <c r="N121" s="1"/>
      <c r="O121" s="187" t="s">
        <v>2</v>
      </c>
      <c r="P121" s="13">
        <v>0</v>
      </c>
      <c r="Q121" s="230">
        <f>P121*J121</f>
        <v>0</v>
      </c>
      <c r="R121" s="458"/>
      <c r="S121" s="468"/>
      <c r="T121" s="447"/>
      <c r="U121" s="450">
        <f>Q137+R137</f>
        <v>0</v>
      </c>
    </row>
    <row r="122" spans="3:22" ht="23.45" customHeight="1" x14ac:dyDescent="0.45">
      <c r="C122" s="417"/>
      <c r="D122" s="298" t="s">
        <v>164</v>
      </c>
      <c r="E122" s="304" t="s">
        <v>46</v>
      </c>
      <c r="F122" s="177" t="s">
        <v>2</v>
      </c>
      <c r="G122" s="276">
        <f>'Saisie de données'!J15</f>
        <v>0.34</v>
      </c>
      <c r="H122" s="41">
        <f>J122/I121</f>
        <v>0</v>
      </c>
      <c r="I122" s="421"/>
      <c r="J122" s="239">
        <v>0</v>
      </c>
      <c r="K122" s="24"/>
      <c r="L122" s="189" t="s">
        <v>22</v>
      </c>
      <c r="M122" s="257">
        <f>J122/(0.000001*'Saisie de données'!D15*'Saisie de données'!E15*(1+G122)*'Saisie de données'!I15*'Saisie de données'!I15)</f>
        <v>0</v>
      </c>
      <c r="N122" s="1"/>
      <c r="O122" s="187" t="s">
        <v>2</v>
      </c>
      <c r="P122" s="13">
        <v>0</v>
      </c>
      <c r="Q122" s="230">
        <f t="shared" ref="Q122:Q127" si="10">P122*J122</f>
        <v>0</v>
      </c>
      <c r="R122" s="459"/>
      <c r="S122" s="469"/>
      <c r="T122" s="448"/>
      <c r="U122" s="451"/>
    </row>
    <row r="123" spans="3:22" ht="19.149999999999999" customHeight="1" x14ac:dyDescent="0.45">
      <c r="C123" s="417"/>
      <c r="D123" s="298" t="s">
        <v>163</v>
      </c>
      <c r="E123" s="304" t="s">
        <v>46</v>
      </c>
      <c r="F123" s="177" t="s">
        <v>2</v>
      </c>
      <c r="G123" s="276">
        <f>'Saisie de données'!J16</f>
        <v>0.14000000000000001</v>
      </c>
      <c r="H123" s="41">
        <f>J123/I121</f>
        <v>0</v>
      </c>
      <c r="I123" s="421"/>
      <c r="J123" s="239">
        <v>0</v>
      </c>
      <c r="K123" s="24"/>
      <c r="L123" s="189" t="s">
        <v>22</v>
      </c>
      <c r="M123" s="257">
        <f>J123/(0.000001*'Saisie de données'!D16*'Saisie de données'!E16*(1+G123))</f>
        <v>0</v>
      </c>
      <c r="N123" s="1"/>
      <c r="O123" s="187" t="s">
        <v>2</v>
      </c>
      <c r="P123" s="13">
        <v>0</v>
      </c>
      <c r="Q123" s="230">
        <f t="shared" si="10"/>
        <v>0</v>
      </c>
      <c r="R123" s="459"/>
      <c r="S123" s="469"/>
      <c r="T123" s="448"/>
      <c r="U123" s="451"/>
    </row>
    <row r="124" spans="3:22" ht="21" customHeight="1" x14ac:dyDescent="0.45">
      <c r="C124" s="417"/>
      <c r="D124" s="298" t="s">
        <v>166</v>
      </c>
      <c r="E124" s="304" t="s">
        <v>46</v>
      </c>
      <c r="F124" s="177" t="s">
        <v>2</v>
      </c>
      <c r="G124" s="276">
        <f>'Saisie de données'!J17</f>
        <v>0.1</v>
      </c>
      <c r="H124" s="41">
        <f>J124/I121</f>
        <v>0</v>
      </c>
      <c r="I124" s="421"/>
      <c r="J124" s="239">
        <v>0</v>
      </c>
      <c r="K124" s="24"/>
      <c r="L124" s="189" t="s">
        <v>22</v>
      </c>
      <c r="M124" s="257">
        <f>J124/(0.000001*'Saisie de données'!D17*'Saisie de données'!E17*(1+G1042))</f>
        <v>0</v>
      </c>
      <c r="N124" s="1"/>
      <c r="O124" s="187" t="s">
        <v>2</v>
      </c>
      <c r="P124" s="13">
        <v>0</v>
      </c>
      <c r="Q124" s="230">
        <f t="shared" si="10"/>
        <v>0</v>
      </c>
      <c r="R124" s="459"/>
      <c r="S124" s="469"/>
      <c r="T124" s="448"/>
      <c r="U124" s="451"/>
    </row>
    <row r="125" spans="3:22" ht="22.15" customHeight="1" x14ac:dyDescent="0.45">
      <c r="C125" s="417"/>
      <c r="D125" s="298" t="s">
        <v>162</v>
      </c>
      <c r="E125" s="304" t="s">
        <v>46</v>
      </c>
      <c r="F125" s="177" t="s">
        <v>2</v>
      </c>
      <c r="G125" s="276">
        <f>'Saisie de données'!J18</f>
        <v>0.2</v>
      </c>
      <c r="H125" s="41">
        <f>J125/I121</f>
        <v>0</v>
      </c>
      <c r="I125" s="421"/>
      <c r="J125" s="239">
        <v>0</v>
      </c>
      <c r="K125" s="24"/>
      <c r="L125" s="189" t="s">
        <v>22</v>
      </c>
      <c r="M125" s="257">
        <f>J125/(0.000001*'Saisie de données'!D18*'Saisie de données'!E18*2*(1+G125))</f>
        <v>0</v>
      </c>
      <c r="N125" s="1"/>
      <c r="O125" s="187" t="s">
        <v>2</v>
      </c>
      <c r="P125" s="13">
        <v>0</v>
      </c>
      <c r="Q125" s="230">
        <f t="shared" si="10"/>
        <v>0</v>
      </c>
      <c r="R125" s="459"/>
      <c r="S125" s="469"/>
      <c r="T125" s="448"/>
      <c r="U125" s="451"/>
    </row>
    <row r="126" spans="3:22" ht="23.45" customHeight="1" x14ac:dyDescent="0.45">
      <c r="C126" s="417"/>
      <c r="D126" s="299" t="s">
        <v>167</v>
      </c>
      <c r="E126" s="304" t="s">
        <v>46</v>
      </c>
      <c r="F126" s="177" t="s">
        <v>2</v>
      </c>
      <c r="G126" s="277">
        <f>'Saisie de données'!J25</f>
        <v>0.36</v>
      </c>
      <c r="H126" s="41">
        <f>J126/I121</f>
        <v>0</v>
      </c>
      <c r="I126" s="421"/>
      <c r="J126" s="240">
        <v>0</v>
      </c>
      <c r="K126" s="24"/>
      <c r="L126" s="189" t="s">
        <v>22</v>
      </c>
      <c r="M126" s="237">
        <f>J126/(0.215*0.215*0.083)</f>
        <v>0</v>
      </c>
      <c r="N126" s="1"/>
      <c r="O126" s="187" t="s">
        <v>10</v>
      </c>
      <c r="P126" s="13">
        <v>0</v>
      </c>
      <c r="Q126" s="230">
        <f>P126*J126</f>
        <v>0</v>
      </c>
      <c r="R126" s="460"/>
      <c r="S126" s="470"/>
      <c r="T126" s="449"/>
      <c r="U126" s="451"/>
    </row>
    <row r="127" spans="3:22" ht="23.45" customHeight="1" x14ac:dyDescent="0.25">
      <c r="C127" s="417"/>
      <c r="D127" s="287" t="s">
        <v>106</v>
      </c>
      <c r="E127" s="318" t="s">
        <v>185</v>
      </c>
      <c r="F127" s="179" t="s">
        <v>10</v>
      </c>
      <c r="G127" s="278">
        <v>0.02</v>
      </c>
      <c r="H127" s="55">
        <f>J127/I121</f>
        <v>0</v>
      </c>
      <c r="I127" s="421"/>
      <c r="J127" s="241">
        <v>0</v>
      </c>
      <c r="K127" s="24"/>
      <c r="L127" s="194" t="s">
        <v>10</v>
      </c>
      <c r="M127" s="246">
        <f>J127</f>
        <v>0</v>
      </c>
      <c r="N127" s="1"/>
      <c r="O127" s="202" t="s">
        <v>10</v>
      </c>
      <c r="P127" s="14">
        <v>0</v>
      </c>
      <c r="Q127" s="227">
        <f t="shared" si="10"/>
        <v>0</v>
      </c>
      <c r="R127" s="206"/>
      <c r="S127" s="159"/>
      <c r="T127" s="207"/>
      <c r="U127" s="451"/>
    </row>
    <row r="128" spans="3:22" ht="23.45" customHeight="1" x14ac:dyDescent="0.25">
      <c r="C128" s="417"/>
      <c r="D128" s="289" t="s">
        <v>123</v>
      </c>
      <c r="E128" s="319" t="s">
        <v>124</v>
      </c>
      <c r="F128" s="179" t="s">
        <v>10</v>
      </c>
      <c r="G128" s="278">
        <v>0.02</v>
      </c>
      <c r="H128" s="56">
        <f>J128/I121</f>
        <v>0</v>
      </c>
      <c r="I128" s="421"/>
      <c r="J128" s="229">
        <v>0</v>
      </c>
      <c r="K128" s="23"/>
      <c r="L128" s="194" t="s">
        <v>10</v>
      </c>
      <c r="M128" s="258">
        <f>J128</f>
        <v>0</v>
      </c>
      <c r="N128" s="1"/>
      <c r="O128" s="202" t="s">
        <v>10</v>
      </c>
      <c r="P128" s="14">
        <v>0</v>
      </c>
      <c r="Q128" s="227">
        <f>P128*J128</f>
        <v>0</v>
      </c>
      <c r="R128" s="206"/>
      <c r="S128" s="159"/>
      <c r="T128" s="207"/>
      <c r="U128" s="451"/>
    </row>
    <row r="129" spans="3:22" ht="23.45" customHeight="1" x14ac:dyDescent="0.25">
      <c r="C129" s="417"/>
      <c r="D129" s="289" t="s">
        <v>168</v>
      </c>
      <c r="E129" s="319" t="s">
        <v>169</v>
      </c>
      <c r="F129" s="179" t="s">
        <v>10</v>
      </c>
      <c r="G129" s="278">
        <v>0.02</v>
      </c>
      <c r="H129" s="56">
        <f>J129/I121</f>
        <v>0</v>
      </c>
      <c r="I129" s="421"/>
      <c r="J129" s="229">
        <v>0</v>
      </c>
      <c r="K129" s="24"/>
      <c r="L129" s="194" t="s">
        <v>10</v>
      </c>
      <c r="M129" s="258">
        <f>J129</f>
        <v>0</v>
      </c>
      <c r="N129" s="1"/>
      <c r="O129" s="202" t="s">
        <v>10</v>
      </c>
      <c r="P129" s="14">
        <v>0</v>
      </c>
      <c r="Q129" s="227">
        <f>P129*J129</f>
        <v>0</v>
      </c>
      <c r="R129" s="206"/>
      <c r="S129" s="159"/>
      <c r="T129" s="207"/>
      <c r="U129" s="451"/>
    </row>
    <row r="130" spans="3:22" ht="23.45" customHeight="1" x14ac:dyDescent="0.25">
      <c r="C130" s="417"/>
      <c r="D130" s="289" t="s">
        <v>127</v>
      </c>
      <c r="E130" s="319" t="s">
        <v>46</v>
      </c>
      <c r="F130" s="179" t="s">
        <v>2</v>
      </c>
      <c r="G130" s="278">
        <f>'Saisie de données'!J19</f>
        <v>0.17</v>
      </c>
      <c r="H130" s="56">
        <f>J130/I121</f>
        <v>0</v>
      </c>
      <c r="I130" s="421"/>
      <c r="J130" s="242">
        <v>0</v>
      </c>
      <c r="K130" s="24"/>
      <c r="L130" s="194" t="s">
        <v>22</v>
      </c>
      <c r="M130" s="246">
        <f>J130/(0.000001*'Saisie de données'!D20*'Saisie de données'!E20*(1+H130)*2)</f>
        <v>0</v>
      </c>
      <c r="N130" s="1"/>
      <c r="O130" s="202" t="s">
        <v>2</v>
      </c>
      <c r="P130" s="14">
        <v>0</v>
      </c>
      <c r="Q130" s="227">
        <f>P130*J130</f>
        <v>0</v>
      </c>
      <c r="R130" s="206"/>
      <c r="S130" s="159"/>
      <c r="T130" s="207"/>
      <c r="U130" s="451"/>
    </row>
    <row r="131" spans="3:22" ht="23.45" customHeight="1" x14ac:dyDescent="0.25">
      <c r="C131" s="417"/>
      <c r="D131" s="289" t="s">
        <v>190</v>
      </c>
      <c r="E131" s="319"/>
      <c r="F131" s="179" t="s">
        <v>10</v>
      </c>
      <c r="G131" s="278">
        <v>0.02</v>
      </c>
      <c r="H131" s="56">
        <v>1.45</v>
      </c>
      <c r="I131" s="421"/>
      <c r="J131" s="242">
        <v>0</v>
      </c>
      <c r="K131" s="24"/>
      <c r="L131" s="194" t="s">
        <v>10</v>
      </c>
      <c r="M131" s="246">
        <f>J131</f>
        <v>0</v>
      </c>
      <c r="N131" s="1"/>
      <c r="O131" s="202" t="s">
        <v>10</v>
      </c>
      <c r="P131" s="14">
        <v>0</v>
      </c>
      <c r="Q131" s="227"/>
      <c r="R131" s="206"/>
      <c r="S131" s="159"/>
      <c r="T131" s="207"/>
      <c r="U131" s="451"/>
    </row>
    <row r="132" spans="3:22" ht="23.45" customHeight="1" x14ac:dyDescent="0.25">
      <c r="C132" s="417"/>
      <c r="D132" s="289" t="s">
        <v>128</v>
      </c>
      <c r="E132" s="319" t="s">
        <v>46</v>
      </c>
      <c r="F132" s="179" t="s">
        <v>2</v>
      </c>
      <c r="G132" s="278">
        <f>'Saisie de données'!J20</f>
        <v>0.4</v>
      </c>
      <c r="H132" s="56">
        <f>J132/I121</f>
        <v>0</v>
      </c>
      <c r="I132" s="421"/>
      <c r="J132" s="242">
        <v>0</v>
      </c>
      <c r="K132" s="24"/>
      <c r="L132" s="194" t="s">
        <v>22</v>
      </c>
      <c r="M132" s="246">
        <f>J132/('Saisie de données'!D20*'Saisie de données'!E20*0.000001*(1+G132))</f>
        <v>0</v>
      </c>
      <c r="N132" s="1"/>
      <c r="O132" s="202" t="s">
        <v>2</v>
      </c>
      <c r="P132" s="14">
        <v>0</v>
      </c>
      <c r="Q132" s="227">
        <f>P132*J132</f>
        <v>0</v>
      </c>
      <c r="R132" s="206"/>
      <c r="S132" s="159"/>
      <c r="T132" s="207"/>
      <c r="U132" s="451"/>
    </row>
    <row r="133" spans="3:22" ht="23.45" customHeight="1" x14ac:dyDescent="0.25">
      <c r="C133" s="417"/>
      <c r="D133" s="289" t="s">
        <v>191</v>
      </c>
      <c r="E133" s="319"/>
      <c r="F133" s="179" t="s">
        <v>10</v>
      </c>
      <c r="G133" s="278">
        <v>0.02</v>
      </c>
      <c r="H133" s="56">
        <v>0.223</v>
      </c>
      <c r="I133" s="421"/>
      <c r="J133" s="242">
        <v>0</v>
      </c>
      <c r="K133" s="24"/>
      <c r="L133" s="194" t="s">
        <v>10</v>
      </c>
      <c r="M133" s="246">
        <f>J133</f>
        <v>0</v>
      </c>
      <c r="N133" s="1"/>
      <c r="O133" s="202" t="s">
        <v>10</v>
      </c>
      <c r="P133" s="14">
        <v>0</v>
      </c>
      <c r="Q133" s="227"/>
      <c r="R133" s="206"/>
      <c r="S133" s="159"/>
      <c r="T133" s="207"/>
      <c r="U133" s="451"/>
    </row>
    <row r="134" spans="3:22" ht="23.45" customHeight="1" x14ac:dyDescent="0.25">
      <c r="C134" s="417"/>
      <c r="D134" s="289" t="s">
        <v>129</v>
      </c>
      <c r="E134" s="319" t="s">
        <v>46</v>
      </c>
      <c r="F134" s="179" t="s">
        <v>2</v>
      </c>
      <c r="G134" s="278">
        <f>'Saisie de données'!J21</f>
        <v>0.24</v>
      </c>
      <c r="H134" s="56">
        <f>J134/I121</f>
        <v>0</v>
      </c>
      <c r="I134" s="421"/>
      <c r="J134" s="242">
        <v>0</v>
      </c>
      <c r="K134" s="24"/>
      <c r="L134" s="194" t="s">
        <v>22</v>
      </c>
      <c r="M134" s="246">
        <f>J134/('Saisie de données'!D21*'Saisie de données'!E21*0.000001*2*(1+G134))</f>
        <v>0</v>
      </c>
      <c r="N134" s="1"/>
      <c r="O134" s="202" t="s">
        <v>2</v>
      </c>
      <c r="P134" s="14">
        <v>0</v>
      </c>
      <c r="Q134" s="227">
        <f>P134*J134</f>
        <v>0</v>
      </c>
      <c r="R134" s="206"/>
      <c r="S134" s="159"/>
      <c r="T134" s="207"/>
      <c r="U134" s="451"/>
    </row>
    <row r="135" spans="3:22" ht="23.45" customHeight="1" x14ac:dyDescent="0.25">
      <c r="C135" s="417"/>
      <c r="D135" s="289" t="s">
        <v>190</v>
      </c>
      <c r="E135" s="319"/>
      <c r="F135" s="179" t="s">
        <v>10</v>
      </c>
      <c r="G135" s="278">
        <v>0.02</v>
      </c>
      <c r="H135" s="56">
        <v>0.112</v>
      </c>
      <c r="I135" s="421"/>
      <c r="J135" s="242">
        <v>0</v>
      </c>
      <c r="K135" s="24"/>
      <c r="L135" s="194" t="s">
        <v>10</v>
      </c>
      <c r="M135" s="259">
        <f>J135</f>
        <v>0</v>
      </c>
      <c r="N135" s="1"/>
      <c r="O135" s="202" t="s">
        <v>10</v>
      </c>
      <c r="P135" s="14">
        <v>0</v>
      </c>
      <c r="Q135" s="227"/>
      <c r="R135" s="206"/>
      <c r="S135" s="159"/>
      <c r="T135" s="207"/>
      <c r="U135" s="451"/>
    </row>
    <row r="136" spans="3:22" ht="29.25" thickBot="1" x14ac:dyDescent="0.5">
      <c r="C136" s="417"/>
      <c r="D136" s="300"/>
      <c r="E136" s="320"/>
      <c r="F136" s="180"/>
      <c r="G136" s="279"/>
      <c r="H136" s="29"/>
      <c r="I136" s="422"/>
      <c r="J136" s="243"/>
      <c r="K136" s="1"/>
      <c r="L136" s="195"/>
      <c r="M136" s="260"/>
      <c r="N136" s="1"/>
      <c r="O136" s="202"/>
      <c r="P136" s="14">
        <v>0</v>
      </c>
      <c r="Q136" s="209"/>
      <c r="R136" s="186"/>
      <c r="S136" s="158"/>
      <c r="T136" s="169"/>
      <c r="U136" s="451"/>
    </row>
    <row r="137" spans="3:22" ht="70.900000000000006" customHeight="1" thickBot="1" x14ac:dyDescent="0.35">
      <c r="C137" s="417"/>
      <c r="D137" s="290" t="s">
        <v>30</v>
      </c>
      <c r="E137" s="321"/>
      <c r="F137" s="181"/>
      <c r="G137" s="280"/>
      <c r="H137" s="30"/>
      <c r="I137" s="31"/>
      <c r="J137" s="244"/>
      <c r="K137" s="1"/>
      <c r="L137" s="196"/>
      <c r="M137" s="261"/>
      <c r="N137" s="1"/>
      <c r="O137" s="199" t="s">
        <v>1</v>
      </c>
      <c r="P137" s="51">
        <v>0</v>
      </c>
      <c r="Q137" s="247">
        <f>SUM(Q121:Q136)</f>
        <v>0</v>
      </c>
      <c r="R137" s="478"/>
      <c r="S137" s="479"/>
      <c r="T137" s="480"/>
      <c r="U137" s="452"/>
      <c r="V137" s="3"/>
    </row>
    <row r="138" spans="3:22" x14ac:dyDescent="0.25">
      <c r="D138" s="4"/>
      <c r="P138">
        <v>0</v>
      </c>
    </row>
    <row r="139" spans="3:22" ht="34.9" customHeight="1" x14ac:dyDescent="0.25">
      <c r="C139" s="167"/>
      <c r="D139" s="163"/>
      <c r="F139" s="7"/>
      <c r="G139" s="162"/>
      <c r="H139" s="150"/>
      <c r="I139" s="161"/>
      <c r="J139" s="7"/>
      <c r="P139">
        <v>0</v>
      </c>
    </row>
    <row r="140" spans="3:22" ht="35.450000000000003" customHeight="1" x14ac:dyDescent="0.25">
      <c r="C140" s="167"/>
      <c r="D140" s="164"/>
      <c r="F140" s="11"/>
      <c r="G140" s="162"/>
      <c r="H140" s="150"/>
      <c r="I140" s="161"/>
      <c r="J140" s="7"/>
      <c r="P140">
        <v>0</v>
      </c>
    </row>
    <row r="141" spans="3:22" ht="30.6" customHeight="1" x14ac:dyDescent="0.45">
      <c r="C141" s="167"/>
      <c r="D141" s="165"/>
      <c r="E141" s="394"/>
      <c r="F141" s="7"/>
      <c r="G141" s="162"/>
      <c r="H141" s="150"/>
      <c r="I141" s="161"/>
      <c r="J141" s="7"/>
      <c r="P141">
        <v>0</v>
      </c>
    </row>
    <row r="142" spans="3:22" ht="47.45" customHeight="1" x14ac:dyDescent="0.25">
      <c r="C142" s="167"/>
      <c r="D142" s="165"/>
      <c r="F142" s="7"/>
      <c r="G142" s="333"/>
      <c r="H142" s="150"/>
      <c r="I142" s="161"/>
      <c r="J142" s="7"/>
    </row>
    <row r="143" spans="3:22" ht="60" customHeight="1" thickBot="1" x14ac:dyDescent="0.3">
      <c r="C143" s="167"/>
      <c r="D143" s="165"/>
      <c r="F143" s="7"/>
      <c r="G143" s="162"/>
      <c r="H143" s="150"/>
      <c r="I143" s="161"/>
      <c r="J143" s="7"/>
    </row>
    <row r="144" spans="3:22" ht="62.45" customHeight="1" thickBot="1" x14ac:dyDescent="0.3">
      <c r="C144" s="167"/>
      <c r="D144" s="165"/>
      <c r="F144" s="7"/>
      <c r="G144" s="162"/>
      <c r="H144" s="150"/>
      <c r="I144" s="161"/>
      <c r="J144" s="7"/>
      <c r="T144" s="43"/>
      <c r="U144" s="44"/>
      <c r="V144" s="45"/>
    </row>
    <row r="145" spans="3:22" ht="52.15" customHeight="1" thickBot="1" x14ac:dyDescent="0.3">
      <c r="C145" s="167"/>
      <c r="D145" s="165"/>
      <c r="F145" s="7"/>
      <c r="G145" s="162"/>
      <c r="H145" s="150"/>
      <c r="I145" s="161"/>
      <c r="J145" s="7"/>
      <c r="T145" s="46" t="s">
        <v>30</v>
      </c>
      <c r="U145" s="50">
        <f>SUM(U34:U137)</f>
        <v>0</v>
      </c>
      <c r="V145" s="47" t="s">
        <v>111</v>
      </c>
    </row>
    <row r="148" spans="3:22" x14ac:dyDescent="0.25">
      <c r="S148" s="61"/>
    </row>
    <row r="149" spans="3:22" x14ac:dyDescent="0.25">
      <c r="S149" s="61"/>
    </row>
    <row r="150" spans="3:22" x14ac:dyDescent="0.25">
      <c r="S150" s="61"/>
    </row>
    <row r="163" spans="21:21" x14ac:dyDescent="0.25">
      <c r="U163" s="61"/>
    </row>
  </sheetData>
  <mergeCells count="53">
    <mergeCell ref="C32:E32"/>
    <mergeCell ref="R93:R103"/>
    <mergeCell ref="C93:C119"/>
    <mergeCell ref="I100:I103"/>
    <mergeCell ref="I111:I118"/>
    <mergeCell ref="L32:M32"/>
    <mergeCell ref="O32:Q32"/>
    <mergeCell ref="R60:T60"/>
    <mergeCell ref="R82:T82"/>
    <mergeCell ref="R62:R80"/>
    <mergeCell ref="S62:S80"/>
    <mergeCell ref="T62:T80"/>
    <mergeCell ref="T34:T58"/>
    <mergeCell ref="I34:I35"/>
    <mergeCell ref="I36:I37"/>
    <mergeCell ref="I38:I58"/>
    <mergeCell ref="T121:T126"/>
    <mergeCell ref="U121:U137"/>
    <mergeCell ref="P22:Q22"/>
    <mergeCell ref="R34:R58"/>
    <mergeCell ref="S34:S58"/>
    <mergeCell ref="R84:R86"/>
    <mergeCell ref="R91:T91"/>
    <mergeCell ref="R32:T32"/>
    <mergeCell ref="S84:S86"/>
    <mergeCell ref="R137:T137"/>
    <mergeCell ref="R121:R126"/>
    <mergeCell ref="S121:S126"/>
    <mergeCell ref="S93:S118"/>
    <mergeCell ref="T93:T118"/>
    <mergeCell ref="T84:T86"/>
    <mergeCell ref="R119:T119"/>
    <mergeCell ref="U32:U33"/>
    <mergeCell ref="U34:U60"/>
    <mergeCell ref="U62:U82"/>
    <mergeCell ref="U84:U91"/>
    <mergeCell ref="U93:U119"/>
    <mergeCell ref="C121:C137"/>
    <mergeCell ref="D2:E2"/>
    <mergeCell ref="I121:I136"/>
    <mergeCell ref="F32:J32"/>
    <mergeCell ref="I62:I80"/>
    <mergeCell ref="I95:I98"/>
    <mergeCell ref="D4:D5"/>
    <mergeCell ref="D6:D7"/>
    <mergeCell ref="D8:D9"/>
    <mergeCell ref="E6:E7"/>
    <mergeCell ref="E4:E5"/>
    <mergeCell ref="E8:E9"/>
    <mergeCell ref="I84:I90"/>
    <mergeCell ref="C84:C91"/>
    <mergeCell ref="C34:C60"/>
    <mergeCell ref="C62:C82"/>
  </mergeCells>
  <phoneticPr fontId="6" type="noConversion"/>
  <pageMargins left="0.7" right="0.7" top="0.75" bottom="0.75" header="0.3" footer="0.3"/>
  <pageSetup paperSize="9" orientation="portrait" horizont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1D5104D65A14242A34D417EA8E671AD" ma:contentTypeVersion="7" ma:contentTypeDescription="Crée un document." ma:contentTypeScope="" ma:versionID="749469ea1fd2fffb191ffee14e8ec958">
  <xsd:schema xmlns:xsd="http://www.w3.org/2001/XMLSchema" xmlns:xs="http://www.w3.org/2001/XMLSchema" xmlns:p="http://schemas.microsoft.com/office/2006/metadata/properties" xmlns:ns3="48056947-f9de-4d88-adda-01ec48d6d268" xmlns:ns4="2ab72415-7bc4-41a9-b8c1-3b87eb01e739" targetNamespace="http://schemas.microsoft.com/office/2006/metadata/properties" ma:root="true" ma:fieldsID="d307b038f219fb1877e2b996389c0fac" ns3:_="" ns4:_="">
    <xsd:import namespace="48056947-f9de-4d88-adda-01ec48d6d268"/>
    <xsd:import namespace="2ab72415-7bc4-41a9-b8c1-3b87eb01e73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056947-f9de-4d88-adda-01ec48d6d2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72415-7bc4-41a9-b8c1-3b87eb01e739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25F512E-E297-4136-A1F4-D5C8ABAFD2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056947-f9de-4d88-adda-01ec48d6d268"/>
    <ds:schemaRef ds:uri="2ab72415-7bc4-41a9-b8c1-3b87eb01e7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333D9BF-E361-4C63-8876-A61DF328BE20}">
  <ds:schemaRefs>
    <ds:schemaRef ds:uri="http://schemas.microsoft.com/office/2006/documentManagement/types"/>
    <ds:schemaRef ds:uri="http://purl.org/dc/terms/"/>
    <ds:schemaRef ds:uri="http://purl.org/dc/elements/1.1/"/>
    <ds:schemaRef ds:uri="http://purl.org/dc/dcmitype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2ab72415-7bc4-41a9-b8c1-3b87eb01e739"/>
    <ds:schemaRef ds:uri="48056947-f9de-4d88-adda-01ec48d6d268"/>
  </ds:schemaRefs>
</ds:datastoreItem>
</file>

<file path=customXml/itemProps3.xml><?xml version="1.0" encoding="utf-8"?>
<ds:datastoreItem xmlns:ds="http://schemas.openxmlformats.org/officeDocument/2006/customXml" ds:itemID="{D2E78731-55B1-4D18-91DB-FDBEEDF0233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de données</vt:lpstr>
      <vt:lpstr>outil chiffrage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Befes</dc:creator>
  <cp:lastModifiedBy>Noël D</cp:lastModifiedBy>
  <cp:lastPrinted>2021-04-05T11:02:19Z</cp:lastPrinted>
  <dcterms:created xsi:type="dcterms:W3CDTF">2021-02-15T09:37:52Z</dcterms:created>
  <dcterms:modified xsi:type="dcterms:W3CDTF">2021-04-19T15:50:10Z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0x01010051D5104D65A14242A34D417EA8E671AD</vt:lpwstr>
  </property>
</Properties>
</file>