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PJTMCA_COM\"/>
    </mc:Choice>
  </mc:AlternateContent>
  <xr:revisionPtr revIDLastSave="0" documentId="8_{14466DEE-CDE2-4F3E-870D-F5EDF3A7DB0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Elève" sheetId="2" r:id="rId1"/>
    <sheet name="Prof" sheetId="1" r:id="rId2"/>
    <sheet name="Base" sheetId="4" r:id="rId3"/>
    <sheet name="Feuil3" sheetId="3" r:id="rId4"/>
  </sheets>
  <definedNames>
    <definedName name="_xlnm._FilterDatabase" localSheetId="2" hidden="1">Base!$A$1:$AP$19</definedName>
    <definedName name="Base">Base!$A$1:$AP$19</definedName>
    <definedName name="NomClient">OFFSET(Base!$A$2,0,0,COUNTA(Base!$A:$A)-1)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" i="4"/>
  <c r="P10" i="4" l="1"/>
  <c r="G40" i="2" l="1"/>
  <c r="A33" i="2"/>
  <c r="E45" i="2"/>
  <c r="E44" i="2"/>
  <c r="E43" i="2"/>
  <c r="E41" i="2"/>
  <c r="E40" i="2"/>
  <c r="A37" i="2"/>
  <c r="A28" i="2"/>
  <c r="C27" i="2"/>
  <c r="B25" i="2"/>
  <c r="B24" i="2"/>
  <c r="A20" i="2"/>
  <c r="C19" i="2"/>
  <c r="C17" i="2"/>
  <c r="B17" i="2"/>
  <c r="C16" i="2"/>
  <c r="B16" i="2"/>
  <c r="C15" i="2"/>
  <c r="B15" i="2"/>
  <c r="C14" i="2"/>
  <c r="B14" i="2"/>
  <c r="E10" i="2"/>
  <c r="F3" i="2" s="1"/>
  <c r="E7" i="2"/>
  <c r="B7" i="2"/>
  <c r="E6" i="2"/>
  <c r="B6" i="2"/>
  <c r="E45" i="1" l="1"/>
  <c r="E43" i="1"/>
  <c r="E44" i="1"/>
  <c r="E41" i="1"/>
  <c r="G40" i="1"/>
  <c r="E40" i="1"/>
  <c r="A37" i="1"/>
  <c r="A28" i="1"/>
  <c r="A20" i="1"/>
  <c r="C27" i="1" l="1"/>
  <c r="B25" i="1"/>
  <c r="B53" i="1" s="1"/>
  <c r="B24" i="1"/>
  <c r="B52" i="1" s="1"/>
  <c r="C19" i="1"/>
  <c r="E10" i="1"/>
  <c r="C17" i="1"/>
  <c r="C51" i="1" s="1"/>
  <c r="B17" i="1"/>
  <c r="B51" i="1" s="1"/>
  <c r="C16" i="1"/>
  <c r="C50" i="1" s="1"/>
  <c r="B16" i="1"/>
  <c r="B50" i="1" s="1"/>
  <c r="C14" i="1"/>
  <c r="C48" i="1" s="1"/>
  <c r="C15" i="1"/>
  <c r="C49" i="1" s="1"/>
  <c r="B15" i="1"/>
  <c r="B49" i="1" s="1"/>
  <c r="B14" i="1"/>
  <c r="B48" i="1" s="1"/>
  <c r="E7" i="1"/>
  <c r="B36" i="1" s="1"/>
  <c r="E6" i="1"/>
  <c r="B35" i="1" s="1"/>
  <c r="B6" i="1"/>
  <c r="G41" i="1" s="1"/>
  <c r="B7" i="1"/>
  <c r="G42" i="1" s="1"/>
  <c r="G45" i="1" l="1"/>
  <c r="F3" i="1"/>
  <c r="E52" i="1"/>
  <c r="E53" i="1"/>
  <c r="E49" i="1"/>
  <c r="E50" i="1"/>
  <c r="E51" i="1"/>
  <c r="E48" i="1"/>
  <c r="E9" i="2" l="1"/>
  <c r="E9" i="1"/>
  <c r="A33" i="1" s="1"/>
  <c r="P3" i="4"/>
  <c r="P4" i="4"/>
  <c r="P5" i="4"/>
  <c r="P6" i="4"/>
  <c r="P7" i="4"/>
  <c r="P8" i="4"/>
  <c r="P9" i="4"/>
  <c r="P11" i="4"/>
  <c r="P12" i="4"/>
  <c r="P13" i="4"/>
  <c r="P14" i="4"/>
  <c r="P15" i="4"/>
  <c r="P16" i="4"/>
  <c r="P17" i="4"/>
  <c r="D14" i="2" s="1"/>
  <c r="P18" i="4"/>
  <c r="P19" i="4"/>
  <c r="D14" i="1" s="1"/>
  <c r="D48" i="1" s="1"/>
  <c r="P2" i="4"/>
  <c r="AO3" i="4"/>
  <c r="AO4" i="4"/>
  <c r="AO5" i="4"/>
  <c r="AO6" i="4"/>
  <c r="AO7" i="4"/>
  <c r="AO8" i="4"/>
  <c r="AO9" i="4"/>
  <c r="AO10" i="4"/>
  <c r="F28" i="1" s="1"/>
  <c r="AO11" i="4"/>
  <c r="AO12" i="4"/>
  <c r="AO13" i="4"/>
  <c r="AO14" i="4"/>
  <c r="AO15" i="4"/>
  <c r="AO16" i="4"/>
  <c r="AO17" i="4"/>
  <c r="F28" i="2" s="1"/>
  <c r="AO18" i="4"/>
  <c r="AO19" i="4"/>
  <c r="AO2" i="4"/>
  <c r="AN3" i="4"/>
  <c r="AN4" i="4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" i="4"/>
  <c r="AM3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" i="4"/>
  <c r="AI3" i="4"/>
  <c r="AI4" i="4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" i="4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" i="4"/>
  <c r="AL3" i="4"/>
  <c r="AL4" i="4"/>
  <c r="AL5" i="4"/>
  <c r="AL6" i="4"/>
  <c r="AL7" i="4"/>
  <c r="AL8" i="4"/>
  <c r="AL9" i="4"/>
  <c r="AL10" i="4"/>
  <c r="AL11" i="4"/>
  <c r="AL12" i="4"/>
  <c r="AL13" i="4"/>
  <c r="AL14" i="4"/>
  <c r="AL15" i="4"/>
  <c r="AL16" i="4"/>
  <c r="AL17" i="4"/>
  <c r="C25" i="2" s="1"/>
  <c r="AL18" i="4"/>
  <c r="AL19" i="4"/>
  <c r="AL2" i="4"/>
  <c r="AJ3" i="4"/>
  <c r="AJ4" i="4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25" i="2" s="1"/>
  <c r="AJ18" i="4"/>
  <c r="AJ19" i="4"/>
  <c r="AJ2" i="4"/>
  <c r="D25" i="2" l="1"/>
  <c r="D24" i="2"/>
  <c r="A25" i="1"/>
  <c r="A53" i="1" s="1"/>
  <c r="C25" i="1"/>
  <c r="C53" i="1" s="1"/>
  <c r="D53" i="1"/>
  <c r="D25" i="1"/>
  <c r="D52" i="1"/>
  <c r="D24" i="1"/>
  <c r="F53" i="1"/>
  <c r="F52" i="1"/>
  <c r="AG3" i="4"/>
  <c r="AG4" i="4"/>
  <c r="AG5" i="4"/>
  <c r="AG6" i="4"/>
  <c r="AG7" i="4"/>
  <c r="AG8" i="4"/>
  <c r="AG9" i="4"/>
  <c r="AG10" i="4"/>
  <c r="C24" i="1" s="1"/>
  <c r="C52" i="1" s="1"/>
  <c r="AG11" i="4"/>
  <c r="AG12" i="4"/>
  <c r="AG13" i="4"/>
  <c r="AG14" i="4"/>
  <c r="AG15" i="4"/>
  <c r="AG16" i="4"/>
  <c r="AG17" i="4"/>
  <c r="AG18" i="4"/>
  <c r="AG19" i="4"/>
  <c r="AG2" i="4"/>
  <c r="AE3" i="4"/>
  <c r="AE4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24" i="2" s="1"/>
  <c r="AE18" i="4"/>
  <c r="AE19" i="4"/>
  <c r="AE2" i="4"/>
  <c r="G53" i="1" l="1"/>
  <c r="H53" i="1" s="1"/>
  <c r="I53" i="1" s="1"/>
  <c r="C24" i="2"/>
  <c r="A24" i="1"/>
  <c r="A52" i="1" s="1"/>
  <c r="G52" i="1"/>
  <c r="H52" i="1" s="1"/>
  <c r="I52" i="1" s="1"/>
  <c r="Y3" i="4"/>
  <c r="Y4" i="4"/>
  <c r="Y5" i="4"/>
  <c r="Y6" i="4"/>
  <c r="Y7" i="4"/>
  <c r="Y8" i="4"/>
  <c r="Y9" i="4"/>
  <c r="Y10" i="4"/>
  <c r="Y11" i="4"/>
  <c r="Y12" i="4"/>
  <c r="Y13" i="4"/>
  <c r="Y14" i="4"/>
  <c r="Y15" i="4"/>
  <c r="Y16" i="4"/>
  <c r="Y17" i="4"/>
  <c r="A17" i="2" s="1"/>
  <c r="Y18" i="4"/>
  <c r="Y19" i="4"/>
  <c r="Y2" i="4"/>
  <c r="AB3" i="4"/>
  <c r="AB4" i="4"/>
  <c r="AB5" i="4"/>
  <c r="AB6" i="4"/>
  <c r="AB7" i="4"/>
  <c r="AB8" i="4"/>
  <c r="AB9" i="4"/>
  <c r="AB10" i="4"/>
  <c r="D17" i="1" s="1"/>
  <c r="D51" i="1" s="1"/>
  <c r="AB11" i="4"/>
  <c r="AB12" i="4"/>
  <c r="AB13" i="4"/>
  <c r="AB14" i="4"/>
  <c r="AB15" i="4"/>
  <c r="AB16" i="4"/>
  <c r="AB17" i="4"/>
  <c r="D17" i="2" s="1"/>
  <c r="AB18" i="4"/>
  <c r="AB19" i="4"/>
  <c r="AB2" i="4"/>
  <c r="AC2" i="4"/>
  <c r="AC3" i="4"/>
  <c r="AC4" i="4"/>
  <c r="AC5" i="4"/>
  <c r="AC6" i="4"/>
  <c r="AC7" i="4"/>
  <c r="AC8" i="4"/>
  <c r="AC9" i="4"/>
  <c r="AC10" i="4"/>
  <c r="AC11" i="4"/>
  <c r="AC12" i="4"/>
  <c r="AC13" i="4"/>
  <c r="AC14" i="4"/>
  <c r="AC16" i="4"/>
  <c r="AC17" i="4"/>
  <c r="F20" i="2" s="1"/>
  <c r="AC18" i="4"/>
  <c r="AC19" i="4"/>
  <c r="AC15" i="4"/>
  <c r="X3" i="4"/>
  <c r="X4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D16" i="2" s="1"/>
  <c r="X18" i="4"/>
  <c r="X19" i="4"/>
  <c r="X2" i="4"/>
  <c r="T14" i="4"/>
  <c r="T15" i="4"/>
  <c r="T16" i="4"/>
  <c r="T17" i="4"/>
  <c r="D15" i="2" s="1"/>
  <c r="T18" i="4"/>
  <c r="T19" i="4"/>
  <c r="T3" i="4"/>
  <c r="T4" i="4"/>
  <c r="T5" i="4"/>
  <c r="T6" i="4"/>
  <c r="T7" i="4"/>
  <c r="T8" i="4"/>
  <c r="T9" i="4"/>
  <c r="T10" i="4"/>
  <c r="D15" i="1" s="1"/>
  <c r="D49" i="1" s="1"/>
  <c r="T11" i="4"/>
  <c r="T12" i="4"/>
  <c r="T13" i="4"/>
  <c r="T2" i="4"/>
  <c r="U3" i="4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A16" i="2" s="1"/>
  <c r="U18" i="4"/>
  <c r="U19" i="4"/>
  <c r="U2" i="4"/>
  <c r="Q3" i="4"/>
  <c r="Q4" i="4"/>
  <c r="Q5" i="4"/>
  <c r="Q6" i="4"/>
  <c r="Q7" i="4"/>
  <c r="Q8" i="4"/>
  <c r="Q9" i="4"/>
  <c r="Q10" i="4"/>
  <c r="A15" i="1" s="1"/>
  <c r="A49" i="1" s="1"/>
  <c r="Q11" i="4"/>
  <c r="Q12" i="4"/>
  <c r="Q13" i="4"/>
  <c r="Q14" i="4"/>
  <c r="Q15" i="4"/>
  <c r="Q16" i="4"/>
  <c r="Q17" i="4"/>
  <c r="Q18" i="4"/>
  <c r="Q19" i="4"/>
  <c r="Q2" i="4"/>
  <c r="M3" i="4"/>
  <c r="M4" i="4"/>
  <c r="M5" i="4"/>
  <c r="M6" i="4"/>
  <c r="M7" i="4"/>
  <c r="M8" i="4"/>
  <c r="M9" i="4"/>
  <c r="M10" i="4"/>
  <c r="A14" i="1" s="1"/>
  <c r="A48" i="1" s="1"/>
  <c r="M11" i="4"/>
  <c r="M12" i="4"/>
  <c r="M13" i="4"/>
  <c r="M14" i="4"/>
  <c r="M15" i="4"/>
  <c r="M16" i="4"/>
  <c r="M17" i="4"/>
  <c r="A14" i="2" s="1"/>
  <c r="M18" i="4"/>
  <c r="M19" i="4"/>
  <c r="M2" i="4"/>
  <c r="I3" i="4"/>
  <c r="I4" i="4"/>
  <c r="I5" i="4"/>
  <c r="I6" i="4"/>
  <c r="I7" i="4"/>
  <c r="I8" i="4"/>
  <c r="I9" i="4"/>
  <c r="I10" i="4"/>
  <c r="E8" i="1" s="1"/>
  <c r="B37" i="1" s="1"/>
  <c r="I11" i="4"/>
  <c r="I12" i="4"/>
  <c r="I13" i="4"/>
  <c r="I14" i="4"/>
  <c r="I15" i="4"/>
  <c r="I16" i="4"/>
  <c r="I17" i="4"/>
  <c r="I18" i="4"/>
  <c r="I19" i="4"/>
  <c r="I2" i="4"/>
  <c r="C3" i="4"/>
  <c r="C4" i="4"/>
  <c r="C5" i="4"/>
  <c r="C6" i="4"/>
  <c r="C7" i="4"/>
  <c r="C8" i="4"/>
  <c r="C9" i="4"/>
  <c r="C10" i="4"/>
  <c r="B8" i="1" s="1"/>
  <c r="G43" i="1" s="1"/>
  <c r="C11" i="4"/>
  <c r="C12" i="4"/>
  <c r="C13" i="4"/>
  <c r="C14" i="4"/>
  <c r="C15" i="4"/>
  <c r="C16" i="4"/>
  <c r="C17" i="4"/>
  <c r="B8" i="2" s="1"/>
  <c r="C18" i="4"/>
  <c r="C19" i="4"/>
  <c r="C2" i="4"/>
  <c r="B9" i="1" l="1"/>
  <c r="G44" i="1" s="1"/>
  <c r="A15" i="2"/>
  <c r="A16" i="1"/>
  <c r="A50" i="1" s="1"/>
  <c r="A17" i="1"/>
  <c r="A51" i="1" s="1"/>
  <c r="E8" i="2"/>
  <c r="B9" i="2"/>
  <c r="D16" i="1"/>
  <c r="D50" i="1" s="1"/>
  <c r="F20" i="1"/>
  <c r="F51" i="1" s="1"/>
  <c r="G51" i="1" s="1"/>
  <c r="H51" i="1" s="1"/>
  <c r="I51" i="1" s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" i="4"/>
  <c r="F49" i="1" l="1"/>
  <c r="G49" i="1" s="1"/>
  <c r="H49" i="1" s="1"/>
  <c r="I49" i="1" s="1"/>
  <c r="F50" i="1"/>
  <c r="G50" i="1" s="1"/>
  <c r="H50" i="1" s="1"/>
  <c r="I50" i="1" s="1"/>
  <c r="F48" i="1"/>
  <c r="G48" i="1" s="1"/>
  <c r="H48" i="1" s="1"/>
  <c r="I48" i="1" s="1"/>
  <c r="B57" i="1" s="1"/>
  <c r="E34" i="1"/>
  <c r="E5" i="1"/>
  <c r="B34" i="1" s="1"/>
  <c r="A1" i="1"/>
  <c r="A1" i="2"/>
  <c r="E34" i="2"/>
  <c r="E5" i="2"/>
  <c r="I55" i="1" l="1"/>
  <c r="E57" i="1"/>
  <c r="F57" i="1" s="1"/>
  <c r="C57" i="1"/>
  <c r="I56" i="1" l="1"/>
  <c r="I57" i="1" s="1"/>
</calcChain>
</file>

<file path=xl/sharedStrings.xml><?xml version="1.0" encoding="utf-8"?>
<sst xmlns="http://schemas.openxmlformats.org/spreadsheetml/2006/main" count="330" uniqueCount="201">
  <si>
    <t>3 Allée des Jonquilles</t>
  </si>
  <si>
    <t>4 Allée des Lavandes</t>
  </si>
  <si>
    <t>5 Allée des Marguerites</t>
  </si>
  <si>
    <t>6 Allée des Marjolaines</t>
  </si>
  <si>
    <t>7 Allée des Mauves</t>
  </si>
  <si>
    <t>8 Allée des Mélisses</t>
  </si>
  <si>
    <t>9 Allée des Mimosas</t>
  </si>
  <si>
    <t>10 Allée des Muguets</t>
  </si>
  <si>
    <t>11 Allée des Narcisses</t>
  </si>
  <si>
    <t>8 Allée des Nenuphars</t>
  </si>
  <si>
    <t>9 Allée des Orchidées</t>
  </si>
  <si>
    <t>10 Allée des Pâquerettes</t>
  </si>
  <si>
    <t>11 Allée des Impatiences</t>
  </si>
  <si>
    <t>12 Allée des Pavots</t>
  </si>
  <si>
    <t>13 Allée des Pensées</t>
  </si>
  <si>
    <t>14 Allée des Petunias</t>
  </si>
  <si>
    <t>15 Allée des Pivoines</t>
  </si>
  <si>
    <t>16 Allée des Primevères</t>
  </si>
  <si>
    <t>CAEN</t>
  </si>
  <si>
    <t>LISIEUX</t>
  </si>
  <si>
    <t>ST DESIR</t>
  </si>
  <si>
    <t>CONDE SUR NOIREAU</t>
  </si>
  <si>
    <t>LOUVIGNY</t>
  </si>
  <si>
    <t>BIEVILLE BEUVILLE</t>
  </si>
  <si>
    <t>CRICQUEBOEUF</t>
  </si>
  <si>
    <t>VILLERVILLE</t>
  </si>
  <si>
    <t>VER SUR MER</t>
  </si>
  <si>
    <t>TRACY SUR MER</t>
  </si>
  <si>
    <t>MONDEVILLE</t>
  </si>
  <si>
    <t>RANVILLE</t>
  </si>
  <si>
    <t>SALLENELLES</t>
  </si>
  <si>
    <t>CORMELLES LE ROYAL</t>
  </si>
  <si>
    <t>FLEURY SUR ORNE</t>
  </si>
  <si>
    <t>BLANGY LE CHATEAU</t>
  </si>
  <si>
    <t>PONT L EVEQUE</t>
  </si>
  <si>
    <t>LIVAROT</t>
  </si>
  <si>
    <t>Quantité</t>
  </si>
  <si>
    <t>PU HT</t>
  </si>
  <si>
    <t>Taux de remise</t>
  </si>
  <si>
    <t>TVA (A)</t>
  </si>
  <si>
    <t>TVA (B)</t>
  </si>
  <si>
    <t>TOTAL HT</t>
  </si>
  <si>
    <t>Taux</t>
  </si>
  <si>
    <t>Base</t>
  </si>
  <si>
    <t>Montant</t>
  </si>
  <si>
    <t>Total TVA</t>
  </si>
  <si>
    <t>Total TTC</t>
  </si>
  <si>
    <t>NomClient</t>
  </si>
  <si>
    <t>AdresseClient</t>
  </si>
  <si>
    <t>CPClient</t>
  </si>
  <si>
    <t>VilleClient</t>
  </si>
  <si>
    <t>13 Rue des Perruches</t>
  </si>
  <si>
    <t>7 Rue des Cigognes</t>
  </si>
  <si>
    <t>13 Rue des Gravelots</t>
  </si>
  <si>
    <t>15 Rue des Tourterelles</t>
  </si>
  <si>
    <t>10 Rue des Faisans dorés</t>
  </si>
  <si>
    <t>9 Rue des Faisans</t>
  </si>
  <si>
    <t>8 Rue des Éperviers</t>
  </si>
  <si>
    <t>7 Rue des Bergeronnettes</t>
  </si>
  <si>
    <t>6 Rue des Bécassines</t>
  </si>
  <si>
    <t>11 Rue des Faucons</t>
  </si>
  <si>
    <t>12 Rue des Hirondelles</t>
  </si>
  <si>
    <t>6 Rue des Roitelets</t>
  </si>
  <si>
    <t>8 Rue des Cormorans</t>
  </si>
  <si>
    <t>9 Rue des Corneilles</t>
  </si>
  <si>
    <t>10 Rue des Grives</t>
  </si>
  <si>
    <t>11 Rue des Grues</t>
  </si>
  <si>
    <t>12 Rue des Guêpiers</t>
  </si>
  <si>
    <t>14 Rue des Pics noirs</t>
  </si>
  <si>
    <t>NomMagasin</t>
  </si>
  <si>
    <t>AdresseMagasin</t>
  </si>
  <si>
    <t>VilleMagasin</t>
  </si>
  <si>
    <t>CPMagasin</t>
  </si>
  <si>
    <t>CodeClient</t>
  </si>
  <si>
    <t>TelClient</t>
  </si>
  <si>
    <t>RefPdt1</t>
  </si>
  <si>
    <t>Designationpdt1</t>
  </si>
  <si>
    <t>Designationpdt2</t>
  </si>
  <si>
    <t>Rosier Naturen</t>
  </si>
  <si>
    <t>Rosier Isis blanc</t>
  </si>
  <si>
    <t>Rosier Leo Ferre</t>
  </si>
  <si>
    <t>Rosier Pivoine</t>
  </si>
  <si>
    <t>Rosier Ronsard</t>
  </si>
  <si>
    <t>Rosier rouge  Bergman</t>
  </si>
  <si>
    <t>Rosier grimpant rose</t>
  </si>
  <si>
    <t>Rosier Iceberg</t>
  </si>
  <si>
    <t>Lavande papillon naine</t>
  </si>
  <si>
    <t xml:space="preserve">Aubépine fleurs doubles </t>
  </si>
  <si>
    <t xml:space="preserve">Osmanthe panachée </t>
  </si>
  <si>
    <t>Pin mugo nain</t>
  </si>
  <si>
    <t xml:space="preserve">Genévrier Blue Carpet </t>
  </si>
  <si>
    <t>Fuschia rustique Ricartonii</t>
  </si>
  <si>
    <t xml:space="preserve">Michelia Yunnan </t>
  </si>
  <si>
    <t xml:space="preserve">Chevrefeuille lilas </t>
  </si>
  <si>
    <t>Clematite Vyvyan Pennell</t>
  </si>
  <si>
    <t xml:space="preserve">Epicea Epinette blanche </t>
  </si>
  <si>
    <t>RefPdt2</t>
  </si>
  <si>
    <t>RefPdt3</t>
  </si>
  <si>
    <t>Designationpdt3</t>
  </si>
  <si>
    <t>PrixHTPdt2</t>
  </si>
  <si>
    <t>PrixHTPdt3</t>
  </si>
  <si>
    <t>PrixHTPdt1</t>
  </si>
  <si>
    <t>Prunier Mirabelle rouge</t>
  </si>
  <si>
    <t>Kaki Plaqueminier</t>
  </si>
  <si>
    <t xml:space="preserve">Arbre papillons nain </t>
  </si>
  <si>
    <t>Troene Californie argenté</t>
  </si>
  <si>
    <t>Grenadier Provence</t>
  </si>
  <si>
    <t>Nectarinier chair jaune</t>
  </si>
  <si>
    <t>Goyavier Brésil Feijoa</t>
  </si>
  <si>
    <t>Kiwi Sibérie autofertile</t>
  </si>
  <si>
    <t>Noyer Franquette</t>
  </si>
  <si>
    <t>Pommier Reinette Clochard</t>
  </si>
  <si>
    <t>Cerisier Bigarreau Napoléon</t>
  </si>
  <si>
    <t>Pommier Golden Delicious</t>
  </si>
  <si>
    <t>Figuier Goutte dOr</t>
  </si>
  <si>
    <t>Amandier Robijn</t>
  </si>
  <si>
    <t>Abricotier Précoce de Saumur</t>
  </si>
  <si>
    <t>Cerisier nain Sylvia</t>
  </si>
  <si>
    <t>QtéPdt1</t>
  </si>
  <si>
    <t xml:space="preserve">Chataignier commun </t>
  </si>
  <si>
    <t>Mure sans épine</t>
  </si>
  <si>
    <t>QtéPdt2</t>
  </si>
  <si>
    <t>QtéPdt3</t>
  </si>
  <si>
    <t>RemiseVeg</t>
  </si>
  <si>
    <t>RefPdt4</t>
  </si>
  <si>
    <t>Designationpdt4</t>
  </si>
  <si>
    <t>PrixHTPdt4</t>
  </si>
  <si>
    <t>QtéPdt4</t>
  </si>
  <si>
    <t>Noyer Frinquette</t>
  </si>
  <si>
    <t>TvaVeg</t>
  </si>
  <si>
    <t>RefServ1</t>
  </si>
  <si>
    <t>DesignationServ1</t>
  </si>
  <si>
    <t>PrixServ1</t>
  </si>
  <si>
    <t>Taille Fruitier</t>
  </si>
  <si>
    <t>Elagage Haie</t>
  </si>
  <si>
    <t>Préparation sol</t>
  </si>
  <si>
    <t>Tonte pelouse</t>
  </si>
  <si>
    <t>Scarificateur pelouse</t>
  </si>
  <si>
    <t>Plantation arbre</t>
  </si>
  <si>
    <t>Desouchage arbre</t>
  </si>
  <si>
    <t>Traitement phytosanitaire</t>
  </si>
  <si>
    <t>Amendement sol</t>
  </si>
  <si>
    <t>Terre végétale</t>
  </si>
  <si>
    <t>Pose bordure</t>
  </si>
  <si>
    <t>Semence gazon</t>
  </si>
  <si>
    <t>Pose gravier</t>
  </si>
  <si>
    <t>Evacuation déchèterie</t>
  </si>
  <si>
    <t>Pose cloture</t>
  </si>
  <si>
    <t>Pose pavés</t>
  </si>
  <si>
    <t>Labour motoculteur</t>
  </si>
  <si>
    <t>Pose arrosage</t>
  </si>
  <si>
    <t>QtéHeureServ1</t>
  </si>
  <si>
    <t>QtéMinServ1</t>
  </si>
  <si>
    <t>RefServ2</t>
  </si>
  <si>
    <t>RemiseServ</t>
  </si>
  <si>
    <t>TelMagasin</t>
  </si>
  <si>
    <t>QtéHeureServ2</t>
  </si>
  <si>
    <t>QtéMinServ2</t>
  </si>
  <si>
    <t>TvaServ</t>
  </si>
  <si>
    <t>PU HT remise déduite</t>
  </si>
  <si>
    <t>NumeroFacture</t>
  </si>
  <si>
    <t>VEGETAUX  A FACTURER</t>
  </si>
  <si>
    <t xml:space="preserve">Référence </t>
  </si>
  <si>
    <t>Désignation</t>
  </si>
  <si>
    <t xml:space="preserve">Date de facturation : </t>
  </si>
  <si>
    <t>Taux de TVA applicable sur les Végétaux :</t>
  </si>
  <si>
    <t>PRESTATION de SERVICE A FACTURER</t>
  </si>
  <si>
    <t>Temps à facturer</t>
  </si>
  <si>
    <t>Taux de TVA applicable sur les Services :</t>
  </si>
  <si>
    <t>Tarif horaire HT</t>
  </si>
  <si>
    <t>Fournisseur :</t>
  </si>
  <si>
    <t>Adresse Fournisseur :</t>
  </si>
  <si>
    <t>Nom du client :</t>
  </si>
  <si>
    <t>Adresse client :</t>
  </si>
  <si>
    <t>Adresse fournisseur :</t>
  </si>
  <si>
    <t>Tel Fournisseur :</t>
  </si>
  <si>
    <t>Numéro de la facture :</t>
  </si>
  <si>
    <t xml:space="preserve">Tel Client : </t>
  </si>
  <si>
    <t>Code client :</t>
  </si>
  <si>
    <t>Taux de TVA</t>
  </si>
  <si>
    <t>Montant unitaire de remise</t>
  </si>
  <si>
    <t>Montant Total HT</t>
  </si>
  <si>
    <t xml:space="preserve">Travail à rendre pour le : 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</si>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</sst>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\ &quot;€&quot;"/>
    <numFmt numFmtId="165" formatCode="0.0%"/>
    <numFmt numFmtId="166" formatCode="_-* #,##0.00\ [$€-40C]_-;\-* #,##0.00\ [$€-40C]_-;_-* &quot;-&quot;??\ [$€-40C]_-;_-@_-"/>
    <numFmt numFmtId="167" formatCode="[$-F400]h:mm:ss\ AM/PM"/>
    <numFmt numFmtId="168" formatCode="[h]:mm"/>
    <numFmt numFmtId="169" formatCode="h:mm"/>
    <numFmt numFmtId="170" formatCode="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90">
        <stop position="0">
          <color theme="7" tint="0.59999389629810485"/>
        </stop>
        <stop position="0.5">
          <color theme="0"/>
        </stop>
        <stop position="1">
          <color theme="7" tint="0.59999389629810485"/>
        </stop>
      </gradientFill>
    </fill>
    <fill>
      <gradientFill degree="90">
        <stop position="0">
          <color theme="9" tint="-0.25098422193060094"/>
        </stop>
        <stop position="0.5">
          <color theme="0"/>
        </stop>
        <stop position="1">
          <color theme="9" tint="-0.25098422193060094"/>
        </stop>
      </gradient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theme="7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166" fontId="0" fillId="0" borderId="0"/>
    <xf numFmtId="9" fontId="1" fillId="0" borderId="0" applyFont="0" applyFill="0" applyBorder="0" applyAlignment="0" applyProtection="0"/>
  </cellStyleXfs>
  <cellXfs count="132">
    <xf numFmtId="166" fontId="0" fillId="0" borderId="0" xfId="0"/>
    <xf numFmtId="166" fontId="0" fillId="0" borderId="0" xfId="0" applyBorder="1"/>
    <xf numFmtId="166" fontId="0" fillId="3" borderId="4" xfId="0" applyFill="1" applyBorder="1" applyAlignment="1">
      <alignment horizontal="center" vertical="center" wrapText="1"/>
    </xf>
    <xf numFmtId="166" fontId="0" fillId="0" borderId="5" xfId="0" applyBorder="1"/>
    <xf numFmtId="166" fontId="0" fillId="4" borderId="1" xfId="0" applyFill="1" applyBorder="1"/>
    <xf numFmtId="166" fontId="0" fillId="4" borderId="2" xfId="0" applyFill="1" applyBorder="1"/>
    <xf numFmtId="166" fontId="0" fillId="0" borderId="11" xfId="0" applyBorder="1"/>
    <xf numFmtId="164" fontId="0" fillId="0" borderId="2" xfId="0" applyNumberFormat="1" applyBorder="1"/>
    <xf numFmtId="9" fontId="0" fillId="0" borderId="2" xfId="1" applyFont="1" applyBorder="1"/>
    <xf numFmtId="166" fontId="0" fillId="0" borderId="2" xfId="0" applyBorder="1"/>
    <xf numFmtId="166" fontId="0" fillId="0" borderId="13" xfId="0" applyBorder="1"/>
    <xf numFmtId="166" fontId="0" fillId="0" borderId="14" xfId="0" applyBorder="1"/>
    <xf numFmtId="166" fontId="0" fillId="0" borderId="0" xfId="0" applyAlignment="1">
      <alignment horizontal="left"/>
    </xf>
    <xf numFmtId="49" fontId="0" fillId="0" borderId="0" xfId="0" applyNumberFormat="1"/>
    <xf numFmtId="166" fontId="0" fillId="0" borderId="0" xfId="0" applyBorder="1" applyAlignment="1"/>
    <xf numFmtId="166" fontId="0" fillId="0" borderId="0" xfId="0" applyFill="1"/>
    <xf numFmtId="2" fontId="0" fillId="0" borderId="0" xfId="0" applyNumberFormat="1"/>
    <xf numFmtId="10" fontId="0" fillId="0" borderId="0" xfId="0" applyNumberFormat="1"/>
    <xf numFmtId="164" fontId="0" fillId="0" borderId="2" xfId="0" applyNumberFormat="1" applyBorder="1" applyAlignment="1">
      <alignment horizontal="center"/>
    </xf>
    <xf numFmtId="166" fontId="0" fillId="2" borderId="3" xfId="0" applyFill="1" applyBorder="1" applyAlignment="1">
      <alignment horizontal="center"/>
    </xf>
    <xf numFmtId="166" fontId="0" fillId="2" borderId="7" xfId="0" applyFill="1" applyBorder="1" applyAlignment="1">
      <alignment horizontal="center"/>
    </xf>
    <xf numFmtId="166" fontId="0" fillId="2" borderId="8" xfId="0" applyFill="1" applyBorder="1" applyAlignment="1">
      <alignment horizontal="center"/>
    </xf>
    <xf numFmtId="167" fontId="0" fillId="0" borderId="0" xfId="0" applyNumberFormat="1"/>
    <xf numFmtId="168" fontId="0" fillId="0" borderId="0" xfId="0" applyNumberFormat="1"/>
    <xf numFmtId="169" fontId="0" fillId="0" borderId="0" xfId="0" applyNumberFormat="1"/>
    <xf numFmtId="1" fontId="0" fillId="0" borderId="0" xfId="0" applyNumberFormat="1"/>
    <xf numFmtId="166" fontId="0" fillId="0" borderId="0" xfId="0" applyAlignment="1"/>
    <xf numFmtId="170" fontId="0" fillId="0" borderId="0" xfId="0" applyNumberFormat="1"/>
    <xf numFmtId="0" fontId="0" fillId="0" borderId="0" xfId="0" applyNumberFormat="1"/>
    <xf numFmtId="166" fontId="0" fillId="0" borderId="0" xfId="0" applyAlignment="1">
      <alignment horizontal="center" vertical="center"/>
    </xf>
    <xf numFmtId="166" fontId="0" fillId="0" borderId="8" xfId="0" applyBorder="1"/>
    <xf numFmtId="0" fontId="0" fillId="0" borderId="5" xfId="0" applyNumberFormat="1" applyBorder="1"/>
    <xf numFmtId="166" fontId="0" fillId="0" borderId="3" xfId="0" applyBorder="1" applyAlignment="1"/>
    <xf numFmtId="166" fontId="0" fillId="0" borderId="7" xfId="0" applyBorder="1" applyAlignment="1"/>
    <xf numFmtId="166" fontId="0" fillId="0" borderId="8" xfId="0" applyBorder="1" applyAlignment="1"/>
    <xf numFmtId="166" fontId="0" fillId="0" borderId="9" xfId="0" applyBorder="1" applyAlignment="1"/>
    <xf numFmtId="166" fontId="0" fillId="0" borderId="15" xfId="0" applyBorder="1" applyAlignment="1"/>
    <xf numFmtId="166" fontId="0" fillId="0" borderId="10" xfId="0" applyBorder="1" applyAlignment="1"/>
    <xf numFmtId="166" fontId="0" fillId="0" borderId="16" xfId="0" applyBorder="1"/>
    <xf numFmtId="166" fontId="0" fillId="0" borderId="7" xfId="0" applyBorder="1"/>
    <xf numFmtId="14" fontId="0" fillId="0" borderId="3" xfId="0" applyNumberFormat="1" applyBorder="1"/>
    <xf numFmtId="2" fontId="0" fillId="0" borderId="2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166" fontId="0" fillId="6" borderId="0" xfId="0" applyFill="1" applyBorder="1" applyAlignment="1"/>
    <xf numFmtId="166" fontId="2" fillId="0" borderId="2" xfId="0" applyFont="1" applyBorder="1"/>
    <xf numFmtId="166" fontId="2" fillId="5" borderId="2" xfId="0" applyFont="1" applyFill="1" applyBorder="1"/>
    <xf numFmtId="166" fontId="2" fillId="5" borderId="3" xfId="0" applyFont="1" applyFill="1" applyBorder="1" applyAlignment="1"/>
    <xf numFmtId="166" fontId="2" fillId="5" borderId="4" xfId="0" applyFont="1" applyFill="1" applyBorder="1" applyAlignment="1"/>
    <xf numFmtId="166" fontId="2" fillId="5" borderId="6" xfId="0" applyFont="1" applyFill="1" applyBorder="1"/>
    <xf numFmtId="166" fontId="0" fillId="5" borderId="3" xfId="0" applyFill="1" applyBorder="1"/>
    <xf numFmtId="10" fontId="0" fillId="5" borderId="8" xfId="0" applyNumberFormat="1" applyFill="1" applyBorder="1"/>
    <xf numFmtId="166" fontId="0" fillId="5" borderId="7" xfId="0" applyFill="1" applyBorder="1"/>
    <xf numFmtId="166" fontId="0" fillId="5" borderId="8" xfId="0" applyFill="1" applyBorder="1"/>
    <xf numFmtId="10" fontId="2" fillId="0" borderId="2" xfId="0" applyNumberFormat="1" applyFont="1" applyBorder="1" applyAlignment="1">
      <alignment horizontal="center" vertical="center"/>
    </xf>
    <xf numFmtId="10" fontId="2" fillId="0" borderId="2" xfId="0" applyNumberFormat="1" applyFont="1" applyBorder="1" applyAlignment="1">
      <alignment horizontal="center"/>
    </xf>
    <xf numFmtId="166" fontId="2" fillId="0" borderId="2" xfId="0" applyFont="1" applyBorder="1" applyAlignment="1">
      <alignment horizontal="center" vertical="center"/>
    </xf>
    <xf numFmtId="166" fontId="2" fillId="0" borderId="2" xfId="0" applyFont="1" applyBorder="1" applyAlignment="1">
      <alignment horizontal="center" vertical="center" wrapText="1"/>
    </xf>
    <xf numFmtId="166" fontId="0" fillId="5" borderId="9" xfId="0" applyFill="1" applyBorder="1"/>
    <xf numFmtId="10" fontId="0" fillId="5" borderId="10" xfId="0" applyNumberFormat="1" applyFill="1" applyBorder="1"/>
    <xf numFmtId="166" fontId="2" fillId="5" borderId="4" xfId="0" applyFont="1" applyFill="1" applyBorder="1"/>
    <xf numFmtId="166" fontId="0" fillId="0" borderId="4" xfId="0" applyBorder="1" applyAlignment="1">
      <alignment horizontal="left"/>
    </xf>
    <xf numFmtId="166" fontId="0" fillId="0" borderId="0" xfId="0" applyBorder="1" applyAlignment="1">
      <alignment horizontal="left"/>
    </xf>
    <xf numFmtId="164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right"/>
    </xf>
    <xf numFmtId="165" fontId="0" fillId="0" borderId="2" xfId="1" applyNumberFormat="1" applyFont="1" applyBorder="1"/>
    <xf numFmtId="166" fontId="0" fillId="0" borderId="16" xfId="0" applyBorder="1" applyAlignment="1"/>
    <xf numFmtId="166" fontId="0" fillId="0" borderId="12" xfId="0" applyBorder="1" applyAlignment="1">
      <alignment horizontal="left"/>
    </xf>
    <xf numFmtId="166" fontId="0" fillId="0" borderId="11" xfId="0" applyBorder="1" applyAlignment="1">
      <alignment horizontal="left"/>
    </xf>
    <xf numFmtId="166" fontId="0" fillId="0" borderId="16" xfId="0" applyBorder="1" applyAlignment="1">
      <alignment horizontal="left"/>
    </xf>
    <xf numFmtId="166" fontId="0" fillId="0" borderId="13" xfId="0" applyBorder="1" applyAlignment="1"/>
    <xf numFmtId="14" fontId="0" fillId="0" borderId="16" xfId="0" applyNumberFormat="1" applyBorder="1" applyAlignment="1">
      <alignment horizontal="left"/>
    </xf>
    <xf numFmtId="14" fontId="0" fillId="0" borderId="14" xfId="0" applyNumberFormat="1" applyBorder="1" applyAlignment="1">
      <alignment horizontal="left"/>
    </xf>
    <xf numFmtId="166" fontId="0" fillId="0" borderId="0" xfId="0" applyAlignment="1">
      <alignment textRotation="125"/>
    </xf>
    <xf numFmtId="166" fontId="0" fillId="0" borderId="2" xfId="0" applyNumberFormat="1" applyBorder="1"/>
    <xf numFmtId="166" fontId="0" fillId="0" borderId="2" xfId="0" applyBorder="1" applyAlignment="1">
      <alignment horizontal="left"/>
    </xf>
    <xf numFmtId="2" fontId="0" fillId="0" borderId="2" xfId="0" applyNumberFormat="1" applyBorder="1"/>
    <xf numFmtId="10" fontId="0" fillId="0" borderId="2" xfId="0" applyNumberFormat="1" applyBorder="1"/>
    <xf numFmtId="164" fontId="0" fillId="0" borderId="2" xfId="1" applyNumberFormat="1" applyFont="1" applyBorder="1"/>
    <xf numFmtId="166" fontId="0" fillId="0" borderId="2" xfId="0" applyBorder="1" applyAlignment="1"/>
    <xf numFmtId="2" fontId="0" fillId="0" borderId="2" xfId="0" quotePrefix="1" applyNumberFormat="1" applyBorder="1"/>
    <xf numFmtId="166" fontId="2" fillId="0" borderId="0" xfId="0" applyFont="1" applyBorder="1" applyAlignment="1">
      <alignment horizontal="right"/>
    </xf>
    <xf numFmtId="164" fontId="2" fillId="0" borderId="0" xfId="0" applyNumberFormat="1" applyFont="1" applyBorder="1"/>
    <xf numFmtId="166" fontId="0" fillId="2" borderId="0" xfId="0" applyFill="1" applyBorder="1" applyAlignment="1">
      <alignment horizontal="center"/>
    </xf>
    <xf numFmtId="166" fontId="0" fillId="0" borderId="3" xfId="0" applyBorder="1"/>
    <xf numFmtId="164" fontId="0" fillId="0" borderId="2" xfId="0" applyNumberFormat="1" applyFill="1" applyBorder="1"/>
    <xf numFmtId="164" fontId="0" fillId="0" borderId="4" xfId="0" applyNumberFormat="1" applyBorder="1"/>
    <xf numFmtId="166" fontId="0" fillId="0" borderId="6" xfId="0" applyBorder="1" applyAlignment="1">
      <alignment horizontal="center"/>
    </xf>
    <xf numFmtId="166" fontId="0" fillId="0" borderId="5" xfId="0" applyBorder="1" applyAlignment="1">
      <alignment horizontal="left"/>
    </xf>
    <xf numFmtId="166" fontId="3" fillId="0" borderId="5" xfId="0" applyFont="1" applyBorder="1" applyAlignment="1">
      <alignment horizontal="left"/>
    </xf>
    <xf numFmtId="166" fontId="0" fillId="3" borderId="10" xfId="0" applyFill="1" applyBorder="1" applyAlignment="1">
      <alignment horizontal="center" vertical="center" wrapText="1"/>
    </xf>
    <xf numFmtId="166" fontId="0" fillId="0" borderId="6" xfId="0" applyNumberFormat="1" applyBorder="1"/>
    <xf numFmtId="166" fontId="0" fillId="3" borderId="2" xfId="0" applyFill="1" applyBorder="1" applyAlignment="1">
      <alignment horizontal="center" vertical="center" wrapText="1"/>
    </xf>
    <xf numFmtId="166" fontId="2" fillId="0" borderId="0" xfId="0" applyFont="1" applyBorder="1" applyAlignment="1">
      <alignment horizontal="left"/>
    </xf>
    <xf numFmtId="164" fontId="0" fillId="0" borderId="2" xfId="0" applyNumberFormat="1" applyBorder="1" applyAlignment="1"/>
    <xf numFmtId="166" fontId="2" fillId="0" borderId="7" xfId="0" applyFont="1" applyBorder="1"/>
    <xf numFmtId="164" fontId="0" fillId="0" borderId="18" xfId="0" applyNumberFormat="1" applyBorder="1"/>
    <xf numFmtId="1" fontId="0" fillId="0" borderId="2" xfId="0" applyNumberFormat="1" applyBorder="1" applyAlignment="1">
      <alignment horizontal="center"/>
    </xf>
    <xf numFmtId="164" fontId="2" fillId="0" borderId="17" xfId="0" applyNumberFormat="1" applyFont="1" applyBorder="1"/>
    <xf numFmtId="14" fontId="0" fillId="0" borderId="0" xfId="0" applyNumberFormat="1"/>
    <xf numFmtId="166" fontId="0" fillId="0" borderId="3" xfId="0" applyBorder="1" applyAlignment="1">
      <alignment horizontal="center"/>
    </xf>
    <xf numFmtId="166" fontId="0" fillId="0" borderId="8" xfId="0" applyBorder="1" applyAlignment="1">
      <alignment horizontal="center"/>
    </xf>
    <xf numFmtId="166" fontId="2" fillId="0" borderId="3" xfId="0" applyFont="1" applyBorder="1" applyAlignment="1">
      <alignment horizontal="center"/>
    </xf>
    <xf numFmtId="166" fontId="2" fillId="0" borderId="8" xfId="0" applyFont="1" applyBorder="1" applyAlignment="1">
      <alignment horizontal="center"/>
    </xf>
    <xf numFmtId="166" fontId="0" fillId="0" borderId="9" xfId="0" applyBorder="1" applyAlignment="1">
      <alignment horizontal="left"/>
    </xf>
    <xf numFmtId="166" fontId="0" fillId="0" borderId="10" xfId="0" applyBorder="1" applyAlignment="1">
      <alignment horizontal="left"/>
    </xf>
    <xf numFmtId="166" fontId="0" fillId="0" borderId="11" xfId="0" applyBorder="1" applyAlignment="1">
      <alignment horizontal="left"/>
    </xf>
    <xf numFmtId="166" fontId="0" fillId="0" borderId="12" xfId="0" applyBorder="1" applyAlignment="1">
      <alignment horizontal="left"/>
    </xf>
    <xf numFmtId="166" fontId="2" fillId="5" borderId="9" xfId="0" applyFont="1" applyFill="1" applyBorder="1" applyAlignment="1">
      <alignment horizontal="center" vertical="center"/>
    </xf>
    <xf numFmtId="166" fontId="2" fillId="5" borderId="15" xfId="0" applyFont="1" applyFill="1" applyBorder="1" applyAlignment="1">
      <alignment horizontal="center" vertical="center"/>
    </xf>
    <xf numFmtId="166" fontId="2" fillId="5" borderId="10" xfId="0" applyFont="1" applyFill="1" applyBorder="1" applyAlignment="1">
      <alignment horizontal="center" vertical="center"/>
    </xf>
    <xf numFmtId="166" fontId="2" fillId="5" borderId="11" xfId="0" applyFont="1" applyFill="1" applyBorder="1" applyAlignment="1">
      <alignment horizontal="center" vertical="center"/>
    </xf>
    <xf numFmtId="166" fontId="2" fillId="5" borderId="0" xfId="0" applyFont="1" applyFill="1" applyBorder="1" applyAlignment="1">
      <alignment horizontal="center" vertical="center"/>
    </xf>
    <xf numFmtId="166" fontId="2" fillId="5" borderId="12" xfId="0" applyFont="1" applyFill="1" applyBorder="1" applyAlignment="1">
      <alignment horizontal="center" vertical="center"/>
    </xf>
    <xf numFmtId="166" fontId="2" fillId="5" borderId="13" xfId="0" applyFont="1" applyFill="1" applyBorder="1" applyAlignment="1">
      <alignment horizontal="center" vertical="center"/>
    </xf>
    <xf numFmtId="166" fontId="2" fillId="5" borderId="16" xfId="0" applyFont="1" applyFill="1" applyBorder="1" applyAlignment="1">
      <alignment horizontal="center" vertical="center"/>
    </xf>
    <xf numFmtId="166" fontId="2" fillId="5" borderId="14" xfId="0" applyFont="1" applyFill="1" applyBorder="1" applyAlignment="1">
      <alignment horizontal="center" vertical="center"/>
    </xf>
    <xf numFmtId="166" fontId="2" fillId="2" borderId="3" xfId="0" applyFont="1" applyFill="1" applyBorder="1" applyAlignment="1">
      <alignment horizontal="center"/>
    </xf>
    <xf numFmtId="166" fontId="2" fillId="2" borderId="7" xfId="0" applyFont="1" applyFill="1" applyBorder="1" applyAlignment="1">
      <alignment horizontal="center"/>
    </xf>
    <xf numFmtId="166" fontId="2" fillId="2" borderId="8" xfId="0" applyFont="1" applyFill="1" applyBorder="1" applyAlignment="1">
      <alignment horizontal="center"/>
    </xf>
    <xf numFmtId="0" fontId="0" fillId="0" borderId="0" xfId="0" applyNumberFormat="1" applyAlignment="1">
      <alignment horizontal="left" vertical="center" wrapText="1"/>
    </xf>
    <xf numFmtId="166" fontId="2" fillId="5" borderId="3" xfId="0" applyFont="1" applyFill="1" applyBorder="1" applyAlignment="1">
      <alignment horizontal="center"/>
    </xf>
    <xf numFmtId="166" fontId="2" fillId="5" borderId="7" xfId="0" applyFont="1" applyFill="1" applyBorder="1" applyAlignment="1">
      <alignment horizontal="center"/>
    </xf>
    <xf numFmtId="166" fontId="2" fillId="5" borderId="8" xfId="0" applyFont="1" applyFill="1" applyBorder="1" applyAlignment="1">
      <alignment horizontal="center"/>
    </xf>
    <xf numFmtId="166" fontId="2" fillId="5" borderId="9" xfId="0" applyFont="1" applyFill="1" applyBorder="1" applyAlignment="1">
      <alignment horizontal="center" vertical="center" wrapText="1"/>
    </xf>
    <xf numFmtId="166" fontId="2" fillId="5" borderId="15" xfId="0" applyFont="1" applyFill="1" applyBorder="1" applyAlignment="1">
      <alignment horizontal="center" vertical="center" wrapText="1"/>
    </xf>
    <xf numFmtId="166" fontId="2" fillId="5" borderId="10" xfId="0" applyFont="1" applyFill="1" applyBorder="1" applyAlignment="1">
      <alignment horizontal="center" vertical="center" wrapText="1"/>
    </xf>
    <xf numFmtId="166" fontId="2" fillId="5" borderId="11" xfId="0" applyFont="1" applyFill="1" applyBorder="1" applyAlignment="1">
      <alignment horizontal="center" vertical="center" wrapText="1"/>
    </xf>
    <xf numFmtId="166" fontId="2" fillId="5" borderId="0" xfId="0" applyFont="1" applyFill="1" applyBorder="1" applyAlignment="1">
      <alignment horizontal="center" vertical="center" wrapText="1"/>
    </xf>
    <xf numFmtId="166" fontId="2" fillId="5" borderId="12" xfId="0" applyFont="1" applyFill="1" applyBorder="1" applyAlignment="1">
      <alignment horizontal="center" vertical="center" wrapText="1"/>
    </xf>
    <xf numFmtId="166" fontId="2" fillId="5" borderId="13" xfId="0" applyFont="1" applyFill="1" applyBorder="1" applyAlignment="1">
      <alignment horizontal="center" vertical="center" wrapText="1"/>
    </xf>
    <xf numFmtId="166" fontId="2" fillId="5" borderId="16" xfId="0" applyFont="1" applyFill="1" applyBorder="1" applyAlignment="1">
      <alignment horizontal="center" vertical="center" wrapText="1"/>
    </xf>
    <xf numFmtId="166" fontId="2" fillId="5" borderId="14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ariowiki.com/File:Powerup-fire-flower-sm.png" TargetMode="External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ariowiki.com/File:Powerup-fire-flower-sm.png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39</xdr:row>
      <xdr:rowOff>174018</xdr:rowOff>
    </xdr:from>
    <xdr:to>
      <xdr:col>0</xdr:col>
      <xdr:colOff>1089660</xdr:colOff>
      <xdr:row>44</xdr:row>
      <xdr:rowOff>59717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EF8E2184-9913-485B-9035-A23545D863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 rot="20881717">
          <a:off x="160020" y="7489218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3</xdr:col>
      <xdr:colOff>228600</xdr:colOff>
      <xdr:row>40</xdr:row>
      <xdr:rowOff>0</xdr:rowOff>
    </xdr:from>
    <xdr:to>
      <xdr:col>3</xdr:col>
      <xdr:colOff>1158240</xdr:colOff>
      <xdr:row>44</xdr:row>
      <xdr:rowOff>68579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2D1E6DFD-A249-4F95-9FA8-0822E483F1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 rot="801567">
          <a:off x="3870960" y="7498080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1</xdr:col>
      <xdr:colOff>609600</xdr:colOff>
      <xdr:row>39</xdr:row>
      <xdr:rowOff>86304</xdr:rowOff>
    </xdr:from>
    <xdr:to>
      <xdr:col>1</xdr:col>
      <xdr:colOff>1529715</xdr:colOff>
      <xdr:row>43</xdr:row>
      <xdr:rowOff>154883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3DEF10C5-9EF3-42E0-ADAE-4B41F7FF5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882140" y="7401504"/>
          <a:ext cx="929640" cy="8000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39</xdr:row>
      <xdr:rowOff>174018</xdr:rowOff>
    </xdr:from>
    <xdr:to>
      <xdr:col>0</xdr:col>
      <xdr:colOff>1089660</xdr:colOff>
      <xdr:row>44</xdr:row>
      <xdr:rowOff>59717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CC2CEDF-7289-40B1-9B85-C301C0FB75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 rot="20881717">
          <a:off x="160020" y="7489218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3</xdr:col>
      <xdr:colOff>228600</xdr:colOff>
      <xdr:row>40</xdr:row>
      <xdr:rowOff>0</xdr:rowOff>
    </xdr:from>
    <xdr:to>
      <xdr:col>3</xdr:col>
      <xdr:colOff>1158240</xdr:colOff>
      <xdr:row>44</xdr:row>
      <xdr:rowOff>68579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CC4A032-BEEA-484D-B712-43EDCAC778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 rot="801567">
          <a:off x="3756660" y="7498080"/>
          <a:ext cx="929640" cy="800099"/>
        </a:xfrm>
        <a:prstGeom prst="rect">
          <a:avLst/>
        </a:prstGeom>
      </xdr:spPr>
    </xdr:pic>
    <xdr:clientData/>
  </xdr:twoCellAnchor>
  <xdr:twoCellAnchor editAs="oneCell">
    <xdr:from>
      <xdr:col>1</xdr:col>
      <xdr:colOff>609600</xdr:colOff>
      <xdr:row>39</xdr:row>
      <xdr:rowOff>86304</xdr:rowOff>
    </xdr:from>
    <xdr:to>
      <xdr:col>1</xdr:col>
      <xdr:colOff>1529715</xdr:colOff>
      <xdr:row>43</xdr:row>
      <xdr:rowOff>154883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C88E56A6-06BB-448B-A7BC-A4D6B27861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882140" y="7401504"/>
          <a:ext cx="929640" cy="8000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59"/>
  <sheetViews>
    <sheetView tabSelected="1" workbookViewId="0">
      <selection activeCell="B5" sqref="B5"/>
    </sheetView>
  </sheetViews>
  <sheetFormatPr baseColWidth="10" defaultRowHeight="14.4" x14ac:dyDescent="0.3"/>
  <cols>
    <col min="1" max="1" width="19.33203125" customWidth="1"/>
    <col min="2" max="2" width="23" customWidth="1"/>
    <col min="4" max="4" width="20.44140625" customWidth="1"/>
    <col min="8" max="8" width="10.109375" customWidth="1"/>
    <col min="9" max="9" width="10.6640625" customWidth="1"/>
  </cols>
  <sheetData>
    <row r="1" spans="1:9" ht="37.950000000000003" customHeight="1" x14ac:dyDescent="0.3">
      <c r="A1" s="119" t="str">
        <f>"En stage au sein de l'entreprise : "&amp;VLOOKUP($B$5,Base,7)&amp;" vous êtes chargé d'établir la facture pour le client "&amp;B5&amp;" qui a fait des achats dans la pépinière et a fait réalisé des prestations de service. En fonction des informations ci dessous, complétez la facture page suivante. Arrondir les calculs à deux chiffres après la virgule"</f>
        <v>En stage au sein de l'entreprise : Les pépinières de LISIEUX vous êtes chargé d'établir la facture pour le client RRR qui a fait des achats dans la pépinière et a fait réalisé des prestations de service. En fonction des informations ci dessous, complétez la facture page suivante. Arrondir les calculs à deux chiffres après la virgule</v>
      </c>
      <c r="B1" s="119"/>
      <c r="C1" s="119"/>
      <c r="D1" s="119"/>
      <c r="E1" s="119"/>
      <c r="F1" s="119"/>
      <c r="G1" s="119"/>
      <c r="H1" s="119"/>
      <c r="I1" s="119"/>
    </row>
    <row r="2" spans="1:9" x14ac:dyDescent="0.3">
      <c r="A2" s="119"/>
      <c r="B2" s="119"/>
      <c r="C2" s="119"/>
      <c r="D2" s="119"/>
      <c r="E2" s="119"/>
      <c r="F2" s="119"/>
      <c r="G2" s="119"/>
      <c r="H2" s="119"/>
      <c r="I2" s="119"/>
    </row>
    <row r="3" spans="1:9" x14ac:dyDescent="0.3">
      <c r="D3" t="s">
        <v>182</v>
      </c>
      <c r="F3" s="98">
        <f ca="1">E10+7</f>
        <v>43935</v>
      </c>
    </row>
    <row r="5" spans="1:9" x14ac:dyDescent="0.3">
      <c r="A5" s="45" t="s">
        <v>172</v>
      </c>
      <c r="B5" s="9" t="s">
        <v>200</v>
      </c>
      <c r="D5" s="46" t="s">
        <v>170</v>
      </c>
      <c r="E5" s="33" t="str">
        <f>VLOOKUP($B$5,Base,7)</f>
        <v>Les pépinières de LISIEUX</v>
      </c>
      <c r="F5" s="33"/>
      <c r="G5" s="34"/>
    </row>
    <row r="6" spans="1:9" x14ac:dyDescent="0.3">
      <c r="A6" s="59" t="s">
        <v>173</v>
      </c>
      <c r="B6" s="3" t="str">
        <f>VLOOKUP($B$5,Base,2)</f>
        <v>16 Allée des Primevères</v>
      </c>
      <c r="C6" s="26"/>
      <c r="D6" s="47" t="s">
        <v>174</v>
      </c>
      <c r="E6" s="35" t="str">
        <f>VLOOKUP($B$5,Base,8)</f>
        <v>15 Rue des Tourterelles</v>
      </c>
      <c r="F6" s="36"/>
      <c r="G6" s="37"/>
    </row>
    <row r="7" spans="1:9" x14ac:dyDescent="0.3">
      <c r="A7" s="48"/>
      <c r="B7" s="31" t="str">
        <f>VLOOKUP($B$5,Base,4)&amp;" "&amp;VLOOKUP($B$5,Base,5)</f>
        <v>14140 LIVAROT</v>
      </c>
      <c r="D7" s="48"/>
      <c r="E7" s="10" t="str">
        <f>VLOOKUP($B$5,Base,10)&amp;" "&amp;VLOOKUP($B$5,Base,11)</f>
        <v>14100 LISIEUX</v>
      </c>
      <c r="F7" s="38"/>
      <c r="G7" s="11"/>
    </row>
    <row r="8" spans="1:9" x14ac:dyDescent="0.3">
      <c r="A8" s="45" t="s">
        <v>177</v>
      </c>
      <c r="B8" s="9" t="str">
        <f>VLOOKUP($B$5,Base,3)</f>
        <v>02 31 51 28 80</v>
      </c>
      <c r="D8" s="45" t="s">
        <v>175</v>
      </c>
      <c r="E8" s="32" t="str">
        <f>VLOOKUP($B$5,Base,9)</f>
        <v>02 31 51 28 28</v>
      </c>
      <c r="F8" s="39"/>
      <c r="G8" s="30"/>
    </row>
    <row r="9" spans="1:9" x14ac:dyDescent="0.3">
      <c r="A9" s="45" t="s">
        <v>178</v>
      </c>
      <c r="B9" s="9" t="str">
        <f>VLOOKUP($B$5,Base,6)</f>
        <v>R14140LI29</v>
      </c>
      <c r="D9" s="45" t="s">
        <v>176</v>
      </c>
      <c r="E9" s="32" t="str">
        <f ca="1">VLOOKUP($B$5,Base,12)</f>
        <v>R202014140LI29</v>
      </c>
      <c r="F9" s="39"/>
      <c r="G9" s="30"/>
    </row>
    <row r="10" spans="1:9" x14ac:dyDescent="0.3">
      <c r="D10" s="45" t="s">
        <v>164</v>
      </c>
      <c r="E10" s="40">
        <f ca="1">TODAY()</f>
        <v>43928</v>
      </c>
      <c r="F10" s="39"/>
      <c r="G10" s="30"/>
    </row>
    <row r="12" spans="1:9" x14ac:dyDescent="0.3">
      <c r="A12" s="120" t="s">
        <v>161</v>
      </c>
      <c r="B12" s="121"/>
      <c r="C12" s="121"/>
      <c r="D12" s="122"/>
      <c r="E12" s="43"/>
      <c r="F12" s="43"/>
      <c r="G12" s="43"/>
    </row>
    <row r="13" spans="1:9" x14ac:dyDescent="0.3">
      <c r="A13" s="44" t="s">
        <v>162</v>
      </c>
      <c r="B13" s="44" t="s">
        <v>163</v>
      </c>
      <c r="C13" s="44" t="s">
        <v>37</v>
      </c>
      <c r="D13" s="44" t="s">
        <v>36</v>
      </c>
    </row>
    <row r="14" spans="1:9" x14ac:dyDescent="0.3">
      <c r="A14" s="9" t="str">
        <f>VLOOKUP($B$5,Base,13)</f>
        <v>VEGFUSRU.035</v>
      </c>
      <c r="B14" s="9" t="str">
        <f>VLOOKUP($B$5,Base,14)</f>
        <v>Fuschia rustique Ricartonii</v>
      </c>
      <c r="C14" s="62">
        <f>VLOOKUP($B$5,Base,15)</f>
        <v>3.58</v>
      </c>
      <c r="D14" s="41">
        <f>VLOOKUP($B$5,Base,16)</f>
        <v>9</v>
      </c>
    </row>
    <row r="15" spans="1:9" x14ac:dyDescent="0.3">
      <c r="A15" s="9" t="str">
        <f>VLOOKUP($B$5,Base,17)</f>
        <v>VEGROSGR.022</v>
      </c>
      <c r="B15" s="9" t="str">
        <f>VLOOKUP($B$5,Base,18)</f>
        <v>Rosier grimpant rose</v>
      </c>
      <c r="C15" s="62">
        <f>VLOOKUP($B$5,Base,19)</f>
        <v>4.99</v>
      </c>
      <c r="D15" s="42">
        <f>VLOOKUP($B$5,Base,20)</f>
        <v>7</v>
      </c>
    </row>
    <row r="16" spans="1:9" x14ac:dyDescent="0.3">
      <c r="A16" s="9" t="str">
        <f>VLOOKUP($B$5,Base,21)</f>
        <v>VEGKIWSI.026</v>
      </c>
      <c r="B16" s="9" t="str">
        <f>VLOOKUP($B$5,Base,22)</f>
        <v>Kiwi Sibérie autofertile</v>
      </c>
      <c r="C16" s="18">
        <f>VLOOKUP($B$5,Base,23)</f>
        <v>8.1</v>
      </c>
      <c r="D16" s="42">
        <f>VLOOKUP($B$5,Base,24)</f>
        <v>12</v>
      </c>
    </row>
    <row r="17" spans="1:6" x14ac:dyDescent="0.3">
      <c r="A17" s="9" t="str">
        <f>VLOOKUP($B$5,Base,25)</f>
        <v>VEGCERBI.026</v>
      </c>
      <c r="B17" s="9" t="str">
        <f>VLOOKUP($B$5,Base,26)</f>
        <v>Cerisier Bigarreau Napoléon</v>
      </c>
      <c r="C17" s="18">
        <f>VLOOKUP($B$5,Base,27)</f>
        <v>10.99</v>
      </c>
      <c r="D17" s="41">
        <f>VLOOKUP($B$5,Base,28)</f>
        <v>2</v>
      </c>
    </row>
    <row r="19" spans="1:6" x14ac:dyDescent="0.3">
      <c r="A19" s="49" t="s">
        <v>165</v>
      </c>
      <c r="B19" s="50"/>
      <c r="C19" s="53">
        <f>VLOOKUP($B$5,Base,30)</f>
        <v>5.5E-2</v>
      </c>
    </row>
    <row r="20" spans="1:6" x14ac:dyDescent="0.3">
      <c r="A20" s="49" t="str">
        <f ca="1">"Avantage fidélité, au "&amp;TEXT(TODAY(),"jjj j mmm aaa")&amp;" le client a obtenu une remise sur l'achat des végétaux de :"</f>
        <v>Avantage fidélité, au mar 7 avr 2020 le client a obtenu une remise sur l'achat des végétaux de :</v>
      </c>
      <c r="B20" s="51"/>
      <c r="C20" s="51"/>
      <c r="D20" s="51"/>
      <c r="E20" s="52"/>
      <c r="F20" s="54">
        <f>VLOOKUP($B$5,Base,29)</f>
        <v>7.0000000000000007E-2</v>
      </c>
    </row>
    <row r="22" spans="1:6" x14ac:dyDescent="0.3">
      <c r="A22" s="120" t="s">
        <v>166</v>
      </c>
      <c r="B22" s="121"/>
      <c r="C22" s="121"/>
      <c r="D22" s="122"/>
      <c r="E22" s="26"/>
      <c r="F22" s="26"/>
    </row>
    <row r="23" spans="1:6" ht="28.95" customHeight="1" x14ac:dyDescent="0.3">
      <c r="A23" s="55" t="s">
        <v>162</v>
      </c>
      <c r="B23" s="55" t="s">
        <v>163</v>
      </c>
      <c r="C23" s="56" t="s">
        <v>169</v>
      </c>
      <c r="D23" s="55" t="s">
        <v>167</v>
      </c>
      <c r="E23" s="29"/>
    </row>
    <row r="24" spans="1:6" x14ac:dyDescent="0.3">
      <c r="A24" s="9" t="str">
        <f>VLOOKUP($B$5,Base,31)</f>
        <v>SERVPOSAR.024</v>
      </c>
      <c r="B24" s="9" t="str">
        <f>VLOOKUP($B$5,Base,32)</f>
        <v>Pose arrosage</v>
      </c>
      <c r="C24" s="78">
        <f>VLOOKUP($B$5,Base,33)</f>
        <v>21</v>
      </c>
      <c r="D24" s="96" t="str">
        <f>VLOOKUP($B$5,Base,34)&amp;" h "&amp;VLOOKUP($B$5,Base,35)&amp;" min"</f>
        <v>7 h 45 min</v>
      </c>
    </row>
    <row r="25" spans="1:6" x14ac:dyDescent="0.3">
      <c r="A25" s="9" t="str">
        <f>VLOOKUP($B$5,Base,36)</f>
        <v>SERVAMESO.024</v>
      </c>
      <c r="B25" s="9" t="str">
        <f>VLOOKUP($B$5,Base,37)</f>
        <v>Amendement sol</v>
      </c>
      <c r="C25" s="78">
        <f>VLOOKUP($B$5,Base,38)</f>
        <v>16</v>
      </c>
      <c r="D25" s="96" t="str">
        <f>VLOOKUP($B$5,Base,39)&amp;" h "&amp;VLOOKUP($B$5,Base,40)&amp;" min"</f>
        <v>6 h 40 min</v>
      </c>
    </row>
    <row r="27" spans="1:6" x14ac:dyDescent="0.3">
      <c r="A27" s="57" t="s">
        <v>168</v>
      </c>
      <c r="B27" s="58"/>
      <c r="C27" s="54">
        <f>VLOOKUP($B$5,Base,42)</f>
        <v>0.2</v>
      </c>
    </row>
    <row r="28" spans="1:6" x14ac:dyDescent="0.3">
      <c r="A28" s="49" t="str">
        <f ca="1">"Avantage fidélité, au "&amp;TEXT(TODAY(),"jjj j mmm aaa")&amp;" le client a obtenu une remise sur l'achat de services de :"</f>
        <v>Avantage fidélité, au mar 7 avr 2020 le client a obtenu une remise sur l'achat de services de :</v>
      </c>
      <c r="B28" s="51"/>
      <c r="C28" s="51"/>
      <c r="D28" s="51"/>
      <c r="E28" s="52"/>
      <c r="F28" s="54">
        <f>VLOOKUP($B$5,Base,41)</f>
        <v>0.12</v>
      </c>
    </row>
    <row r="33" spans="1:14" x14ac:dyDescent="0.3">
      <c r="A33" s="116" t="str">
        <f>"FACTURE N ° :  "</f>
        <v xml:space="preserve">FACTURE N ° :  </v>
      </c>
      <c r="B33" s="117"/>
      <c r="C33" s="117"/>
      <c r="D33" s="117"/>
      <c r="E33" s="117"/>
      <c r="F33" s="117"/>
      <c r="G33" s="117"/>
      <c r="H33" s="117"/>
      <c r="I33" s="118"/>
    </row>
    <row r="34" spans="1:14" x14ac:dyDescent="0.3">
      <c r="A34" s="60" t="s">
        <v>170</v>
      </c>
      <c r="B34" s="36"/>
      <c r="C34" s="36"/>
      <c r="D34" s="36"/>
      <c r="E34" s="123" t="str">
        <f>VLOOKUP($B$5,Base,7)
&amp;" Conseil, services, animalerie, végétaux"</f>
        <v>Les pépinières de LISIEUX Conseil, services, animalerie, végétaux</v>
      </c>
      <c r="F34" s="124"/>
      <c r="G34" s="124"/>
      <c r="H34" s="124"/>
      <c r="I34" s="125"/>
    </row>
    <row r="35" spans="1:14" x14ac:dyDescent="0.3">
      <c r="A35" s="87" t="s">
        <v>171</v>
      </c>
      <c r="B35" s="14"/>
      <c r="C35" s="14"/>
      <c r="D35" s="14"/>
      <c r="E35" s="126"/>
      <c r="F35" s="127"/>
      <c r="G35" s="127"/>
      <c r="H35" s="127"/>
      <c r="I35" s="128"/>
    </row>
    <row r="36" spans="1:14" x14ac:dyDescent="0.3">
      <c r="A36" s="87"/>
      <c r="B36" s="14"/>
      <c r="C36" s="14"/>
      <c r="D36" s="14"/>
      <c r="E36" s="126"/>
      <c r="F36" s="127"/>
      <c r="G36" s="127"/>
      <c r="H36" s="127"/>
      <c r="I36" s="128"/>
    </row>
    <row r="37" spans="1:14" x14ac:dyDescent="0.3">
      <c r="A37" s="87" t="str">
        <f>D8</f>
        <v>Tel Fournisseur :</v>
      </c>
      <c r="B37" s="14"/>
      <c r="C37" s="14"/>
      <c r="D37" s="14"/>
      <c r="E37" s="126"/>
      <c r="F37" s="127"/>
      <c r="G37" s="127"/>
      <c r="H37" s="127"/>
      <c r="I37" s="128"/>
    </row>
    <row r="38" spans="1:14" x14ac:dyDescent="0.3">
      <c r="A38" s="88"/>
      <c r="B38" s="1"/>
      <c r="C38" s="1"/>
      <c r="D38" s="1"/>
      <c r="E38" s="126"/>
      <c r="F38" s="127"/>
      <c r="G38" s="127"/>
      <c r="H38" s="127"/>
      <c r="I38" s="128"/>
      <c r="N38" s="72"/>
    </row>
    <row r="39" spans="1:14" x14ac:dyDescent="0.3">
      <c r="A39" s="86"/>
      <c r="B39" s="65"/>
      <c r="C39" s="65"/>
      <c r="D39" s="65"/>
      <c r="E39" s="129"/>
      <c r="F39" s="130"/>
      <c r="G39" s="130"/>
      <c r="H39" s="130"/>
      <c r="I39" s="131"/>
    </row>
    <row r="40" spans="1:14" x14ac:dyDescent="0.3">
      <c r="A40" s="107"/>
      <c r="B40" s="108"/>
      <c r="C40" s="108"/>
      <c r="D40" s="109"/>
      <c r="E40" s="103" t="str">
        <f>A5</f>
        <v>Nom du client :</v>
      </c>
      <c r="F40" s="104"/>
      <c r="G40" s="92" t="str">
        <f>B5</f>
        <v>RRR</v>
      </c>
      <c r="H40" s="61"/>
      <c r="I40" s="66"/>
    </row>
    <row r="41" spans="1:14" x14ac:dyDescent="0.3">
      <c r="A41" s="110"/>
      <c r="B41" s="111"/>
      <c r="C41" s="111"/>
      <c r="D41" s="112"/>
      <c r="E41" s="105" t="str">
        <f>A6</f>
        <v>Adresse client :</v>
      </c>
      <c r="F41" s="106"/>
      <c r="G41" s="61"/>
      <c r="H41" s="61"/>
      <c r="I41" s="66"/>
    </row>
    <row r="42" spans="1:14" x14ac:dyDescent="0.3">
      <c r="A42" s="110"/>
      <c r="B42" s="111"/>
      <c r="C42" s="111"/>
      <c r="D42" s="112"/>
      <c r="E42" s="67"/>
      <c r="F42" s="66"/>
      <c r="G42" s="61"/>
      <c r="H42" s="61"/>
      <c r="I42" s="66"/>
    </row>
    <row r="43" spans="1:14" x14ac:dyDescent="0.3">
      <c r="A43" s="110"/>
      <c r="B43" s="111"/>
      <c r="C43" s="111"/>
      <c r="D43" s="112"/>
      <c r="E43" s="6" t="str">
        <f>A8</f>
        <v xml:space="preserve">Tel Client : </v>
      </c>
      <c r="F43" s="66"/>
      <c r="G43" s="61"/>
      <c r="H43" s="61"/>
      <c r="I43" s="66"/>
    </row>
    <row r="44" spans="1:14" x14ac:dyDescent="0.3">
      <c r="A44" s="110"/>
      <c r="B44" s="111"/>
      <c r="C44" s="111"/>
      <c r="D44" s="112"/>
      <c r="E44" s="67" t="str">
        <f>A9</f>
        <v>Code client :</v>
      </c>
      <c r="F44" s="66"/>
      <c r="G44" s="61"/>
      <c r="H44" s="61"/>
      <c r="I44" s="66"/>
    </row>
    <row r="45" spans="1:14" x14ac:dyDescent="0.3">
      <c r="A45" s="113"/>
      <c r="B45" s="114"/>
      <c r="C45" s="114"/>
      <c r="D45" s="115"/>
      <c r="E45" s="69" t="str">
        <f>D10</f>
        <v xml:space="preserve">Date de facturation : </v>
      </c>
      <c r="F45" s="71"/>
      <c r="G45" s="70"/>
      <c r="H45" s="70"/>
      <c r="I45" s="71"/>
    </row>
    <row r="46" spans="1:14" x14ac:dyDescent="0.3">
      <c r="A46" s="61"/>
      <c r="B46" s="68"/>
      <c r="C46" s="68"/>
      <c r="D46" s="68"/>
      <c r="E46" s="1"/>
      <c r="F46" s="1"/>
      <c r="G46" s="1"/>
      <c r="H46" s="1"/>
      <c r="I46" s="1"/>
    </row>
    <row r="47" spans="1:14" ht="43.2" x14ac:dyDescent="0.3">
      <c r="A47" s="91" t="s">
        <v>162</v>
      </c>
      <c r="B47" s="89" t="s">
        <v>163</v>
      </c>
      <c r="C47" s="2" t="s">
        <v>37</v>
      </c>
      <c r="D47" s="2" t="s">
        <v>36</v>
      </c>
      <c r="E47" s="2" t="s">
        <v>179</v>
      </c>
      <c r="F47" s="2" t="s">
        <v>38</v>
      </c>
      <c r="G47" s="2" t="s">
        <v>180</v>
      </c>
      <c r="H47" s="2" t="s">
        <v>159</v>
      </c>
      <c r="I47" s="2" t="s">
        <v>181</v>
      </c>
    </row>
    <row r="48" spans="1:14" x14ac:dyDescent="0.3">
      <c r="A48" s="90"/>
      <c r="B48" s="74"/>
      <c r="C48" s="18"/>
      <c r="D48" s="75"/>
      <c r="E48" s="76"/>
      <c r="F48" s="8"/>
      <c r="G48" s="77"/>
      <c r="H48" s="78"/>
      <c r="I48" s="9"/>
    </row>
    <row r="49" spans="1:9" x14ac:dyDescent="0.3">
      <c r="A49" s="73"/>
      <c r="B49" s="74"/>
      <c r="C49" s="18"/>
      <c r="D49" s="75"/>
      <c r="E49" s="76"/>
      <c r="F49" s="8"/>
      <c r="G49" s="77"/>
      <c r="H49" s="78"/>
      <c r="I49" s="9"/>
    </row>
    <row r="50" spans="1:9" x14ac:dyDescent="0.3">
      <c r="A50" s="73"/>
      <c r="B50" s="74"/>
      <c r="C50" s="18"/>
      <c r="D50" s="75"/>
      <c r="E50" s="76"/>
      <c r="F50" s="8"/>
      <c r="G50" s="77"/>
      <c r="H50" s="78"/>
      <c r="I50" s="9"/>
    </row>
    <row r="51" spans="1:9" x14ac:dyDescent="0.3">
      <c r="A51" s="73"/>
      <c r="B51" s="74"/>
      <c r="C51" s="18"/>
      <c r="D51" s="75"/>
      <c r="E51" s="76"/>
      <c r="F51" s="8"/>
      <c r="G51" s="77"/>
      <c r="H51" s="78"/>
      <c r="I51" s="9"/>
    </row>
    <row r="52" spans="1:9" x14ac:dyDescent="0.3">
      <c r="A52" s="73"/>
      <c r="B52" s="73"/>
      <c r="C52" s="18"/>
      <c r="D52" s="79"/>
      <c r="E52" s="76"/>
      <c r="F52" s="8"/>
      <c r="G52" s="77"/>
      <c r="H52" s="78"/>
      <c r="I52" s="9"/>
    </row>
    <row r="53" spans="1:9" x14ac:dyDescent="0.3">
      <c r="A53" s="73"/>
      <c r="B53" s="73"/>
      <c r="C53" s="18"/>
      <c r="D53" s="79"/>
      <c r="E53" s="76"/>
      <c r="F53" s="8"/>
      <c r="G53" s="77"/>
      <c r="H53" s="78"/>
      <c r="I53" s="9"/>
    </row>
    <row r="54" spans="1:9" x14ac:dyDescent="0.3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3">
      <c r="A55" s="19" t="s">
        <v>39</v>
      </c>
      <c r="B55" s="20"/>
      <c r="C55" s="21"/>
      <c r="D55" s="19" t="s">
        <v>40</v>
      </c>
      <c r="E55" s="20"/>
      <c r="F55" s="21"/>
      <c r="G55" s="99" t="s">
        <v>41</v>
      </c>
      <c r="H55" s="100"/>
      <c r="I55" s="84"/>
    </row>
    <row r="56" spans="1:9" x14ac:dyDescent="0.3">
      <c r="A56" s="4" t="s">
        <v>42</v>
      </c>
      <c r="B56" s="5" t="s">
        <v>43</v>
      </c>
      <c r="C56" s="5" t="s">
        <v>44</v>
      </c>
      <c r="D56" s="5" t="s">
        <v>42</v>
      </c>
      <c r="E56" s="5" t="s">
        <v>43</v>
      </c>
      <c r="F56" s="5" t="s">
        <v>44</v>
      </c>
      <c r="G56" s="99" t="s">
        <v>45</v>
      </c>
      <c r="H56" s="100"/>
      <c r="I56" s="7"/>
    </row>
    <row r="57" spans="1:9" ht="15" thickBot="1" x14ac:dyDescent="0.35">
      <c r="A57" s="64">
        <v>0.2</v>
      </c>
      <c r="B57" s="7"/>
      <c r="C57" s="7"/>
      <c r="D57" s="64">
        <v>5.5E-2</v>
      </c>
      <c r="E57" s="9"/>
      <c r="F57" s="7"/>
      <c r="G57" s="101" t="s">
        <v>46</v>
      </c>
      <c r="H57" s="102"/>
      <c r="I57" s="95"/>
    </row>
    <row r="58" spans="1:9" x14ac:dyDescent="0.3">
      <c r="A58" s="82"/>
      <c r="B58" s="82"/>
      <c r="C58" s="82"/>
      <c r="D58" s="82"/>
      <c r="E58" s="82"/>
      <c r="F58" s="82"/>
      <c r="G58" s="82"/>
      <c r="H58" s="82"/>
      <c r="I58" s="82"/>
    </row>
    <row r="59" spans="1:9" x14ac:dyDescent="0.3">
      <c r="A59" s="80"/>
      <c r="B59" s="80"/>
      <c r="C59" s="80"/>
      <c r="D59" s="80"/>
      <c r="E59" s="80"/>
      <c r="F59" s="80"/>
      <c r="G59" s="80"/>
      <c r="H59" s="80"/>
      <c r="I59" s="81"/>
    </row>
  </sheetData>
  <mergeCells count="11">
    <mergeCell ref="A40:D45"/>
    <mergeCell ref="A33:I33"/>
    <mergeCell ref="A1:I2"/>
    <mergeCell ref="A12:D12"/>
    <mergeCell ref="A22:D22"/>
    <mergeCell ref="E34:I39"/>
    <mergeCell ref="G55:H55"/>
    <mergeCell ref="G56:H56"/>
    <mergeCell ref="G57:H57"/>
    <mergeCell ref="E40:F40"/>
    <mergeCell ref="E41:F41"/>
  </mergeCells>
  <dataValidations count="1">
    <dataValidation type="list" allowBlank="1" showInputMessage="1" showErrorMessage="1" sqref="B5" xr:uid="{00000000-0002-0000-0000-000000000000}">
      <formula1>NomClient</formula1>
    </dataValidation>
  </dataValidations>
  <pageMargins left="0.7" right="0.7" top="0.75" bottom="0.75" header="0.3" footer="0.3"/>
  <pageSetup paperSize="9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59"/>
  <sheetViews>
    <sheetView workbookViewId="0">
      <selection activeCell="B5" sqref="B5"/>
    </sheetView>
  </sheetViews>
  <sheetFormatPr baseColWidth="10" defaultRowHeight="14.4" x14ac:dyDescent="0.3"/>
  <cols>
    <col min="1" max="1" width="18.5546875" bestFit="1" customWidth="1"/>
    <col min="2" max="2" width="23" customWidth="1"/>
    <col min="4" max="4" width="20.44140625" customWidth="1"/>
    <col min="6" max="6" width="11.88671875" bestFit="1" customWidth="1"/>
  </cols>
  <sheetData>
    <row r="1" spans="1:9" x14ac:dyDescent="0.3">
      <c r="A1" s="119" t="str">
        <f>"En stage au sein de l'entreprise : "&amp;VLOOKUP($B$5,Base,7)&amp;" vous êtes chargé d'établir la facture pour le client "&amp;B5&amp;" qui a fait des achats dans la pépinière et a fait réalisé des prestations de service. En fonction des informations ci dessous, complétez la facture page suivante."</f>
        <v>En stage au sein de l'entreprise : Les pépinières de ST DESIR vous êtes chargé d'établir la facture pour le client AAA qui a fait des achats dans la pépinière et a fait réalisé des prestations de service. En fonction des informations ci dessous, complétez la facture page suivante.</v>
      </c>
      <c r="B1" s="119"/>
      <c r="C1" s="119"/>
      <c r="D1" s="119"/>
      <c r="E1" s="119"/>
      <c r="F1" s="119"/>
      <c r="G1" s="119"/>
      <c r="H1" s="119"/>
      <c r="I1" s="119"/>
    </row>
    <row r="2" spans="1:9" x14ac:dyDescent="0.3">
      <c r="A2" s="119"/>
      <c r="B2" s="119"/>
      <c r="C2" s="119"/>
      <c r="D2" s="119"/>
      <c r="E2" s="119"/>
      <c r="F2" s="119"/>
      <c r="G2" s="119"/>
      <c r="H2" s="119"/>
      <c r="I2" s="119"/>
    </row>
    <row r="3" spans="1:9" x14ac:dyDescent="0.3">
      <c r="D3" t="s">
        <v>182</v>
      </c>
      <c r="F3" s="98">
        <f ca="1">E10+7</f>
        <v>43935</v>
      </c>
    </row>
    <row r="5" spans="1:9" x14ac:dyDescent="0.3">
      <c r="A5" s="45" t="s">
        <v>172</v>
      </c>
      <c r="B5" s="9" t="s">
        <v>183</v>
      </c>
      <c r="D5" s="46" t="s">
        <v>170</v>
      </c>
      <c r="E5" s="33" t="str">
        <f>VLOOKUP($B$5,Base,7)</f>
        <v>Les pépinières de ST DESIR</v>
      </c>
      <c r="F5" s="33"/>
      <c r="G5" s="34"/>
    </row>
    <row r="6" spans="1:9" x14ac:dyDescent="0.3">
      <c r="A6" s="59" t="s">
        <v>173</v>
      </c>
      <c r="B6" s="3" t="str">
        <f>VLOOKUP($B$5,Base,2)</f>
        <v>3 Allée des Jonquilles</v>
      </c>
      <c r="C6" s="26"/>
      <c r="D6" s="47" t="s">
        <v>174</v>
      </c>
      <c r="E6" s="35" t="str">
        <f>VLOOKUP($B$5,Base,8)</f>
        <v>6 Rue des Bécassines</v>
      </c>
      <c r="F6" s="36"/>
      <c r="G6" s="37"/>
    </row>
    <row r="7" spans="1:9" x14ac:dyDescent="0.3">
      <c r="A7" s="48"/>
      <c r="B7" s="31" t="str">
        <f>VLOOKUP($B$5,Base,4)&amp;" "&amp;VLOOKUP($B$5,Base,5)</f>
        <v>14000 CAEN</v>
      </c>
      <c r="D7" s="48"/>
      <c r="E7" s="10" t="str">
        <f>VLOOKUP($B$5,Base,10)&amp;" "&amp;VLOOKUP($B$5,Base,11)</f>
        <v>14100 ST DESIR</v>
      </c>
      <c r="F7" s="38"/>
      <c r="G7" s="11"/>
    </row>
    <row r="8" spans="1:9" x14ac:dyDescent="0.3">
      <c r="A8" s="45" t="s">
        <v>177</v>
      </c>
      <c r="B8" s="9" t="str">
        <f>VLOOKUP($B$5,Base,3)</f>
        <v>02 31 51 11 97</v>
      </c>
      <c r="D8" s="45" t="s">
        <v>175</v>
      </c>
      <c r="E8" s="32" t="str">
        <f>VLOOKUP($B$5,Base,9)</f>
        <v>02 31 51 11 11</v>
      </c>
      <c r="F8" s="39"/>
      <c r="G8" s="30"/>
    </row>
    <row r="9" spans="1:9" x14ac:dyDescent="0.3">
      <c r="A9" s="45" t="s">
        <v>178</v>
      </c>
      <c r="B9" s="9" t="str">
        <f>VLOOKUP($B$5,Base,6)</f>
        <v>A14000CA12</v>
      </c>
      <c r="D9" s="45" t="s">
        <v>176</v>
      </c>
      <c r="E9" s="32" t="str">
        <f ca="1">VLOOKUP($B$5,Base,12)</f>
        <v>A202014000CA12</v>
      </c>
      <c r="F9" s="39"/>
      <c r="G9" s="30"/>
    </row>
    <row r="10" spans="1:9" x14ac:dyDescent="0.3">
      <c r="D10" s="45" t="s">
        <v>164</v>
      </c>
      <c r="E10" s="40">
        <f ca="1">TODAY()</f>
        <v>43928</v>
      </c>
      <c r="F10" s="39"/>
      <c r="G10" s="30"/>
    </row>
    <row r="12" spans="1:9" x14ac:dyDescent="0.3">
      <c r="A12" s="120" t="s">
        <v>161</v>
      </c>
      <c r="B12" s="121"/>
      <c r="C12" s="121"/>
      <c r="D12" s="122"/>
      <c r="E12" s="43"/>
      <c r="F12" s="43"/>
      <c r="G12" s="43"/>
    </row>
    <row r="13" spans="1:9" x14ac:dyDescent="0.3">
      <c r="A13" s="44" t="s">
        <v>162</v>
      </c>
      <c r="B13" s="44" t="s">
        <v>163</v>
      </c>
      <c r="C13" s="44" t="s">
        <v>37</v>
      </c>
      <c r="D13" s="44" t="s">
        <v>36</v>
      </c>
    </row>
    <row r="14" spans="1:9" x14ac:dyDescent="0.3">
      <c r="A14" s="9" t="str">
        <f>VLOOKUP($B$5,Base,13)</f>
        <v>VEGROSIS.01</v>
      </c>
      <c r="B14" s="9" t="str">
        <f>VLOOKUP($B$5,Base,14)</f>
        <v>Rosier Isis blanc</v>
      </c>
      <c r="C14" s="62">
        <f>VLOOKUP($B$5,Base,15)</f>
        <v>15.99</v>
      </c>
      <c r="D14" s="41">
        <f>VLOOKUP($B$5,Base,16)</f>
        <v>3</v>
      </c>
    </row>
    <row r="15" spans="1:9" x14ac:dyDescent="0.3">
      <c r="A15" s="9" t="str">
        <f>VLOOKUP($B$5,Base,17)</f>
        <v>VEGLAVPA.05</v>
      </c>
      <c r="B15" s="9" t="str">
        <f>VLOOKUP($B$5,Base,18)</f>
        <v>Lavande papillon naine</v>
      </c>
      <c r="C15" s="62">
        <f>VLOOKUP($B$5,Base,19)</f>
        <v>3.99</v>
      </c>
      <c r="D15" s="42">
        <f>VLOOKUP($B$5,Base,20)</f>
        <v>5</v>
      </c>
    </row>
    <row r="16" spans="1:9" x14ac:dyDescent="0.3">
      <c r="A16" s="9" t="str">
        <f>VLOOKUP($B$5,Base,21)</f>
        <v>VEGARBPA.09</v>
      </c>
      <c r="B16" s="9" t="str">
        <f>VLOOKUP($B$5,Base,22)</f>
        <v xml:space="preserve">Arbre papillons nain </v>
      </c>
      <c r="C16" s="18">
        <f>VLOOKUP($B$5,Base,23)</f>
        <v>4.5</v>
      </c>
      <c r="D16" s="42">
        <f>VLOOKUP($B$5,Base,24)</f>
        <v>5</v>
      </c>
    </row>
    <row r="17" spans="1:6" x14ac:dyDescent="0.3">
      <c r="A17" s="9" t="str">
        <f>VLOOKUP($B$5,Base,25)</f>
        <v>VEGPRUMI.09</v>
      </c>
      <c r="B17" s="9" t="str">
        <f>VLOOKUP($B$5,Base,26)</f>
        <v>Prunier Mirabelle rouge</v>
      </c>
      <c r="C17" s="18">
        <f>VLOOKUP($B$5,Base,27)</f>
        <v>19.989999999999998</v>
      </c>
      <c r="D17" s="41">
        <f>VLOOKUP($B$5,Base,28)</f>
        <v>10</v>
      </c>
    </row>
    <row r="19" spans="1:6" x14ac:dyDescent="0.3">
      <c r="A19" s="49" t="s">
        <v>165</v>
      </c>
      <c r="B19" s="50"/>
      <c r="C19" s="53">
        <f>VLOOKUP($B$5,Base,30)</f>
        <v>5.5E-2</v>
      </c>
    </row>
    <row r="20" spans="1:6" x14ac:dyDescent="0.3">
      <c r="A20" s="49" t="str">
        <f ca="1">"Avantage fidélité, au "&amp;TEXT(TODAY(),"jjj j mmm aaa")&amp;" le client a obtenu une remise sur l'achat des végétaux de :"</f>
        <v>Avantage fidélité, au mar 7 avr 2020 le client a obtenu une remise sur l'achat des végétaux de :</v>
      </c>
      <c r="B20" s="51"/>
      <c r="C20" s="51"/>
      <c r="D20" s="51"/>
      <c r="E20" s="52"/>
      <c r="F20" s="54">
        <f>VLOOKUP($B$5,Base,29)</f>
        <v>0.04</v>
      </c>
    </row>
    <row r="22" spans="1:6" x14ac:dyDescent="0.3">
      <c r="A22" s="120" t="s">
        <v>166</v>
      </c>
      <c r="B22" s="121"/>
      <c r="C22" s="121"/>
      <c r="D22" s="122"/>
      <c r="E22" s="26"/>
      <c r="F22" s="26"/>
    </row>
    <row r="23" spans="1:6" ht="28.95" customHeight="1" x14ac:dyDescent="0.3">
      <c r="A23" s="55" t="s">
        <v>162</v>
      </c>
      <c r="B23" s="55" t="s">
        <v>163</v>
      </c>
      <c r="C23" s="56" t="s">
        <v>169</v>
      </c>
      <c r="D23" s="55" t="s">
        <v>167</v>
      </c>
      <c r="E23" s="29"/>
    </row>
    <row r="24" spans="1:6" x14ac:dyDescent="0.3">
      <c r="A24" s="9" t="str">
        <f>VLOOKUP($B$5,Base,31)</f>
        <v>SERVTAIFR.07</v>
      </c>
      <c r="B24" s="9" t="str">
        <f>VLOOKUP($B$5,Base,32)</f>
        <v>Taille Fruitier</v>
      </c>
      <c r="C24" s="9">
        <f>VLOOKUP($B$5,Base,33)</f>
        <v>32</v>
      </c>
      <c r="D24" s="96" t="str">
        <f>VLOOKUP($B$5,Base,34)&amp;" h "&amp;VLOOKUP($B$5,Base,35)&amp;" min"</f>
        <v>3 h 10 min</v>
      </c>
    </row>
    <row r="25" spans="1:6" x14ac:dyDescent="0.3">
      <c r="A25" s="9" t="str">
        <f>VLOOKUP($B$5,Base,36)</f>
        <v>SERVTERVÉ.07</v>
      </c>
      <c r="B25" s="9" t="str">
        <f>VLOOKUP($B$5,Base,37)</f>
        <v>Terre végétale</v>
      </c>
      <c r="C25" s="9">
        <f>VLOOKUP($B$5,Base,38)</f>
        <v>26</v>
      </c>
      <c r="D25" s="96" t="str">
        <f>VLOOKUP($B$5,Base,39)&amp;" h "&amp;VLOOKUP($B$5,Base,40)&amp;" min"</f>
        <v>4 h 5 min</v>
      </c>
    </row>
    <row r="27" spans="1:6" x14ac:dyDescent="0.3">
      <c r="A27" s="57" t="s">
        <v>168</v>
      </c>
      <c r="B27" s="58"/>
      <c r="C27" s="54">
        <f>VLOOKUP($B$5,Base,42)</f>
        <v>0.2</v>
      </c>
    </row>
    <row r="28" spans="1:6" x14ac:dyDescent="0.3">
      <c r="A28" s="49" t="str">
        <f ca="1">"Avantage fidélité, au "&amp;TEXT(TODAY(),"jjj j mmm aaa")&amp;" le client a obtenu une remise sur l'achat de services de :"</f>
        <v>Avantage fidélité, au mar 7 avr 2020 le client a obtenu une remise sur l'achat de services de :</v>
      </c>
      <c r="B28" s="51"/>
      <c r="C28" s="51"/>
      <c r="D28" s="51"/>
      <c r="E28" s="52"/>
      <c r="F28" s="54">
        <f>VLOOKUP($B$5,Base,41)</f>
        <v>0.06</v>
      </c>
    </row>
    <row r="33" spans="1:14" x14ac:dyDescent="0.3">
      <c r="A33" s="116" t="str">
        <f ca="1">"FACTURE N ° :  "&amp;E9</f>
        <v>FACTURE N ° :  A202014000CA12</v>
      </c>
      <c r="B33" s="117"/>
      <c r="C33" s="117"/>
      <c r="D33" s="117"/>
      <c r="E33" s="117"/>
      <c r="F33" s="117"/>
      <c r="G33" s="117"/>
      <c r="H33" s="117"/>
      <c r="I33" s="118"/>
    </row>
    <row r="34" spans="1:14" x14ac:dyDescent="0.3">
      <c r="A34" s="60" t="s">
        <v>170</v>
      </c>
      <c r="B34" s="36" t="str">
        <f>E5</f>
        <v>Les pépinières de ST DESIR</v>
      </c>
      <c r="C34" s="36"/>
      <c r="D34" s="36"/>
      <c r="E34" s="123" t="str">
        <f>VLOOKUP($B$5,Base,7)
&amp;" Conseil, services, animalerie, végétaux"</f>
        <v>Les pépinières de ST DESIR Conseil, services, animalerie, végétaux</v>
      </c>
      <c r="F34" s="124"/>
      <c r="G34" s="124"/>
      <c r="H34" s="124"/>
      <c r="I34" s="125"/>
    </row>
    <row r="35" spans="1:14" x14ac:dyDescent="0.3">
      <c r="A35" s="87" t="s">
        <v>171</v>
      </c>
      <c r="B35" s="14" t="str">
        <f>E6</f>
        <v>6 Rue des Bécassines</v>
      </c>
      <c r="C35" s="14"/>
      <c r="D35" s="14"/>
      <c r="E35" s="126"/>
      <c r="F35" s="127"/>
      <c r="G35" s="127"/>
      <c r="H35" s="127"/>
      <c r="I35" s="128"/>
    </row>
    <row r="36" spans="1:14" x14ac:dyDescent="0.3">
      <c r="A36" s="87"/>
      <c r="B36" s="14" t="str">
        <f>E7</f>
        <v>14100 ST DESIR</v>
      </c>
      <c r="C36" s="14"/>
      <c r="D36" s="14"/>
      <c r="E36" s="126"/>
      <c r="F36" s="127"/>
      <c r="G36" s="127"/>
      <c r="H36" s="127"/>
      <c r="I36" s="128"/>
    </row>
    <row r="37" spans="1:14" x14ac:dyDescent="0.3">
      <c r="A37" s="87" t="str">
        <f>D8</f>
        <v>Tel Fournisseur :</v>
      </c>
      <c r="B37" s="14" t="str">
        <f>E8</f>
        <v>02 31 51 11 11</v>
      </c>
      <c r="C37" s="14"/>
      <c r="D37" s="14"/>
      <c r="E37" s="126"/>
      <c r="F37" s="127"/>
      <c r="G37" s="127"/>
      <c r="H37" s="127"/>
      <c r="I37" s="128"/>
    </row>
    <row r="38" spans="1:14" x14ac:dyDescent="0.3">
      <c r="A38" s="88"/>
      <c r="B38" s="1"/>
      <c r="C38" s="1"/>
      <c r="D38" s="1"/>
      <c r="E38" s="126"/>
      <c r="F38" s="127"/>
      <c r="G38" s="127"/>
      <c r="H38" s="127"/>
      <c r="I38" s="128"/>
      <c r="N38" s="72"/>
    </row>
    <row r="39" spans="1:14" x14ac:dyDescent="0.3">
      <c r="A39" s="86"/>
      <c r="B39" s="65"/>
      <c r="C39" s="65"/>
      <c r="D39" s="65"/>
      <c r="E39" s="129"/>
      <c r="F39" s="130"/>
      <c r="G39" s="130"/>
      <c r="H39" s="130"/>
      <c r="I39" s="131"/>
    </row>
    <row r="40" spans="1:14" x14ac:dyDescent="0.3">
      <c r="A40" s="107"/>
      <c r="B40" s="108"/>
      <c r="C40" s="108"/>
      <c r="D40" s="109"/>
      <c r="E40" s="103" t="str">
        <f>A5</f>
        <v>Nom du client :</v>
      </c>
      <c r="F40" s="104"/>
      <c r="G40" s="61" t="str">
        <f>B5</f>
        <v>AAA</v>
      </c>
      <c r="H40" s="61"/>
      <c r="I40" s="66"/>
    </row>
    <row r="41" spans="1:14" x14ac:dyDescent="0.3">
      <c r="A41" s="110"/>
      <c r="B41" s="111"/>
      <c r="C41" s="111"/>
      <c r="D41" s="112"/>
      <c r="E41" s="105" t="str">
        <f>A6</f>
        <v>Adresse client :</v>
      </c>
      <c r="F41" s="106"/>
      <c r="G41" s="61" t="str">
        <f>B6</f>
        <v>3 Allée des Jonquilles</v>
      </c>
      <c r="H41" s="61"/>
      <c r="I41" s="66"/>
    </row>
    <row r="42" spans="1:14" x14ac:dyDescent="0.3">
      <c r="A42" s="110"/>
      <c r="B42" s="111"/>
      <c r="C42" s="111"/>
      <c r="D42" s="112"/>
      <c r="E42" s="67"/>
      <c r="F42" s="66"/>
      <c r="G42" s="61" t="str">
        <f>B7</f>
        <v>14000 CAEN</v>
      </c>
      <c r="H42" s="61"/>
      <c r="I42" s="66"/>
    </row>
    <row r="43" spans="1:14" x14ac:dyDescent="0.3">
      <c r="A43" s="110"/>
      <c r="B43" s="111"/>
      <c r="C43" s="111"/>
      <c r="D43" s="112"/>
      <c r="E43" s="6" t="str">
        <f>A8</f>
        <v xml:space="preserve">Tel Client : </v>
      </c>
      <c r="F43" s="66"/>
      <c r="G43" s="61" t="str">
        <f>B8</f>
        <v>02 31 51 11 97</v>
      </c>
      <c r="H43" s="61"/>
      <c r="I43" s="66"/>
    </row>
    <row r="44" spans="1:14" x14ac:dyDescent="0.3">
      <c r="A44" s="110"/>
      <c r="B44" s="111"/>
      <c r="C44" s="111"/>
      <c r="D44" s="112"/>
      <c r="E44" s="67" t="str">
        <f>A9</f>
        <v>Code client :</v>
      </c>
      <c r="F44" s="66"/>
      <c r="G44" s="61" t="str">
        <f>B9</f>
        <v>A14000CA12</v>
      </c>
      <c r="H44" s="61"/>
      <c r="I44" s="66"/>
    </row>
    <row r="45" spans="1:14" x14ac:dyDescent="0.3">
      <c r="A45" s="113"/>
      <c r="B45" s="114"/>
      <c r="C45" s="114"/>
      <c r="D45" s="115"/>
      <c r="E45" s="69" t="str">
        <f>D10</f>
        <v xml:space="preserve">Date de facturation : </v>
      </c>
      <c r="F45" s="71"/>
      <c r="G45" s="70">
        <f ca="1">E10</f>
        <v>43928</v>
      </c>
      <c r="H45" s="70"/>
      <c r="I45" s="71"/>
    </row>
    <row r="46" spans="1:14" x14ac:dyDescent="0.3">
      <c r="A46" s="61"/>
      <c r="B46" s="68"/>
      <c r="C46" s="68"/>
      <c r="D46" s="68"/>
      <c r="E46" s="1"/>
      <c r="F46" s="1"/>
      <c r="G46" s="1"/>
      <c r="H46" s="1"/>
      <c r="I46" s="1"/>
    </row>
    <row r="47" spans="1:14" ht="43.2" x14ac:dyDescent="0.3">
      <c r="A47" s="91" t="s">
        <v>162</v>
      </c>
      <c r="B47" s="89" t="s">
        <v>163</v>
      </c>
      <c r="C47" s="2" t="s">
        <v>37</v>
      </c>
      <c r="D47" s="2" t="s">
        <v>36</v>
      </c>
      <c r="E47" s="2" t="s">
        <v>179</v>
      </c>
      <c r="F47" s="2" t="s">
        <v>38</v>
      </c>
      <c r="G47" s="2" t="s">
        <v>180</v>
      </c>
      <c r="H47" s="2" t="s">
        <v>159</v>
      </c>
      <c r="I47" s="2" t="s">
        <v>181</v>
      </c>
    </row>
    <row r="48" spans="1:14" x14ac:dyDescent="0.3">
      <c r="A48" s="90" t="str">
        <f>A14</f>
        <v>VEGROSIS.01</v>
      </c>
      <c r="B48" s="74" t="str">
        <f>B14</f>
        <v>Rosier Isis blanc</v>
      </c>
      <c r="C48" s="18">
        <f>C14</f>
        <v>15.99</v>
      </c>
      <c r="D48" s="75">
        <f>D14</f>
        <v>3</v>
      </c>
      <c r="E48" s="76">
        <f>$C$19</f>
        <v>5.5E-2</v>
      </c>
      <c r="F48" s="8">
        <f>$F$20</f>
        <v>0.04</v>
      </c>
      <c r="G48" s="77">
        <f>ROUND(C48*F48,2)</f>
        <v>0.64</v>
      </c>
      <c r="H48" s="93">
        <f>C48-G48</f>
        <v>15.35</v>
      </c>
      <c r="I48" s="9">
        <f>H48*D48</f>
        <v>46.05</v>
      </c>
    </row>
    <row r="49" spans="1:9" x14ac:dyDescent="0.3">
      <c r="A49" s="73" t="str">
        <f t="shared" ref="A49:D51" si="0">A15</f>
        <v>VEGLAVPA.05</v>
      </c>
      <c r="B49" s="74" t="str">
        <f t="shared" si="0"/>
        <v>Lavande papillon naine</v>
      </c>
      <c r="C49" s="18">
        <f t="shared" si="0"/>
        <v>3.99</v>
      </c>
      <c r="D49" s="75">
        <f t="shared" si="0"/>
        <v>5</v>
      </c>
      <c r="E49" s="76">
        <f t="shared" ref="E49:E51" si="1">$C$19</f>
        <v>5.5E-2</v>
      </c>
      <c r="F49" s="8">
        <f t="shared" ref="F49:F51" si="2">$F$20</f>
        <v>0.04</v>
      </c>
      <c r="G49" s="77">
        <f>ROUND(C49*F49,2)</f>
        <v>0.16</v>
      </c>
      <c r="H49" s="78">
        <f t="shared" ref="H49:H53" si="3">C49-G49</f>
        <v>3.83</v>
      </c>
      <c r="I49" s="9">
        <f t="shared" ref="I49:I53" si="4">H49*D49</f>
        <v>19.149999999999999</v>
      </c>
    </row>
    <row r="50" spans="1:9" x14ac:dyDescent="0.3">
      <c r="A50" s="73" t="str">
        <f t="shared" si="0"/>
        <v>VEGARBPA.09</v>
      </c>
      <c r="B50" s="74" t="str">
        <f t="shared" si="0"/>
        <v xml:space="preserve">Arbre papillons nain </v>
      </c>
      <c r="C50" s="18">
        <f t="shared" si="0"/>
        <v>4.5</v>
      </c>
      <c r="D50" s="75">
        <f t="shared" si="0"/>
        <v>5</v>
      </c>
      <c r="E50" s="76">
        <f t="shared" si="1"/>
        <v>5.5E-2</v>
      </c>
      <c r="F50" s="8">
        <f t="shared" si="2"/>
        <v>0.04</v>
      </c>
      <c r="G50" s="77">
        <f t="shared" ref="G50:G53" si="5">ROUND(C50*F50,2)</f>
        <v>0.18</v>
      </c>
      <c r="H50" s="78">
        <f t="shared" si="3"/>
        <v>4.32</v>
      </c>
      <c r="I50" s="9">
        <f t="shared" si="4"/>
        <v>21.6</v>
      </c>
    </row>
    <row r="51" spans="1:9" x14ac:dyDescent="0.3">
      <c r="A51" s="73" t="str">
        <f t="shared" si="0"/>
        <v>VEGPRUMI.09</v>
      </c>
      <c r="B51" s="74" t="str">
        <f t="shared" si="0"/>
        <v>Prunier Mirabelle rouge</v>
      </c>
      <c r="C51" s="18">
        <f t="shared" si="0"/>
        <v>19.989999999999998</v>
      </c>
      <c r="D51" s="75">
        <f t="shared" si="0"/>
        <v>10</v>
      </c>
      <c r="E51" s="76">
        <f t="shared" si="1"/>
        <v>5.5E-2</v>
      </c>
      <c r="F51" s="8">
        <f t="shared" si="2"/>
        <v>0.04</v>
      </c>
      <c r="G51" s="77">
        <f t="shared" si="5"/>
        <v>0.8</v>
      </c>
      <c r="H51" s="78">
        <f t="shared" si="3"/>
        <v>19.189999999999998</v>
      </c>
      <c r="I51" s="9">
        <f t="shared" si="4"/>
        <v>191.89999999999998</v>
      </c>
    </row>
    <row r="52" spans="1:9" x14ac:dyDescent="0.3">
      <c r="A52" s="73" t="str">
        <f t="shared" ref="A52:C53" si="6">A24</f>
        <v>SERVTAIFR.07</v>
      </c>
      <c r="B52" s="73" t="str">
        <f t="shared" si="6"/>
        <v>Taille Fruitier</v>
      </c>
      <c r="C52" s="18">
        <f t="shared" si="6"/>
        <v>32</v>
      </c>
      <c r="D52" s="79">
        <f>VLOOKUP($B$5,Base,34)+(VLOOKUP($B$5,Base,35)/60)</f>
        <v>3.1666666666666665</v>
      </c>
      <c r="E52" s="76">
        <f>$C$27</f>
        <v>0.2</v>
      </c>
      <c r="F52" s="8">
        <f>$F$28</f>
        <v>0.06</v>
      </c>
      <c r="G52" s="77">
        <f t="shared" si="5"/>
        <v>1.92</v>
      </c>
      <c r="H52" s="78">
        <f t="shared" si="3"/>
        <v>30.08</v>
      </c>
      <c r="I52" s="9">
        <f t="shared" si="4"/>
        <v>95.25333333333333</v>
      </c>
    </row>
    <row r="53" spans="1:9" x14ac:dyDescent="0.3">
      <c r="A53" s="73" t="str">
        <f t="shared" si="6"/>
        <v>SERVTERVÉ.07</v>
      </c>
      <c r="B53" s="73" t="str">
        <f t="shared" si="6"/>
        <v>Terre végétale</v>
      </c>
      <c r="C53" s="18">
        <f t="shared" si="6"/>
        <v>26</v>
      </c>
      <c r="D53" s="79">
        <f>VLOOKUP($B$5,Base,39)+(VLOOKUP($B$5,Base,40)/60)</f>
        <v>4.083333333333333</v>
      </c>
      <c r="E53" s="76">
        <f>$C$27</f>
        <v>0.2</v>
      </c>
      <c r="F53" s="8">
        <f>$F$28</f>
        <v>0.06</v>
      </c>
      <c r="G53" s="77">
        <f t="shared" si="5"/>
        <v>1.56</v>
      </c>
      <c r="H53" s="78">
        <f t="shared" si="3"/>
        <v>24.44</v>
      </c>
      <c r="I53" s="9">
        <f t="shared" si="4"/>
        <v>99.796666666666667</v>
      </c>
    </row>
    <row r="54" spans="1:9" x14ac:dyDescent="0.3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3">
      <c r="A55" s="19" t="s">
        <v>39</v>
      </c>
      <c r="B55" s="20"/>
      <c r="C55" s="21"/>
      <c r="D55" s="19" t="s">
        <v>40</v>
      </c>
      <c r="E55" s="20"/>
      <c r="F55" s="21"/>
      <c r="G55" s="83"/>
      <c r="H55" s="30" t="s">
        <v>41</v>
      </c>
      <c r="I55" s="84">
        <f>SUM(I48:I53)</f>
        <v>473.74999999999994</v>
      </c>
    </row>
    <row r="56" spans="1:9" ht="15" thickBot="1" x14ac:dyDescent="0.35">
      <c r="A56" s="4" t="s">
        <v>42</v>
      </c>
      <c r="B56" s="5" t="s">
        <v>43</v>
      </c>
      <c r="C56" s="5" t="s">
        <v>44</v>
      </c>
      <c r="D56" s="5" t="s">
        <v>42</v>
      </c>
      <c r="E56" s="5" t="s">
        <v>43</v>
      </c>
      <c r="F56" s="5" t="s">
        <v>44</v>
      </c>
      <c r="G56" s="83"/>
      <c r="H56" s="30" t="s">
        <v>45</v>
      </c>
      <c r="I56" s="85">
        <f>C57+F57</f>
        <v>54.338500000000003</v>
      </c>
    </row>
    <row r="57" spans="1:9" ht="15" thickBot="1" x14ac:dyDescent="0.35">
      <c r="A57" s="64">
        <v>0.2</v>
      </c>
      <c r="B57" s="7">
        <f>SUMIF(E48:E53,C27,I48:I53)</f>
        <v>195.05</v>
      </c>
      <c r="C57" s="7">
        <f>B57*A57</f>
        <v>39.010000000000005</v>
      </c>
      <c r="D57" s="64">
        <v>5.5E-2</v>
      </c>
      <c r="E57" s="9">
        <f>SUMIF(E48:E53,C19,I48:I53)</f>
        <v>278.69999999999993</v>
      </c>
      <c r="F57" s="7">
        <f>E57*D57</f>
        <v>15.328499999999996</v>
      </c>
      <c r="G57" s="83"/>
      <c r="H57" s="94" t="s">
        <v>46</v>
      </c>
      <c r="I57" s="97">
        <f>I55+I56</f>
        <v>528.08849999999995</v>
      </c>
    </row>
    <row r="58" spans="1:9" x14ac:dyDescent="0.3">
      <c r="A58" s="82"/>
      <c r="B58" s="82"/>
      <c r="C58" s="82"/>
      <c r="D58" s="82"/>
      <c r="E58" s="82"/>
      <c r="F58" s="82"/>
      <c r="G58" s="82"/>
      <c r="H58" s="82"/>
      <c r="I58" s="82"/>
    </row>
    <row r="59" spans="1:9" x14ac:dyDescent="0.3">
      <c r="A59" s="80"/>
      <c r="B59" s="80"/>
      <c r="C59" s="80"/>
      <c r="D59" s="80"/>
      <c r="E59" s="80"/>
      <c r="F59" s="80"/>
      <c r="G59" s="80"/>
      <c r="H59" s="80"/>
      <c r="I59" s="81"/>
    </row>
  </sheetData>
  <mergeCells count="8">
    <mergeCell ref="E40:F40"/>
    <mergeCell ref="E41:F41"/>
    <mergeCell ref="A33:I33"/>
    <mergeCell ref="A1:I2"/>
    <mergeCell ref="A12:D12"/>
    <mergeCell ref="A22:D22"/>
    <mergeCell ref="A40:D45"/>
    <mergeCell ref="E34:I39"/>
  </mergeCells>
  <dataValidations count="1">
    <dataValidation type="list" allowBlank="1" showInputMessage="1" showErrorMessage="1" sqref="B5" xr:uid="{00000000-0002-0000-0100-000000000000}">
      <formula1>NomClient</formula1>
    </dataValidation>
  </dataValidations>
  <pageMargins left="0.25" right="0.25" top="0.75" bottom="0.75" header="0.3" footer="0.3"/>
  <pageSetup paperSize="9" orientation="landscape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P48"/>
  <sheetViews>
    <sheetView workbookViewId="0">
      <selection activeCell="G3" sqref="G3"/>
    </sheetView>
  </sheetViews>
  <sheetFormatPr baseColWidth="10" defaultRowHeight="14.4" x14ac:dyDescent="0.3"/>
  <cols>
    <col min="1" max="1" width="17.6640625" bestFit="1" customWidth="1"/>
    <col min="2" max="2" width="21.33203125" bestFit="1" customWidth="1"/>
    <col min="3" max="3" width="12.6640625" bestFit="1" customWidth="1"/>
    <col min="4" max="4" width="7.6640625" style="13" bestFit="1" customWidth="1"/>
    <col min="5" max="5" width="19.33203125" bestFit="1" customWidth="1"/>
    <col min="6" max="6" width="13.5546875" bestFit="1" customWidth="1"/>
    <col min="7" max="7" width="33.88671875" bestFit="1" customWidth="1"/>
    <col min="8" max="8" width="22" bestFit="1" customWidth="1"/>
    <col min="9" max="9" width="12.6640625" bestFit="1" customWidth="1"/>
    <col min="10" max="10" width="12" bestFit="1" customWidth="1"/>
    <col min="11" max="11" width="19.33203125" bestFit="1" customWidth="1"/>
    <col min="12" max="12" width="19.33203125" customWidth="1"/>
    <col min="13" max="13" width="14.33203125" bestFit="1" customWidth="1"/>
    <col min="14" max="14" width="22.44140625" bestFit="1" customWidth="1"/>
    <col min="16" max="16" width="7.6640625" bestFit="1" customWidth="1"/>
    <col min="17" max="17" width="16.33203125" bestFit="1" customWidth="1"/>
    <col min="18" max="18" width="26" bestFit="1" customWidth="1"/>
    <col min="19" max="19" width="9.88671875" bestFit="1" customWidth="1"/>
    <col min="20" max="20" width="7.6640625" bestFit="1" customWidth="1"/>
    <col min="21" max="21" width="14.44140625" bestFit="1" customWidth="1"/>
    <col min="22" max="22" width="25.33203125" bestFit="1" customWidth="1"/>
    <col min="23" max="23" width="9.88671875" bestFit="1" customWidth="1"/>
    <col min="24" max="24" width="7.6640625" bestFit="1" customWidth="1"/>
    <col min="25" max="25" width="14.44140625" bestFit="1" customWidth="1"/>
    <col min="26" max="26" width="25.33203125" bestFit="1" customWidth="1"/>
    <col min="27" max="27" width="9.88671875" bestFit="1" customWidth="1"/>
    <col min="28" max="28" width="9.33203125" bestFit="1" customWidth="1"/>
    <col min="30" max="30" width="11.88671875" bestFit="1" customWidth="1"/>
    <col min="31" max="31" width="17" bestFit="1" customWidth="1"/>
    <col min="32" max="32" width="25.88671875" bestFit="1" customWidth="1"/>
    <col min="34" max="34" width="15.109375" customWidth="1"/>
    <col min="35" max="35" width="16.109375" bestFit="1" customWidth="1"/>
    <col min="36" max="36" width="17" bestFit="1" customWidth="1"/>
    <col min="37" max="37" width="25.88671875" bestFit="1" customWidth="1"/>
    <col min="38" max="38" width="10.6640625" bestFit="1" customWidth="1"/>
    <col min="39" max="39" width="15.6640625" customWidth="1"/>
    <col min="40" max="40" width="14" bestFit="1" customWidth="1"/>
    <col min="41" max="41" width="12.44140625" customWidth="1"/>
  </cols>
  <sheetData>
    <row r="1" spans="1:42" x14ac:dyDescent="0.3">
      <c r="A1" t="s">
        <v>47</v>
      </c>
      <c r="B1" t="s">
        <v>48</v>
      </c>
      <c r="C1" t="s">
        <v>74</v>
      </c>
      <c r="D1" s="13" t="s">
        <v>49</v>
      </c>
      <c r="E1" t="s">
        <v>50</v>
      </c>
      <c r="F1" t="s">
        <v>73</v>
      </c>
      <c r="G1" t="s">
        <v>69</v>
      </c>
      <c r="H1" t="s">
        <v>70</v>
      </c>
      <c r="I1" t="s">
        <v>155</v>
      </c>
      <c r="J1" t="s">
        <v>72</v>
      </c>
      <c r="K1" t="s">
        <v>71</v>
      </c>
      <c r="L1" t="s">
        <v>160</v>
      </c>
      <c r="M1" t="s">
        <v>75</v>
      </c>
      <c r="N1" t="s">
        <v>76</v>
      </c>
      <c r="O1" t="s">
        <v>101</v>
      </c>
      <c r="P1" t="s">
        <v>118</v>
      </c>
      <c r="Q1" t="s">
        <v>96</v>
      </c>
      <c r="R1" t="s">
        <v>77</v>
      </c>
      <c r="S1" t="s">
        <v>99</v>
      </c>
      <c r="T1" t="s">
        <v>121</v>
      </c>
      <c r="U1" t="s">
        <v>97</v>
      </c>
      <c r="V1" t="s">
        <v>98</v>
      </c>
      <c r="W1" t="s">
        <v>100</v>
      </c>
      <c r="X1" t="s">
        <v>122</v>
      </c>
      <c r="Y1" t="s">
        <v>124</v>
      </c>
      <c r="Z1" t="s">
        <v>125</v>
      </c>
      <c r="AA1" t="s">
        <v>126</v>
      </c>
      <c r="AB1" t="s">
        <v>127</v>
      </c>
      <c r="AC1" t="s">
        <v>123</v>
      </c>
      <c r="AD1" t="s">
        <v>129</v>
      </c>
      <c r="AE1" t="s">
        <v>130</v>
      </c>
      <c r="AF1" t="s">
        <v>131</v>
      </c>
      <c r="AG1" t="s">
        <v>132</v>
      </c>
      <c r="AH1" t="s">
        <v>151</v>
      </c>
      <c r="AI1" t="s">
        <v>152</v>
      </c>
      <c r="AJ1" t="s">
        <v>153</v>
      </c>
      <c r="AK1" t="s">
        <v>131</v>
      </c>
      <c r="AL1" t="s">
        <v>132</v>
      </c>
      <c r="AM1" t="s">
        <v>156</v>
      </c>
      <c r="AN1" t="s">
        <v>157</v>
      </c>
      <c r="AO1" t="s">
        <v>154</v>
      </c>
      <c r="AP1" t="s">
        <v>158</v>
      </c>
    </row>
    <row r="2" spans="1:42" x14ac:dyDescent="0.3">
      <c r="A2" t="s">
        <v>183</v>
      </c>
      <c r="B2" t="s">
        <v>0</v>
      </c>
      <c r="C2" t="str">
        <f>"02 31 51 "&amp;ROW()+9&amp;" "&amp;99-ROW()</f>
        <v>02 31 51 11 97</v>
      </c>
      <c r="D2" s="13">
        <v>14000</v>
      </c>
      <c r="E2" t="s">
        <v>18</v>
      </c>
      <c r="F2" t="str">
        <f>LEFT(A2,1)&amp;D2&amp;MID(E2,1,2)&amp;ROW()+10</f>
        <v>A14000CA12</v>
      </c>
      <c r="G2" t="str">
        <f t="shared" ref="G2:G19" si="0">"Les pépinières de "&amp;K2</f>
        <v>Les pépinières de ST DESIR</v>
      </c>
      <c r="H2" t="s">
        <v>59</v>
      </c>
      <c r="I2" t="str">
        <f>"02 31 51 "&amp;ROW()+9&amp;" "&amp;ROW()+9</f>
        <v>02 31 51 11 11</v>
      </c>
      <c r="J2" s="13">
        <v>14100</v>
      </c>
      <c r="K2" t="s">
        <v>20</v>
      </c>
      <c r="L2" s="27" t="str">
        <f ca="1">LEFT(A2,1)&amp;YEAR(TODAY())&amp;D2&amp;MID(E2,1,2)&amp;ROW()+10</f>
        <v>A202014000CA12</v>
      </c>
      <c r="M2" t="str">
        <f>"VEG"&amp;UPPER(LEFT(N2,3)&amp;MID(N2,FIND(" ",N2)+1,2))&amp;".0"&amp;ROW()*2-3</f>
        <v>VEGROSIS.01</v>
      </c>
      <c r="N2" t="s">
        <v>79</v>
      </c>
      <c r="O2" s="16">
        <v>15.99</v>
      </c>
      <c r="P2" s="16">
        <f>IF(ROW()&lt;10,ROW()+1,ROW()-10)</f>
        <v>3</v>
      </c>
      <c r="Q2" t="str">
        <f>"VEG"&amp;UPPER(LEFT(R2,3)&amp;MID(R2,FIND(" ",R2)+1,2))&amp;".0"&amp;ROW()*1+3</f>
        <v>VEGLAVPA.05</v>
      </c>
      <c r="R2" t="s">
        <v>86</v>
      </c>
      <c r="S2" s="63">
        <v>3.99</v>
      </c>
      <c r="T2" s="16">
        <f>IF(ROW()&lt;15,ROW()+3,ROW()-10)</f>
        <v>5</v>
      </c>
      <c r="U2" t="str">
        <f>"VEG"&amp;UPPER(LEFT(V2,3)&amp;MID(V2,FIND(" ",V2)+1,2))&amp;".0"&amp;ROW()*1+7</f>
        <v>VEGARBPA.09</v>
      </c>
      <c r="V2" s="15" t="s">
        <v>104</v>
      </c>
      <c r="W2" s="16">
        <v>4.5</v>
      </c>
      <c r="X2" s="16">
        <f>FIND("e",V2,1)</f>
        <v>5</v>
      </c>
      <c r="Y2" t="str">
        <f>"VEG"&amp;UPPER(LEFT(Z2,3)&amp;MID(Z2,FIND(" ",Z2)+1,2))&amp;".0"&amp;ROW()*1+7</f>
        <v>VEGPRUMI.09</v>
      </c>
      <c r="Z2" s="15" t="s">
        <v>102</v>
      </c>
      <c r="AA2" s="16">
        <v>19.989999999999998</v>
      </c>
      <c r="AB2" s="16">
        <f t="shared" ref="AB2:AB8" si="1">IF(FIND("i",Z13,1)=0,FIND("e",Z13,1),(FIND("i",Z13,1)))</f>
        <v>10</v>
      </c>
      <c r="AC2" s="17">
        <f t="shared" ref="AC2:AC14" si="2">IF(ROW()&lt;15,(ROW()+2)/100,(ROW()-12)/100)</f>
        <v>0.04</v>
      </c>
      <c r="AD2" s="17">
        <v>5.5E-2</v>
      </c>
      <c r="AE2" t="str">
        <f>"SERV"&amp;UPPER(LEFT(AF2,3)&amp;MID(AF2,FIND(" ",AF2)+1,2))&amp;".0"&amp;ROW()*1+5</f>
        <v>SERVTAIFR.07</v>
      </c>
      <c r="AF2" t="s">
        <v>133</v>
      </c>
      <c r="AG2" s="16">
        <f>IF(ROW()&lt;10,30+ROW(),40-ROW())</f>
        <v>32</v>
      </c>
      <c r="AH2" s="25">
        <f>IF(ROW()&lt;15,ROW()+1,ROW()-12)</f>
        <v>3</v>
      </c>
      <c r="AI2" s="25">
        <f>IF(ROW()&lt;12,ROW()*5, (ROW()-10)*5)</f>
        <v>10</v>
      </c>
      <c r="AJ2" t="str">
        <f>"SERV"&amp;UPPER(LEFT(AK2,3)&amp;MID(AK2,FIND(" ",AK2)+1,2))&amp;".0"&amp;ROW()*1+5</f>
        <v>SERVTERVÉ.07</v>
      </c>
      <c r="AK2" t="s">
        <v>142</v>
      </c>
      <c r="AL2" s="16">
        <f>IF(ROW()&lt;10,24+ROW(),35-ROW())</f>
        <v>26</v>
      </c>
      <c r="AM2" s="25">
        <f>IF(ROW()&lt;14,ROW()+2,ROW()-13)</f>
        <v>4</v>
      </c>
      <c r="AN2" s="25">
        <f>IF(ROW()&lt;13,(ROW()-1)*5, (ROW()-11)*5)</f>
        <v>5</v>
      </c>
      <c r="AO2" s="17">
        <f>IF(ROW()&lt;15,(ROW()+4)/100,(ROW()-7)/100)</f>
        <v>0.06</v>
      </c>
      <c r="AP2" s="17">
        <v>0.2</v>
      </c>
    </row>
    <row r="3" spans="1:42" x14ac:dyDescent="0.3">
      <c r="A3" t="s">
        <v>184</v>
      </c>
      <c r="B3" t="s">
        <v>1</v>
      </c>
      <c r="C3" t="str">
        <f t="shared" ref="C3:C19" si="3">"02 31 51 "&amp;ROW()+9&amp;" "&amp;99-ROW()</f>
        <v>02 31 51 12 96</v>
      </c>
      <c r="D3" s="13">
        <v>14100</v>
      </c>
      <c r="E3" t="s">
        <v>19</v>
      </c>
      <c r="F3" t="str">
        <f t="shared" ref="F3:F19" si="4">LEFT(A3,1)&amp;D3&amp;MID(E3,1,2)&amp;ROW()+10</f>
        <v>B14100LI13</v>
      </c>
      <c r="G3" t="str">
        <f t="shared" si="0"/>
        <v>Les pépinières de CONDE SUR NOIREAU</v>
      </c>
      <c r="H3" t="s">
        <v>58</v>
      </c>
      <c r="I3" t="str">
        <f t="shared" ref="I3:I19" si="5">"02 31 51 "&amp;ROW()+9&amp;" "&amp;ROW()+9</f>
        <v>02 31 51 12 12</v>
      </c>
      <c r="J3" s="13">
        <v>14110</v>
      </c>
      <c r="K3" t="s">
        <v>21</v>
      </c>
      <c r="L3" s="27" t="str">
        <f t="shared" ref="L3:L19" ca="1" si="6">LEFT(A3,1)&amp;YEAR(TODAY())&amp;D3&amp;MID(E3,1,2)&amp;ROW()+10</f>
        <v>B202014100LI13</v>
      </c>
      <c r="M3" t="str">
        <f t="shared" ref="M3:M19" si="7">"VEG"&amp;UPPER(LEFT(N3,3)&amp;MID(N3,FIND(" ",N3)+1,2))&amp;".0"&amp;ROW()*2-3</f>
        <v>VEGROSLE.03</v>
      </c>
      <c r="N3" t="s">
        <v>80</v>
      </c>
      <c r="O3" s="16">
        <v>12.95</v>
      </c>
      <c r="P3" s="16">
        <f t="shared" ref="P3:P19" si="8">IF(ROW()&lt;10,ROW()+1,ROW()-10)</f>
        <v>4</v>
      </c>
      <c r="Q3" t="str">
        <f t="shared" ref="Q3:Q19" si="9">"VEG"&amp;UPPER(LEFT(R3,3)&amp;MID(R3,FIND(" ",R3)+1,2))&amp;".0"&amp;ROW()*1+3</f>
        <v>VEGCLEVY.06</v>
      </c>
      <c r="R3" s="15" t="s">
        <v>94</v>
      </c>
      <c r="S3" s="16">
        <v>12.99</v>
      </c>
      <c r="T3" s="16">
        <f t="shared" ref="T3:T13" si="10">IF(ROW()&lt;15,ROW()+3,ROW()-10)</f>
        <v>6</v>
      </c>
      <c r="U3" t="str">
        <f t="shared" ref="U3:U19" si="11">"VEG"&amp;UPPER(LEFT(V3,3)&amp;MID(V3,FIND(" ",V3)+1,2))&amp;".0"&amp;ROW()*1+7</f>
        <v>VEGTROCA.010</v>
      </c>
      <c r="V3" s="15" t="s">
        <v>105</v>
      </c>
      <c r="W3" s="16">
        <v>2.12</v>
      </c>
      <c r="X3" s="16">
        <f t="shared" ref="X3:X19" si="12">FIND("e",V3,1)</f>
        <v>4</v>
      </c>
      <c r="Y3" t="str">
        <f t="shared" ref="Y3:Y19" si="13">"VEG"&amp;UPPER(LEFT(Z3,3)&amp;MID(Z3,FIND(" ",Z3)+1,2))&amp;".0"&amp;ROW()*1+7</f>
        <v>VEGPOMGO.010</v>
      </c>
      <c r="Z3" s="15" t="s">
        <v>113</v>
      </c>
      <c r="AA3" s="16">
        <v>10.99</v>
      </c>
      <c r="AB3" s="16">
        <f t="shared" si="1"/>
        <v>11</v>
      </c>
      <c r="AC3" s="17">
        <f t="shared" si="2"/>
        <v>0.05</v>
      </c>
      <c r="AD3" s="17">
        <v>5.5E-2</v>
      </c>
      <c r="AE3" t="str">
        <f t="shared" ref="AE3:AE19" si="14">"SERV"&amp;UPPER(LEFT(AF3,3)&amp;MID(AF3,FIND(" ",AF3)+1,2))&amp;".0"&amp;ROW()*1+5</f>
        <v>SERVELAHA.08</v>
      </c>
      <c r="AF3" t="s">
        <v>134</v>
      </c>
      <c r="AG3" s="16">
        <f t="shared" ref="AG3:AG19" si="15">IF(ROW()&lt;10,30+ROW(),40-ROW())</f>
        <v>33</v>
      </c>
      <c r="AH3" s="25">
        <f t="shared" ref="AH3:AH19" si="16">IF(ROW()&lt;15,ROW()+1,ROW()-12)</f>
        <v>4</v>
      </c>
      <c r="AI3" s="25">
        <f t="shared" ref="AI3:AI19" si="17">IF(ROW()&lt;12,ROW()*5, (ROW()-10)*5)</f>
        <v>15</v>
      </c>
      <c r="AJ3" t="str">
        <f t="shared" ref="AJ3:AJ19" si="18">"SERV"&amp;UPPER(LEFT(AK3,3)&amp;MID(AK3,FIND(" ",AK3)+1,2))&amp;".0"&amp;ROW()*1+5</f>
        <v>SERVPOSBO.08</v>
      </c>
      <c r="AK3" t="s">
        <v>143</v>
      </c>
      <c r="AL3" s="16">
        <f t="shared" ref="AL3:AL19" si="19">IF(ROW()&lt;10,24+ROW(),35-ROW())</f>
        <v>27</v>
      </c>
      <c r="AM3" s="25">
        <f t="shared" ref="AM3:AM19" si="20">IF(ROW()&lt;14,ROW()+2,ROW()-13)</f>
        <v>5</v>
      </c>
      <c r="AN3" s="25">
        <f t="shared" ref="AN3:AN19" si="21">IF(ROW()&lt;13,(ROW()-1)*5, (ROW()-11)*5)</f>
        <v>10</v>
      </c>
      <c r="AO3" s="17">
        <f t="shared" ref="AO3:AO19" si="22">IF(ROW()&lt;15,(ROW()+4)/100,(ROW()-7)/100)</f>
        <v>7.0000000000000007E-2</v>
      </c>
      <c r="AP3" s="17">
        <v>0.2</v>
      </c>
    </row>
    <row r="4" spans="1:42" x14ac:dyDescent="0.3">
      <c r="A4" t="s">
        <v>185</v>
      </c>
      <c r="B4" t="s">
        <v>2</v>
      </c>
      <c r="C4" t="str">
        <f t="shared" si="3"/>
        <v>02 31 51 13 95</v>
      </c>
      <c r="D4" s="13">
        <v>14100</v>
      </c>
      <c r="E4" t="s">
        <v>20</v>
      </c>
      <c r="F4" t="str">
        <f t="shared" si="4"/>
        <v>C14100ST14</v>
      </c>
      <c r="G4" t="str">
        <f t="shared" si="0"/>
        <v>Les pépinières de LOUVIGNY</v>
      </c>
      <c r="H4" t="s">
        <v>57</v>
      </c>
      <c r="I4" t="str">
        <f t="shared" si="5"/>
        <v>02 31 51 13 13</v>
      </c>
      <c r="J4" s="13">
        <v>14111</v>
      </c>
      <c r="K4" t="s">
        <v>22</v>
      </c>
      <c r="L4" s="27" t="str">
        <f t="shared" ca="1" si="6"/>
        <v>C202014100ST14</v>
      </c>
      <c r="M4" t="str">
        <f t="shared" si="7"/>
        <v>VEGROSNA.05</v>
      </c>
      <c r="N4" t="s">
        <v>78</v>
      </c>
      <c r="O4" s="63">
        <v>6.5</v>
      </c>
      <c r="P4" s="16">
        <f t="shared" si="8"/>
        <v>5</v>
      </c>
      <c r="Q4" t="str">
        <f t="shared" si="9"/>
        <v>VEGMICYU.07</v>
      </c>
      <c r="R4" s="15" t="s">
        <v>92</v>
      </c>
      <c r="S4" s="16">
        <v>9.99</v>
      </c>
      <c r="T4" s="16">
        <f t="shared" si="10"/>
        <v>7</v>
      </c>
      <c r="U4" t="str">
        <f t="shared" si="11"/>
        <v>VEGGREPR.011</v>
      </c>
      <c r="V4" s="15" t="s">
        <v>106</v>
      </c>
      <c r="W4" s="16">
        <v>5.4</v>
      </c>
      <c r="X4" s="16">
        <f t="shared" si="12"/>
        <v>3</v>
      </c>
      <c r="Y4" t="str">
        <f t="shared" si="13"/>
        <v>VEGFIGGO.011</v>
      </c>
      <c r="Z4" s="15" t="s">
        <v>114</v>
      </c>
      <c r="AA4" s="16">
        <v>12.95</v>
      </c>
      <c r="AB4" s="16">
        <f t="shared" si="1"/>
        <v>7</v>
      </c>
      <c r="AC4" s="17">
        <f t="shared" si="2"/>
        <v>0.06</v>
      </c>
      <c r="AD4" s="17">
        <v>5.5E-2</v>
      </c>
      <c r="AE4" t="str">
        <f t="shared" si="14"/>
        <v>SERVPRÉSO.09</v>
      </c>
      <c r="AF4" t="s">
        <v>135</v>
      </c>
      <c r="AG4" s="16">
        <f t="shared" si="15"/>
        <v>34</v>
      </c>
      <c r="AH4" s="25">
        <f t="shared" si="16"/>
        <v>5</v>
      </c>
      <c r="AI4" s="25">
        <f t="shared" si="17"/>
        <v>20</v>
      </c>
      <c r="AJ4" t="str">
        <f t="shared" si="18"/>
        <v>SERVSEMGA.09</v>
      </c>
      <c r="AK4" t="s">
        <v>144</v>
      </c>
      <c r="AL4" s="16">
        <f t="shared" si="19"/>
        <v>28</v>
      </c>
      <c r="AM4" s="25">
        <f t="shared" si="20"/>
        <v>6</v>
      </c>
      <c r="AN4" s="25">
        <f t="shared" si="21"/>
        <v>15</v>
      </c>
      <c r="AO4" s="17">
        <f t="shared" si="22"/>
        <v>0.08</v>
      </c>
      <c r="AP4" s="17">
        <v>0.2</v>
      </c>
    </row>
    <row r="5" spans="1:42" x14ac:dyDescent="0.3">
      <c r="A5" t="s">
        <v>186</v>
      </c>
      <c r="B5" t="s">
        <v>3</v>
      </c>
      <c r="C5" t="str">
        <f t="shared" si="3"/>
        <v>02 31 51 14 94</v>
      </c>
      <c r="D5" s="13">
        <v>14110</v>
      </c>
      <c r="E5" t="s">
        <v>21</v>
      </c>
      <c r="F5" t="str">
        <f t="shared" si="4"/>
        <v>D14110CO15</v>
      </c>
      <c r="G5" t="str">
        <f t="shared" si="0"/>
        <v>Les pépinières de BIEVILLE BEUVILLE</v>
      </c>
      <c r="H5" t="s">
        <v>56</v>
      </c>
      <c r="I5" t="str">
        <f t="shared" si="5"/>
        <v>02 31 51 14 14</v>
      </c>
      <c r="J5" s="13">
        <v>14112</v>
      </c>
      <c r="K5" t="s">
        <v>23</v>
      </c>
      <c r="L5" s="27" t="str">
        <f t="shared" ca="1" si="6"/>
        <v>D202014110CO15</v>
      </c>
      <c r="M5" t="str">
        <f t="shared" si="7"/>
        <v>VEGROSPI.07</v>
      </c>
      <c r="N5" t="s">
        <v>81</v>
      </c>
      <c r="O5" s="16">
        <v>6.3</v>
      </c>
      <c r="P5" s="16">
        <f t="shared" si="8"/>
        <v>6</v>
      </c>
      <c r="Q5" t="str">
        <f t="shared" si="9"/>
        <v>VEGGENBL.08</v>
      </c>
      <c r="R5" s="15" t="s">
        <v>90</v>
      </c>
      <c r="S5" s="16">
        <v>5.33</v>
      </c>
      <c r="T5" s="16">
        <f t="shared" si="10"/>
        <v>8</v>
      </c>
      <c r="U5" t="str">
        <f t="shared" si="11"/>
        <v>VEGNECCH.012</v>
      </c>
      <c r="V5" s="15" t="s">
        <v>107</v>
      </c>
      <c r="W5" s="16">
        <v>19.899999999999999</v>
      </c>
      <c r="X5" s="16">
        <f t="shared" si="12"/>
        <v>2</v>
      </c>
      <c r="Y5" t="str">
        <f t="shared" si="13"/>
        <v>VEGKAKPL.012</v>
      </c>
      <c r="Z5" s="15" t="s">
        <v>103</v>
      </c>
      <c r="AA5" s="16">
        <v>13.99</v>
      </c>
      <c r="AB5" s="16">
        <f t="shared" si="1"/>
        <v>7</v>
      </c>
      <c r="AC5" s="17">
        <f t="shared" si="2"/>
        <v>7.0000000000000007E-2</v>
      </c>
      <c r="AD5" s="17">
        <v>5.5E-2</v>
      </c>
      <c r="AE5" t="str">
        <f t="shared" si="14"/>
        <v>SERVTONPE.010</v>
      </c>
      <c r="AF5" t="s">
        <v>136</v>
      </c>
      <c r="AG5" s="16">
        <f t="shared" si="15"/>
        <v>35</v>
      </c>
      <c r="AH5" s="25">
        <f t="shared" si="16"/>
        <v>6</v>
      </c>
      <c r="AI5" s="25">
        <f t="shared" si="17"/>
        <v>25</v>
      </c>
      <c r="AJ5" t="str">
        <f t="shared" si="18"/>
        <v>SERVPOSGR.010</v>
      </c>
      <c r="AK5" t="s">
        <v>145</v>
      </c>
      <c r="AL5" s="16">
        <f t="shared" si="19"/>
        <v>29</v>
      </c>
      <c r="AM5" s="25">
        <f t="shared" si="20"/>
        <v>7</v>
      </c>
      <c r="AN5" s="25">
        <f t="shared" si="21"/>
        <v>20</v>
      </c>
      <c r="AO5" s="17">
        <f t="shared" si="22"/>
        <v>0.09</v>
      </c>
      <c r="AP5" s="17">
        <v>0.2</v>
      </c>
    </row>
    <row r="6" spans="1:42" x14ac:dyDescent="0.3">
      <c r="A6" t="s">
        <v>187</v>
      </c>
      <c r="B6" t="s">
        <v>4</v>
      </c>
      <c r="C6" t="str">
        <f t="shared" si="3"/>
        <v>02 31 51 15 93</v>
      </c>
      <c r="D6" s="13">
        <v>14111</v>
      </c>
      <c r="E6" t="s">
        <v>22</v>
      </c>
      <c r="F6" t="str">
        <f t="shared" si="4"/>
        <v>E14111LO16</v>
      </c>
      <c r="G6" t="str">
        <f t="shared" si="0"/>
        <v>Les pépinières de CRICQUEBOEUF</v>
      </c>
      <c r="H6" t="s">
        <v>55</v>
      </c>
      <c r="I6" t="str">
        <f t="shared" si="5"/>
        <v>02 31 51 15 15</v>
      </c>
      <c r="J6" s="13">
        <v>14113</v>
      </c>
      <c r="K6" t="s">
        <v>24</v>
      </c>
      <c r="L6" s="27" t="str">
        <f t="shared" ca="1" si="6"/>
        <v>E202014111LO16</v>
      </c>
      <c r="M6" t="str">
        <f t="shared" si="7"/>
        <v>VEGROSRO.09</v>
      </c>
      <c r="N6" t="s">
        <v>82</v>
      </c>
      <c r="O6" s="16">
        <v>29.95</v>
      </c>
      <c r="P6" s="16">
        <f t="shared" si="8"/>
        <v>7</v>
      </c>
      <c r="Q6" t="str">
        <f t="shared" si="9"/>
        <v>VEGAUBFL.09</v>
      </c>
      <c r="R6" t="s">
        <v>87</v>
      </c>
      <c r="S6" s="16">
        <v>24.99</v>
      </c>
      <c r="T6" s="16">
        <f t="shared" si="10"/>
        <v>9</v>
      </c>
      <c r="U6" t="str">
        <f t="shared" si="11"/>
        <v>VEGNOYFR.013</v>
      </c>
      <c r="V6" s="15" t="s">
        <v>110</v>
      </c>
      <c r="W6" s="16">
        <v>25.9</v>
      </c>
      <c r="X6" s="16">
        <f t="shared" si="12"/>
        <v>4</v>
      </c>
      <c r="Y6" t="str">
        <f t="shared" si="13"/>
        <v>VEGMURSA.013</v>
      </c>
      <c r="Z6" s="15" t="s">
        <v>120</v>
      </c>
      <c r="AA6" s="16">
        <v>5.33</v>
      </c>
      <c r="AB6" s="16">
        <f t="shared" si="1"/>
        <v>9</v>
      </c>
      <c r="AC6" s="17">
        <f t="shared" si="2"/>
        <v>0.08</v>
      </c>
      <c r="AD6" s="17">
        <v>5.5E-2</v>
      </c>
      <c r="AE6" t="str">
        <f t="shared" si="14"/>
        <v>SERVSCAPE.011</v>
      </c>
      <c r="AF6" t="s">
        <v>137</v>
      </c>
      <c r="AG6" s="16">
        <f t="shared" si="15"/>
        <v>36</v>
      </c>
      <c r="AH6" s="25">
        <f t="shared" si="16"/>
        <v>7</v>
      </c>
      <c r="AI6" s="25">
        <f t="shared" si="17"/>
        <v>30</v>
      </c>
      <c r="AJ6" t="str">
        <f t="shared" si="18"/>
        <v>SERVEVADÉ.011</v>
      </c>
      <c r="AK6" t="s">
        <v>146</v>
      </c>
      <c r="AL6" s="16">
        <f t="shared" si="19"/>
        <v>30</v>
      </c>
      <c r="AM6" s="25">
        <f t="shared" si="20"/>
        <v>8</v>
      </c>
      <c r="AN6" s="25">
        <f t="shared" si="21"/>
        <v>25</v>
      </c>
      <c r="AO6" s="17">
        <f t="shared" si="22"/>
        <v>0.1</v>
      </c>
      <c r="AP6" s="17">
        <v>0.2</v>
      </c>
    </row>
    <row r="7" spans="1:42" x14ac:dyDescent="0.3">
      <c r="A7" t="s">
        <v>188</v>
      </c>
      <c r="B7" t="s">
        <v>5</v>
      </c>
      <c r="C7" t="str">
        <f t="shared" si="3"/>
        <v>02 31 51 16 92</v>
      </c>
      <c r="D7" s="13">
        <v>14112</v>
      </c>
      <c r="E7" t="s">
        <v>23</v>
      </c>
      <c r="F7" t="str">
        <f t="shared" si="4"/>
        <v>F14112BI17</v>
      </c>
      <c r="G7" t="str">
        <f t="shared" si="0"/>
        <v>Les pépinières de VILLERVILLE</v>
      </c>
      <c r="H7" t="s">
        <v>60</v>
      </c>
      <c r="I7" t="str">
        <f t="shared" si="5"/>
        <v>02 31 51 16 16</v>
      </c>
      <c r="J7" s="13">
        <v>14113</v>
      </c>
      <c r="K7" t="s">
        <v>25</v>
      </c>
      <c r="L7" s="27" t="str">
        <f t="shared" ca="1" si="6"/>
        <v>F202014112BI17</v>
      </c>
      <c r="M7" t="str">
        <f t="shared" si="7"/>
        <v>VEGROSIC.011</v>
      </c>
      <c r="N7" t="s">
        <v>85</v>
      </c>
      <c r="O7" s="16">
        <v>12.95</v>
      </c>
      <c r="P7" s="16">
        <f t="shared" si="8"/>
        <v>8</v>
      </c>
      <c r="Q7" t="str">
        <f t="shared" si="9"/>
        <v>VEGCHELI.010</v>
      </c>
      <c r="R7" s="15" t="s">
        <v>93</v>
      </c>
      <c r="S7" s="16">
        <v>5.4</v>
      </c>
      <c r="T7" s="16">
        <f t="shared" si="10"/>
        <v>10</v>
      </c>
      <c r="U7" t="str">
        <f t="shared" si="11"/>
        <v>VEGPOMRE.014</v>
      </c>
      <c r="V7" s="15" t="s">
        <v>111</v>
      </c>
      <c r="W7" s="16">
        <v>10.99</v>
      </c>
      <c r="X7" s="16">
        <f t="shared" si="12"/>
        <v>6</v>
      </c>
      <c r="Y7" t="str">
        <f t="shared" si="13"/>
        <v>VEGAMARO.014</v>
      </c>
      <c r="Z7" s="15" t="s">
        <v>115</v>
      </c>
      <c r="AA7" s="16">
        <v>17.97</v>
      </c>
      <c r="AB7" s="16">
        <f t="shared" si="1"/>
        <v>5</v>
      </c>
      <c r="AC7" s="17">
        <f t="shared" si="2"/>
        <v>0.09</v>
      </c>
      <c r="AD7" s="17">
        <v>5.5E-2</v>
      </c>
      <c r="AE7" t="str">
        <f t="shared" si="14"/>
        <v>SERVPLAAR.012</v>
      </c>
      <c r="AF7" t="s">
        <v>138</v>
      </c>
      <c r="AG7" s="16">
        <f t="shared" si="15"/>
        <v>37</v>
      </c>
      <c r="AH7" s="25">
        <f t="shared" si="16"/>
        <v>8</v>
      </c>
      <c r="AI7" s="25">
        <f t="shared" si="17"/>
        <v>35</v>
      </c>
      <c r="AJ7" t="str">
        <f t="shared" si="18"/>
        <v>SERVPOSCL.012</v>
      </c>
      <c r="AK7" t="s">
        <v>147</v>
      </c>
      <c r="AL7" s="16">
        <f t="shared" si="19"/>
        <v>31</v>
      </c>
      <c r="AM7" s="25">
        <f t="shared" si="20"/>
        <v>9</v>
      </c>
      <c r="AN7" s="25">
        <f t="shared" si="21"/>
        <v>30</v>
      </c>
      <c r="AO7" s="17">
        <f t="shared" si="22"/>
        <v>0.11</v>
      </c>
      <c r="AP7" s="17">
        <v>0.2</v>
      </c>
    </row>
    <row r="8" spans="1:42" x14ac:dyDescent="0.3">
      <c r="A8" t="s">
        <v>189</v>
      </c>
      <c r="B8" t="s">
        <v>6</v>
      </c>
      <c r="C8" t="str">
        <f t="shared" si="3"/>
        <v>02 31 51 17 91</v>
      </c>
      <c r="D8" s="13">
        <v>14113</v>
      </c>
      <c r="E8" t="s">
        <v>24</v>
      </c>
      <c r="F8" t="str">
        <f t="shared" si="4"/>
        <v>G14113CR18</v>
      </c>
      <c r="G8" t="str">
        <f t="shared" si="0"/>
        <v>Les pépinières de VER SUR MER</v>
      </c>
      <c r="H8" t="s">
        <v>61</v>
      </c>
      <c r="I8" t="str">
        <f t="shared" si="5"/>
        <v>02 31 51 17 17</v>
      </c>
      <c r="J8" s="13">
        <v>14114</v>
      </c>
      <c r="K8" t="s">
        <v>26</v>
      </c>
      <c r="L8" s="27" t="str">
        <f t="shared" ca="1" si="6"/>
        <v>G202014113CR18</v>
      </c>
      <c r="M8" t="str">
        <f t="shared" si="7"/>
        <v>VEGROSRO.013</v>
      </c>
      <c r="N8" t="s">
        <v>83</v>
      </c>
      <c r="O8" s="63">
        <v>15.99</v>
      </c>
      <c r="P8" s="16">
        <f t="shared" si="8"/>
        <v>9</v>
      </c>
      <c r="Q8" t="str">
        <f t="shared" si="9"/>
        <v>VEGEPIEP.011</v>
      </c>
      <c r="R8" t="s">
        <v>95</v>
      </c>
      <c r="S8" s="63">
        <v>5.99</v>
      </c>
      <c r="T8" s="16">
        <f t="shared" si="10"/>
        <v>11</v>
      </c>
      <c r="U8" t="str">
        <f t="shared" si="11"/>
        <v>VEGCERBI.015</v>
      </c>
      <c r="V8" s="15" t="s">
        <v>112</v>
      </c>
      <c r="W8" s="16">
        <v>10.99</v>
      </c>
      <c r="X8" s="16">
        <f t="shared" si="12"/>
        <v>2</v>
      </c>
      <c r="Y8" t="str">
        <f t="shared" si="13"/>
        <v>VEGABRPR.015</v>
      </c>
      <c r="Z8" s="15" t="s">
        <v>116</v>
      </c>
      <c r="AA8" s="16">
        <v>24.9</v>
      </c>
      <c r="AB8" s="16">
        <f t="shared" si="1"/>
        <v>4</v>
      </c>
      <c r="AC8" s="17">
        <f t="shared" si="2"/>
        <v>0.1</v>
      </c>
      <c r="AD8" s="17">
        <v>5.5E-2</v>
      </c>
      <c r="AE8" t="str">
        <f t="shared" si="14"/>
        <v>SERVDESAR.013</v>
      </c>
      <c r="AF8" t="s">
        <v>139</v>
      </c>
      <c r="AG8" s="16">
        <f t="shared" si="15"/>
        <v>38</v>
      </c>
      <c r="AH8" s="25">
        <f t="shared" si="16"/>
        <v>9</v>
      </c>
      <c r="AI8" s="25">
        <f t="shared" si="17"/>
        <v>40</v>
      </c>
      <c r="AJ8" t="str">
        <f t="shared" si="18"/>
        <v>SERVPOSPA.013</v>
      </c>
      <c r="AK8" t="s">
        <v>148</v>
      </c>
      <c r="AL8" s="16">
        <f t="shared" si="19"/>
        <v>32</v>
      </c>
      <c r="AM8" s="25">
        <f t="shared" si="20"/>
        <v>10</v>
      </c>
      <c r="AN8" s="25">
        <f t="shared" si="21"/>
        <v>35</v>
      </c>
      <c r="AO8" s="17">
        <f t="shared" si="22"/>
        <v>0.12</v>
      </c>
      <c r="AP8" s="17">
        <v>0.2</v>
      </c>
    </row>
    <row r="9" spans="1:42" x14ac:dyDescent="0.3">
      <c r="A9" t="s">
        <v>190</v>
      </c>
      <c r="B9" t="s">
        <v>7</v>
      </c>
      <c r="C9" t="str">
        <f t="shared" si="3"/>
        <v>02 31 51 18 90</v>
      </c>
      <c r="D9" s="13">
        <v>14113</v>
      </c>
      <c r="E9" t="s">
        <v>25</v>
      </c>
      <c r="F9" t="str">
        <f t="shared" si="4"/>
        <v>H14113VI19</v>
      </c>
      <c r="G9" t="str">
        <f t="shared" si="0"/>
        <v>Les pépinières de TRACY SUR MER</v>
      </c>
      <c r="H9" t="s">
        <v>51</v>
      </c>
      <c r="I9" t="str">
        <f t="shared" si="5"/>
        <v>02 31 51 18 18</v>
      </c>
      <c r="J9" s="13">
        <v>14117</v>
      </c>
      <c r="K9" t="s">
        <v>27</v>
      </c>
      <c r="L9" s="27" t="str">
        <f t="shared" ca="1" si="6"/>
        <v>H202014113VI19</v>
      </c>
      <c r="M9" t="str">
        <f t="shared" si="7"/>
        <v>VEGROSGR.015</v>
      </c>
      <c r="N9" t="s">
        <v>84</v>
      </c>
      <c r="O9" s="63">
        <v>4.99</v>
      </c>
      <c r="P9" s="16">
        <f t="shared" si="8"/>
        <v>10</v>
      </c>
      <c r="Q9" t="str">
        <f t="shared" si="9"/>
        <v>VEGPINMU.012</v>
      </c>
      <c r="R9" t="s">
        <v>89</v>
      </c>
      <c r="S9" s="63">
        <v>6.99</v>
      </c>
      <c r="T9" s="16">
        <f t="shared" si="10"/>
        <v>12</v>
      </c>
      <c r="U9" t="str">
        <f t="shared" si="11"/>
        <v>VEGPRUMI.016</v>
      </c>
      <c r="V9" s="15" t="s">
        <v>102</v>
      </c>
      <c r="W9" s="16">
        <v>19.989999999999998</v>
      </c>
      <c r="X9" s="16">
        <f t="shared" si="12"/>
        <v>6</v>
      </c>
      <c r="Y9" t="str">
        <f t="shared" si="13"/>
        <v>VEGCHACO.016</v>
      </c>
      <c r="Z9" s="15" t="s">
        <v>119</v>
      </c>
      <c r="AA9" s="63">
        <v>13.99</v>
      </c>
      <c r="AB9" s="16">
        <f t="shared" ref="AB9:AB19" si="23">IF(FIND("i",Z2,1)=0,FIND("e",Z2,1),(FIND("i",Z2,1)))</f>
        <v>5</v>
      </c>
      <c r="AC9" s="17">
        <f t="shared" si="2"/>
        <v>0.11</v>
      </c>
      <c r="AD9" s="17">
        <v>5.5E-2</v>
      </c>
      <c r="AE9" t="str">
        <f t="shared" si="14"/>
        <v>SERVTRAPH.014</v>
      </c>
      <c r="AF9" t="s">
        <v>140</v>
      </c>
      <c r="AG9" s="16">
        <f t="shared" si="15"/>
        <v>39</v>
      </c>
      <c r="AH9" s="25">
        <f t="shared" si="16"/>
        <v>10</v>
      </c>
      <c r="AI9" s="25">
        <f t="shared" si="17"/>
        <v>45</v>
      </c>
      <c r="AJ9" t="str">
        <f t="shared" si="18"/>
        <v>SERVLABMO.014</v>
      </c>
      <c r="AK9" t="s">
        <v>149</v>
      </c>
      <c r="AL9" s="16">
        <f t="shared" si="19"/>
        <v>33</v>
      </c>
      <c r="AM9" s="25">
        <f t="shared" si="20"/>
        <v>11</v>
      </c>
      <c r="AN9" s="25">
        <f t="shared" si="21"/>
        <v>40</v>
      </c>
      <c r="AO9" s="17">
        <f t="shared" si="22"/>
        <v>0.13</v>
      </c>
      <c r="AP9" s="17">
        <v>0.2</v>
      </c>
    </row>
    <row r="10" spans="1:42" x14ac:dyDescent="0.3">
      <c r="A10" t="s">
        <v>191</v>
      </c>
      <c r="B10" t="s">
        <v>8</v>
      </c>
      <c r="C10" t="str">
        <f t="shared" si="3"/>
        <v>02 31 51 19 89</v>
      </c>
      <c r="D10" s="13">
        <v>14114</v>
      </c>
      <c r="E10" t="s">
        <v>26</v>
      </c>
      <c r="F10" t="str">
        <f t="shared" si="4"/>
        <v>I14114VE20</v>
      </c>
      <c r="G10" t="str">
        <f t="shared" si="0"/>
        <v>Les pépinières de MONDEVILLE</v>
      </c>
      <c r="H10" t="s">
        <v>62</v>
      </c>
      <c r="I10" t="str">
        <f t="shared" si="5"/>
        <v>02 31 51 19 19</v>
      </c>
      <c r="J10" s="13">
        <v>14120</v>
      </c>
      <c r="K10" t="s">
        <v>28</v>
      </c>
      <c r="L10" s="27" t="str">
        <f t="shared" ca="1" si="6"/>
        <v>I202014114VE20</v>
      </c>
      <c r="M10" t="str">
        <f t="shared" si="7"/>
        <v>VEGLAVPA.017</v>
      </c>
      <c r="N10" t="s">
        <v>86</v>
      </c>
      <c r="O10" s="63">
        <v>3.99</v>
      </c>
      <c r="P10" s="16">
        <f>IF(ROW()&lt;10,ROW()+1,ROW()-9)</f>
        <v>1</v>
      </c>
      <c r="Q10" t="str">
        <f t="shared" si="9"/>
        <v>VEGOSMPA.013</v>
      </c>
      <c r="R10" s="15" t="s">
        <v>88</v>
      </c>
      <c r="S10" s="16">
        <v>4.54</v>
      </c>
      <c r="T10" s="16">
        <f t="shared" si="10"/>
        <v>13</v>
      </c>
      <c r="U10" t="str">
        <f t="shared" si="11"/>
        <v>VEGPOMGO.017</v>
      </c>
      <c r="V10" s="15" t="s">
        <v>113</v>
      </c>
      <c r="W10" s="16">
        <v>10.99</v>
      </c>
      <c r="X10" s="16">
        <f t="shared" si="12"/>
        <v>6</v>
      </c>
      <c r="Y10" t="str">
        <f t="shared" si="13"/>
        <v>VEGGOYBR.017</v>
      </c>
      <c r="Z10" s="15" t="s">
        <v>108</v>
      </c>
      <c r="AA10" s="16">
        <v>4.49</v>
      </c>
      <c r="AB10" s="16">
        <f t="shared" si="23"/>
        <v>5</v>
      </c>
      <c r="AC10" s="17">
        <f t="shared" si="2"/>
        <v>0.12</v>
      </c>
      <c r="AD10" s="17">
        <v>5.5E-2</v>
      </c>
      <c r="AE10" t="str">
        <f t="shared" si="14"/>
        <v>SERVAMESO.015</v>
      </c>
      <c r="AF10" t="s">
        <v>141</v>
      </c>
      <c r="AG10" s="16">
        <f t="shared" si="15"/>
        <v>30</v>
      </c>
      <c r="AH10" s="25">
        <f t="shared" si="16"/>
        <v>11</v>
      </c>
      <c r="AI10" s="25">
        <f t="shared" si="17"/>
        <v>50</v>
      </c>
      <c r="AJ10" t="str">
        <f t="shared" si="18"/>
        <v>SERVPOSAR.015</v>
      </c>
      <c r="AK10" t="s">
        <v>150</v>
      </c>
      <c r="AL10" s="16">
        <f t="shared" si="19"/>
        <v>25</v>
      </c>
      <c r="AM10" s="25">
        <f t="shared" si="20"/>
        <v>12</v>
      </c>
      <c r="AN10" s="25">
        <f t="shared" si="21"/>
        <v>45</v>
      </c>
      <c r="AO10" s="17">
        <f t="shared" si="22"/>
        <v>0.14000000000000001</v>
      </c>
      <c r="AP10" s="17">
        <v>0.2</v>
      </c>
    </row>
    <row r="11" spans="1:42" x14ac:dyDescent="0.3">
      <c r="A11" t="s">
        <v>192</v>
      </c>
      <c r="B11" t="s">
        <v>9</v>
      </c>
      <c r="C11" t="str">
        <f t="shared" si="3"/>
        <v>02 31 51 20 88</v>
      </c>
      <c r="D11" s="13">
        <v>14117</v>
      </c>
      <c r="E11" t="s">
        <v>27</v>
      </c>
      <c r="F11" t="str">
        <f t="shared" si="4"/>
        <v>J14117TR21</v>
      </c>
      <c r="G11" t="str">
        <f t="shared" si="0"/>
        <v>Les pépinières de RANVILLE</v>
      </c>
      <c r="H11" t="s">
        <v>52</v>
      </c>
      <c r="I11" t="str">
        <f t="shared" si="5"/>
        <v>02 31 51 20 20</v>
      </c>
      <c r="J11" s="13">
        <v>14121</v>
      </c>
      <c r="K11" t="s">
        <v>29</v>
      </c>
      <c r="L11" s="27" t="str">
        <f t="shared" ca="1" si="6"/>
        <v>J202014117TR21</v>
      </c>
      <c r="M11" t="str">
        <f t="shared" si="7"/>
        <v>VEGCLEVY.019</v>
      </c>
      <c r="N11" s="15" t="s">
        <v>94</v>
      </c>
      <c r="O11" s="16">
        <v>12.99</v>
      </c>
      <c r="P11" s="16">
        <f t="shared" si="8"/>
        <v>1</v>
      </c>
      <c r="Q11" t="str">
        <f t="shared" si="9"/>
        <v>VEGFUSRU.014</v>
      </c>
      <c r="R11" s="15" t="s">
        <v>91</v>
      </c>
      <c r="S11" s="16">
        <v>3.58</v>
      </c>
      <c r="T11" s="16">
        <f t="shared" si="10"/>
        <v>14</v>
      </c>
      <c r="U11" t="str">
        <f t="shared" si="11"/>
        <v>VEGFIGGO.018</v>
      </c>
      <c r="V11" s="15" t="s">
        <v>114</v>
      </c>
      <c r="W11" s="16">
        <v>12.95</v>
      </c>
      <c r="X11" s="16">
        <f t="shared" si="12"/>
        <v>6</v>
      </c>
      <c r="Y11" t="str">
        <f t="shared" si="13"/>
        <v>VEGCERNA.018</v>
      </c>
      <c r="Z11" s="15" t="s">
        <v>117</v>
      </c>
      <c r="AA11" s="16">
        <v>15.9</v>
      </c>
      <c r="AB11" s="16">
        <f t="shared" si="23"/>
        <v>2</v>
      </c>
      <c r="AC11" s="17">
        <f t="shared" si="2"/>
        <v>0.13</v>
      </c>
      <c r="AD11" s="17">
        <v>5.5E-2</v>
      </c>
      <c r="AE11" t="str">
        <f t="shared" si="14"/>
        <v>SERVTERVÉ.016</v>
      </c>
      <c r="AF11" t="s">
        <v>142</v>
      </c>
      <c r="AG11" s="16">
        <f t="shared" si="15"/>
        <v>29</v>
      </c>
      <c r="AH11" s="25">
        <f t="shared" si="16"/>
        <v>12</v>
      </c>
      <c r="AI11" s="25">
        <f t="shared" si="17"/>
        <v>55</v>
      </c>
      <c r="AJ11" t="str">
        <f t="shared" si="18"/>
        <v>SERVTAIFR.016</v>
      </c>
      <c r="AK11" t="s">
        <v>133</v>
      </c>
      <c r="AL11" s="16">
        <f t="shared" si="19"/>
        <v>24</v>
      </c>
      <c r="AM11" s="25">
        <f t="shared" si="20"/>
        <v>13</v>
      </c>
      <c r="AN11" s="25">
        <f t="shared" si="21"/>
        <v>50</v>
      </c>
      <c r="AO11" s="17">
        <f t="shared" si="22"/>
        <v>0.15</v>
      </c>
      <c r="AP11" s="17">
        <v>0.2</v>
      </c>
    </row>
    <row r="12" spans="1:42" x14ac:dyDescent="0.3">
      <c r="A12" t="s">
        <v>193</v>
      </c>
      <c r="B12" t="s">
        <v>10</v>
      </c>
      <c r="C12" t="str">
        <f t="shared" si="3"/>
        <v>02 31 51 21 87</v>
      </c>
      <c r="D12" s="13">
        <v>14120</v>
      </c>
      <c r="E12" t="s">
        <v>28</v>
      </c>
      <c r="F12" t="str">
        <f t="shared" si="4"/>
        <v>K14120MO22</v>
      </c>
      <c r="G12" t="str">
        <f t="shared" si="0"/>
        <v>Les pépinières de SALLENELLES</v>
      </c>
      <c r="H12" t="s">
        <v>63</v>
      </c>
      <c r="I12" t="str">
        <f t="shared" si="5"/>
        <v>02 31 51 21 21</v>
      </c>
      <c r="J12" s="13">
        <v>14121</v>
      </c>
      <c r="K12" t="s">
        <v>30</v>
      </c>
      <c r="L12" s="27" t="str">
        <f t="shared" ca="1" si="6"/>
        <v>K202014120MO22</v>
      </c>
      <c r="M12" t="str">
        <f t="shared" si="7"/>
        <v>VEGMICYU.021</v>
      </c>
      <c r="N12" s="15" t="s">
        <v>92</v>
      </c>
      <c r="O12" s="16">
        <v>9.99</v>
      </c>
      <c r="P12" s="16">
        <f t="shared" si="8"/>
        <v>2</v>
      </c>
      <c r="Q12" t="str">
        <f t="shared" si="9"/>
        <v>VEGROSIS.015</v>
      </c>
      <c r="R12" t="s">
        <v>79</v>
      </c>
      <c r="S12" s="16">
        <v>15.99</v>
      </c>
      <c r="T12" s="16">
        <f t="shared" si="10"/>
        <v>15</v>
      </c>
      <c r="U12" t="str">
        <f t="shared" si="11"/>
        <v>VEGKAKPL.019</v>
      </c>
      <c r="V12" s="15" t="s">
        <v>103</v>
      </c>
      <c r="W12" s="16">
        <v>13.99</v>
      </c>
      <c r="X12" s="16">
        <f t="shared" si="12"/>
        <v>11</v>
      </c>
      <c r="Y12" t="str">
        <f t="shared" si="13"/>
        <v>VEGKIWSI.019</v>
      </c>
      <c r="Z12" s="15" t="s">
        <v>109</v>
      </c>
      <c r="AA12" s="16">
        <v>8.1</v>
      </c>
      <c r="AB12" s="16">
        <f t="shared" si="23"/>
        <v>4</v>
      </c>
      <c r="AC12" s="17">
        <f t="shared" si="2"/>
        <v>0.14000000000000001</v>
      </c>
      <c r="AD12" s="17">
        <v>5.5E-2</v>
      </c>
      <c r="AE12" t="str">
        <f t="shared" si="14"/>
        <v>SERVPOSBO.017</v>
      </c>
      <c r="AF12" t="s">
        <v>143</v>
      </c>
      <c r="AG12" s="16">
        <f t="shared" si="15"/>
        <v>28</v>
      </c>
      <c r="AH12" s="25">
        <f t="shared" si="16"/>
        <v>13</v>
      </c>
      <c r="AI12" s="25">
        <f t="shared" si="17"/>
        <v>10</v>
      </c>
      <c r="AJ12" t="str">
        <f t="shared" si="18"/>
        <v>SERVELAHA.017</v>
      </c>
      <c r="AK12" t="s">
        <v>134</v>
      </c>
      <c r="AL12" s="16">
        <f t="shared" si="19"/>
        <v>23</v>
      </c>
      <c r="AM12" s="25">
        <f t="shared" si="20"/>
        <v>14</v>
      </c>
      <c r="AN12" s="25">
        <f t="shared" si="21"/>
        <v>55</v>
      </c>
      <c r="AO12" s="17">
        <f t="shared" si="22"/>
        <v>0.16</v>
      </c>
      <c r="AP12" s="17">
        <v>0.2</v>
      </c>
    </row>
    <row r="13" spans="1:42" x14ac:dyDescent="0.3">
      <c r="A13" t="s">
        <v>194</v>
      </c>
      <c r="B13" t="s">
        <v>11</v>
      </c>
      <c r="C13" t="str">
        <f t="shared" si="3"/>
        <v>02 31 51 22 86</v>
      </c>
      <c r="D13" s="13">
        <v>14121</v>
      </c>
      <c r="E13" t="s">
        <v>29</v>
      </c>
      <c r="F13" t="str">
        <f t="shared" si="4"/>
        <v>L14121RA23</v>
      </c>
      <c r="G13" t="str">
        <f t="shared" si="0"/>
        <v>Les pépinières de CORMELLES LE ROYAL</v>
      </c>
      <c r="H13" t="s">
        <v>64</v>
      </c>
      <c r="I13" t="str">
        <f t="shared" si="5"/>
        <v>02 31 51 22 22</v>
      </c>
      <c r="J13" s="13">
        <v>14123</v>
      </c>
      <c r="K13" t="s">
        <v>31</v>
      </c>
      <c r="L13" s="27" t="str">
        <f t="shared" ca="1" si="6"/>
        <v>L202014121RA23</v>
      </c>
      <c r="M13" t="str">
        <f t="shared" si="7"/>
        <v>VEGGENBL.023</v>
      </c>
      <c r="N13" s="15" t="s">
        <v>90</v>
      </c>
      <c r="O13" s="16">
        <v>5.33</v>
      </c>
      <c r="P13" s="16">
        <f t="shared" si="8"/>
        <v>3</v>
      </c>
      <c r="Q13" t="str">
        <f t="shared" si="9"/>
        <v>VEGROSLE.016</v>
      </c>
      <c r="R13" t="s">
        <v>80</v>
      </c>
      <c r="S13" s="16">
        <v>12.95</v>
      </c>
      <c r="T13" s="16">
        <f t="shared" si="10"/>
        <v>16</v>
      </c>
      <c r="U13" t="str">
        <f t="shared" si="11"/>
        <v>VEGMURSA.020</v>
      </c>
      <c r="V13" s="15" t="s">
        <v>120</v>
      </c>
      <c r="W13" s="16">
        <v>5.33</v>
      </c>
      <c r="X13" s="16">
        <f t="shared" si="12"/>
        <v>4</v>
      </c>
      <c r="Y13" t="str">
        <f t="shared" si="13"/>
        <v>VEGARBPA.020</v>
      </c>
      <c r="Z13" s="15" t="s">
        <v>104</v>
      </c>
      <c r="AA13" s="16">
        <v>4.5</v>
      </c>
      <c r="AB13" s="16">
        <f t="shared" si="23"/>
        <v>13</v>
      </c>
      <c r="AC13" s="17">
        <f t="shared" si="2"/>
        <v>0.15</v>
      </c>
      <c r="AD13" s="17">
        <v>5.5E-2</v>
      </c>
      <c r="AE13" t="str">
        <f t="shared" si="14"/>
        <v>SERVSEMGA.018</v>
      </c>
      <c r="AF13" t="s">
        <v>144</v>
      </c>
      <c r="AG13" s="16">
        <f t="shared" si="15"/>
        <v>27</v>
      </c>
      <c r="AH13" s="25">
        <f t="shared" si="16"/>
        <v>14</v>
      </c>
      <c r="AI13" s="25">
        <f t="shared" si="17"/>
        <v>15</v>
      </c>
      <c r="AJ13" t="str">
        <f t="shared" si="18"/>
        <v>SERVPRÉSO.018</v>
      </c>
      <c r="AK13" t="s">
        <v>135</v>
      </c>
      <c r="AL13" s="16">
        <f t="shared" si="19"/>
        <v>22</v>
      </c>
      <c r="AM13" s="25">
        <f t="shared" si="20"/>
        <v>15</v>
      </c>
      <c r="AN13" s="25">
        <f t="shared" si="21"/>
        <v>10</v>
      </c>
      <c r="AO13" s="17">
        <f t="shared" si="22"/>
        <v>0.17</v>
      </c>
      <c r="AP13" s="17">
        <v>0.2</v>
      </c>
    </row>
    <row r="14" spans="1:42" x14ac:dyDescent="0.3">
      <c r="A14" t="s">
        <v>195</v>
      </c>
      <c r="B14" t="s">
        <v>12</v>
      </c>
      <c r="C14" t="str">
        <f t="shared" si="3"/>
        <v>02 31 51 23 85</v>
      </c>
      <c r="D14" s="13">
        <v>14121</v>
      </c>
      <c r="E14" t="s">
        <v>30</v>
      </c>
      <c r="F14" t="str">
        <f t="shared" si="4"/>
        <v>M14121SA24</v>
      </c>
      <c r="G14" t="str">
        <f t="shared" si="0"/>
        <v>Les pépinières de FLEURY SUR ORNE</v>
      </c>
      <c r="H14" t="s">
        <v>65</v>
      </c>
      <c r="I14" t="str">
        <f t="shared" si="5"/>
        <v>02 31 51 23 23</v>
      </c>
      <c r="J14" s="13">
        <v>14123</v>
      </c>
      <c r="K14" t="s">
        <v>32</v>
      </c>
      <c r="L14" s="27" t="str">
        <f t="shared" ca="1" si="6"/>
        <v>M202014121SA24</v>
      </c>
      <c r="M14" t="str">
        <f t="shared" si="7"/>
        <v>VEGAUBFL.025</v>
      </c>
      <c r="N14" t="s">
        <v>87</v>
      </c>
      <c r="O14" s="16">
        <v>24.99</v>
      </c>
      <c r="P14" s="16">
        <f t="shared" si="8"/>
        <v>4</v>
      </c>
      <c r="Q14" t="str">
        <f t="shared" si="9"/>
        <v>VEGROSNA.017</v>
      </c>
      <c r="R14" t="s">
        <v>78</v>
      </c>
      <c r="S14" s="63">
        <v>6.5</v>
      </c>
      <c r="T14" s="16">
        <f t="shared" ref="T14:T18" si="24">IF(ROW()&lt;15,ROW()+3,ROW()-12)</f>
        <v>17</v>
      </c>
      <c r="U14" t="str">
        <f t="shared" si="11"/>
        <v>VEGAMARO.021</v>
      </c>
      <c r="V14" s="15" t="s">
        <v>115</v>
      </c>
      <c r="W14" s="16">
        <v>17.97</v>
      </c>
      <c r="X14" s="16">
        <f t="shared" si="12"/>
        <v>7</v>
      </c>
      <c r="Y14" t="str">
        <f t="shared" si="13"/>
        <v>VEGTROCA.021</v>
      </c>
      <c r="Z14" s="15" t="s">
        <v>105</v>
      </c>
      <c r="AA14" s="16">
        <v>2.12</v>
      </c>
      <c r="AB14" s="16">
        <f t="shared" si="23"/>
        <v>6</v>
      </c>
      <c r="AC14" s="17">
        <f t="shared" si="2"/>
        <v>0.16</v>
      </c>
      <c r="AD14" s="17">
        <v>5.5E-2</v>
      </c>
      <c r="AE14" t="str">
        <f t="shared" si="14"/>
        <v>SERVPOSGR.019</v>
      </c>
      <c r="AF14" t="s">
        <v>145</v>
      </c>
      <c r="AG14" s="16">
        <f t="shared" si="15"/>
        <v>26</v>
      </c>
      <c r="AH14" s="25">
        <f t="shared" si="16"/>
        <v>15</v>
      </c>
      <c r="AI14" s="25">
        <f t="shared" si="17"/>
        <v>20</v>
      </c>
      <c r="AJ14" t="str">
        <f t="shared" si="18"/>
        <v>SERVTONPE.019</v>
      </c>
      <c r="AK14" t="s">
        <v>136</v>
      </c>
      <c r="AL14" s="16">
        <f t="shared" si="19"/>
        <v>21</v>
      </c>
      <c r="AM14" s="25">
        <f t="shared" si="20"/>
        <v>1</v>
      </c>
      <c r="AN14" s="25">
        <f t="shared" si="21"/>
        <v>15</v>
      </c>
      <c r="AO14" s="17">
        <f t="shared" si="22"/>
        <v>0.18</v>
      </c>
      <c r="AP14" s="17">
        <v>0.2</v>
      </c>
    </row>
    <row r="15" spans="1:42" x14ac:dyDescent="0.3">
      <c r="A15" t="s">
        <v>196</v>
      </c>
      <c r="B15" t="s">
        <v>13</v>
      </c>
      <c r="C15" t="str">
        <f t="shared" si="3"/>
        <v>02 31 51 24 84</v>
      </c>
      <c r="D15" s="13">
        <v>14123</v>
      </c>
      <c r="E15" t="s">
        <v>31</v>
      </c>
      <c r="F15" t="str">
        <f t="shared" si="4"/>
        <v>N14123CO25</v>
      </c>
      <c r="G15" t="str">
        <f t="shared" si="0"/>
        <v>Les pépinières de BLANGY LE CHATEAU</v>
      </c>
      <c r="H15" t="s">
        <v>66</v>
      </c>
      <c r="I15" t="str">
        <f t="shared" si="5"/>
        <v>02 31 51 24 24</v>
      </c>
      <c r="J15" s="13">
        <v>14130</v>
      </c>
      <c r="K15" t="s">
        <v>33</v>
      </c>
      <c r="L15" s="27" t="str">
        <f t="shared" ca="1" si="6"/>
        <v>N202014123CO25</v>
      </c>
      <c r="M15" t="str">
        <f t="shared" si="7"/>
        <v>VEGCHELI.027</v>
      </c>
      <c r="N15" s="15" t="s">
        <v>93</v>
      </c>
      <c r="O15" s="16">
        <v>5.4</v>
      </c>
      <c r="P15" s="16">
        <f t="shared" si="8"/>
        <v>5</v>
      </c>
      <c r="Q15" t="str">
        <f t="shared" si="9"/>
        <v>VEGROSPI.018</v>
      </c>
      <c r="R15" t="s">
        <v>81</v>
      </c>
      <c r="S15" s="16">
        <v>6.3</v>
      </c>
      <c r="T15" s="16">
        <f t="shared" si="24"/>
        <v>3</v>
      </c>
      <c r="U15" t="str">
        <f t="shared" si="11"/>
        <v>VEGABRPR.022</v>
      </c>
      <c r="V15" s="15" t="s">
        <v>116</v>
      </c>
      <c r="W15" s="16">
        <v>24.9</v>
      </c>
      <c r="X15" s="16">
        <f t="shared" si="12"/>
        <v>9</v>
      </c>
      <c r="Y15" t="str">
        <f t="shared" si="13"/>
        <v>VEGGREPR.022</v>
      </c>
      <c r="Z15" s="15" t="s">
        <v>106</v>
      </c>
      <c r="AA15" s="16">
        <v>5.4</v>
      </c>
      <c r="AB15" s="16">
        <f t="shared" si="23"/>
        <v>4</v>
      </c>
      <c r="AC15" s="17">
        <f>IF(ROW()&lt;15,(ROW()+2)/100,(ROW()-12)/100)</f>
        <v>0.03</v>
      </c>
      <c r="AD15" s="17">
        <v>5.5E-2</v>
      </c>
      <c r="AE15" t="str">
        <f t="shared" si="14"/>
        <v>SERVEVADÉ.020</v>
      </c>
      <c r="AF15" t="s">
        <v>146</v>
      </c>
      <c r="AG15" s="16">
        <f t="shared" si="15"/>
        <v>25</v>
      </c>
      <c r="AH15" s="25">
        <f t="shared" si="16"/>
        <v>3</v>
      </c>
      <c r="AI15" s="25">
        <f t="shared" si="17"/>
        <v>25</v>
      </c>
      <c r="AJ15" t="str">
        <f t="shared" si="18"/>
        <v>SERVSCAPE.020</v>
      </c>
      <c r="AK15" t="s">
        <v>137</v>
      </c>
      <c r="AL15" s="16">
        <f t="shared" si="19"/>
        <v>20</v>
      </c>
      <c r="AM15" s="25">
        <f t="shared" si="20"/>
        <v>2</v>
      </c>
      <c r="AN15" s="25">
        <f t="shared" si="21"/>
        <v>20</v>
      </c>
      <c r="AO15" s="17">
        <f t="shared" si="22"/>
        <v>0.08</v>
      </c>
      <c r="AP15" s="17">
        <v>0.2</v>
      </c>
    </row>
    <row r="16" spans="1:42" x14ac:dyDescent="0.3">
      <c r="A16" t="s">
        <v>197</v>
      </c>
      <c r="B16" t="s">
        <v>14</v>
      </c>
      <c r="C16" t="str">
        <f t="shared" si="3"/>
        <v>02 31 51 25 83</v>
      </c>
      <c r="D16" s="13">
        <v>14123</v>
      </c>
      <c r="E16" t="s">
        <v>32</v>
      </c>
      <c r="F16" t="str">
        <f t="shared" si="4"/>
        <v>O14123FL26</v>
      </c>
      <c r="G16" t="str">
        <f t="shared" si="0"/>
        <v>Les pépinières de PONT L EVEQUE</v>
      </c>
      <c r="H16" t="s">
        <v>67</v>
      </c>
      <c r="I16" t="str">
        <f t="shared" si="5"/>
        <v>02 31 51 25 25</v>
      </c>
      <c r="J16" s="13">
        <v>14130</v>
      </c>
      <c r="K16" t="s">
        <v>34</v>
      </c>
      <c r="L16" s="27" t="str">
        <f t="shared" ca="1" si="6"/>
        <v>O202014123FL26</v>
      </c>
      <c r="M16" t="str">
        <f t="shared" si="7"/>
        <v>VEGEPIEP.029</v>
      </c>
      <c r="N16" t="s">
        <v>95</v>
      </c>
      <c r="O16" s="63">
        <v>5.99</v>
      </c>
      <c r="P16" s="16">
        <f t="shared" si="8"/>
        <v>6</v>
      </c>
      <c r="Q16" t="str">
        <f t="shared" si="9"/>
        <v>VEGROSRO.019</v>
      </c>
      <c r="R16" t="s">
        <v>82</v>
      </c>
      <c r="S16" s="16">
        <v>29.95</v>
      </c>
      <c r="T16" s="16">
        <f t="shared" si="24"/>
        <v>4</v>
      </c>
      <c r="U16" t="str">
        <f t="shared" si="11"/>
        <v>VEGCHACO.023</v>
      </c>
      <c r="V16" s="15" t="s">
        <v>119</v>
      </c>
      <c r="W16" s="63">
        <v>13.99</v>
      </c>
      <c r="X16" s="16">
        <f t="shared" si="12"/>
        <v>10</v>
      </c>
      <c r="Y16" t="str">
        <f t="shared" si="13"/>
        <v>VEGNECCH.023</v>
      </c>
      <c r="Z16" s="15" t="s">
        <v>107</v>
      </c>
      <c r="AA16" s="16">
        <v>19.899999999999999</v>
      </c>
      <c r="AB16" s="16">
        <f t="shared" si="23"/>
        <v>6</v>
      </c>
      <c r="AC16" s="17">
        <f t="shared" ref="AC16:AC19" si="25">IF(ROW()&lt;15,(ROW()+2)/100,(ROW()-12)/100)</f>
        <v>0.04</v>
      </c>
      <c r="AD16" s="17">
        <v>5.5E-2</v>
      </c>
      <c r="AE16" t="str">
        <f t="shared" si="14"/>
        <v>SERVPOSCL.021</v>
      </c>
      <c r="AF16" t="s">
        <v>147</v>
      </c>
      <c r="AG16" s="16">
        <f t="shared" si="15"/>
        <v>24</v>
      </c>
      <c r="AH16" s="25">
        <f t="shared" si="16"/>
        <v>4</v>
      </c>
      <c r="AI16" s="25">
        <f t="shared" si="17"/>
        <v>30</v>
      </c>
      <c r="AJ16" t="str">
        <f t="shared" si="18"/>
        <v>SERVPLAAR.021</v>
      </c>
      <c r="AK16" t="s">
        <v>138</v>
      </c>
      <c r="AL16" s="16">
        <f t="shared" si="19"/>
        <v>19</v>
      </c>
      <c r="AM16" s="25">
        <f t="shared" si="20"/>
        <v>3</v>
      </c>
      <c r="AN16" s="25">
        <f t="shared" si="21"/>
        <v>25</v>
      </c>
      <c r="AO16" s="17">
        <f t="shared" si="22"/>
        <v>0.09</v>
      </c>
      <c r="AP16" s="17">
        <v>0.2</v>
      </c>
    </row>
    <row r="17" spans="1:42" x14ac:dyDescent="0.3">
      <c r="A17" t="s">
        <v>198</v>
      </c>
      <c r="B17" t="s">
        <v>15</v>
      </c>
      <c r="C17" t="str">
        <f t="shared" si="3"/>
        <v>02 31 51 26 82</v>
      </c>
      <c r="D17" s="13">
        <v>14130</v>
      </c>
      <c r="E17" t="s">
        <v>33</v>
      </c>
      <c r="F17" t="str">
        <f t="shared" si="4"/>
        <v>P14130BL27</v>
      </c>
      <c r="G17" t="str">
        <f t="shared" si="0"/>
        <v>Les pépinières de LIVAROT</v>
      </c>
      <c r="H17" t="s">
        <v>53</v>
      </c>
      <c r="I17" t="str">
        <f t="shared" si="5"/>
        <v>02 31 51 26 26</v>
      </c>
      <c r="J17" s="13">
        <v>14140</v>
      </c>
      <c r="K17" t="s">
        <v>35</v>
      </c>
      <c r="L17" s="27" t="str">
        <f t="shared" ca="1" si="6"/>
        <v>P202014130BL27</v>
      </c>
      <c r="M17" t="str">
        <f t="shared" si="7"/>
        <v>VEGPINMU.031</v>
      </c>
      <c r="N17" t="s">
        <v>89</v>
      </c>
      <c r="O17" s="63">
        <v>6.99</v>
      </c>
      <c r="P17" s="16">
        <f t="shared" si="8"/>
        <v>7</v>
      </c>
      <c r="Q17" t="str">
        <f t="shared" si="9"/>
        <v>VEGROSIC.020</v>
      </c>
      <c r="R17" t="s">
        <v>85</v>
      </c>
      <c r="S17" s="16">
        <v>12.95</v>
      </c>
      <c r="T17" s="16">
        <f t="shared" si="24"/>
        <v>5</v>
      </c>
      <c r="U17" t="str">
        <f t="shared" si="11"/>
        <v>VEGGOYBR.024</v>
      </c>
      <c r="V17" s="15" t="s">
        <v>108</v>
      </c>
      <c r="W17" s="16">
        <v>4.49</v>
      </c>
      <c r="X17" s="16">
        <f t="shared" si="12"/>
        <v>7</v>
      </c>
      <c r="Y17" t="str">
        <f t="shared" si="13"/>
        <v>VEGNOYFR.024</v>
      </c>
      <c r="Z17" s="15" t="s">
        <v>128</v>
      </c>
      <c r="AA17" s="16">
        <v>25.9</v>
      </c>
      <c r="AB17" s="16">
        <f t="shared" si="23"/>
        <v>6</v>
      </c>
      <c r="AC17" s="17">
        <f t="shared" si="25"/>
        <v>0.05</v>
      </c>
      <c r="AD17" s="17">
        <v>5.5E-2</v>
      </c>
      <c r="AE17" t="str">
        <f t="shared" si="14"/>
        <v>SERVPOSPA.022</v>
      </c>
      <c r="AF17" t="s">
        <v>148</v>
      </c>
      <c r="AG17" s="16">
        <f t="shared" si="15"/>
        <v>23</v>
      </c>
      <c r="AH17" s="25">
        <f t="shared" si="16"/>
        <v>5</v>
      </c>
      <c r="AI17" s="25">
        <f t="shared" si="17"/>
        <v>35</v>
      </c>
      <c r="AJ17" t="str">
        <f t="shared" si="18"/>
        <v>SERVDESAR.022</v>
      </c>
      <c r="AK17" t="s">
        <v>139</v>
      </c>
      <c r="AL17" s="16">
        <f t="shared" si="19"/>
        <v>18</v>
      </c>
      <c r="AM17" s="25">
        <f t="shared" si="20"/>
        <v>4</v>
      </c>
      <c r="AN17" s="25">
        <f t="shared" si="21"/>
        <v>30</v>
      </c>
      <c r="AO17" s="17">
        <f t="shared" si="22"/>
        <v>0.1</v>
      </c>
      <c r="AP17" s="17">
        <v>0.2</v>
      </c>
    </row>
    <row r="18" spans="1:42" x14ac:dyDescent="0.3">
      <c r="A18" t="s">
        <v>199</v>
      </c>
      <c r="B18" t="s">
        <v>16</v>
      </c>
      <c r="C18" t="str">
        <f t="shared" si="3"/>
        <v>02 31 51 27 81</v>
      </c>
      <c r="D18" s="13">
        <v>14130</v>
      </c>
      <c r="E18" t="s">
        <v>34</v>
      </c>
      <c r="F18" t="str">
        <f t="shared" si="4"/>
        <v>Q14130PO28</v>
      </c>
      <c r="G18" t="str">
        <f t="shared" si="0"/>
        <v>Les pépinières de CAEN</v>
      </c>
      <c r="H18" t="s">
        <v>68</v>
      </c>
      <c r="I18" t="str">
        <f t="shared" si="5"/>
        <v>02 31 51 27 27</v>
      </c>
      <c r="J18" s="13">
        <v>14000</v>
      </c>
      <c r="K18" t="s">
        <v>18</v>
      </c>
      <c r="L18" s="27" t="str">
        <f t="shared" ca="1" si="6"/>
        <v>Q202014130PO28</v>
      </c>
      <c r="M18" t="str">
        <f t="shared" si="7"/>
        <v>VEGOSMPA.033</v>
      </c>
      <c r="N18" s="15" t="s">
        <v>88</v>
      </c>
      <c r="O18" s="16">
        <v>4.54</v>
      </c>
      <c r="P18" s="16">
        <f t="shared" si="8"/>
        <v>8</v>
      </c>
      <c r="Q18" t="str">
        <f t="shared" si="9"/>
        <v>VEGROSRO.021</v>
      </c>
      <c r="R18" t="s">
        <v>83</v>
      </c>
      <c r="S18" s="63">
        <v>15.99</v>
      </c>
      <c r="T18" s="16">
        <f t="shared" si="24"/>
        <v>6</v>
      </c>
      <c r="U18" t="str">
        <f t="shared" si="11"/>
        <v>VEGCERNA.025</v>
      </c>
      <c r="V18" s="15" t="s">
        <v>117</v>
      </c>
      <c r="W18" s="16">
        <v>15.9</v>
      </c>
      <c r="X18" s="16">
        <f t="shared" si="12"/>
        <v>2</v>
      </c>
      <c r="Y18" t="str">
        <f t="shared" si="13"/>
        <v>VEGPOMRE.025</v>
      </c>
      <c r="Z18" s="15" t="s">
        <v>111</v>
      </c>
      <c r="AA18" s="16">
        <v>10.99</v>
      </c>
      <c r="AB18" s="16">
        <f t="shared" si="23"/>
        <v>4</v>
      </c>
      <c r="AC18" s="17">
        <f t="shared" si="25"/>
        <v>0.06</v>
      </c>
      <c r="AD18" s="17">
        <v>5.5E-2</v>
      </c>
      <c r="AE18" t="str">
        <f t="shared" si="14"/>
        <v>SERVLABMO.023</v>
      </c>
      <c r="AF18" t="s">
        <v>149</v>
      </c>
      <c r="AG18" s="16">
        <f t="shared" si="15"/>
        <v>22</v>
      </c>
      <c r="AH18" s="25">
        <f t="shared" si="16"/>
        <v>6</v>
      </c>
      <c r="AI18" s="25">
        <f t="shared" si="17"/>
        <v>40</v>
      </c>
      <c r="AJ18" t="str">
        <f t="shared" si="18"/>
        <v>SERVTRAPH.023</v>
      </c>
      <c r="AK18" t="s">
        <v>140</v>
      </c>
      <c r="AL18" s="16">
        <f t="shared" si="19"/>
        <v>17</v>
      </c>
      <c r="AM18" s="25">
        <f t="shared" si="20"/>
        <v>5</v>
      </c>
      <c r="AN18" s="25">
        <f t="shared" si="21"/>
        <v>35</v>
      </c>
      <c r="AO18" s="17">
        <f t="shared" si="22"/>
        <v>0.11</v>
      </c>
      <c r="AP18" s="17">
        <v>0.2</v>
      </c>
    </row>
    <row r="19" spans="1:42" x14ac:dyDescent="0.3">
      <c r="A19" t="s">
        <v>200</v>
      </c>
      <c r="B19" t="s">
        <v>17</v>
      </c>
      <c r="C19" t="str">
        <f t="shared" si="3"/>
        <v>02 31 51 28 80</v>
      </c>
      <c r="D19" s="13">
        <v>14140</v>
      </c>
      <c r="E19" t="s">
        <v>35</v>
      </c>
      <c r="F19" t="str">
        <f t="shared" si="4"/>
        <v>R14140LI29</v>
      </c>
      <c r="G19" t="str">
        <f t="shared" si="0"/>
        <v>Les pépinières de LISIEUX</v>
      </c>
      <c r="H19" t="s">
        <v>54</v>
      </c>
      <c r="I19" t="str">
        <f t="shared" si="5"/>
        <v>02 31 51 28 28</v>
      </c>
      <c r="J19" s="13">
        <v>14100</v>
      </c>
      <c r="K19" t="s">
        <v>19</v>
      </c>
      <c r="L19" s="27" t="str">
        <f t="shared" ca="1" si="6"/>
        <v>R202014140LI29</v>
      </c>
      <c r="M19" t="str">
        <f t="shared" si="7"/>
        <v>VEGFUSRU.035</v>
      </c>
      <c r="N19" s="15" t="s">
        <v>91</v>
      </c>
      <c r="O19" s="16">
        <v>3.58</v>
      </c>
      <c r="P19" s="16">
        <f t="shared" si="8"/>
        <v>9</v>
      </c>
      <c r="Q19" t="str">
        <f t="shared" si="9"/>
        <v>VEGROSGR.022</v>
      </c>
      <c r="R19" t="s">
        <v>84</v>
      </c>
      <c r="S19" s="63">
        <v>4.99</v>
      </c>
      <c r="T19" s="16">
        <f>IF(ROW()&lt;15,ROW()+3,ROW()-12)</f>
        <v>7</v>
      </c>
      <c r="U19" t="str">
        <f t="shared" si="11"/>
        <v>VEGKIWSI.026</v>
      </c>
      <c r="V19" s="15" t="s">
        <v>109</v>
      </c>
      <c r="W19" s="16">
        <v>8.1</v>
      </c>
      <c r="X19" s="16">
        <f t="shared" si="12"/>
        <v>12</v>
      </c>
      <c r="Y19" t="str">
        <f t="shared" si="13"/>
        <v>VEGCERBI.026</v>
      </c>
      <c r="Z19" s="15" t="s">
        <v>112</v>
      </c>
      <c r="AA19" s="16">
        <v>10.99</v>
      </c>
      <c r="AB19" s="16">
        <f t="shared" si="23"/>
        <v>2</v>
      </c>
      <c r="AC19" s="17">
        <f t="shared" si="25"/>
        <v>7.0000000000000007E-2</v>
      </c>
      <c r="AD19" s="17">
        <v>5.5E-2</v>
      </c>
      <c r="AE19" t="str">
        <f t="shared" si="14"/>
        <v>SERVPOSAR.024</v>
      </c>
      <c r="AF19" t="s">
        <v>150</v>
      </c>
      <c r="AG19" s="16">
        <f t="shared" si="15"/>
        <v>21</v>
      </c>
      <c r="AH19" s="25">
        <f t="shared" si="16"/>
        <v>7</v>
      </c>
      <c r="AI19" s="25">
        <f t="shared" si="17"/>
        <v>45</v>
      </c>
      <c r="AJ19" t="str">
        <f t="shared" si="18"/>
        <v>SERVAMESO.024</v>
      </c>
      <c r="AK19" t="s">
        <v>141</v>
      </c>
      <c r="AL19" s="16">
        <f t="shared" si="19"/>
        <v>16</v>
      </c>
      <c r="AM19" s="25">
        <f t="shared" si="20"/>
        <v>6</v>
      </c>
      <c r="AN19" s="25">
        <f t="shared" si="21"/>
        <v>40</v>
      </c>
      <c r="AO19" s="17">
        <f t="shared" si="22"/>
        <v>0.12</v>
      </c>
      <c r="AP19" s="17">
        <v>0.2</v>
      </c>
    </row>
    <row r="22" spans="1:42" x14ac:dyDescent="0.3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</row>
    <row r="24" spans="1:42" x14ac:dyDescent="0.3">
      <c r="AA24" s="22"/>
    </row>
    <row r="27" spans="1:42" x14ac:dyDescent="0.3">
      <c r="AC27" s="23"/>
      <c r="AD27" s="16"/>
    </row>
    <row r="28" spans="1:42" x14ac:dyDescent="0.3">
      <c r="AC28" s="23"/>
      <c r="AD28" s="16"/>
    </row>
    <row r="29" spans="1:42" x14ac:dyDescent="0.3">
      <c r="AC29" s="24"/>
      <c r="AD29" s="16"/>
    </row>
    <row r="30" spans="1:42" x14ac:dyDescent="0.3">
      <c r="AC30" s="23"/>
      <c r="AD30" s="16"/>
    </row>
    <row r="31" spans="1:42" x14ac:dyDescent="0.3">
      <c r="A31" s="12"/>
      <c r="AC31" s="23"/>
      <c r="AD31" s="16"/>
    </row>
    <row r="32" spans="1:42" x14ac:dyDescent="0.3">
      <c r="A32" s="12"/>
      <c r="AC32" s="23"/>
    </row>
    <row r="33" spans="1:1" x14ac:dyDescent="0.3">
      <c r="A33" s="12"/>
    </row>
    <row r="34" spans="1:1" x14ac:dyDescent="0.3">
      <c r="A34" s="12"/>
    </row>
    <row r="35" spans="1:1" x14ac:dyDescent="0.3">
      <c r="A35" s="12"/>
    </row>
    <row r="36" spans="1:1" x14ac:dyDescent="0.3">
      <c r="A36" s="12"/>
    </row>
    <row r="37" spans="1:1" x14ac:dyDescent="0.3">
      <c r="A37" s="12"/>
    </row>
    <row r="38" spans="1:1" x14ac:dyDescent="0.3">
      <c r="A38" s="12"/>
    </row>
    <row r="39" spans="1:1" x14ac:dyDescent="0.3">
      <c r="A39" s="12"/>
    </row>
    <row r="40" spans="1:1" x14ac:dyDescent="0.3">
      <c r="A40" s="12"/>
    </row>
    <row r="41" spans="1:1" x14ac:dyDescent="0.3">
      <c r="A41" s="12"/>
    </row>
    <row r="42" spans="1:1" x14ac:dyDescent="0.3">
      <c r="A42" s="12"/>
    </row>
    <row r="43" spans="1:1" x14ac:dyDescent="0.3">
      <c r="A43" s="12"/>
    </row>
    <row r="44" spans="1:1" x14ac:dyDescent="0.3">
      <c r="A44" s="12"/>
    </row>
    <row r="45" spans="1:1" x14ac:dyDescent="0.3">
      <c r="A45" s="12"/>
    </row>
    <row r="46" spans="1:1" x14ac:dyDescent="0.3">
      <c r="A46" s="12"/>
    </row>
    <row r="47" spans="1:1" x14ac:dyDescent="0.3">
      <c r="A47" s="12"/>
    </row>
    <row r="48" spans="1:1" x14ac:dyDescent="0.3">
      <c r="A48" s="12"/>
    </row>
  </sheetData>
  <autoFilter ref="A1:AP19" xr:uid="{00000000-0009-0000-0000-000003000000}"/>
  <phoneticPr fontId="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Elève</vt:lpstr>
      <vt:lpstr>Prof</vt:lpstr>
      <vt:lpstr>Base</vt:lpstr>
      <vt:lpstr>Feuil3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demer</dc:creator>
  <cp:lastModifiedBy>chris demer</cp:lastModifiedBy>
  <cp:lastPrinted>2018-11-15T07:28:56Z</cp:lastPrinted>
  <dcterms:created xsi:type="dcterms:W3CDTF">2017-10-26T15:44:21Z</dcterms:created>
  <dcterms:modified xsi:type="dcterms:W3CDTF">2020-04-07T14:32:33Z</dcterms:modified>
</cp:coreProperties>
</file>