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ink/ink1.xml" ContentType="application/inkml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F:\Baggio\produit en croix\"/>
    </mc:Choice>
  </mc:AlternateContent>
  <xr:revisionPtr revIDLastSave="0" documentId="13_ncr:1_{AE67FB75-AD4E-4F67-8A57-BA7EF302375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étail du travail" sheetId="3" r:id="rId1"/>
    <sheet name="produits en croix" sheetId="5" r:id="rId2"/>
    <sheet name="commande papier" sheetId="9" r:id="rId3"/>
    <sheet name="Recherche de format" sheetId="11" r:id="rId4"/>
    <sheet name="Listes" sheetId="7" r:id="rId5"/>
    <sheet name="images" sheetId="6" r:id="rId6"/>
  </sheets>
  <definedNames>
    <definedName name="Choix">'Détail du travail'!$C$2,'Détail du travail'!$C$4,'Détail du travail'!$C$5,'Détail du travail'!$C$6,'Détail du travail'!$E$2,'Détail du travail'!$C$8,'Détail du travail'!$C$10,'Détail du travail'!$C$12,'Détail du travail'!$C$13,'Détail du travail'!$C$15,'Détail du travail'!$C$16,'Détail du travail'!$C$18,'Détail du travail'!$C$19,'Détail du travail'!$C$21,'Détail du travail'!$C$22,'Détail du travail'!$E$19,'Détail du travail'!$E$18,'Détail du travail'!$E$16,'Détail du travail'!$E$15,'Détail du travail'!$K$3,'Détail du travail'!$K$4,'Détail du travail'!$M$3,'Détail du travail'!$K$7,'Détail du travail'!$K$8,'Détail du travail'!$M$7</definedName>
    <definedName name="format">OFFSET(images!$B$5:$I$5,1,'Détail du travail'!#REF!,1,1)</definedName>
    <definedName name="ftdimpression">Listes!$C$1</definedName>
    <definedName name="hauteur">OFFSET(images!$A$2:$O$3,0,'produits en croix'!$C$22,1,1)</definedName>
    <definedName name="Inthauteur">OFFSET(images!$A$2:$O$3,0,'produits en croix'!$U$22,1,1)</definedName>
    <definedName name="Intlargeur">OFFSET(images!$A$3:$O$3,0,'produits en croix'!$W$22,1,1)</definedName>
    <definedName name="largeur">OFFSET(images!$A$3:$O$3,0,'produits en croix'!$E$22,1,1)</definedName>
    <definedName name="Pli">OFFSET(images!$A$9,0,'Détail du travail'!$C$7,1,1)</definedName>
    <definedName name="Selection_pose">OFFSET(images!$B$5:$I$5,1,'Détail du travail'!$W$5,1,1)</definedName>
    <definedName name="ta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9" i="5" l="1"/>
  <c r="Q108" i="3" l="1"/>
  <c r="M17" i="5" l="1"/>
  <c r="M9" i="5" l="1"/>
  <c r="C35" i="3" l="1"/>
  <c r="E27" i="9"/>
  <c r="C5" i="9"/>
  <c r="U7" i="11" l="1"/>
  <c r="O12" i="11"/>
  <c r="U12" i="11" l="1"/>
  <c r="U13" i="11"/>
  <c r="O13" i="11"/>
  <c r="O7" i="11"/>
  <c r="O6" i="11"/>
  <c r="AA7" i="11"/>
  <c r="AA13" i="11"/>
  <c r="AA19" i="11"/>
  <c r="I12" i="11"/>
  <c r="I13" i="11"/>
  <c r="I7" i="11"/>
  <c r="C7" i="11"/>
  <c r="U6" i="11"/>
  <c r="AA18" i="11"/>
  <c r="AA12" i="11"/>
  <c r="AA6" i="11"/>
  <c r="I6" i="11"/>
  <c r="C6" i="11"/>
  <c r="D3" i="11"/>
  <c r="AB9" i="11" s="1"/>
  <c r="F5" i="11"/>
  <c r="AD5" i="11" s="1"/>
  <c r="B6" i="11"/>
  <c r="T6" i="11" s="1"/>
  <c r="H12" i="11" l="1"/>
  <c r="R5" i="11"/>
  <c r="AB3" i="11"/>
  <c r="Z18" i="11"/>
  <c r="X5" i="11"/>
  <c r="H6" i="11"/>
  <c r="T12" i="11" s="1"/>
  <c r="L11" i="11"/>
  <c r="P3" i="11"/>
  <c r="Z12" i="11"/>
  <c r="AD17" i="11"/>
  <c r="V3" i="11"/>
  <c r="L5" i="11"/>
  <c r="R11" i="11" s="1"/>
  <c r="J9" i="11"/>
  <c r="Z6" i="11"/>
  <c r="AD11" i="11"/>
  <c r="AB15" i="11"/>
  <c r="J3" i="11"/>
  <c r="V9" i="11" s="1"/>
  <c r="N6" i="11"/>
  <c r="P9" i="11"/>
  <c r="N12" i="11"/>
  <c r="F2" i="3"/>
  <c r="W1" i="3" s="1"/>
  <c r="M2" i="3"/>
  <c r="Q1" i="3"/>
  <c r="Q32" i="3" s="1"/>
  <c r="Q33" i="3" s="1"/>
  <c r="C3" i="3"/>
  <c r="E3" i="3"/>
  <c r="M3" i="3"/>
  <c r="W2" i="3"/>
  <c r="S3" i="3"/>
  <c r="W3" i="3"/>
  <c r="W4" i="3"/>
  <c r="M6" i="3"/>
  <c r="Q5" i="3"/>
  <c r="Q6" i="3" s="1"/>
  <c r="C7" i="3"/>
  <c r="M7" i="3"/>
  <c r="C9" i="3"/>
  <c r="T9" i="3" s="1"/>
  <c r="R9" i="3"/>
  <c r="N12" i="3"/>
  <c r="Q10" i="3"/>
  <c r="N13" i="3"/>
  <c r="Q11" i="3"/>
  <c r="Q14" i="3"/>
  <c r="Q15" i="3"/>
  <c r="N18" i="3"/>
  <c r="Q18" i="3"/>
  <c r="Q19" i="3"/>
  <c r="S24" i="3"/>
  <c r="Q28" i="3"/>
  <c r="Q29" i="3"/>
  <c r="Q30" i="3" s="1"/>
  <c r="T30" i="3" s="1"/>
  <c r="C36" i="3"/>
  <c r="C37" i="3" s="1"/>
  <c r="S36" i="3"/>
  <c r="Q40" i="3"/>
  <c r="Q42" i="3" s="1"/>
  <c r="W40" i="3"/>
  <c r="W42" i="3" s="1"/>
  <c r="W47" i="3"/>
  <c r="Z47" i="3" s="1"/>
  <c r="S69" i="3"/>
  <c r="Q70" i="3"/>
  <c r="T70" i="3" s="1"/>
  <c r="W76" i="3"/>
  <c r="W77" i="3" s="1"/>
  <c r="W79" i="3"/>
  <c r="Q83" i="3"/>
  <c r="Q84" i="3"/>
  <c r="S84" i="3"/>
  <c r="Q94" i="3"/>
  <c r="Q95" i="3" s="1"/>
  <c r="Q97" i="3"/>
  <c r="Q101" i="3"/>
  <c r="Q105" i="3"/>
  <c r="Q106" i="3" s="1"/>
  <c r="S108" i="3"/>
  <c r="Q112" i="3"/>
  <c r="Q113" i="3" s="1"/>
  <c r="S115" i="3"/>
  <c r="Q119" i="3"/>
  <c r="Q120" i="3"/>
  <c r="S119" i="3" s="1"/>
  <c r="E36" i="3" s="1"/>
  <c r="Q2" i="3" l="1"/>
  <c r="Q36" i="3"/>
  <c r="Q37" i="3" s="1"/>
  <c r="Q7" i="3"/>
  <c r="Q3" i="3"/>
  <c r="X11" i="11"/>
  <c r="W66" i="3"/>
  <c r="W5" i="3"/>
  <c r="Q85" i="3"/>
  <c r="T85" i="3" s="1"/>
  <c r="F35" i="3"/>
  <c r="F36" i="3" s="1"/>
  <c r="W62" i="3"/>
  <c r="Q54" i="3"/>
  <c r="Q62" i="3"/>
  <c r="Y77" i="3"/>
  <c r="W78" i="3" s="1"/>
  <c r="Q77" i="3"/>
  <c r="W46" i="3"/>
  <c r="W69" i="3"/>
  <c r="Z69" i="3" s="1"/>
  <c r="W64" i="3"/>
  <c r="W65" i="3" s="1"/>
  <c r="Z65" i="3" s="1"/>
  <c r="Q52" i="3"/>
  <c r="W44" i="3"/>
  <c r="W57" i="3" s="1"/>
  <c r="Z57" i="3" s="1"/>
  <c r="W56" i="3"/>
  <c r="Q75" i="3"/>
  <c r="Q76" i="3" s="1"/>
  <c r="T76" i="3" s="1"/>
  <c r="Q73" i="3"/>
  <c r="Q64" i="3"/>
  <c r="W59" i="3"/>
  <c r="Z59" i="3" s="1"/>
  <c r="S19" i="3"/>
  <c r="S18" i="3"/>
  <c r="Q114" i="3"/>
  <c r="Q66" i="3"/>
  <c r="Q56" i="3"/>
  <c r="Q121" i="3"/>
  <c r="T121" i="3" s="1"/>
  <c r="Q99" i="3"/>
  <c r="Q80" i="3"/>
  <c r="T80" i="3" s="1"/>
  <c r="W54" i="3"/>
  <c r="W55" i="3" s="1"/>
  <c r="Z55" i="3" s="1"/>
  <c r="W52" i="3"/>
  <c r="Q46" i="3"/>
  <c r="Q44" i="3"/>
  <c r="T114" i="3" l="1"/>
  <c r="Z78" i="3"/>
  <c r="V11" i="5"/>
  <c r="D11" i="5"/>
  <c r="E33" i="9" l="1"/>
  <c r="L6" i="5" l="1"/>
  <c r="N14" i="9" l="1"/>
  <c r="N11" i="9"/>
  <c r="L5" i="9"/>
  <c r="N70" i="9" l="1"/>
  <c r="N18" i="9" l="1"/>
  <c r="E11" i="9"/>
  <c r="D10" i="5" l="1"/>
  <c r="G17" i="5" s="1"/>
  <c r="E5" i="9" l="1"/>
  <c r="G5" i="9" s="1"/>
  <c r="G6" i="9" s="1"/>
  <c r="N5" i="9" l="1"/>
  <c r="P5" i="9" s="1"/>
  <c r="P6" i="9" s="1"/>
  <c r="L8" i="9" s="1"/>
  <c r="N8" i="9" l="1"/>
  <c r="P8" i="9" s="1"/>
  <c r="E8" i="9"/>
  <c r="G8" i="9" s="1"/>
  <c r="V9" i="5"/>
  <c r="V10" i="5"/>
  <c r="U5" i="5" s="1"/>
  <c r="X10" i="5"/>
  <c r="U6" i="5" s="1"/>
  <c r="C11" i="9" l="1"/>
  <c r="G11" i="9" s="1"/>
  <c r="G12" i="9" s="1"/>
  <c r="Q115" i="3"/>
  <c r="Q116" i="3" s="1"/>
  <c r="L11" i="9"/>
  <c r="P11" i="9" s="1"/>
  <c r="L14" i="9" s="1"/>
  <c r="L18" i="9"/>
  <c r="P18" i="9" s="1"/>
  <c r="L21" i="9" s="1"/>
  <c r="Y10" i="5"/>
  <c r="C14" i="9" l="1"/>
  <c r="T116" i="3"/>
  <c r="Q117" i="3"/>
  <c r="T117" i="3" s="1"/>
  <c r="P19" i="9"/>
  <c r="P12" i="9"/>
  <c r="X8" i="5"/>
  <c r="W4" i="5"/>
  <c r="E5" i="11" s="1"/>
  <c r="E4" i="5"/>
  <c r="D9" i="5"/>
  <c r="F10" i="5"/>
  <c r="Y17" i="5"/>
  <c r="V13" i="5"/>
  <c r="AC17" i="11" l="1"/>
  <c r="K11" i="11"/>
  <c r="W5" i="11"/>
  <c r="AC5" i="11"/>
  <c r="K5" i="11"/>
  <c r="AC11" i="11"/>
  <c r="Q5" i="11"/>
  <c r="E7" i="11"/>
  <c r="E6" i="11"/>
  <c r="D13" i="5"/>
  <c r="C5" i="5"/>
  <c r="W5" i="5"/>
  <c r="W6" i="5"/>
  <c r="C6" i="5"/>
  <c r="G10" i="5"/>
  <c r="F8" i="5"/>
  <c r="Q7" i="11" l="1"/>
  <c r="Q6" i="11"/>
  <c r="AC7" i="11"/>
  <c r="AC6" i="11"/>
  <c r="W7" i="11"/>
  <c r="W6" i="11"/>
  <c r="AC12" i="11"/>
  <c r="AC13" i="11"/>
  <c r="K13" i="11"/>
  <c r="K12" i="11"/>
  <c r="Q11" i="11"/>
  <c r="K6" i="11"/>
  <c r="K7" i="11"/>
  <c r="W11" i="11"/>
  <c r="AC19" i="11"/>
  <c r="AC18" i="11"/>
  <c r="E6" i="5"/>
  <c r="E5" i="5"/>
  <c r="V8" i="5"/>
  <c r="Q13" i="11" l="1"/>
  <c r="Q12" i="11"/>
  <c r="W13" i="11"/>
  <c r="W12" i="11"/>
  <c r="V4" i="5"/>
  <c r="D5" i="11" s="1"/>
  <c r="D4" i="5"/>
  <c r="AB17" i="11" l="1"/>
  <c r="J11" i="11"/>
  <c r="P5" i="11"/>
  <c r="AB11" i="11"/>
  <c r="J5" i="11"/>
  <c r="V5" i="11"/>
  <c r="AB5" i="11"/>
  <c r="D7" i="11"/>
  <c r="F6" i="11" s="1"/>
  <c r="D6" i="11"/>
  <c r="F7" i="11" s="1"/>
  <c r="D5" i="5"/>
  <c r="F6" i="5" s="1"/>
  <c r="G6" i="5" s="1"/>
  <c r="D6" i="5"/>
  <c r="F5" i="5" s="1"/>
  <c r="G5" i="5" s="1"/>
  <c r="V5" i="5"/>
  <c r="X6" i="5" s="1"/>
  <c r="Y6" i="5" s="1"/>
  <c r="V6" i="5"/>
  <c r="X5" i="5" s="1"/>
  <c r="AB7" i="11" l="1"/>
  <c r="AD6" i="11" s="1"/>
  <c r="AB6" i="11"/>
  <c r="AD7" i="11" s="1"/>
  <c r="P6" i="11"/>
  <c r="R7" i="11" s="1"/>
  <c r="P7" i="11"/>
  <c r="R6" i="11" s="1"/>
  <c r="V7" i="11"/>
  <c r="X6" i="11" s="1"/>
  <c r="V6" i="11"/>
  <c r="X7" i="11" s="1"/>
  <c r="J13" i="11"/>
  <c r="L12" i="11" s="1"/>
  <c r="J12" i="11"/>
  <c r="L13" i="11" s="1"/>
  <c r="AB13" i="11"/>
  <c r="AD12" i="11" s="1"/>
  <c r="AB12" i="11"/>
  <c r="AD13" i="11" s="1"/>
  <c r="V11" i="11"/>
  <c r="P11" i="11"/>
  <c r="J6" i="11"/>
  <c r="L7" i="11" s="1"/>
  <c r="J7" i="11"/>
  <c r="L6" i="11" s="1"/>
  <c r="AB18" i="11"/>
  <c r="AD19" i="11" s="1"/>
  <c r="AB19" i="11"/>
  <c r="AD18" i="11" s="1"/>
  <c r="W22" i="5"/>
  <c r="E22" i="5"/>
  <c r="Z6" i="5"/>
  <c r="U22" i="5"/>
  <c r="Y5" i="5"/>
  <c r="C22" i="5"/>
  <c r="H6" i="5"/>
  <c r="Q86" i="3" s="1"/>
  <c r="M18" i="5" l="1"/>
  <c r="M10" i="5"/>
  <c r="K14" i="3"/>
  <c r="V12" i="11"/>
  <c r="X13" i="11" s="1"/>
  <c r="V13" i="11"/>
  <c r="X12" i="11" s="1"/>
  <c r="P12" i="11"/>
  <c r="R13" i="11" s="1"/>
  <c r="P13" i="11"/>
  <c r="R12" i="11" s="1"/>
  <c r="Q88" i="3"/>
  <c r="J19" i="3"/>
  <c r="S99" i="3" a="1"/>
  <c r="S99" i="3" s="1"/>
  <c r="Q100" i="3" s="1"/>
  <c r="T100" i="3" s="1"/>
  <c r="F24" i="5"/>
  <c r="M12" i="3" s="1"/>
  <c r="L5" i="5"/>
  <c r="O18" i="5" l="1"/>
  <c r="M19" i="5" s="1"/>
  <c r="L7" i="5"/>
  <c r="K12" i="3" s="1"/>
  <c r="R19" i="5" l="1"/>
  <c r="K18" i="3"/>
  <c r="T10" i="3"/>
  <c r="S95" i="3" s="1"/>
  <c r="Q96" i="3" s="1"/>
  <c r="T96" i="3" s="1"/>
  <c r="S42" i="3"/>
  <c r="Q43" i="3" l="1"/>
  <c r="T43" i="3" s="1"/>
  <c r="S44" i="3"/>
  <c r="Q45" i="3" s="1"/>
  <c r="T45" i="3" s="1"/>
  <c r="S48" i="3"/>
  <c r="Q49" i="3" s="1"/>
  <c r="T49" i="3" s="1"/>
  <c r="E14" i="9"/>
  <c r="G14" i="9" s="1"/>
  <c r="G15" i="9" l="1"/>
  <c r="S97" i="3" s="1"/>
  <c r="Q98" i="3" s="1"/>
  <c r="T98" i="3" s="1"/>
  <c r="C18" i="9"/>
  <c r="E18" i="9" l="1"/>
  <c r="G18" i="9" s="1"/>
  <c r="G19" i="9" s="1"/>
  <c r="C21" i="9" s="1"/>
  <c r="E21" i="9"/>
  <c r="G21" i="9" l="1"/>
  <c r="C24" i="9" s="1"/>
  <c r="L4" i="5"/>
  <c r="G22" i="9" l="1"/>
  <c r="E24" i="9"/>
  <c r="G24" i="9" s="1"/>
  <c r="G25" i="9" s="1"/>
  <c r="C27" i="9" s="1"/>
  <c r="G27" i="9" s="1"/>
  <c r="G28" i="9" s="1"/>
  <c r="O10" i="5"/>
  <c r="N28" i="9" s="1"/>
  <c r="K13" i="3" l="1"/>
  <c r="N36" i="9" s="1"/>
  <c r="S86" i="3"/>
  <c r="G29" i="9"/>
  <c r="H32" i="9" s="1"/>
  <c r="S46" i="3" s="1"/>
  <c r="Q47" i="3" s="1"/>
  <c r="C33" i="9"/>
  <c r="G33" i="9" s="1"/>
  <c r="G34" i="9" s="1"/>
  <c r="H31" i="9"/>
  <c r="C28" i="3" s="1"/>
  <c r="E28" i="3" s="1"/>
  <c r="F28" i="3" s="1"/>
  <c r="C31" i="3" s="1"/>
  <c r="Y44" i="3"/>
  <c r="W45" i="3" s="1"/>
  <c r="Z45" i="3" s="1"/>
  <c r="Y42" i="3"/>
  <c r="M11" i="5"/>
  <c r="N34" i="9"/>
  <c r="Q87" i="3" l="1"/>
  <c r="T87" i="3" s="1"/>
  <c r="N25" i="9"/>
  <c r="N31" i="9" s="1"/>
  <c r="T47" i="3"/>
  <c r="Q50" i="3"/>
  <c r="W43" i="3"/>
  <c r="Y48" i="3"/>
  <c r="W49" i="3" s="1"/>
  <c r="Z49" i="3" s="1"/>
  <c r="S52" i="3"/>
  <c r="M12" i="5"/>
  <c r="T50" i="3" l="1"/>
  <c r="Q59" i="3"/>
  <c r="T59" i="3" s="1"/>
  <c r="Z43" i="3"/>
  <c r="W50" i="3"/>
  <c r="Z50" i="3" s="1"/>
  <c r="S54" i="3"/>
  <c r="Q55" i="3" s="1"/>
  <c r="T55" i="3" s="1"/>
  <c r="Q53" i="3"/>
  <c r="S58" i="3"/>
  <c r="Q13" i="5"/>
  <c r="M13" i="5" l="1"/>
  <c r="T53" i="3"/>
  <c r="O15" i="5"/>
  <c r="P14" i="9"/>
  <c r="P15" i="9" s="1"/>
  <c r="Q109" i="3" s="1"/>
  <c r="O13" i="5" l="1"/>
  <c r="R13" i="5" s="1"/>
  <c r="S62" i="3" s="1"/>
  <c r="Q63" i="3" s="1"/>
  <c r="T63" i="3" s="1"/>
  <c r="T109" i="3"/>
  <c r="M15" i="5"/>
  <c r="R15" i="5"/>
  <c r="S73" i="3" s="1"/>
  <c r="Q74" i="3" s="1"/>
  <c r="Q10" i="5" l="1"/>
  <c r="M13" i="3" s="1"/>
  <c r="Q15" i="5"/>
  <c r="T74" i="3"/>
  <c r="S64" i="3" l="1"/>
  <c r="Q65" i="3" s="1"/>
  <c r="T65" i="3" s="1"/>
  <c r="T11" i="3"/>
  <c r="N21" i="9" s="1"/>
  <c r="P21" i="9" s="1"/>
  <c r="P22" i="9" s="1"/>
  <c r="L25" i="9" s="1"/>
  <c r="S33" i="3"/>
  <c r="Q34" i="3" s="1"/>
  <c r="T34" i="3" s="1"/>
  <c r="T36" i="3"/>
  <c r="S37" i="3" s="1"/>
  <c r="Q38" i="3" s="1"/>
  <c r="T38" i="3" s="1"/>
  <c r="S106" i="3"/>
  <c r="Q107" i="3" s="1"/>
  <c r="S15" i="3"/>
  <c r="T15" i="3" s="1"/>
  <c r="S101" i="3" l="1"/>
  <c r="Q102" i="3" s="1"/>
  <c r="Q103" i="3" s="1"/>
  <c r="T103" i="3" s="1"/>
  <c r="Y79" i="3"/>
  <c r="W80" i="3" s="1"/>
  <c r="Z80" i="3" s="1"/>
  <c r="T107" i="3"/>
  <c r="Q110" i="3"/>
  <c r="T110" i="3" s="1"/>
  <c r="T102" i="3" l="1"/>
  <c r="W81" i="3"/>
  <c r="Z81" i="3" s="1"/>
  <c r="P25" i="9" l="1"/>
  <c r="P26" i="9" s="1"/>
  <c r="L28" i="9" s="1"/>
  <c r="P28" i="9" s="1"/>
  <c r="P29" i="9" s="1"/>
  <c r="L31" i="9" l="1"/>
  <c r="P31" i="9" s="1"/>
  <c r="P32" i="9" s="1"/>
  <c r="L34" i="9" s="1"/>
  <c r="P34" i="9" s="1"/>
  <c r="P35" i="9" s="1"/>
  <c r="L36" i="9" s="1"/>
  <c r="P36" i="9" s="1"/>
  <c r="P37" i="9" l="1"/>
  <c r="Y46" i="3" s="1"/>
  <c r="S88" i="3"/>
  <c r="Q89" i="3" s="1"/>
  <c r="T89" i="3" l="1"/>
  <c r="S56" i="3"/>
  <c r="Q57" i="3" s="1"/>
  <c r="T57" i="3" s="1"/>
  <c r="Q60" i="3" l="1"/>
  <c r="T60" i="3" s="1"/>
  <c r="Q67" i="3"/>
  <c r="T67" i="3" s="1"/>
  <c r="Q90" i="3"/>
  <c r="O19" i="5"/>
  <c r="M20" i="5" s="1"/>
  <c r="Q68" i="3" l="1"/>
  <c r="T68" i="3" s="1"/>
  <c r="Q71" i="3"/>
  <c r="T71" i="3" s="1"/>
  <c r="M21" i="5"/>
  <c r="R21" i="5" l="1"/>
  <c r="O21" i="5"/>
  <c r="Q21" i="5"/>
  <c r="M22" i="5"/>
  <c r="K22" i="3" l="1"/>
  <c r="L23" i="3"/>
  <c r="J23" i="3"/>
  <c r="M23" i="5"/>
  <c r="Q23" i="5" s="1"/>
  <c r="N51" i="9"/>
  <c r="L40" i="9" l="1"/>
  <c r="Y52" i="3"/>
  <c r="W53" i="3" s="1"/>
  <c r="Y62" i="3"/>
  <c r="W63" i="3" s="1"/>
  <c r="K24" i="3"/>
  <c r="L55" i="9" s="1"/>
  <c r="O23" i="5"/>
  <c r="L25" i="3"/>
  <c r="Z63" i="3" l="1"/>
  <c r="N58" i="9"/>
  <c r="N64" i="9" s="1"/>
  <c r="N55" i="9"/>
  <c r="N61" i="9" s="1"/>
  <c r="Z53" i="3"/>
  <c r="W60" i="3"/>
  <c r="R23" i="5"/>
  <c r="J25" i="3"/>
  <c r="N43" i="9"/>
  <c r="N49" i="9" s="1"/>
  <c r="N40" i="9"/>
  <c r="N46" i="9" s="1"/>
  <c r="P40" i="9"/>
  <c r="P41" i="9" s="1"/>
  <c r="L43" i="9" s="1"/>
  <c r="P43" i="9" s="1"/>
  <c r="P44" i="9" s="1"/>
  <c r="L46" i="9" s="1"/>
  <c r="P46" i="9" s="1"/>
  <c r="P47" i="9" s="1"/>
  <c r="L49" i="9" s="1"/>
  <c r="P49" i="9" l="1"/>
  <c r="P50" i="9" s="1"/>
  <c r="P51" i="9" s="1"/>
  <c r="P55" i="9"/>
  <c r="P56" i="9" s="1"/>
  <c r="L58" i="9" s="1"/>
  <c r="P58" i="9" s="1"/>
  <c r="P59" i="9" s="1"/>
  <c r="L61" i="9" s="1"/>
  <c r="P61" i="9" s="1"/>
  <c r="P62" i="9" s="1"/>
  <c r="L64" i="9" s="1"/>
  <c r="P64" i="9" s="1"/>
  <c r="P65" i="9" s="1"/>
  <c r="L66" i="9" s="1"/>
  <c r="S90" i="3"/>
  <c r="Q91" i="3" s="1"/>
  <c r="L51" i="9"/>
  <c r="Z60" i="3"/>
  <c r="N66" i="9"/>
  <c r="Q18" i="5"/>
  <c r="M18" i="3" s="1"/>
  <c r="P52" i="9"/>
  <c r="L70" i="9"/>
  <c r="P70" i="9" s="1"/>
  <c r="P71" i="9" s="1"/>
  <c r="P66" i="9" l="1"/>
  <c r="S66" i="3"/>
  <c r="Y56" i="3"/>
  <c r="Q92" i="3"/>
  <c r="T92" i="3" s="1"/>
  <c r="T91" i="3"/>
  <c r="P67" i="9" l="1"/>
  <c r="Q55" i="9"/>
  <c r="C29" i="3" s="1"/>
  <c r="E29" i="3" s="1"/>
  <c r="F29" i="3" s="1"/>
  <c r="C32" i="3" s="1"/>
  <c r="S77" i="3" l="1"/>
  <c r="Y66" i="3"/>
  <c r="Q56" i="9"/>
  <c r="W67" i="3" l="1"/>
  <c r="Q78" i="3"/>
  <c r="Q81" i="3" l="1"/>
  <c r="T78" i="3"/>
  <c r="Z67" i="3"/>
  <c r="W70" i="3"/>
  <c r="W71" i="3" l="1"/>
  <c r="Z71" i="3" s="1"/>
  <c r="Z70" i="3"/>
  <c r="Q123" i="3"/>
  <c r="T123" i="3" s="1"/>
  <c r="T8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<sst xmlns="http://schemas.openxmlformats.org/spreadsheetml/2006/main" count="682" uniqueCount="228">
  <si>
    <t>Passe variable</t>
  </si>
  <si>
    <t>+</t>
  </si>
  <si>
    <t>=</t>
  </si>
  <si>
    <t>arrondi</t>
  </si>
  <si>
    <t>Raineuse</t>
  </si>
  <si>
    <t>Plieuse</t>
  </si>
  <si>
    <t>Nb de tours</t>
  </si>
  <si>
    <t>:</t>
  </si>
  <si>
    <t>Nb de feuilles par paquets</t>
  </si>
  <si>
    <t>Commande de Paquets de feuille</t>
  </si>
  <si>
    <t>Passe fixe</t>
  </si>
  <si>
    <t>couverture</t>
  </si>
  <si>
    <t>Nb de cahiers</t>
  </si>
  <si>
    <t>X</t>
  </si>
  <si>
    <t>impression passe variable :</t>
  </si>
  <si>
    <t>impression passe fixe :</t>
  </si>
  <si>
    <t>IMPRESSION</t>
  </si>
  <si>
    <t>PLIEUSE</t>
  </si>
  <si>
    <t>ENCARTEUSE</t>
  </si>
  <si>
    <t>Encarteuse</t>
  </si>
  <si>
    <t>RAINEUSE</t>
  </si>
  <si>
    <t>COUVERTURE</t>
  </si>
  <si>
    <t>Pinces :</t>
  </si>
  <si>
    <t>Format feuille :</t>
  </si>
  <si>
    <t>Débords :</t>
  </si>
  <si>
    <t>Format document :</t>
  </si>
  <si>
    <t>Poses</t>
  </si>
  <si>
    <t>Format feuille d'impression (mm)</t>
  </si>
  <si>
    <t>Superficie</t>
  </si>
  <si>
    <t>NB de poses</t>
  </si>
  <si>
    <t>Format document client (mm)</t>
  </si>
  <si>
    <t>1 passage</t>
  </si>
  <si>
    <t>2 passage</t>
  </si>
  <si>
    <t>Nombres exemplaire</t>
  </si>
  <si>
    <t>R°V°</t>
  </si>
  <si>
    <t>Grammage</t>
  </si>
  <si>
    <t>pages de couv</t>
  </si>
  <si>
    <t xml:space="preserve">Format d'impression intérieur </t>
  </si>
  <si>
    <t>Format d'impression couv</t>
  </si>
  <si>
    <t>Intérieur</t>
  </si>
  <si>
    <t>grammage</t>
  </si>
  <si>
    <t>Ft impression</t>
  </si>
  <si>
    <t>Ft italienne ouvert brut</t>
  </si>
  <si>
    <t>Ft italienne ouvert</t>
  </si>
  <si>
    <t>Ft ouvert brut</t>
  </si>
  <si>
    <t>Ft ouvert</t>
  </si>
  <si>
    <t>Ft fini</t>
  </si>
  <si>
    <t>italienne Ft fini</t>
  </si>
  <si>
    <t>italienne Ft brut</t>
  </si>
  <si>
    <t>Format du document fini :</t>
  </si>
  <si>
    <t>ft brut</t>
  </si>
  <si>
    <t>Format brut</t>
  </si>
  <si>
    <t>Débords</t>
  </si>
  <si>
    <t>Brochure</t>
  </si>
  <si>
    <t>Oui</t>
  </si>
  <si>
    <t>Non</t>
  </si>
  <si>
    <t>ex</t>
  </si>
  <si>
    <t>Française/portrait</t>
  </si>
  <si>
    <t>Italienne/paysage</t>
  </si>
  <si>
    <t>R°</t>
  </si>
  <si>
    <t>reste =</t>
  </si>
  <si>
    <t>Basculé</t>
  </si>
  <si>
    <t xml:space="preserve">  </t>
  </si>
  <si>
    <t xml:space="preserve"> </t>
  </si>
  <si>
    <t>Teinte</t>
  </si>
  <si>
    <t>Volets</t>
  </si>
  <si>
    <t>Orientation</t>
  </si>
  <si>
    <t>Ft brut</t>
  </si>
  <si>
    <t>italienne It brut</t>
  </si>
  <si>
    <t>Brochure avec ou sans debord</t>
  </si>
  <si>
    <t>Pli simple</t>
  </si>
  <si>
    <t>Accordéon</t>
  </si>
  <si>
    <t>Orientation avec ou sans debords</t>
  </si>
  <si>
    <t>Débords avec ou sans</t>
  </si>
  <si>
    <t>encarteuse/piqueuse passe V</t>
  </si>
  <si>
    <t>encarteuse piqueuse passe F</t>
  </si>
  <si>
    <t>raineuse passe V</t>
  </si>
  <si>
    <t>passe F</t>
  </si>
  <si>
    <t>Plieuse passe V</t>
  </si>
  <si>
    <t>Plieuse passe F</t>
  </si>
  <si>
    <t>Massicot</t>
  </si>
  <si>
    <t>Feuilles</t>
  </si>
  <si>
    <t>Tours</t>
  </si>
  <si>
    <t>Conditionnement</t>
  </si>
  <si>
    <t>largeur :</t>
  </si>
  <si>
    <t>hauteur :</t>
  </si>
  <si>
    <t>Pages</t>
  </si>
  <si>
    <t>Temps par pages :</t>
  </si>
  <si>
    <t>Total centiheure =</t>
  </si>
  <si>
    <t>Heure :</t>
  </si>
  <si>
    <t>CTP</t>
  </si>
  <si>
    <t>Temps par Plaque :</t>
  </si>
  <si>
    <t>Cahiers intérieur + basculé</t>
  </si>
  <si>
    <t>heures</t>
  </si>
  <si>
    <t>Calages</t>
  </si>
  <si>
    <t>Nb réglage =</t>
  </si>
  <si>
    <t>Int feuille par heure :</t>
  </si>
  <si>
    <t>Couv feuille par heure :</t>
  </si>
  <si>
    <t>Nb calage =</t>
  </si>
  <si>
    <t>Couv nb de couleur/s</t>
  </si>
  <si>
    <t>Int nb de couleur/s</t>
  </si>
  <si>
    <t>Nb Couv/int</t>
  </si>
  <si>
    <t>total plaques =</t>
  </si>
  <si>
    <t>Nb de couv à la feuilles :</t>
  </si>
  <si>
    <t>cahier(s) de :</t>
  </si>
  <si>
    <t>Pages intérieur ou Document(s)</t>
  </si>
  <si>
    <t>Document(s) nb pli/s :</t>
  </si>
  <si>
    <t>Conditionnement  par :</t>
  </si>
  <si>
    <t>DOCUMENT(S)/INTERIEUR</t>
  </si>
  <si>
    <t>Nb tours :</t>
  </si>
  <si>
    <t>Traceur(s)</t>
  </si>
  <si>
    <t>Temps parTraceur :</t>
  </si>
  <si>
    <t>Traceur(s) =</t>
  </si>
  <si>
    <t>Lavage</t>
  </si>
  <si>
    <t>Lavage(s)</t>
  </si>
  <si>
    <t>Temps par coupe :</t>
  </si>
  <si>
    <t>total coupe =</t>
  </si>
  <si>
    <t>Int =</t>
  </si>
  <si>
    <t>temps de coupe :</t>
  </si>
  <si>
    <t>Nb pli =</t>
  </si>
  <si>
    <t>réglage</t>
  </si>
  <si>
    <t>Production :</t>
  </si>
  <si>
    <t>exemplaires</t>
  </si>
  <si>
    <t>Pliage document</t>
  </si>
  <si>
    <t>Pliage Brochure</t>
  </si>
  <si>
    <t>couv Production  :</t>
  </si>
  <si>
    <t>réglage couv :</t>
  </si>
  <si>
    <t>Document :</t>
  </si>
  <si>
    <t>Intérieur :</t>
  </si>
  <si>
    <t>Couv :</t>
  </si>
  <si>
    <t>réglage document ou int :</t>
  </si>
  <si>
    <t>Int Production  :</t>
  </si>
  <si>
    <t>Impression brochure</t>
  </si>
  <si>
    <t>Impression document</t>
  </si>
  <si>
    <t>Encartage</t>
  </si>
  <si>
    <t>Temps réglage :</t>
  </si>
  <si>
    <t>Temps réglage</t>
  </si>
  <si>
    <t>total poches =</t>
  </si>
  <si>
    <t xml:space="preserve">doc/poses </t>
  </si>
  <si>
    <t>x</t>
  </si>
  <si>
    <t>Reste :</t>
  </si>
  <si>
    <t>Document(s)</t>
  </si>
  <si>
    <t>Cahiers + basculé</t>
  </si>
  <si>
    <t>poses</t>
  </si>
  <si>
    <t>Feuilles d'impression par paquets de :</t>
  </si>
  <si>
    <t>Paquet :</t>
  </si>
  <si>
    <t>temps :</t>
  </si>
  <si>
    <t>ex/paquets =</t>
  </si>
  <si>
    <t>Couverture</t>
  </si>
  <si>
    <t>Calage</t>
  </si>
  <si>
    <t>Réglage</t>
  </si>
  <si>
    <t>Intérieur(s)</t>
  </si>
  <si>
    <t>INTERIEUR/DOCUMENT/MEME GRAMMAGE</t>
  </si>
  <si>
    <t>plis</t>
  </si>
  <si>
    <t>Pli(s)</t>
  </si>
  <si>
    <t>ex/h</t>
  </si>
  <si>
    <t>exemplaire :</t>
  </si>
  <si>
    <t>Vitesse</t>
  </si>
  <si>
    <t>Couv =</t>
  </si>
  <si>
    <t>bascule=</t>
  </si>
  <si>
    <t>Cahiers Int :</t>
  </si>
  <si>
    <t>Couv</t>
  </si>
  <si>
    <t>Documents :</t>
  </si>
  <si>
    <t>portefeuille</t>
  </si>
  <si>
    <t>croisé</t>
  </si>
  <si>
    <t>fenêtre</t>
  </si>
  <si>
    <t>roulé</t>
  </si>
  <si>
    <t>paralèlle</t>
  </si>
  <si>
    <t>simple</t>
  </si>
  <si>
    <t>Style de pli :</t>
  </si>
  <si>
    <t>Feuille a commander :</t>
  </si>
  <si>
    <t>Int/Documents/même grammage :</t>
  </si>
  <si>
    <t>Paquets</t>
  </si>
  <si>
    <t>total :</t>
  </si>
  <si>
    <t>impression :</t>
  </si>
  <si>
    <t>impression</t>
  </si>
  <si>
    <t>Numérique</t>
  </si>
  <si>
    <t>Traditionnelle</t>
  </si>
  <si>
    <t>IMPRESSION NUMERIQUE</t>
  </si>
  <si>
    <t>/poses x cahiers =</t>
  </si>
  <si>
    <t>Vitesse :</t>
  </si>
  <si>
    <t>h</t>
  </si>
  <si>
    <t>Poids total exemplaires :</t>
  </si>
  <si>
    <t>kg</t>
  </si>
  <si>
    <t>Pages ou Document(s) :</t>
  </si>
  <si>
    <t>Total =</t>
  </si>
  <si>
    <t>Kg</t>
  </si>
  <si>
    <t>Conditionnement :</t>
  </si>
  <si>
    <t>f</t>
  </si>
  <si>
    <t>Aucun</t>
  </si>
  <si>
    <t>basculé 2</t>
  </si>
  <si>
    <t>basculé 1</t>
  </si>
  <si>
    <t xml:space="preserve">Intérieur(s) </t>
  </si>
  <si>
    <t>Nb ex basculé 1 :</t>
  </si>
  <si>
    <t>Nb ex basculé 2 :</t>
  </si>
  <si>
    <t>Cahier(s) de :</t>
  </si>
  <si>
    <t>32x45</t>
  </si>
  <si>
    <t>63x88</t>
  </si>
  <si>
    <t>45x64</t>
  </si>
  <si>
    <t>46x65</t>
  </si>
  <si>
    <t>52x72</t>
  </si>
  <si>
    <t>51x70</t>
  </si>
  <si>
    <t>65x90</t>
  </si>
  <si>
    <t>65x92</t>
  </si>
  <si>
    <t>70x100</t>
  </si>
  <si>
    <t>72x102</t>
  </si>
  <si>
    <t>Mat</t>
  </si>
  <si>
    <t>Brillant</t>
  </si>
  <si>
    <t>Laser</t>
  </si>
  <si>
    <t>Satin</t>
  </si>
  <si>
    <t>Papier :</t>
  </si>
  <si>
    <t>1 =</t>
  </si>
  <si>
    <t>Nb ex à int 1</t>
  </si>
  <si>
    <t>Nb ex à int 2</t>
  </si>
  <si>
    <t>ex par carton</t>
  </si>
  <si>
    <t xml:space="preserve">Poses Intérieurs </t>
  </si>
  <si>
    <t xml:space="preserve">Poses de couv </t>
  </si>
  <si>
    <t xml:space="preserve">Nb de pages </t>
  </si>
  <si>
    <t xml:space="preserve">Cahier couv </t>
  </si>
  <si>
    <t>Calculs</t>
  </si>
  <si>
    <t>Couv Poids :</t>
  </si>
  <si>
    <t>Autre Poids :</t>
  </si>
  <si>
    <t>Française Ft fini</t>
  </si>
  <si>
    <t>fois</t>
  </si>
  <si>
    <t>Nb de 4 pages :</t>
  </si>
  <si>
    <t>impo</t>
  </si>
  <si>
    <t>impo 1</t>
  </si>
  <si>
    <t>impo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</si>
</sst>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;@"/>
  </numFmts>
  <fonts count="2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5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8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/>
      <right style="thick">
        <color indexed="64"/>
      </right>
      <top style="thick">
        <color rgb="FFFF0000"/>
      </top>
      <bottom/>
      <diagonal/>
    </border>
    <border>
      <left style="thick">
        <color indexed="64"/>
      </left>
      <right style="thick">
        <color rgb="FFFF0000"/>
      </right>
      <top/>
      <bottom style="thick">
        <color indexed="64"/>
      </bottom>
      <diagonal/>
    </border>
    <border>
      <left style="thick">
        <color rgb="FFFF0000"/>
      </left>
      <right/>
      <top/>
      <bottom style="thick">
        <color indexed="64"/>
      </bottom>
      <diagonal/>
    </border>
    <border>
      <left/>
      <right style="thick">
        <color rgb="FFFF0000"/>
      </right>
      <top style="thick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indexed="64"/>
      </top>
      <bottom/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/>
      <diagonal/>
    </border>
    <border>
      <left/>
      <right/>
      <top style="thick">
        <color theme="9" tint="-0.24994659260841701"/>
      </top>
      <bottom/>
      <diagonal/>
    </border>
    <border>
      <left/>
      <right style="thick">
        <color theme="9" tint="-0.24994659260841701"/>
      </right>
      <top style="thick">
        <color theme="9" tint="-0.24994659260841701"/>
      </top>
      <bottom/>
      <diagonal/>
    </border>
    <border>
      <left/>
      <right/>
      <top/>
      <bottom style="thick">
        <color theme="9" tint="-0.24994659260841701"/>
      </bottom>
      <diagonal/>
    </border>
    <border>
      <left/>
      <right style="thick">
        <color theme="9" tint="-0.24994659260841701"/>
      </right>
      <top/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theme="9" tint="-0.24994659260841701"/>
      </left>
      <right style="medium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/>
      <bottom style="thick">
        <color theme="9" tint="-0.24994659260841701"/>
      </bottom>
      <diagonal/>
    </border>
    <border>
      <left style="thick">
        <color theme="9" tint="-0.24994659260841701"/>
      </left>
      <right style="thin">
        <color auto="1"/>
      </right>
      <top/>
      <bottom style="thick">
        <color theme="9" tint="-0.24994659260841701"/>
      </bottom>
      <diagonal/>
    </border>
  </borders>
  <cellStyleXfs count="2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9" fillId="0" borderId="0"/>
  </cellStyleXfs>
  <cellXfs count="488">
    <xf numFmtId="0" fontId="0" fillId="0" borderId="0" xfId="0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6" borderId="7" xfId="0" applyFill="1" applyBorder="1"/>
    <xf numFmtId="0" fontId="1" fillId="6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7" xfId="0" applyBorder="1"/>
    <xf numFmtId="0" fontId="0" fillId="0" borderId="7" xfId="0" applyBorder="1" applyAlignment="1">
      <alignment horizontal="right"/>
    </xf>
    <xf numFmtId="0" fontId="1" fillId="4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10" fontId="0" fillId="6" borderId="7" xfId="0" applyNumberFormat="1" applyFill="1" applyBorder="1"/>
    <xf numFmtId="10" fontId="0" fillId="0" borderId="7" xfId="0" applyNumberFormat="1" applyBorder="1"/>
    <xf numFmtId="0" fontId="0" fillId="0" borderId="7" xfId="0" applyBorder="1" applyAlignment="1">
      <alignment horizontal="left"/>
    </xf>
    <xf numFmtId="0" fontId="7" fillId="4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25"/>
    <xf numFmtId="0" fontId="10" fillId="0" borderId="0" xfId="25" applyFont="1"/>
    <xf numFmtId="0" fontId="11" fillId="2" borderId="24" xfId="25" applyFont="1" applyFill="1" applyBorder="1" applyAlignment="1">
      <alignment horizontal="center" vertical="center"/>
    </xf>
    <xf numFmtId="1" fontId="11" fillId="0" borderId="25" xfId="25" applyNumberFormat="1" applyFont="1" applyBorder="1" applyAlignment="1">
      <alignment horizontal="center" vertical="center"/>
    </xf>
    <xf numFmtId="1" fontId="11" fillId="0" borderId="26" xfId="25" applyNumberFormat="1" applyFont="1" applyBorder="1" applyAlignment="1">
      <alignment horizontal="center" vertical="center"/>
    </xf>
    <xf numFmtId="0" fontId="11" fillId="2" borderId="28" xfId="25" applyFont="1" applyFill="1" applyBorder="1" applyAlignment="1">
      <alignment horizontal="center" vertical="center"/>
    </xf>
    <xf numFmtId="1" fontId="11" fillId="0" borderId="29" xfId="25" applyNumberFormat="1" applyFont="1" applyBorder="1" applyAlignment="1">
      <alignment horizontal="center" vertical="center"/>
    </xf>
    <xf numFmtId="1" fontId="11" fillId="0" borderId="1" xfId="25" applyNumberFormat="1" applyFont="1" applyBorder="1" applyAlignment="1">
      <alignment horizontal="center" vertical="center"/>
    </xf>
    <xf numFmtId="0" fontId="8" fillId="0" borderId="32" xfId="25" applyFont="1" applyBorder="1" applyAlignment="1">
      <alignment horizontal="center" vertical="center" wrapText="1"/>
    </xf>
    <xf numFmtId="0" fontId="9" fillId="0" borderId="0" xfId="25" applyAlignment="1">
      <alignment horizontal="center"/>
    </xf>
    <xf numFmtId="0" fontId="6" fillId="0" borderId="0" xfId="0" applyFont="1"/>
    <xf numFmtId="0" fontId="4" fillId="7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9" fillId="0" borderId="0" xfId="25" applyAlignment="1">
      <alignment horizontal="center"/>
    </xf>
    <xf numFmtId="0" fontId="1" fillId="0" borderId="0" xfId="25" applyFont="1" applyAlignment="1">
      <alignment horizontal="center"/>
    </xf>
    <xf numFmtId="0" fontId="6" fillId="0" borderId="0" xfId="0" applyFont="1" applyAlignment="1">
      <alignment horizontal="center"/>
    </xf>
    <xf numFmtId="0" fontId="11" fillId="6" borderId="26" xfId="25" applyFont="1" applyFill="1" applyBorder="1" applyAlignment="1">
      <alignment horizontal="center" vertical="center"/>
    </xf>
    <xf numFmtId="0" fontId="11" fillId="6" borderId="33" xfId="25" applyFont="1" applyFill="1" applyBorder="1" applyAlignment="1">
      <alignment horizontal="center" vertical="center"/>
    </xf>
    <xf numFmtId="0" fontId="11" fillId="9" borderId="34" xfId="25" applyFont="1" applyFill="1" applyBorder="1" applyAlignment="1">
      <alignment horizontal="center" vertical="center"/>
    </xf>
    <xf numFmtId="3" fontId="0" fillId="5" borderId="1" xfId="0" applyNumberFormat="1" applyFill="1" applyBorder="1"/>
    <xf numFmtId="3" fontId="0" fillId="2" borderId="9" xfId="0" applyNumberFormat="1" applyFill="1" applyBorder="1"/>
    <xf numFmtId="3" fontId="0" fillId="0" borderId="8" xfId="0" applyNumberFormat="1" applyBorder="1"/>
    <xf numFmtId="3" fontId="0" fillId="2" borderId="10" xfId="0" applyNumberFormat="1" applyFill="1" applyBorder="1"/>
    <xf numFmtId="3" fontId="0" fillId="6" borderId="8" xfId="0" applyNumberFormat="1" applyFill="1" applyBorder="1"/>
    <xf numFmtId="3" fontId="0" fillId="3" borderId="8" xfId="0" applyNumberFormat="1" applyFill="1" applyBorder="1"/>
    <xf numFmtId="3" fontId="0" fillId="0" borderId="0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6" borderId="7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5" borderId="9" xfId="0" applyNumberFormat="1" applyFill="1" applyBorder="1"/>
    <xf numFmtId="3" fontId="0" fillId="2" borderId="7" xfId="0" applyNumberFormat="1" applyFill="1" applyBorder="1" applyAlignment="1">
      <alignment horizontal="center"/>
    </xf>
    <xf numFmtId="0" fontId="1" fillId="0" borderId="0" xfId="25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25" applyFont="1"/>
    <xf numFmtId="0" fontId="18" fillId="0" borderId="0" xfId="25" applyFont="1" applyAlignment="1"/>
    <xf numFmtId="0" fontId="21" fillId="0" borderId="0" xfId="25" applyFont="1" applyAlignment="1">
      <alignment horizontal="center"/>
    </xf>
    <xf numFmtId="0" fontId="11" fillId="3" borderId="30" xfId="25" applyFont="1" applyFill="1" applyBorder="1" applyAlignment="1">
      <alignment horizontal="center" vertical="center"/>
    </xf>
    <xf numFmtId="0" fontId="9" fillId="0" borderId="0" xfId="25" applyAlignment="1">
      <alignment horizontal="center" vertical="center"/>
    </xf>
    <xf numFmtId="0" fontId="9" fillId="0" borderId="1" xfId="25" applyFill="1" applyBorder="1"/>
    <xf numFmtId="0" fontId="9" fillId="0" borderId="1" xfId="25" applyFill="1" applyBorder="1" applyAlignment="1">
      <alignment horizontal="center"/>
    </xf>
    <xf numFmtId="0" fontId="1" fillId="0" borderId="1" xfId="25" applyFont="1" applyBorder="1" applyAlignment="1">
      <alignment horizontal="center"/>
    </xf>
    <xf numFmtId="0" fontId="9" fillId="0" borderId="1" xfId="25" applyBorder="1"/>
    <xf numFmtId="0" fontId="0" fillId="0" borderId="0" xfId="0" applyAlignment="1" applyProtection="1">
      <alignment horizontal="right"/>
    </xf>
    <xf numFmtId="0" fontId="5" fillId="0" borderId="0" xfId="0" applyFont="1"/>
    <xf numFmtId="0" fontId="5" fillId="0" borderId="0" xfId="0" applyFont="1" applyAlignment="1">
      <alignment horizontal="left"/>
    </xf>
    <xf numFmtId="0" fontId="20" fillId="3" borderId="0" xfId="25" applyFont="1" applyFill="1" applyAlignment="1">
      <alignment horizontal="right"/>
    </xf>
    <xf numFmtId="0" fontId="1" fillId="0" borderId="0" xfId="25" applyFont="1"/>
    <xf numFmtId="0" fontId="0" fillId="10" borderId="47" xfId="0" applyFill="1" applyBorder="1"/>
    <xf numFmtId="0" fontId="5" fillId="0" borderId="0" xfId="0" applyFont="1" applyAlignment="1" applyProtection="1">
      <alignment horizontal="center" vertical="center"/>
    </xf>
    <xf numFmtId="0" fontId="5" fillId="10" borderId="45" xfId="0" applyFont="1" applyFill="1" applyBorder="1" applyAlignment="1" applyProtection="1">
      <alignment horizontal="center" vertical="center"/>
    </xf>
    <xf numFmtId="0" fontId="5" fillId="10" borderId="0" xfId="0" applyFont="1" applyFill="1" applyBorder="1" applyAlignment="1" applyProtection="1">
      <alignment horizontal="center" vertical="center"/>
    </xf>
    <xf numFmtId="0" fontId="5" fillId="10" borderId="4" xfId="0" applyFont="1" applyFill="1" applyBorder="1" applyAlignment="1" applyProtection="1">
      <alignment horizontal="center" vertical="center"/>
    </xf>
    <xf numFmtId="0" fontId="5" fillId="10" borderId="7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0" fontId="0" fillId="0" borderId="7" xfId="0" applyBorder="1" applyAlignment="1">
      <alignment vertical="center"/>
    </xf>
    <xf numFmtId="3" fontId="0" fillId="3" borderId="8" xfId="0" applyNumberFormat="1" applyFill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6" borderId="7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6" borderId="7" xfId="0" applyFill="1" applyBorder="1" applyAlignment="1">
      <alignment horizontal="left" vertical="center" wrapText="1"/>
    </xf>
    <xf numFmtId="0" fontId="5" fillId="11" borderId="0" xfId="0" applyFont="1" applyFill="1" applyAlignment="1">
      <alignment horizontal="right" indent="1"/>
    </xf>
    <xf numFmtId="0" fontId="0" fillId="11" borderId="0" xfId="0" applyFill="1" applyAlignment="1" applyProtection="1">
      <alignment horizontal="right"/>
    </xf>
    <xf numFmtId="0" fontId="5" fillId="11" borderId="0" xfId="0" applyFont="1" applyFill="1" applyAlignment="1" applyProtection="1">
      <alignment horizontal="center" vertical="center"/>
    </xf>
    <xf numFmtId="0" fontId="0" fillId="11" borderId="0" xfId="0" applyFill="1" applyAlignment="1">
      <alignment horizontal="left"/>
    </xf>
    <xf numFmtId="0" fontId="0" fillId="11" borderId="0" xfId="0" applyFill="1"/>
    <xf numFmtId="0" fontId="5" fillId="11" borderId="0" xfId="0" applyFont="1" applyFill="1" applyAlignment="1">
      <alignment horizontal="right"/>
    </xf>
    <xf numFmtId="0" fontId="5" fillId="11" borderId="0" xfId="0" applyFont="1" applyFill="1" applyAlignment="1"/>
    <xf numFmtId="0" fontId="0" fillId="11" borderId="0" xfId="0" applyFill="1" applyAlignment="1">
      <alignment horizontal="left" vertical="center"/>
    </xf>
    <xf numFmtId="0" fontId="0" fillId="11" borderId="0" xfId="0" applyFill="1" applyAlignment="1"/>
    <xf numFmtId="0" fontId="0" fillId="11" borderId="0" xfId="0" applyFill="1" applyAlignment="1" applyProtection="1">
      <alignment horizontal="right" vertical="center"/>
    </xf>
    <xf numFmtId="0" fontId="5" fillId="11" borderId="0" xfId="0" applyFont="1" applyFill="1" applyAlignment="1" applyProtection="1">
      <alignment horizontal="left" vertical="center"/>
    </xf>
    <xf numFmtId="0" fontId="5" fillId="11" borderId="0" xfId="0" applyFont="1" applyFill="1" applyAlignment="1">
      <alignment horizontal="left" vertical="center"/>
    </xf>
    <xf numFmtId="0" fontId="6" fillId="11" borderId="0" xfId="0" applyFont="1" applyFill="1" applyAlignment="1" applyProtection="1">
      <alignment horizontal="right" vertical="center"/>
    </xf>
    <xf numFmtId="0" fontId="5" fillId="11" borderId="0" xfId="0" applyFont="1" applyFill="1" applyAlignment="1">
      <alignment horizontal="left"/>
    </xf>
    <xf numFmtId="0" fontId="0" fillId="11" borderId="0" xfId="0" applyFill="1" applyBorder="1"/>
    <xf numFmtId="0" fontId="9" fillId="11" borderId="0" xfId="25" applyFill="1"/>
    <xf numFmtId="0" fontId="14" fillId="11" borderId="0" xfId="25" applyFont="1" applyFill="1"/>
    <xf numFmtId="0" fontId="10" fillId="11" borderId="0" xfId="25" applyFont="1" applyFill="1"/>
    <xf numFmtId="0" fontId="14" fillId="11" borderId="38" xfId="25" applyFont="1" applyFill="1" applyBorder="1" applyAlignment="1">
      <alignment horizontal="center" vertical="center"/>
    </xf>
    <xf numFmtId="0" fontId="9" fillId="11" borderId="0" xfId="25" applyFont="1" applyFill="1"/>
    <xf numFmtId="0" fontId="18" fillId="11" borderId="0" xfId="25" applyFont="1" applyFill="1" applyAlignment="1"/>
    <xf numFmtId="0" fontId="21" fillId="11" borderId="0" xfId="25" applyFont="1" applyFill="1" applyAlignment="1">
      <alignment horizontal="center"/>
    </xf>
    <xf numFmtId="0" fontId="12" fillId="11" borderId="0" xfId="25" applyFont="1" applyFill="1" applyAlignment="1">
      <alignment horizontal="center"/>
    </xf>
    <xf numFmtId="0" fontId="14" fillId="11" borderId="37" xfId="25" applyFont="1" applyFill="1" applyBorder="1" applyAlignment="1">
      <alignment horizontal="center" vertical="center"/>
    </xf>
    <xf numFmtId="0" fontId="11" fillId="11" borderId="0" xfId="25" applyFont="1" applyFill="1" applyAlignment="1">
      <alignment horizontal="left" vertical="center"/>
    </xf>
    <xf numFmtId="0" fontId="18" fillId="11" borderId="0" xfId="25" applyFont="1" applyFill="1" applyAlignment="1">
      <alignment horizontal="right"/>
    </xf>
    <xf numFmtId="0" fontId="18" fillId="11" borderId="0" xfId="25" applyFont="1" applyFill="1" applyAlignment="1">
      <alignment horizontal="center"/>
    </xf>
    <xf numFmtId="0" fontId="18" fillId="11" borderId="0" xfId="25" applyFont="1" applyFill="1"/>
    <xf numFmtId="0" fontId="11" fillId="11" borderId="0" xfId="25" applyFont="1" applyFill="1" applyAlignment="1">
      <alignment horizontal="left"/>
    </xf>
    <xf numFmtId="0" fontId="9" fillId="11" borderId="0" xfId="25" applyFill="1" applyAlignment="1">
      <alignment horizontal="left"/>
    </xf>
    <xf numFmtId="0" fontId="13" fillId="11" borderId="0" xfId="25" applyFont="1" applyFill="1"/>
    <xf numFmtId="0" fontId="10" fillId="11" borderId="0" xfId="25" applyFont="1" applyFill="1" applyAlignment="1">
      <alignment horizontal="left"/>
    </xf>
    <xf numFmtId="0" fontId="22" fillId="11" borderId="0" xfId="25" applyFont="1" applyFill="1"/>
    <xf numFmtId="0" fontId="15" fillId="11" borderId="0" xfId="25" applyFont="1" applyFill="1" applyAlignment="1">
      <alignment horizontal="left"/>
    </xf>
    <xf numFmtId="0" fontId="20" fillId="11" borderId="0" xfId="25" applyFont="1" applyFill="1" applyAlignment="1">
      <alignment horizontal="center"/>
    </xf>
    <xf numFmtId="0" fontId="9" fillId="11" borderId="0" xfId="25" applyFill="1" applyAlignment="1">
      <alignment horizontal="right"/>
    </xf>
    <xf numFmtId="0" fontId="0" fillId="11" borderId="0" xfId="0" applyFill="1" applyAlignment="1">
      <alignment horizontal="right"/>
    </xf>
    <xf numFmtId="0" fontId="14" fillId="11" borderId="0" xfId="25" applyFont="1" applyFill="1" applyBorder="1" applyAlignment="1">
      <alignment horizontal="center" vertical="center"/>
    </xf>
    <xf numFmtId="0" fontId="18" fillId="6" borderId="0" xfId="25" applyFont="1" applyFill="1" applyBorder="1" applyAlignment="1">
      <alignment horizontal="right"/>
    </xf>
    <xf numFmtId="0" fontId="18" fillId="6" borderId="0" xfId="25" applyFont="1" applyFill="1" applyBorder="1"/>
    <xf numFmtId="0" fontId="18" fillId="6" borderId="49" xfId="25" applyFont="1" applyFill="1" applyBorder="1"/>
    <xf numFmtId="0" fontId="18" fillId="6" borderId="50" xfId="25" applyFont="1" applyFill="1" applyBorder="1"/>
    <xf numFmtId="0" fontId="18" fillId="6" borderId="50" xfId="25" applyFont="1" applyFill="1" applyBorder="1" applyAlignment="1">
      <alignment horizontal="right"/>
    </xf>
    <xf numFmtId="0" fontId="18" fillId="6" borderId="52" xfId="25" applyFont="1" applyFill="1" applyBorder="1" applyAlignment="1">
      <alignment horizontal="center"/>
    </xf>
    <xf numFmtId="0" fontId="18" fillId="6" borderId="54" xfId="25" applyFont="1" applyFill="1" applyBorder="1" applyAlignment="1">
      <alignment horizontal="center"/>
    </xf>
    <xf numFmtId="0" fontId="18" fillId="6" borderId="54" xfId="25" applyFont="1" applyFill="1" applyBorder="1" applyAlignment="1">
      <alignment horizontal="right"/>
    </xf>
    <xf numFmtId="0" fontId="18" fillId="6" borderId="55" xfId="25" applyFont="1" applyFill="1" applyBorder="1" applyAlignment="1">
      <alignment horizontal="center"/>
    </xf>
    <xf numFmtId="0" fontId="20" fillId="6" borderId="23" xfId="25" applyFont="1" applyFill="1" applyBorder="1" applyAlignment="1">
      <alignment horizontal="center" vertical="center"/>
    </xf>
    <xf numFmtId="0" fontId="20" fillId="6" borderId="22" xfId="25" applyFont="1" applyFill="1" applyBorder="1" applyAlignment="1">
      <alignment horizontal="left" vertical="center"/>
    </xf>
    <xf numFmtId="0" fontId="18" fillId="0" borderId="1" xfId="25" applyFont="1" applyBorder="1" applyAlignment="1">
      <alignment horizontal="center"/>
    </xf>
    <xf numFmtId="0" fontId="5" fillId="10" borderId="45" xfId="0" applyFont="1" applyFill="1" applyBorder="1" applyAlignment="1" applyProtection="1">
      <alignment horizontal="right" vertical="center"/>
    </xf>
    <xf numFmtId="0" fontId="5" fillId="10" borderId="0" xfId="0" applyFont="1" applyFill="1" applyBorder="1" applyAlignment="1" applyProtection="1">
      <alignment horizontal="right" vertical="center"/>
    </xf>
    <xf numFmtId="0" fontId="5" fillId="10" borderId="4" xfId="0" applyFont="1" applyFill="1" applyBorder="1" applyAlignment="1" applyProtection="1">
      <alignment horizontal="right" vertical="center"/>
    </xf>
    <xf numFmtId="0" fontId="0" fillId="0" borderId="0" xfId="0" applyAlignment="1">
      <alignment horizontal="right"/>
    </xf>
    <xf numFmtId="0" fontId="23" fillId="11" borderId="0" xfId="0" applyFont="1" applyFill="1" applyAlignment="1">
      <alignment horizontal="left"/>
    </xf>
    <xf numFmtId="0" fontId="24" fillId="11" borderId="0" xfId="25" applyFont="1" applyFill="1"/>
    <xf numFmtId="0" fontId="6" fillId="11" borderId="0" xfId="0" applyFont="1" applyFill="1" applyAlignment="1">
      <alignment horizontal="right" indent="1"/>
    </xf>
    <xf numFmtId="0" fontId="5" fillId="11" borderId="0" xfId="0" applyFont="1" applyFill="1" applyBorder="1" applyAlignment="1" applyProtection="1">
      <alignment horizontal="center" vertical="center"/>
    </xf>
    <xf numFmtId="0" fontId="18" fillId="6" borderId="57" xfId="25" applyFont="1" applyFill="1" applyBorder="1"/>
    <xf numFmtId="0" fontId="18" fillId="0" borderId="51" xfId="25" applyFont="1" applyBorder="1" applyAlignment="1">
      <alignment horizontal="center" vertical="center"/>
    </xf>
    <xf numFmtId="0" fontId="18" fillId="11" borderId="0" xfId="25" applyFont="1" applyFill="1" applyAlignment="1">
      <alignment vertical="center"/>
    </xf>
    <xf numFmtId="0" fontId="18" fillId="6" borderId="53" xfId="25" applyFont="1" applyFill="1" applyBorder="1" applyAlignment="1">
      <alignment horizontal="center" vertical="center"/>
    </xf>
    <xf numFmtId="0" fontId="18" fillId="12" borderId="7" xfId="25" applyFont="1" applyFill="1" applyBorder="1" applyAlignment="1">
      <alignment horizontal="center" vertical="center"/>
    </xf>
    <xf numFmtId="0" fontId="18" fillId="11" borderId="0" xfId="25" applyFont="1" applyFill="1" applyAlignment="1">
      <alignment horizontal="center" vertical="center"/>
    </xf>
    <xf numFmtId="0" fontId="24" fillId="11" borderId="0" xfId="25" applyFont="1" applyFill="1" applyAlignment="1">
      <alignment vertical="center"/>
    </xf>
    <xf numFmtId="0" fontId="24" fillId="11" borderId="0" xfId="25" applyFont="1" applyFill="1" applyAlignment="1">
      <alignment horizontal="right" vertical="center"/>
    </xf>
    <xf numFmtId="0" fontId="24" fillId="11" borderId="0" xfId="25" applyFont="1" applyFill="1" applyAlignment="1">
      <alignment horizontal="center" vertical="center"/>
    </xf>
    <xf numFmtId="0" fontId="21" fillId="11" borderId="0" xfId="25" applyFont="1" applyFill="1" applyAlignment="1">
      <alignment horizontal="center" vertical="center"/>
    </xf>
    <xf numFmtId="0" fontId="9" fillId="11" borderId="0" xfId="25" applyFill="1" applyAlignment="1">
      <alignment vertical="center"/>
    </xf>
    <xf numFmtId="0" fontId="18" fillId="6" borderId="7" xfId="2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8" xfId="0" applyNumberFormat="1" applyBorder="1" applyAlignment="1">
      <alignment vertical="center"/>
    </xf>
    <xf numFmtId="3" fontId="0" fillId="6" borderId="7" xfId="0" applyNumberForma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0" fontId="0" fillId="6" borderId="7" xfId="0" applyNumberFormat="1" applyFill="1" applyBorder="1" applyAlignment="1">
      <alignment horizontal="left" vertical="center"/>
    </xf>
    <xf numFmtId="0" fontId="0" fillId="6" borderId="7" xfId="0" applyFill="1" applyBorder="1" applyAlignment="1">
      <alignment vertical="center"/>
    </xf>
    <xf numFmtId="3" fontId="0" fillId="5" borderId="1" xfId="0" applyNumberForma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" fontId="0" fillId="2" borderId="9" xfId="0" applyNumberForma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vertical="center"/>
    </xf>
    <xf numFmtId="3" fontId="0" fillId="6" borderId="8" xfId="0" applyNumberFormat="1" applyFill="1" applyBorder="1" applyAlignment="1">
      <alignment vertical="center"/>
    </xf>
    <xf numFmtId="10" fontId="0" fillId="0" borderId="7" xfId="0" applyNumberFormat="1" applyBorder="1" applyAlignment="1">
      <alignment horizontal="left" vertical="center"/>
    </xf>
    <xf numFmtId="0" fontId="0" fillId="5" borderId="1" xfId="0" applyNumberFormat="1" applyFill="1" applyBorder="1" applyAlignment="1">
      <alignment vertical="center"/>
    </xf>
    <xf numFmtId="1" fontId="0" fillId="0" borderId="0" xfId="0" applyNumberFormat="1" applyBorder="1" applyAlignment="1">
      <alignment horizontal="left" vertical="center"/>
    </xf>
    <xf numFmtId="3" fontId="0" fillId="5" borderId="9" xfId="0" applyNumberForma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3" fontId="0" fillId="2" borderId="8" xfId="0" applyNumberFormat="1" applyFill="1" applyBorder="1" applyAlignment="1">
      <alignment vertical="center"/>
    </xf>
    <xf numFmtId="3" fontId="0" fillId="2" borderId="7" xfId="0" applyNumberFormat="1" applyFill="1" applyBorder="1" applyAlignment="1">
      <alignment horizontal="center" vertical="center"/>
    </xf>
    <xf numFmtId="0" fontId="18" fillId="12" borderId="8" xfId="25" applyFont="1" applyFill="1" applyBorder="1" applyAlignment="1">
      <alignment horizontal="center" vertical="center"/>
    </xf>
    <xf numFmtId="0" fontId="5" fillId="10" borderId="2" xfId="0" applyFont="1" applyFill="1" applyBorder="1" applyAlignment="1" applyProtection="1">
      <alignment horizontal="right" vertical="center"/>
    </xf>
    <xf numFmtId="0" fontId="5" fillId="10" borderId="0" xfId="0" applyFont="1" applyFill="1" applyBorder="1" applyAlignment="1" applyProtection="1">
      <alignment horizontal="left" vertical="center"/>
    </xf>
    <xf numFmtId="0" fontId="5" fillId="10" borderId="2" xfId="0" applyFont="1" applyFill="1" applyBorder="1" applyAlignment="1" applyProtection="1">
      <alignment horizontal="center" vertical="center"/>
    </xf>
    <xf numFmtId="0" fontId="18" fillId="11" borderId="0" xfId="25" applyFont="1" applyFill="1" applyAlignment="1">
      <alignment horizontal="right" vertical="center"/>
    </xf>
    <xf numFmtId="0" fontId="0" fillId="11" borderId="0" xfId="0" applyFill="1" applyAlignment="1">
      <alignment horizontal="right" indent="1"/>
    </xf>
    <xf numFmtId="0" fontId="0" fillId="0" borderId="0" xfId="0" applyAlignment="1">
      <alignment horizontal="right" indent="1"/>
    </xf>
    <xf numFmtId="1" fontId="5" fillId="10" borderId="0" xfId="0" applyNumberFormat="1" applyFont="1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5" fillId="12" borderId="1" xfId="0" applyFont="1" applyFill="1" applyBorder="1" applyAlignment="1">
      <alignment horizontal="right" vertical="center"/>
    </xf>
    <xf numFmtId="0" fontId="5" fillId="10" borderId="45" xfId="0" applyFont="1" applyFill="1" applyBorder="1" applyAlignment="1">
      <alignment horizontal="right" vertical="center"/>
    </xf>
    <xf numFmtId="0" fontId="5" fillId="10" borderId="46" xfId="0" applyFont="1" applyFill="1" applyBorder="1" applyAlignment="1">
      <alignment vertical="center"/>
    </xf>
    <xf numFmtId="0" fontId="5" fillId="10" borderId="5" xfId="0" applyFont="1" applyFill="1" applyBorder="1" applyAlignment="1">
      <alignment horizontal="right" vertical="center"/>
    </xf>
    <xf numFmtId="0" fontId="0" fillId="10" borderId="0" xfId="0" applyFill="1" applyBorder="1" applyAlignment="1">
      <alignment horizontal="left" vertical="center"/>
    </xf>
    <xf numFmtId="0" fontId="0" fillId="10" borderId="47" xfId="0" applyFill="1" applyBorder="1" applyAlignment="1">
      <alignment vertical="center"/>
    </xf>
    <xf numFmtId="0" fontId="5" fillId="10" borderId="3" xfId="0" applyFont="1" applyFill="1" applyBorder="1" applyAlignment="1">
      <alignment horizontal="right" vertical="center"/>
    </xf>
    <xf numFmtId="0" fontId="0" fillId="10" borderId="48" xfId="0" applyFill="1" applyBorder="1" applyAlignment="1">
      <alignment vertical="center"/>
    </xf>
    <xf numFmtId="0" fontId="5" fillId="11" borderId="0" xfId="0" applyFont="1" applyFill="1" applyAlignment="1">
      <alignment horizontal="right" vertical="center"/>
    </xf>
    <xf numFmtId="0" fontId="5" fillId="10" borderId="45" xfId="0" applyFont="1" applyFill="1" applyBorder="1" applyAlignment="1">
      <alignment horizontal="center" vertical="center"/>
    </xf>
    <xf numFmtId="0" fontId="5" fillId="10" borderId="46" xfId="0" applyFont="1" applyFill="1" applyBorder="1" applyAlignment="1">
      <alignment horizontal="left" vertical="center"/>
    </xf>
    <xf numFmtId="0" fontId="5" fillId="10" borderId="0" xfId="0" applyFont="1" applyFill="1" applyBorder="1" applyAlignment="1">
      <alignment horizontal="right" vertical="center"/>
    </xf>
    <xf numFmtId="0" fontId="5" fillId="10" borderId="47" xfId="0" applyFont="1" applyFill="1" applyBorder="1" applyAlignment="1">
      <alignment horizontal="left" vertical="center"/>
    </xf>
    <xf numFmtId="0" fontId="5" fillId="10" borderId="4" xfId="0" applyFont="1" applyFill="1" applyBorder="1" applyAlignment="1">
      <alignment horizontal="right" vertical="center"/>
    </xf>
    <xf numFmtId="0" fontId="5" fillId="10" borderId="48" xfId="0" applyFont="1" applyFill="1" applyBorder="1" applyAlignment="1">
      <alignment horizontal="left" vertical="center"/>
    </xf>
    <xf numFmtId="0" fontId="0" fillId="10" borderId="46" xfId="0" applyFill="1" applyBorder="1" applyAlignment="1">
      <alignment vertical="center"/>
    </xf>
    <xf numFmtId="0" fontId="19" fillId="10" borderId="5" xfId="0" applyFont="1" applyFill="1" applyBorder="1" applyAlignment="1">
      <alignment horizontal="right" vertical="center"/>
    </xf>
    <xf numFmtId="1" fontId="5" fillId="10" borderId="4" xfId="0" applyNumberFormat="1" applyFont="1" applyFill="1" applyBorder="1" applyAlignment="1">
      <alignment horizontal="center" vertical="center"/>
    </xf>
    <xf numFmtId="0" fontId="6" fillId="10" borderId="48" xfId="0" applyFont="1" applyFill="1" applyBorder="1" applyAlignment="1">
      <alignment horizontal="left" vertical="center"/>
    </xf>
    <xf numFmtId="0" fontId="5" fillId="10" borderId="4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right" vertical="center"/>
    </xf>
    <xf numFmtId="0" fontId="5" fillId="10" borderId="4" xfId="0" applyFont="1" applyFill="1" applyBorder="1" applyAlignment="1">
      <alignment horizontal="left" vertical="center"/>
    </xf>
    <xf numFmtId="0" fontId="5" fillId="10" borderId="7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left" vertical="center"/>
    </xf>
    <xf numFmtId="0" fontId="0" fillId="10" borderId="45" xfId="0" applyFill="1" applyBorder="1" applyAlignment="1">
      <alignment horizontal="left" vertical="center"/>
    </xf>
    <xf numFmtId="0" fontId="5" fillId="10" borderId="7" xfId="0" applyFont="1" applyFill="1" applyBorder="1" applyAlignment="1">
      <alignment horizontal="left" vertical="center"/>
    </xf>
    <xf numFmtId="1" fontId="5" fillId="10" borderId="46" xfId="0" applyNumberFormat="1" applyFont="1" applyFill="1" applyBorder="1" applyAlignment="1">
      <alignment horizontal="center" vertical="center"/>
    </xf>
    <xf numFmtId="2" fontId="5" fillId="10" borderId="0" xfId="0" applyNumberFormat="1" applyFont="1" applyFill="1" applyBorder="1" applyAlignment="1" applyProtection="1">
      <alignment horizontal="center" vertical="center"/>
    </xf>
    <xf numFmtId="0" fontId="5" fillId="13" borderId="4" xfId="0" applyNumberFormat="1" applyFont="1" applyFill="1" applyBorder="1" applyAlignment="1" applyProtection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" fontId="5" fillId="10" borderId="1" xfId="0" applyNumberFormat="1" applyFont="1" applyFill="1" applyBorder="1" applyAlignment="1">
      <alignment horizontal="center" vertical="center"/>
    </xf>
    <xf numFmtId="0" fontId="0" fillId="11" borderId="0" xfId="0" applyNumberFormat="1" applyFill="1" applyAlignment="1">
      <alignment vertical="center"/>
    </xf>
    <xf numFmtId="0" fontId="0" fillId="11" borderId="0" xfId="0" applyFill="1" applyAlignment="1">
      <alignment horizontal="right" vertical="center"/>
    </xf>
    <xf numFmtId="0" fontId="5" fillId="10" borderId="0" xfId="0" applyFont="1" applyFill="1" applyBorder="1" applyAlignment="1">
      <alignment horizontal="left" vertical="center"/>
    </xf>
    <xf numFmtId="0" fontId="5" fillId="2" borderId="4" xfId="0" applyNumberFormat="1" applyFont="1" applyFill="1" applyBorder="1" applyAlignment="1" applyProtection="1">
      <alignment horizontal="center" vertical="center"/>
    </xf>
    <xf numFmtId="0" fontId="5" fillId="10" borderId="0" xfId="0" applyNumberFormat="1" applyFont="1" applyFill="1" applyBorder="1" applyAlignment="1" applyProtection="1">
      <alignment horizontal="center" vertical="center"/>
    </xf>
    <xf numFmtId="3" fontId="5" fillId="3" borderId="0" xfId="0" applyNumberFormat="1" applyFont="1" applyFill="1" applyBorder="1" applyAlignment="1">
      <alignment horizontal="left" vertical="center"/>
    </xf>
    <xf numFmtId="0" fontId="0" fillId="3" borderId="47" xfId="0" applyFill="1" applyBorder="1" applyAlignment="1">
      <alignment vertical="center"/>
    </xf>
    <xf numFmtId="0" fontId="5" fillId="10" borderId="2" xfId="0" applyFont="1" applyFill="1" applyBorder="1" applyAlignment="1">
      <alignment horizontal="right" vertical="center"/>
    </xf>
    <xf numFmtId="0" fontId="5" fillId="10" borderId="45" xfId="0" applyNumberFormat="1" applyFont="1" applyFill="1" applyBorder="1" applyAlignment="1" applyProtection="1">
      <alignment horizontal="center" vertical="center"/>
    </xf>
    <xf numFmtId="0" fontId="5" fillId="10" borderId="45" xfId="0" applyNumberFormat="1" applyFont="1" applyFill="1" applyBorder="1" applyAlignment="1">
      <alignment horizontal="left" vertical="center"/>
    </xf>
    <xf numFmtId="2" fontId="5" fillId="2" borderId="4" xfId="0" applyNumberFormat="1" applyFont="1" applyFill="1" applyBorder="1" applyAlignment="1" applyProtection="1">
      <alignment horizontal="center" vertical="center"/>
    </xf>
    <xf numFmtId="2" fontId="5" fillId="13" borderId="4" xfId="0" applyNumberFormat="1" applyFont="1" applyFill="1" applyBorder="1" applyAlignment="1" applyProtection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/>
    </xf>
    <xf numFmtId="0" fontId="5" fillId="10" borderId="45" xfId="0" applyFont="1" applyFill="1" applyBorder="1" applyAlignment="1">
      <alignment horizontal="left" vertical="center"/>
    </xf>
    <xf numFmtId="3" fontId="5" fillId="10" borderId="0" xfId="0" applyNumberFormat="1" applyFont="1" applyFill="1" applyBorder="1" applyAlignment="1">
      <alignment horizontal="left" vertical="center"/>
    </xf>
    <xf numFmtId="3" fontId="5" fillId="10" borderId="0" xfId="0" applyNumberFormat="1" applyFont="1" applyFill="1" applyBorder="1" applyAlignment="1" applyProtection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0" xfId="0" applyFill="1" applyBorder="1" applyAlignment="1">
      <alignment vertical="center"/>
    </xf>
    <xf numFmtId="2" fontId="5" fillId="10" borderId="0" xfId="0" applyNumberFormat="1" applyFont="1" applyFill="1" applyBorder="1" applyAlignment="1">
      <alignment horizontal="left" vertical="center"/>
    </xf>
    <xf numFmtId="3" fontId="5" fillId="10" borderId="45" xfId="0" applyNumberFormat="1" applyFont="1" applyFill="1" applyBorder="1" applyAlignment="1" applyProtection="1">
      <alignment horizontal="right" vertical="center"/>
    </xf>
    <xf numFmtId="0" fontId="5" fillId="10" borderId="6" xfId="0" applyFont="1" applyFill="1" applyBorder="1" applyAlignment="1">
      <alignment horizontal="right" vertical="center"/>
    </xf>
    <xf numFmtId="0" fontId="5" fillId="10" borderId="7" xfId="0" applyFont="1" applyFill="1" applyBorder="1" applyAlignment="1" applyProtection="1">
      <alignment horizontal="right" vertical="center"/>
    </xf>
    <xf numFmtId="0" fontId="22" fillId="10" borderId="45" xfId="0" applyFont="1" applyFill="1" applyBorder="1" applyAlignment="1" applyProtection="1">
      <alignment horizontal="right" vertical="center"/>
    </xf>
    <xf numFmtId="0" fontId="0" fillId="10" borderId="0" xfId="0" applyFill="1" applyBorder="1"/>
    <xf numFmtId="0" fontId="22" fillId="6" borderId="2" xfId="0" applyFont="1" applyFill="1" applyBorder="1" applyAlignment="1" applyProtection="1">
      <alignment horizontal="center" vertical="center"/>
    </xf>
    <xf numFmtId="2" fontId="5" fillId="13" borderId="8" xfId="0" applyNumberFormat="1" applyFont="1" applyFill="1" applyBorder="1" applyAlignment="1">
      <alignment horizontal="left" vertical="center"/>
    </xf>
    <xf numFmtId="164" fontId="0" fillId="11" borderId="0" xfId="0" applyNumberFormat="1" applyFill="1" applyAlignment="1">
      <alignment vertical="center"/>
    </xf>
    <xf numFmtId="0" fontId="0" fillId="10" borderId="47" xfId="0" applyFill="1" applyBorder="1" applyAlignment="1">
      <alignment horizontal="left" vertical="center"/>
    </xf>
    <xf numFmtId="1" fontId="5" fillId="10" borderId="46" xfId="0" applyNumberFormat="1" applyFont="1" applyFill="1" applyBorder="1" applyAlignment="1">
      <alignment horizontal="left" vertical="center"/>
    </xf>
    <xf numFmtId="0" fontId="5" fillId="14" borderId="4" xfId="0" applyNumberFormat="1" applyFont="1" applyFill="1" applyBorder="1" applyAlignment="1" applyProtection="1">
      <alignment horizontal="center" vertical="center"/>
    </xf>
    <xf numFmtId="2" fontId="5" fillId="14" borderId="4" xfId="0" applyNumberFormat="1" applyFont="1" applyFill="1" applyBorder="1" applyAlignment="1" applyProtection="1">
      <alignment horizontal="center" vertical="center"/>
    </xf>
    <xf numFmtId="2" fontId="5" fillId="14" borderId="7" xfId="0" applyNumberFormat="1" applyFont="1" applyFill="1" applyBorder="1" applyAlignment="1" applyProtection="1">
      <alignment horizontal="center" vertical="center"/>
    </xf>
    <xf numFmtId="0" fontId="5" fillId="11" borderId="0" xfId="25" applyFont="1" applyFill="1" applyAlignment="1">
      <alignment horizontal="left"/>
    </xf>
    <xf numFmtId="0" fontId="5" fillId="11" borderId="0" xfId="25" applyFont="1" applyFill="1" applyAlignment="1">
      <alignment horizontal="right"/>
    </xf>
    <xf numFmtId="0" fontId="5" fillId="11" borderId="0" xfId="25" applyFont="1" applyFill="1" applyAlignment="1">
      <alignment horizontal="center"/>
    </xf>
    <xf numFmtId="0" fontId="18" fillId="12" borderId="53" xfId="25" applyFont="1" applyFill="1" applyBorder="1" applyAlignment="1">
      <alignment horizontal="center"/>
    </xf>
    <xf numFmtId="0" fontId="18" fillId="0" borderId="7" xfId="25" applyFont="1" applyBorder="1" applyAlignment="1">
      <alignment horizontal="center" vertical="center"/>
    </xf>
    <xf numFmtId="0" fontId="11" fillId="6" borderId="7" xfId="25" applyFont="1" applyFill="1" applyBorder="1" applyAlignment="1">
      <alignment horizontal="center" vertical="center"/>
    </xf>
    <xf numFmtId="2" fontId="5" fillId="11" borderId="0" xfId="0" applyNumberFormat="1" applyFont="1" applyFill="1" applyBorder="1" applyAlignment="1" applyProtection="1">
      <alignment horizontal="center" vertical="center"/>
    </xf>
    <xf numFmtId="0" fontId="25" fillId="11" borderId="0" xfId="0" applyFont="1" applyFill="1" applyAlignment="1">
      <alignment horizontal="left" vertical="center"/>
    </xf>
    <xf numFmtId="2" fontId="5" fillId="14" borderId="8" xfId="0" applyNumberFormat="1" applyFont="1" applyFill="1" applyBorder="1" applyAlignment="1">
      <alignment horizontal="left" vertical="center"/>
    </xf>
    <xf numFmtId="2" fontId="5" fillId="2" borderId="8" xfId="0" applyNumberFormat="1" applyFont="1" applyFill="1" applyBorder="1" applyAlignment="1">
      <alignment horizontal="left" vertical="center"/>
    </xf>
    <xf numFmtId="2" fontId="5" fillId="2" borderId="48" xfId="0" applyNumberFormat="1" applyFont="1" applyFill="1" applyBorder="1" applyAlignment="1">
      <alignment horizontal="left" vertical="center"/>
    </xf>
    <xf numFmtId="2" fontId="5" fillId="2" borderId="46" xfId="0" applyNumberFormat="1" applyFont="1" applyFill="1" applyBorder="1" applyAlignment="1">
      <alignment horizontal="left" vertical="center"/>
    </xf>
    <xf numFmtId="0" fontId="5" fillId="11" borderId="0" xfId="0" applyFont="1" applyFill="1" applyAlignment="1">
      <alignment horizontal="right" vertical="center" indent="1"/>
    </xf>
    <xf numFmtId="0" fontId="0" fillId="11" borderId="0" xfId="0" applyFill="1" applyAlignment="1">
      <alignment horizontal="right" vertical="center" indent="1"/>
    </xf>
    <xf numFmtId="0" fontId="5" fillId="0" borderId="0" xfId="0" applyFont="1" applyAlignment="1">
      <alignment horizontal="right" vertical="center" indent="1"/>
    </xf>
    <xf numFmtId="0" fontId="0" fillId="11" borderId="45" xfId="0" applyFill="1" applyBorder="1" applyAlignment="1">
      <alignment vertical="center"/>
    </xf>
    <xf numFmtId="0" fontId="5" fillId="11" borderId="45" xfId="0" applyFont="1" applyFill="1" applyBorder="1" applyAlignment="1">
      <alignment horizontal="left" vertical="center"/>
    </xf>
    <xf numFmtId="0" fontId="26" fillId="11" borderId="0" xfId="0" applyFont="1" applyFill="1"/>
    <xf numFmtId="0" fontId="6" fillId="0" borderId="0" xfId="0" applyFont="1" applyAlignment="1">
      <alignment horizontal="center"/>
    </xf>
    <xf numFmtId="0" fontId="18" fillId="6" borderId="59" xfId="25" applyFont="1" applyFill="1" applyBorder="1" applyAlignment="1">
      <alignment horizontal="center" vertical="center"/>
    </xf>
    <xf numFmtId="1" fontId="18" fillId="6" borderId="60" xfId="25" applyNumberFormat="1" applyFont="1" applyFill="1" applyBorder="1" applyAlignment="1">
      <alignment horizontal="center" vertical="center"/>
    </xf>
    <xf numFmtId="0" fontId="5" fillId="11" borderId="0" xfId="0" applyFont="1" applyFill="1"/>
    <xf numFmtId="0" fontId="5" fillId="11" borderId="0" xfId="0" applyFont="1" applyFill="1" applyAlignment="1">
      <alignment horizontal="center"/>
    </xf>
    <xf numFmtId="0" fontId="18" fillId="0" borderId="20" xfId="25" applyFont="1" applyBorder="1" applyAlignment="1">
      <alignment horizontal="right"/>
    </xf>
    <xf numFmtId="0" fontId="18" fillId="0" borderId="20" xfId="25" applyFont="1" applyBorder="1" applyAlignment="1">
      <alignment horizontal="center"/>
    </xf>
    <xf numFmtId="0" fontId="18" fillId="0" borderId="19" xfId="25" applyFont="1" applyBorder="1" applyAlignment="1">
      <alignment horizontal="left"/>
    </xf>
    <xf numFmtId="0" fontId="18" fillId="0" borderId="7" xfId="25" applyFont="1" applyBorder="1" applyAlignment="1">
      <alignment horizontal="left"/>
    </xf>
    <xf numFmtId="0" fontId="8" fillId="0" borderId="7" xfId="25" applyFont="1" applyBorder="1" applyAlignment="1">
      <alignment horizontal="center"/>
    </xf>
    <xf numFmtId="0" fontId="8" fillId="0" borderId="17" xfId="25" applyFont="1" applyBorder="1"/>
    <xf numFmtId="0" fontId="18" fillId="0" borderId="7" xfId="25" applyFont="1" applyBorder="1" applyAlignment="1">
      <alignment horizontal="right"/>
    </xf>
    <xf numFmtId="0" fontId="18" fillId="0" borderId="7" xfId="25" applyFont="1" applyBorder="1" applyAlignment="1">
      <alignment horizontal="center"/>
    </xf>
    <xf numFmtId="0" fontId="18" fillId="0" borderId="17" xfId="25" applyFont="1" applyBorder="1" applyAlignment="1">
      <alignment horizontal="left"/>
    </xf>
    <xf numFmtId="0" fontId="18" fillId="0" borderId="15" xfId="25" applyFont="1" applyBorder="1" applyAlignment="1">
      <alignment horizontal="left"/>
    </xf>
    <xf numFmtId="0" fontId="8" fillId="0" borderId="15" xfId="25" applyFont="1" applyBorder="1"/>
    <xf numFmtId="0" fontId="8" fillId="0" borderId="14" xfId="25" applyFont="1" applyBorder="1"/>
    <xf numFmtId="2" fontId="5" fillId="2" borderId="0" xfId="0" applyNumberFormat="1" applyFont="1" applyFill="1" applyBorder="1" applyAlignment="1" applyProtection="1">
      <alignment horizontal="center" vertical="center"/>
    </xf>
    <xf numFmtId="0" fontId="1" fillId="11" borderId="0" xfId="0" applyFont="1" applyFill="1" applyAlignment="1">
      <alignment horizontal="center"/>
    </xf>
    <xf numFmtId="3" fontId="0" fillId="11" borderId="0" xfId="0" applyNumberFormat="1" applyFill="1" applyAlignment="1">
      <alignment horizontal="center"/>
    </xf>
    <xf numFmtId="3" fontId="0" fillId="11" borderId="0" xfId="0" applyNumberFormat="1" applyFill="1"/>
    <xf numFmtId="0" fontId="1" fillId="11" borderId="0" xfId="0" applyFont="1" applyFill="1" applyAlignment="1">
      <alignment horizontal="center" vertical="center"/>
    </xf>
    <xf numFmtId="3" fontId="0" fillId="11" borderId="0" xfId="0" applyNumberFormat="1" applyFill="1" applyAlignment="1">
      <alignment vertical="center"/>
    </xf>
    <xf numFmtId="3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3" fontId="0" fillId="11" borderId="7" xfId="0" applyNumberForma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7" xfId="0" applyFill="1" applyBorder="1" applyAlignment="1">
      <alignment vertical="center"/>
    </xf>
    <xf numFmtId="3" fontId="0" fillId="11" borderId="0" xfId="0" applyNumberFormat="1" applyFill="1" applyBorder="1" applyAlignment="1">
      <alignment horizontal="center"/>
    </xf>
    <xf numFmtId="3" fontId="0" fillId="11" borderId="0" xfId="0" applyNumberForma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left" vertical="center"/>
    </xf>
    <xf numFmtId="0" fontId="1" fillId="11" borderId="0" xfId="0" applyFont="1" applyFill="1" applyBorder="1" applyAlignment="1">
      <alignment horizontal="center"/>
    </xf>
    <xf numFmtId="3" fontId="0" fillId="11" borderId="0" xfId="0" applyNumberFormat="1" applyFill="1" applyBorder="1"/>
    <xf numFmtId="0" fontId="1" fillId="11" borderId="0" xfId="0" applyFont="1" applyFill="1" applyBorder="1" applyAlignment="1">
      <alignment horizontal="center" vertical="center"/>
    </xf>
    <xf numFmtId="3" fontId="0" fillId="11" borderId="0" xfId="0" applyNumberFormat="1" applyFill="1" applyBorder="1" applyAlignment="1">
      <alignment vertical="center"/>
    </xf>
    <xf numFmtId="3" fontId="11" fillId="11" borderId="0" xfId="0" applyNumberFormat="1" applyFont="1" applyFill="1" applyAlignment="1">
      <alignment horizontal="right" vertical="center"/>
    </xf>
    <xf numFmtId="0" fontId="0" fillId="11" borderId="7" xfId="0" applyFill="1" applyBorder="1" applyAlignment="1">
      <alignment horizontal="left" vertical="center"/>
    </xf>
    <xf numFmtId="0" fontId="1" fillId="11" borderId="7" xfId="0" applyFont="1" applyFill="1" applyBorder="1" applyAlignment="1">
      <alignment horizontal="center" vertical="center"/>
    </xf>
    <xf numFmtId="3" fontId="0" fillId="11" borderId="7" xfId="0" applyNumberFormat="1" applyFill="1" applyBorder="1" applyAlignment="1">
      <alignment vertical="center"/>
    </xf>
    <xf numFmtId="3" fontId="21" fillId="11" borderId="0" xfId="0" applyNumberFormat="1" applyFont="1" applyFill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19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" fontId="5" fillId="11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" fontId="18" fillId="6" borderId="58" xfId="25" applyNumberFormat="1" applyFont="1" applyFill="1" applyBorder="1" applyAlignment="1">
      <alignment horizontal="center" vertical="center"/>
    </xf>
    <xf numFmtId="20" fontId="0" fillId="11" borderId="0" xfId="0" applyNumberFormat="1" applyFill="1"/>
    <xf numFmtId="1" fontId="18" fillId="12" borderId="8" xfId="25" applyNumberFormat="1" applyFont="1" applyFill="1" applyBorder="1" applyAlignment="1">
      <alignment horizontal="center" vertical="center"/>
    </xf>
    <xf numFmtId="0" fontId="5" fillId="15" borderId="1" xfId="0" applyFont="1" applyFill="1" applyBorder="1" applyAlignment="1" applyProtection="1">
      <alignment horizontal="right" vertical="center"/>
    </xf>
    <xf numFmtId="0" fontId="5" fillId="15" borderId="1" xfId="0" applyFont="1" applyFill="1" applyBorder="1" applyAlignment="1">
      <alignment horizontal="left" vertical="center"/>
    </xf>
    <xf numFmtId="0" fontId="5" fillId="15" borderId="44" xfId="0" applyFont="1" applyFill="1" applyBorder="1" applyAlignment="1">
      <alignment horizontal="left"/>
    </xf>
    <xf numFmtId="1" fontId="5" fillId="15" borderId="44" xfId="0" applyNumberFormat="1" applyFont="1" applyFill="1" applyBorder="1" applyAlignment="1">
      <alignment horizontal="right"/>
    </xf>
    <xf numFmtId="1" fontId="5" fillId="15" borderId="1" xfId="0" applyNumberFormat="1" applyFont="1" applyFill="1" applyBorder="1"/>
    <xf numFmtId="0" fontId="5" fillId="15" borderId="1" xfId="0" applyFont="1" applyFill="1" applyBorder="1"/>
    <xf numFmtId="4" fontId="5" fillId="15" borderId="1" xfId="0" applyNumberFormat="1" applyFont="1" applyFill="1" applyBorder="1"/>
    <xf numFmtId="3" fontId="5" fillId="15" borderId="1" xfId="0" applyNumberFormat="1" applyFont="1" applyFill="1" applyBorder="1"/>
    <xf numFmtId="3" fontId="5" fillId="15" borderId="1" xfId="0" applyNumberFormat="1" applyFont="1" applyFill="1" applyBorder="1" applyAlignment="1" applyProtection="1">
      <alignment horizontal="right"/>
    </xf>
    <xf numFmtId="0" fontId="5" fillId="15" borderId="1" xfId="0" applyFont="1" applyFill="1" applyBorder="1" applyAlignment="1">
      <alignment horizontal="left"/>
    </xf>
    <xf numFmtId="2" fontId="5" fillId="15" borderId="1" xfId="0" applyNumberFormat="1" applyFont="1" applyFill="1" applyBorder="1"/>
    <xf numFmtId="1" fontId="18" fillId="11" borderId="0" xfId="25" applyNumberFormat="1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/>
    </xf>
    <xf numFmtId="0" fontId="14" fillId="11" borderId="0" xfId="25" applyFont="1" applyFill="1"/>
    <xf numFmtId="0" fontId="1" fillId="6" borderId="1" xfId="0" applyFont="1" applyFill="1" applyBorder="1" applyAlignment="1" applyProtection="1">
      <alignment horizontal="center" vertical="center"/>
    </xf>
    <xf numFmtId="9" fontId="5" fillId="10" borderId="0" xfId="0" applyNumberFormat="1" applyFont="1" applyFill="1" applyBorder="1" applyAlignment="1" applyProtection="1">
      <alignment horizontal="center" vertical="center"/>
    </xf>
    <xf numFmtId="0" fontId="0" fillId="11" borderId="0" xfId="0" applyFill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  <protection locked="0"/>
    </xf>
    <xf numFmtId="10" fontId="5" fillId="10" borderId="0" xfId="0" applyNumberFormat="1" applyFont="1" applyFill="1" applyBorder="1" applyAlignment="1" applyProtection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0" fillId="10" borderId="0" xfId="0" applyFill="1" applyBorder="1" applyAlignment="1">
      <alignment horizontal="center"/>
    </xf>
    <xf numFmtId="3" fontId="1" fillId="6" borderId="1" xfId="0" applyNumberFormat="1" applyFont="1" applyFill="1" applyBorder="1" applyAlignment="1" applyProtection="1">
      <alignment horizontal="center" vertical="center"/>
    </xf>
    <xf numFmtId="0" fontId="10" fillId="0" borderId="0" xfId="25" applyFont="1" applyFill="1"/>
    <xf numFmtId="0" fontId="14" fillId="0" borderId="0" xfId="25" applyFont="1" applyFill="1"/>
    <xf numFmtId="0" fontId="9" fillId="0" borderId="0" xfId="25" applyFill="1"/>
    <xf numFmtId="0" fontId="14" fillId="0" borderId="37" xfId="25" applyFont="1" applyFill="1" applyBorder="1" applyAlignment="1">
      <alignment horizontal="center" vertical="center"/>
    </xf>
    <xf numFmtId="0" fontId="10" fillId="0" borderId="0" xfId="25" applyFont="1" applyFill="1" applyBorder="1"/>
    <xf numFmtId="0" fontId="14" fillId="0" borderId="56" xfId="25" applyFont="1" applyFill="1" applyBorder="1"/>
    <xf numFmtId="0" fontId="10" fillId="0" borderId="50" xfId="25" applyFont="1" applyFill="1" applyBorder="1"/>
    <xf numFmtId="0" fontId="9" fillId="0" borderId="51" xfId="25" applyFill="1" applyBorder="1"/>
    <xf numFmtId="0" fontId="14" fillId="0" borderId="63" xfId="25" applyFont="1" applyFill="1" applyBorder="1" applyAlignment="1">
      <alignment horizontal="center" vertical="center"/>
    </xf>
    <xf numFmtId="0" fontId="8" fillId="0" borderId="65" xfId="25" applyFont="1" applyBorder="1" applyAlignment="1">
      <alignment horizontal="center" vertical="center" wrapText="1"/>
    </xf>
    <xf numFmtId="0" fontId="11" fillId="2" borderId="67" xfId="25" applyFont="1" applyFill="1" applyBorder="1" applyAlignment="1">
      <alignment horizontal="center" vertical="center"/>
    </xf>
    <xf numFmtId="0" fontId="11" fillId="2" borderId="69" xfId="25" applyFont="1" applyFill="1" applyBorder="1" applyAlignment="1">
      <alignment horizontal="center" vertical="center"/>
    </xf>
    <xf numFmtId="0" fontId="0" fillId="0" borderId="57" xfId="0" applyBorder="1"/>
    <xf numFmtId="0" fontId="0" fillId="0" borderId="53" xfId="0" applyBorder="1"/>
    <xf numFmtId="0" fontId="14" fillId="0" borderId="57" xfId="25" applyFont="1" applyFill="1" applyBorder="1"/>
    <xf numFmtId="0" fontId="9" fillId="0" borderId="53" xfId="25" applyFill="1" applyBorder="1"/>
    <xf numFmtId="0" fontId="11" fillId="6" borderId="71" xfId="25" applyFont="1" applyFill="1" applyBorder="1" applyAlignment="1">
      <alignment horizontal="center" vertical="center"/>
    </xf>
    <xf numFmtId="1" fontId="11" fillId="0" borderId="71" xfId="25" applyNumberFormat="1" applyFont="1" applyBorder="1" applyAlignment="1">
      <alignment horizontal="center" vertical="center"/>
    </xf>
    <xf numFmtId="1" fontId="11" fillId="0" borderId="72" xfId="25" applyNumberFormat="1" applyFont="1" applyBorder="1" applyAlignment="1">
      <alignment horizontal="center" vertical="center"/>
    </xf>
    <xf numFmtId="0" fontId="11" fillId="2" borderId="73" xfId="25" applyFont="1" applyFill="1" applyBorder="1" applyAlignment="1">
      <alignment horizontal="center" vertical="center"/>
    </xf>
    <xf numFmtId="0" fontId="18" fillId="0" borderId="0" xfId="25" applyFont="1" applyFill="1" applyAlignment="1">
      <alignment horizontal="center" vertical="center"/>
    </xf>
    <xf numFmtId="0" fontId="18" fillId="0" borderId="41" xfId="25" applyFont="1" applyFill="1" applyBorder="1" applyAlignment="1">
      <alignment horizontal="center" vertical="center"/>
    </xf>
    <xf numFmtId="0" fontId="18" fillId="0" borderId="36" xfId="25" applyFont="1" applyFill="1" applyBorder="1" applyAlignment="1">
      <alignment horizontal="center" vertical="center"/>
    </xf>
    <xf numFmtId="0" fontId="18" fillId="0" borderId="35" xfId="25" applyFont="1" applyFill="1" applyBorder="1" applyAlignment="1">
      <alignment horizontal="center" vertical="center"/>
    </xf>
    <xf numFmtId="0" fontId="18" fillId="0" borderId="57" xfId="25" applyFont="1" applyFill="1" applyBorder="1" applyAlignment="1">
      <alignment horizontal="center" vertical="center"/>
    </xf>
    <xf numFmtId="0" fontId="18" fillId="0" borderId="64" xfId="25" applyFont="1" applyFill="1" applyBorder="1" applyAlignment="1">
      <alignment horizontal="center" vertical="center"/>
    </xf>
    <xf numFmtId="0" fontId="0" fillId="11" borderId="4" xfId="0" applyFill="1" applyBorder="1" applyAlignment="1">
      <alignment horizontal="right" indent="1"/>
    </xf>
    <xf numFmtId="0" fontId="22" fillId="11" borderId="3" xfId="0" applyFont="1" applyFill="1" applyBorder="1" applyAlignment="1">
      <alignment horizontal="right" vertical="center" indent="1"/>
    </xf>
    <xf numFmtId="0" fontId="22" fillId="11" borderId="4" xfId="0" applyFont="1" applyFill="1" applyBorder="1" applyAlignment="1">
      <alignment horizontal="right" vertical="center" indent="1"/>
    </xf>
    <xf numFmtId="0" fontId="22" fillId="11" borderId="0" xfId="25" applyFont="1" applyFill="1" applyAlignment="1">
      <alignment horizontal="right"/>
    </xf>
    <xf numFmtId="0" fontId="18" fillId="6" borderId="75" xfId="25" applyFont="1" applyFill="1" applyBorder="1"/>
    <xf numFmtId="0" fontId="18" fillId="6" borderId="76" xfId="25" applyFont="1" applyFill="1" applyBorder="1"/>
    <xf numFmtId="0" fontId="18" fillId="6" borderId="76" xfId="25" applyFont="1" applyFill="1" applyBorder="1" applyAlignment="1">
      <alignment horizontal="right"/>
    </xf>
    <xf numFmtId="0" fontId="18" fillId="0" borderId="77" xfId="25" applyFont="1" applyBorder="1" applyAlignment="1">
      <alignment horizontal="center" vertical="center"/>
    </xf>
    <xf numFmtId="0" fontId="18" fillId="6" borderId="78" xfId="25" applyFont="1" applyFill="1" applyBorder="1" applyAlignment="1">
      <alignment horizontal="right"/>
    </xf>
    <xf numFmtId="1" fontId="18" fillId="10" borderId="74" xfId="25" applyNumberFormat="1" applyFont="1" applyFill="1" applyBorder="1" applyAlignment="1">
      <alignment horizontal="center" vertical="center"/>
    </xf>
    <xf numFmtId="1" fontId="18" fillId="6" borderId="80" xfId="25" applyNumberFormat="1" applyFont="1" applyFill="1" applyBorder="1" applyAlignment="1">
      <alignment horizontal="center" vertical="center"/>
    </xf>
    <xf numFmtId="0" fontId="18" fillId="6" borderId="81" xfId="25" applyFont="1" applyFill="1" applyBorder="1" applyAlignment="1">
      <alignment horizontal="center" vertical="center"/>
    </xf>
    <xf numFmtId="1" fontId="18" fillId="6" borderId="82" xfId="25" applyNumberFormat="1" applyFont="1" applyFill="1" applyBorder="1" applyAlignment="1">
      <alignment horizontal="center" vertical="center"/>
    </xf>
    <xf numFmtId="1" fontId="18" fillId="6" borderId="74" xfId="25" applyNumberFormat="1" applyFont="1" applyFill="1" applyBorder="1" applyAlignment="1">
      <alignment horizontal="center" vertical="center"/>
    </xf>
    <xf numFmtId="0" fontId="18" fillId="10" borderId="53" xfId="25" applyFont="1" applyFill="1" applyBorder="1" applyAlignment="1">
      <alignment horizontal="center" vertical="center"/>
    </xf>
    <xf numFmtId="1" fontId="18" fillId="10" borderId="83" xfId="25" applyNumberFormat="1" applyFont="1" applyFill="1" applyBorder="1" applyAlignment="1">
      <alignment horizontal="center" vertical="center"/>
    </xf>
    <xf numFmtId="0" fontId="5" fillId="15" borderId="44" xfId="0" applyFont="1" applyFill="1" applyBorder="1" applyAlignment="1" applyProtection="1">
      <alignment horizontal="right"/>
    </xf>
    <xf numFmtId="1" fontId="5" fillId="15" borderId="44" xfId="0" applyNumberFormat="1" applyFont="1" applyFill="1" applyBorder="1" applyAlignment="1" applyProtection="1">
      <alignment horizontal="right"/>
    </xf>
    <xf numFmtId="1" fontId="5" fillId="15" borderId="84" xfId="0" applyNumberFormat="1" applyFont="1" applyFill="1" applyBorder="1" applyAlignment="1" applyProtection="1">
      <alignment horizontal="right"/>
    </xf>
    <xf numFmtId="0" fontId="5" fillId="15" borderId="84" xfId="0" applyFont="1" applyFill="1" applyBorder="1" applyAlignment="1">
      <alignment horizontal="left"/>
    </xf>
    <xf numFmtId="0" fontId="0" fillId="11" borderId="36" xfId="0" applyFill="1" applyBorder="1" applyAlignment="1">
      <alignment vertical="center"/>
    </xf>
    <xf numFmtId="0" fontId="0" fillId="11" borderId="45" xfId="0" applyFill="1" applyBorder="1"/>
    <xf numFmtId="0" fontId="0" fillId="11" borderId="45" xfId="0" applyFill="1" applyBorder="1" applyAlignment="1">
      <alignment horizontal="right"/>
    </xf>
    <xf numFmtId="0" fontId="5" fillId="6" borderId="1" xfId="0" applyFont="1" applyFill="1" applyBorder="1" applyAlignment="1" applyProtection="1">
      <alignment horizontal="right"/>
      <protection locked="0"/>
    </xf>
    <xf numFmtId="0" fontId="1" fillId="6" borderId="1" xfId="0" applyFont="1" applyFill="1" applyBorder="1" applyAlignment="1" applyProtection="1">
      <alignment horizontal="right"/>
      <protection locked="0"/>
    </xf>
    <xf numFmtId="3" fontId="5" fillId="6" borderId="1" xfId="0" applyNumberFormat="1" applyFont="1" applyFill="1" applyBorder="1" applyAlignment="1" applyProtection="1">
      <alignment horizontal="right"/>
      <protection locked="0"/>
    </xf>
    <xf numFmtId="0" fontId="5" fillId="6" borderId="1" xfId="0" applyFont="1" applyFill="1" applyBorder="1" applyAlignment="1" applyProtection="1">
      <alignment horizontal="left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right" vertical="center"/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6" fillId="6" borderId="1" xfId="0" applyFont="1" applyFill="1" applyBorder="1" applyAlignment="1" applyProtection="1">
      <alignment horizontal="right" vertical="center"/>
      <protection locked="0"/>
    </xf>
    <xf numFmtId="0" fontId="18" fillId="11" borderId="36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6" borderId="6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 applyAlignment="1" applyProtection="1">
      <alignment horizontal="center" vertical="center"/>
    </xf>
    <xf numFmtId="0" fontId="1" fillId="11" borderId="0" xfId="25" applyFont="1" applyFill="1" applyAlignment="1">
      <alignment horizontal="center" vertical="top"/>
    </xf>
    <xf numFmtId="0" fontId="27" fillId="6" borderId="0" xfId="25" applyFont="1" applyFill="1" applyBorder="1" applyAlignment="1">
      <alignment horizontal="right"/>
    </xf>
    <xf numFmtId="0" fontId="9" fillId="11" borderId="0" xfId="25" applyFill="1" applyAlignment="1">
      <alignment horizontal="center" vertical="top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" fontId="18" fillId="10" borderId="85" xfId="25" applyNumberFormat="1" applyFont="1" applyFill="1" applyBorder="1" applyAlignment="1">
      <alignment horizontal="center" vertical="center"/>
    </xf>
    <xf numFmtId="0" fontId="18" fillId="6" borderId="86" xfId="25" applyFont="1" applyFill="1" applyBorder="1" applyAlignment="1">
      <alignment horizontal="center"/>
    </xf>
    <xf numFmtId="0" fontId="18" fillId="6" borderId="78" xfId="25" applyFont="1" applyFill="1" applyBorder="1"/>
    <xf numFmtId="0" fontId="18" fillId="12" borderId="79" xfId="25" applyFont="1" applyFill="1" applyBorder="1" applyAlignment="1">
      <alignment horizontal="center" vertical="center"/>
    </xf>
    <xf numFmtId="0" fontId="9" fillId="11" borderId="0" xfId="25" applyFill="1" applyBorder="1"/>
    <xf numFmtId="0" fontId="11" fillId="11" borderId="0" xfId="25" applyFont="1" applyFill="1" applyBorder="1"/>
    <xf numFmtId="0" fontId="18" fillId="11" borderId="0" xfId="25" applyFont="1" applyFill="1" applyBorder="1" applyAlignment="1">
      <alignment horizontal="right"/>
    </xf>
    <xf numFmtId="1" fontId="18" fillId="10" borderId="81" xfId="25" applyNumberFormat="1" applyFont="1" applyFill="1" applyBorder="1" applyAlignment="1">
      <alignment horizontal="center" vertical="center"/>
    </xf>
    <xf numFmtId="1" fontId="9" fillId="11" borderId="0" xfId="25" applyNumberFormat="1" applyFill="1"/>
    <xf numFmtId="0" fontId="21" fillId="11" borderId="0" xfId="25" applyFont="1" applyFill="1" applyBorder="1" applyAlignment="1">
      <alignment horizontal="center" vertical="center"/>
    </xf>
    <xf numFmtId="0" fontId="18" fillId="11" borderId="0" xfId="25" applyFont="1" applyFill="1" applyBorder="1" applyAlignment="1">
      <alignment vertical="center"/>
    </xf>
    <xf numFmtId="0" fontId="9" fillId="11" borderId="0" xfId="25" applyFill="1" applyBorder="1" applyAlignment="1">
      <alignment vertical="center"/>
    </xf>
    <xf numFmtId="0" fontId="22" fillId="11" borderId="0" xfId="25" applyFont="1" applyFill="1" applyBorder="1"/>
    <xf numFmtId="0" fontId="18" fillId="11" borderId="0" xfId="25" applyFont="1" applyFill="1" applyBorder="1"/>
    <xf numFmtId="0" fontId="18" fillId="11" borderId="0" xfId="25" applyFont="1" applyFill="1" applyBorder="1" applyAlignment="1">
      <alignment horizontal="right" vertical="center"/>
    </xf>
    <xf numFmtId="0" fontId="18" fillId="11" borderId="0" xfId="25" applyFont="1" applyFill="1" applyBorder="1" applyAlignment="1">
      <alignment horizontal="center"/>
    </xf>
    <xf numFmtId="0" fontId="21" fillId="11" borderId="0" xfId="25" applyFont="1" applyFill="1" applyBorder="1" applyAlignment="1">
      <alignment horizontal="center"/>
    </xf>
    <xf numFmtId="0" fontId="9" fillId="11" borderId="0" xfId="25" applyFill="1" applyBorder="1" applyAlignment="1">
      <alignment horizontal="center" vertical="top"/>
    </xf>
    <xf numFmtId="0" fontId="1" fillId="11" borderId="0" xfId="25" applyFont="1" applyFill="1" applyBorder="1" applyAlignment="1">
      <alignment horizontal="center" vertical="top"/>
    </xf>
    <xf numFmtId="0" fontId="9" fillId="11" borderId="0" xfId="25" applyFont="1" applyFill="1" applyBorder="1"/>
    <xf numFmtId="0" fontId="18" fillId="11" borderId="0" xfId="25" applyFont="1" applyFill="1" applyBorder="1" applyAlignment="1"/>
    <xf numFmtId="0" fontId="18" fillId="11" borderId="0" xfId="25" applyFont="1" applyFill="1" applyBorder="1" applyAlignment="1">
      <alignment horizontal="center" vertical="center"/>
    </xf>
    <xf numFmtId="0" fontId="11" fillId="11" borderId="0" xfId="25" applyFont="1" applyFill="1" applyBorder="1" applyAlignment="1">
      <alignment horizontal="center" vertical="center"/>
    </xf>
    <xf numFmtId="0" fontId="15" fillId="11" borderId="0" xfId="25" applyFont="1" applyFill="1" applyAlignment="1">
      <alignment horizontal="center"/>
    </xf>
    <xf numFmtId="1" fontId="0" fillId="4" borderId="7" xfId="0" applyNumberFormat="1" applyFill="1" applyBorder="1" applyAlignment="1">
      <alignment horizontal="left" vertical="center"/>
    </xf>
    <xf numFmtId="1" fontId="0" fillId="4" borderId="0" xfId="0" applyNumberFormat="1" applyFill="1" applyBorder="1" applyAlignment="1">
      <alignment horizontal="left" vertical="center"/>
    </xf>
    <xf numFmtId="0" fontId="5" fillId="16" borderId="1" xfId="0" applyFont="1" applyFill="1" applyBorder="1" applyAlignment="1" applyProtection="1">
      <alignment horizontal="center" vertical="center"/>
      <protection locked="0"/>
    </xf>
    <xf numFmtId="0" fontId="1" fillId="0" borderId="42" xfId="25" applyFont="1" applyBorder="1" applyAlignment="1">
      <alignment horizontal="right"/>
    </xf>
    <xf numFmtId="0" fontId="1" fillId="0" borderId="43" xfId="25" applyFont="1" applyBorder="1" applyAlignment="1">
      <alignment horizontal="right"/>
    </xf>
    <xf numFmtId="0" fontId="18" fillId="0" borderId="36" xfId="25" applyFont="1" applyBorder="1" applyAlignment="1">
      <alignment horizontal="center" vertical="center"/>
    </xf>
    <xf numFmtId="0" fontId="11" fillId="0" borderId="36" xfId="25" applyFont="1" applyBorder="1" applyAlignment="1">
      <alignment horizontal="center" vertical="center"/>
    </xf>
    <xf numFmtId="0" fontId="14" fillId="11" borderId="0" xfId="25" applyFont="1" applyFill="1"/>
    <xf numFmtId="0" fontId="14" fillId="11" borderId="41" xfId="25" applyFont="1" applyFill="1" applyBorder="1"/>
    <xf numFmtId="0" fontId="14" fillId="11" borderId="36" xfId="25" applyFont="1" applyFill="1" applyBorder="1"/>
    <xf numFmtId="0" fontId="14" fillId="11" borderId="35" xfId="25" applyFont="1" applyFill="1" applyBorder="1"/>
    <xf numFmtId="0" fontId="16" fillId="8" borderId="31" xfId="25" applyFont="1" applyFill="1" applyBorder="1" applyAlignment="1">
      <alignment horizontal="center" vertical="center" textRotation="90" wrapText="1"/>
    </xf>
    <xf numFmtId="0" fontId="16" fillId="8" borderId="27" xfId="25" applyFont="1" applyFill="1" applyBorder="1" applyAlignment="1">
      <alignment horizontal="center" vertical="center" textRotation="90" wrapText="1"/>
    </xf>
    <xf numFmtId="0" fontId="16" fillId="8" borderId="40" xfId="25" applyFont="1" applyFill="1" applyBorder="1" applyAlignment="1">
      <alignment horizontal="center" vertical="center" wrapText="1"/>
    </xf>
    <xf numFmtId="0" fontId="17" fillId="8" borderId="39" xfId="25" applyFont="1" applyFill="1" applyBorder="1" applyAlignment="1">
      <alignment horizontal="center" vertical="center" wrapText="1"/>
    </xf>
    <xf numFmtId="0" fontId="17" fillId="8" borderId="37" xfId="25" applyFont="1" applyFill="1" applyBorder="1" applyAlignment="1">
      <alignment horizontal="center" vertical="center" wrapText="1"/>
    </xf>
    <xf numFmtId="0" fontId="17" fillId="8" borderId="35" xfId="25" applyFont="1" applyFill="1" applyBorder="1" applyAlignment="1">
      <alignment horizontal="center" vertical="center" wrapText="1"/>
    </xf>
    <xf numFmtId="0" fontId="1" fillId="0" borderId="16" xfId="25" applyFont="1" applyBorder="1" applyAlignment="1">
      <alignment horizontal="right"/>
    </xf>
    <xf numFmtId="0" fontId="1" fillId="0" borderId="15" xfId="25" applyFont="1" applyBorder="1" applyAlignment="1">
      <alignment horizontal="right"/>
    </xf>
    <xf numFmtId="0" fontId="1" fillId="0" borderId="18" xfId="25" applyFont="1" applyBorder="1" applyAlignment="1">
      <alignment horizontal="right"/>
    </xf>
    <xf numFmtId="0" fontId="1" fillId="0" borderId="7" xfId="25" applyFont="1" applyBorder="1" applyAlignment="1">
      <alignment horizontal="right"/>
    </xf>
    <xf numFmtId="0" fontId="1" fillId="0" borderId="21" xfId="25" applyFont="1" applyBorder="1" applyAlignment="1">
      <alignment horizontal="right"/>
    </xf>
    <xf numFmtId="0" fontId="1" fillId="0" borderId="20" xfId="25" applyFont="1" applyBorder="1" applyAlignment="1">
      <alignment horizontal="right"/>
    </xf>
    <xf numFmtId="0" fontId="16" fillId="8" borderId="39" xfId="25" applyFont="1" applyFill="1" applyBorder="1" applyAlignment="1">
      <alignment horizontal="center" vertical="center" wrapText="1"/>
    </xf>
    <xf numFmtId="0" fontId="16" fillId="8" borderId="37" xfId="25" applyFont="1" applyFill="1" applyBorder="1" applyAlignment="1">
      <alignment horizontal="center" vertical="center" wrapText="1"/>
    </xf>
    <xf numFmtId="0" fontId="16" fillId="8" borderId="35" xfId="25" applyFont="1" applyFill="1" applyBorder="1" applyAlignment="1">
      <alignment horizontal="center" vertical="center" wrapText="1"/>
    </xf>
    <xf numFmtId="0" fontId="20" fillId="0" borderId="36" xfId="25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6" fillId="8" borderId="66" xfId="25" applyFont="1" applyFill="1" applyBorder="1" applyAlignment="1">
      <alignment horizontal="center" vertical="center" textRotation="90" wrapText="1"/>
    </xf>
    <xf numFmtId="0" fontId="16" fillId="8" borderId="68" xfId="25" applyFont="1" applyFill="1" applyBorder="1" applyAlignment="1">
      <alignment horizontal="center" vertical="center" textRotation="90" wrapText="1"/>
    </xf>
    <xf numFmtId="0" fontId="16" fillId="8" borderId="70" xfId="25" applyFont="1" applyFill="1" applyBorder="1" applyAlignment="1">
      <alignment horizontal="center" vertical="center" textRotation="90" wrapText="1"/>
    </xf>
    <xf numFmtId="0" fontId="16" fillId="8" borderId="61" xfId="25" applyFont="1" applyFill="1" applyBorder="1" applyAlignment="1">
      <alignment horizontal="center" vertical="center" wrapText="1"/>
    </xf>
    <xf numFmtId="0" fontId="16" fillId="8" borderId="62" xfId="25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11" borderId="0" xfId="25" applyFont="1" applyFill="1" applyAlignment="1">
      <alignment horizontal="right" vertical="center"/>
    </xf>
    <xf numFmtId="1" fontId="1" fillId="11" borderId="0" xfId="25" applyNumberFormat="1" applyFont="1" applyFill="1" applyAlignment="1">
      <alignment horizontal="center" vertical="center"/>
    </xf>
  </cellXfs>
  <cellStyles count="2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  <cellStyle name="Normal 2" xfId="25" xr:uid="{29C6D644-7879-4137-8C63-5107326EC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7" Type="http://schemas.openxmlformats.org/officeDocument/2006/relationships/image" Target="../media/image7.emf"/><Relationship Id="rId1" Type="http://schemas.openxmlformats.org/officeDocument/2006/relationships/customXml" Target="../ink/ink1.xml"/><Relationship Id="rId6" Type="http://schemas.openxmlformats.org/officeDocument/2006/relationships/image" Target="../media/image6.emf"/><Relationship Id="rId5" Type="http://schemas.openxmlformats.org/officeDocument/2006/relationships/image" Target="../media/image5.jpg"/><Relationship Id="rId4" Type="http://schemas.openxmlformats.org/officeDocument/2006/relationships/image" Target="../media/image4.png"/><Relationship Id="rId9" Type="http://schemas.openxmlformats.org/officeDocument/2006/relationships/image" Target="../media/image9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Relationship Id="rId4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556470</xdr:colOff>
          <xdr:row>2</xdr:row>
          <xdr:rowOff>184163</xdr:rowOff>
        </xdr:from>
        <xdr:ext cx="1545802" cy="1534023"/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AE9B2B10-DCE6-4B3C-A499-F61EAD9C0C2C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Selection_pose" spid="_x0000_s12645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4614948" y="565163"/>
              <a:ext cx="1545802" cy="1534023"/>
            </a:xfrm>
            <a:prstGeom prst="rect">
              <a:avLst/>
            </a:prstGeom>
            <a:solidFill>
              <a:schemeClr val="bg1"/>
            </a:solidFill>
            <a:ln w="12700" cmpd="sng">
              <a:solidFill>
                <a:schemeClr val="tx1">
                  <a:lumMod val="95000"/>
                  <a:lumOff val="5000"/>
                </a:schemeClr>
              </a:solidFill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556762</xdr:colOff>
          <xdr:row>11</xdr:row>
          <xdr:rowOff>80634</xdr:rowOff>
        </xdr:from>
        <xdr:to>
          <xdr:col>6</xdr:col>
          <xdr:colOff>792349</xdr:colOff>
          <xdr:row>19</xdr:row>
          <xdr:rowOff>120342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8F97F4E5-6878-4583-BE35-8B6FB07AAAF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li" spid="_x0000_s1264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731197" y="2176134"/>
              <a:ext cx="1544239" cy="156370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1270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11</xdr:col>
      <xdr:colOff>124239</xdr:colOff>
      <xdr:row>21</xdr:row>
      <xdr:rowOff>99391</xdr:rowOff>
    </xdr:from>
    <xdr:to>
      <xdr:col>11</xdr:col>
      <xdr:colOff>149087</xdr:colOff>
      <xdr:row>21</xdr:row>
      <xdr:rowOff>99391</xdr:rowOff>
    </xdr:to>
    <xdr:cxnSp macro="">
      <xdr:nvCxnSpPr>
        <xdr:cNvPr id="48" name="Connecteur droit 47">
          <a:extLst>
            <a:ext uri="{FF2B5EF4-FFF2-40B4-BE49-F238E27FC236}">
              <a16:creationId xmlns:a16="http://schemas.microsoft.com/office/drawing/2014/main" id="{724355FD-E3EA-4D67-872A-AD2A0417F958}"/>
            </a:ext>
          </a:extLst>
        </xdr:cNvPr>
        <xdr:cNvCxnSpPr/>
      </xdr:nvCxnSpPr>
      <xdr:spPr>
        <a:xfrm>
          <a:off x="8274326" y="3909391"/>
          <a:ext cx="2484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179294</xdr:colOff>
      <xdr:row>12</xdr:row>
      <xdr:rowOff>93223</xdr:rowOff>
    </xdr:from>
    <xdr:to>
      <xdr:col>14</xdr:col>
      <xdr:colOff>6670</xdr:colOff>
      <xdr:row>23</xdr:row>
      <xdr:rowOff>101330</xdr:rowOff>
    </xdr:to>
    <xdr:grpSp>
      <xdr:nvGrpSpPr>
        <xdr:cNvPr id="72" name="Groupe 71">
          <a:extLst>
            <a:ext uri="{FF2B5EF4-FFF2-40B4-BE49-F238E27FC236}">
              <a16:creationId xmlns:a16="http://schemas.microsoft.com/office/drawing/2014/main" id="{16C51ED5-6CA4-4409-B84D-200CF2F9A2FC}"/>
            </a:ext>
          </a:extLst>
        </xdr:cNvPr>
        <xdr:cNvGrpSpPr/>
      </xdr:nvGrpSpPr>
      <xdr:grpSpPr>
        <a:xfrm>
          <a:off x="8859468" y="2379223"/>
          <a:ext cx="1210572" cy="2103607"/>
          <a:chOff x="8333195" y="2188723"/>
          <a:chExt cx="985092" cy="2103607"/>
        </a:xfrm>
      </xdr:grpSpPr>
      <xdr:grpSp>
        <xdr:nvGrpSpPr>
          <xdr:cNvPr id="71" name="Groupe 70">
            <a:extLst>
              <a:ext uri="{FF2B5EF4-FFF2-40B4-BE49-F238E27FC236}">
                <a16:creationId xmlns:a16="http://schemas.microsoft.com/office/drawing/2014/main" id="{5C87D24C-B92B-4D47-9603-51626D68C522}"/>
              </a:ext>
            </a:extLst>
          </xdr:cNvPr>
          <xdr:cNvGrpSpPr/>
        </xdr:nvGrpSpPr>
        <xdr:grpSpPr>
          <a:xfrm>
            <a:off x="8333195" y="3880670"/>
            <a:ext cx="630527" cy="411660"/>
            <a:chOff x="8333195" y="3880670"/>
            <a:chExt cx="630527" cy="411660"/>
          </a:xfrm>
        </xdr:grpSpPr>
        <xdr:cxnSp macro="">
          <xdr:nvCxnSpPr>
            <xdr:cNvPr id="51" name="Connecteur droit 50">
              <a:extLst>
                <a:ext uri="{FF2B5EF4-FFF2-40B4-BE49-F238E27FC236}">
                  <a16:creationId xmlns:a16="http://schemas.microsoft.com/office/drawing/2014/main" id="{D550C942-9992-4953-A212-5080331348D7}"/>
                </a:ext>
              </a:extLst>
            </xdr:cNvPr>
            <xdr:cNvCxnSpPr/>
          </xdr:nvCxnSpPr>
          <xdr:spPr>
            <a:xfrm>
              <a:off x="8955615" y="3880670"/>
              <a:ext cx="0" cy="411660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55" name="Connecteur droit 54">
              <a:extLst>
                <a:ext uri="{FF2B5EF4-FFF2-40B4-BE49-F238E27FC236}">
                  <a16:creationId xmlns:a16="http://schemas.microsoft.com/office/drawing/2014/main" id="{39DAB2AA-8D7B-4BB2-B782-EF3932A23F18}"/>
                </a:ext>
              </a:extLst>
            </xdr:cNvPr>
            <xdr:cNvCxnSpPr/>
          </xdr:nvCxnSpPr>
          <xdr:spPr>
            <a:xfrm>
              <a:off x="8340008" y="3884547"/>
              <a:ext cx="615606" cy="0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0" name="Connecteur droit 59">
              <a:extLst>
                <a:ext uri="{FF2B5EF4-FFF2-40B4-BE49-F238E27FC236}">
                  <a16:creationId xmlns:a16="http://schemas.microsoft.com/office/drawing/2014/main" id="{94734126-A77B-475E-A584-C9A552D7D4F9}"/>
                </a:ext>
              </a:extLst>
            </xdr:cNvPr>
            <xdr:cNvCxnSpPr/>
          </xdr:nvCxnSpPr>
          <xdr:spPr>
            <a:xfrm>
              <a:off x="8333195" y="4289866"/>
              <a:ext cx="630527" cy="0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70" name="Groupe 69">
            <a:extLst>
              <a:ext uri="{FF2B5EF4-FFF2-40B4-BE49-F238E27FC236}">
                <a16:creationId xmlns:a16="http://schemas.microsoft.com/office/drawing/2014/main" id="{A3EB770F-ADCD-40B5-8E3D-AF4B083DE653}"/>
              </a:ext>
            </a:extLst>
          </xdr:cNvPr>
          <xdr:cNvGrpSpPr/>
        </xdr:nvGrpSpPr>
        <xdr:grpSpPr>
          <a:xfrm>
            <a:off x="8953499" y="2188723"/>
            <a:ext cx="364788" cy="1888788"/>
            <a:chOff x="8953499" y="2188723"/>
            <a:chExt cx="364788" cy="1888788"/>
          </a:xfrm>
        </xdr:grpSpPr>
        <xdr:cxnSp macro="">
          <xdr:nvCxnSpPr>
            <xdr:cNvPr id="50" name="Connecteur droit 49">
              <a:extLst>
                <a:ext uri="{FF2B5EF4-FFF2-40B4-BE49-F238E27FC236}">
                  <a16:creationId xmlns:a16="http://schemas.microsoft.com/office/drawing/2014/main" id="{BF4CBDE5-091D-4875-95EB-3233A7776EE8}"/>
                </a:ext>
              </a:extLst>
            </xdr:cNvPr>
            <xdr:cNvCxnSpPr/>
          </xdr:nvCxnSpPr>
          <xdr:spPr>
            <a:xfrm>
              <a:off x="9315820" y="2188723"/>
              <a:ext cx="0" cy="1888788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3" name="Connecteur droit 62">
              <a:extLst>
                <a:ext uri="{FF2B5EF4-FFF2-40B4-BE49-F238E27FC236}">
                  <a16:creationId xmlns:a16="http://schemas.microsoft.com/office/drawing/2014/main" id="{7F37E49F-EDA9-4C40-BEC4-EA7693FA7C23}"/>
                </a:ext>
              </a:extLst>
            </xdr:cNvPr>
            <xdr:cNvCxnSpPr/>
          </xdr:nvCxnSpPr>
          <xdr:spPr>
            <a:xfrm>
              <a:off x="8953499" y="4075047"/>
              <a:ext cx="364788" cy="0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7" name="Connecteur droit 66">
              <a:extLst>
                <a:ext uri="{FF2B5EF4-FFF2-40B4-BE49-F238E27FC236}">
                  <a16:creationId xmlns:a16="http://schemas.microsoft.com/office/drawing/2014/main" id="{0F074E36-1110-4E52-BB7E-AA2ADA43E65F}"/>
                </a:ext>
              </a:extLst>
            </xdr:cNvPr>
            <xdr:cNvCxnSpPr/>
          </xdr:nvCxnSpPr>
          <xdr:spPr>
            <a:xfrm>
              <a:off x="9196691" y="2194366"/>
              <a:ext cx="121596" cy="0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69" name="Connecteur droit 68">
              <a:extLst>
                <a:ext uri="{FF2B5EF4-FFF2-40B4-BE49-F238E27FC236}">
                  <a16:creationId xmlns:a16="http://schemas.microsoft.com/office/drawing/2014/main" id="{223E4BC6-DCF9-4CA6-AE9B-0EBECD536B2C}"/>
                </a:ext>
              </a:extLst>
            </xdr:cNvPr>
            <xdr:cNvCxnSpPr/>
          </xdr:nvCxnSpPr>
          <xdr:spPr>
            <a:xfrm>
              <a:off x="9196691" y="3154973"/>
              <a:ext cx="121596" cy="0"/>
            </a:xfrm>
            <a:prstGeom prst="line">
              <a:avLst/>
            </a:prstGeom>
            <a:ln w="19050">
              <a:solidFill>
                <a:srgbClr val="0070C0"/>
              </a:solidFill>
            </a:ln>
          </xdr:spPr>
          <xdr:style>
            <a:lnRef idx="2">
              <a:schemeClr val="dk1"/>
            </a:lnRef>
            <a:fillRef idx="0">
              <a:schemeClr val="dk1"/>
            </a:fillRef>
            <a:effectRef idx="1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361425</xdr:colOff>
      <xdr:row>9</xdr:row>
      <xdr:rowOff>171180</xdr:rowOff>
    </xdr:from>
    <xdr:to>
      <xdr:col>14</xdr:col>
      <xdr:colOff>361785</xdr:colOff>
      <xdr:row>9</xdr:row>
      <xdr:rowOff>171540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8" name="Encre 17">
              <a:extLst>
                <a:ext uri="{FF2B5EF4-FFF2-40B4-BE49-F238E27FC236}">
                  <a16:creationId xmlns:a16="http://schemas.microsoft.com/office/drawing/2014/main" id="{C397ED9D-212B-418D-A5C1-E7B8CFD9414C}"/>
                </a:ext>
              </a:extLst>
            </xdr14:cNvPr>
            <xdr14:cNvContentPartPr/>
          </xdr14:nvContentPartPr>
          <xdr14:nvPr macro=""/>
          <xdr14:xfrm>
            <a:off x="10524600" y="3885930"/>
            <a:ext cx="360" cy="360"/>
          </xdr14:xfrm>
        </xdr:contentPart>
      </mc:Choice>
      <mc:Fallback xmlns="">
        <xdr:pic>
          <xdr:nvPicPr>
            <xdr:cNvPr id="18" name="Encre 17">
              <a:extLst>
                <a:ext uri="{FF2B5EF4-FFF2-40B4-BE49-F238E27FC236}">
                  <a16:creationId xmlns:a16="http://schemas.microsoft.com/office/drawing/2014/main" id="{C397ED9D-212B-418D-A5C1-E7B8CFD9414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0515960" y="387729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737777</xdr:colOff>
      <xdr:row>12</xdr:row>
      <xdr:rowOff>341018</xdr:rowOff>
    </xdr:from>
    <xdr:to>
      <xdr:col>6</xdr:col>
      <xdr:colOff>435093</xdr:colOff>
      <xdr:row>21</xdr:row>
      <xdr:rowOff>89795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19D6A11D-8C1C-4037-8A24-51310A7EA8BC}"/>
            </a:ext>
          </a:extLst>
        </xdr:cNvPr>
        <xdr:cNvGrpSpPr/>
      </xdr:nvGrpSpPr>
      <xdr:grpSpPr>
        <a:xfrm>
          <a:off x="737777" y="4913018"/>
          <a:ext cx="4179669" cy="3177777"/>
          <a:chOff x="514350" y="4342840"/>
          <a:chExt cx="4349003" cy="3218562"/>
        </a:xfrm>
      </xdr:grpSpPr>
      <xdr:pic>
        <xdr:nvPicPr>
          <xdr:cNvPr id="15" name="Image 14">
            <a:extLst>
              <a:ext uri="{FF2B5EF4-FFF2-40B4-BE49-F238E27FC236}">
                <a16:creationId xmlns:a16="http://schemas.microsoft.com/office/drawing/2014/main" id="{6F8F612C-5BC1-4C3F-A6F8-61EA0D33B4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514350" y="4342840"/>
            <a:ext cx="4349003" cy="3218562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grpSp>
            <xdr:nvGrpSpPr>
              <xdr:cNvPr id="4" name="Groupe 3">
                <a:extLst>
                  <a:ext uri="{FF2B5EF4-FFF2-40B4-BE49-F238E27FC236}">
                    <a16:creationId xmlns:a16="http://schemas.microsoft.com/office/drawing/2014/main" id="{B8A9B83D-6294-4949-B3D4-E9584AA8D632}"/>
                  </a:ext>
                </a:extLst>
              </xdr:cNvPr>
              <xdr:cNvGrpSpPr/>
            </xdr:nvGrpSpPr>
            <xdr:grpSpPr>
              <a:xfrm>
                <a:off x="857250" y="4600575"/>
                <a:ext cx="3747447" cy="2723030"/>
                <a:chOff x="150298" y="4381500"/>
                <a:chExt cx="3719853" cy="2705100"/>
              </a:xfrm>
            </xdr:grpSpPr>
            <xdr:pic>
              <xdr:nvPicPr>
                <xdr:cNvPr id="2" name="Image 1">
                  <a:extLst>
                    <a:ext uri="{FF2B5EF4-FFF2-40B4-BE49-F238E27FC236}">
                      <a16:creationId xmlns:a16="http://schemas.microsoft.com/office/drawing/2014/main" id="{FF633958-DD7F-4BD2-BC8E-956D74442163}"/>
                    </a:ext>
                  </a:extLst>
                </xdr:cNvPr>
                <xdr:cNvPicPr>
                  <a:picLocks noChangeAspect="1"/>
                  <a:extLst>
                    <a:ext uri="{84589F7E-364E-4C9E-8A38-B11213B215E9}">
                      <a14:cameraTool cellRange="hauteur" spid="_x0000_s4955"/>
                    </a:ext>
                  </a:extLst>
                </xdr:cNvPicPr>
              </xdr:nvPicPr>
              <xdr:blipFill>
                <a:blip xmlns:r="http://schemas.openxmlformats.org/officeDocument/2006/relationships" r:embed="rId6"/>
                <a:stretch>
                  <a:fillRect/>
                </a:stretch>
              </xdr:blipFill>
              <xdr:spPr>
                <a:xfrm>
                  <a:off x="150298" y="4383593"/>
                  <a:ext cx="3719853" cy="2703007"/>
                </a:xfrm>
                <a:prstGeom prst="rect">
                  <a:avLst/>
                </a:prstGeom>
              </xdr:spPr>
            </xdr:pic>
            <xdr:pic>
              <xdr:nvPicPr>
                <xdr:cNvPr id="12" name="Image 11">
                  <a:extLst>
                    <a:ext uri="{FF2B5EF4-FFF2-40B4-BE49-F238E27FC236}">
                      <a16:creationId xmlns:a16="http://schemas.microsoft.com/office/drawing/2014/main" id="{16C15351-A15A-4251-A9D2-EB84EFF28B35}"/>
                    </a:ext>
                  </a:extLst>
                </xdr:cNvPr>
                <xdr:cNvPicPr>
                  <a:picLocks noChangeAspect="1"/>
                  <a:extLst>
                    <a:ext uri="{84589F7E-364E-4C9E-8A38-B11213B215E9}">
                      <a14:cameraTool cellRange="largeur" spid="_x0000_s4956"/>
                    </a:ext>
                  </a:extLst>
                </xdr:cNvPicPr>
              </xdr:nvPicPr>
              <xdr:blipFill>
                <a:blip xmlns:r="http://schemas.openxmlformats.org/officeDocument/2006/relationships" r:embed="rId7"/>
                <a:stretch>
                  <a:fillRect/>
                </a:stretch>
              </xdr:blipFill>
              <xdr:spPr>
                <a:xfrm>
                  <a:off x="156955" y="4381500"/>
                  <a:ext cx="3711258" cy="2703007"/>
                </a:xfrm>
                <a:prstGeom prst="rect">
                  <a:avLst/>
                </a:prstGeom>
              </xdr:spPr>
            </xdr:pic>
          </xdr:grpSp>
        </mc:Choice>
        <mc:Fallback/>
      </mc:AlternateContent>
    </xdr:grpSp>
    <xdr:clientData/>
  </xdr:twoCellAnchor>
  <xdr:twoCellAnchor>
    <xdr:from>
      <xdr:col>18</xdr:col>
      <xdr:colOff>501290</xdr:colOff>
      <xdr:row>12</xdr:row>
      <xdr:rowOff>352778</xdr:rowOff>
    </xdr:from>
    <xdr:to>
      <xdr:col>24</xdr:col>
      <xdr:colOff>507640</xdr:colOff>
      <xdr:row>21</xdr:row>
      <xdr:rowOff>129494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C64C5345-BAF8-4B71-B1C6-8B2A9A62D7C3}"/>
            </a:ext>
          </a:extLst>
        </xdr:cNvPr>
        <xdr:cNvGrpSpPr/>
      </xdr:nvGrpSpPr>
      <xdr:grpSpPr>
        <a:xfrm>
          <a:off x="12513996" y="4924778"/>
          <a:ext cx="4174938" cy="3205716"/>
          <a:chOff x="12206568" y="4342281"/>
          <a:chExt cx="4349003" cy="3209037"/>
        </a:xfrm>
      </xdr:grpSpPr>
      <xdr:pic>
        <xdr:nvPicPr>
          <xdr:cNvPr id="19" name="Image 18">
            <a:extLst>
              <a:ext uri="{FF2B5EF4-FFF2-40B4-BE49-F238E27FC236}">
                <a16:creationId xmlns:a16="http://schemas.microsoft.com/office/drawing/2014/main" id="{D0B829DE-F423-4A89-96E2-ADE58188C8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2206568" y="4342281"/>
            <a:ext cx="4349003" cy="3209037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grpSp>
            <xdr:nvGrpSpPr>
              <xdr:cNvPr id="5" name="Groupe 4">
                <a:extLst>
                  <a:ext uri="{FF2B5EF4-FFF2-40B4-BE49-F238E27FC236}">
                    <a16:creationId xmlns:a16="http://schemas.microsoft.com/office/drawing/2014/main" id="{8CD71A1D-95D8-4EFB-88D3-2D517A3703C5}"/>
                  </a:ext>
                </a:extLst>
              </xdr:cNvPr>
              <xdr:cNvGrpSpPr/>
            </xdr:nvGrpSpPr>
            <xdr:grpSpPr>
              <a:xfrm>
                <a:off x="12566416" y="4611633"/>
                <a:ext cx="3701923" cy="2720937"/>
                <a:chOff x="11894623" y="4459792"/>
                <a:chExt cx="3719853" cy="2703007"/>
              </a:xfrm>
            </xdr:grpSpPr>
            <xdr:pic>
              <xdr:nvPicPr>
                <xdr:cNvPr id="11" name="Image 10">
                  <a:extLst>
                    <a:ext uri="{FF2B5EF4-FFF2-40B4-BE49-F238E27FC236}">
                      <a16:creationId xmlns:a16="http://schemas.microsoft.com/office/drawing/2014/main" id="{2384A65B-CC12-47A6-AE27-521807BFE3BA}"/>
                    </a:ext>
                  </a:extLst>
                </xdr:cNvPr>
                <xdr:cNvPicPr>
                  <a:picLocks noChangeAspect="1"/>
                  <a:extLst>
                    <a:ext uri="{84589F7E-364E-4C9E-8A38-B11213B215E9}">
                      <a14:cameraTool cellRange="Intlargeur" spid="_x0000_s4957"/>
                    </a:ext>
                  </a:extLst>
                </xdr:cNvPicPr>
              </xdr:nvPicPr>
              <xdr:blipFill>
                <a:blip xmlns:r="http://schemas.openxmlformats.org/officeDocument/2006/relationships" r:embed="rId8"/>
                <a:stretch>
                  <a:fillRect/>
                </a:stretch>
              </xdr:blipFill>
              <xdr:spPr>
                <a:xfrm>
                  <a:off x="11894623" y="4459792"/>
                  <a:ext cx="3719853" cy="2703007"/>
                </a:xfrm>
                <a:prstGeom prst="rect">
                  <a:avLst/>
                </a:prstGeom>
              </xdr:spPr>
            </xdr:pic>
            <xdr:pic>
              <xdr:nvPicPr>
                <xdr:cNvPr id="14" name="Image 13">
                  <a:extLst>
                    <a:ext uri="{FF2B5EF4-FFF2-40B4-BE49-F238E27FC236}">
                      <a16:creationId xmlns:a16="http://schemas.microsoft.com/office/drawing/2014/main" id="{E34933C7-4E01-4B23-BCD0-BBB5036E537A}"/>
                    </a:ext>
                  </a:extLst>
                </xdr:cNvPr>
                <xdr:cNvPicPr>
                  <a:picLocks noChangeAspect="1"/>
                  <a:extLst>
                    <a:ext uri="{84589F7E-364E-4C9E-8A38-B11213B215E9}">
                      <a14:cameraTool cellRange="Inthauteur" spid="_x0000_s4958"/>
                    </a:ext>
                  </a:extLst>
                </xdr:cNvPicPr>
              </xdr:nvPicPr>
              <xdr:blipFill>
                <a:blip xmlns:r="http://schemas.openxmlformats.org/officeDocument/2006/relationships" r:embed="rId6"/>
                <a:stretch>
                  <a:fillRect/>
                </a:stretch>
              </xdr:blipFill>
              <xdr:spPr>
                <a:xfrm>
                  <a:off x="11894624" y="4459792"/>
                  <a:ext cx="3719852" cy="2703005"/>
                </a:xfrm>
                <a:prstGeom prst="rect">
                  <a:avLst/>
                </a:prstGeom>
              </xdr:spPr>
            </xdr:pic>
          </xdr:grp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309841</xdr:colOff>
          <xdr:row>0</xdr:row>
          <xdr:rowOff>212839</xdr:rowOff>
        </xdr:from>
        <xdr:ext cx="2760570" cy="2454161"/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7BB1C43D-7A9D-4AED-8395-D88A9B4ACFF8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Selection_pose" spid="_x0000_s4959"/>
                </a:ext>
              </a:extLst>
            </xdr:cNvPicPr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8792694" y="212839"/>
              <a:ext cx="2760570" cy="2454161"/>
            </a:xfrm>
            <a:prstGeom prst="rect">
              <a:avLst/>
            </a:prstGeom>
            <a:solidFill>
              <a:schemeClr val="bg1"/>
            </a:solidFill>
            <a:ln w="12700">
              <a:solidFill>
                <a:schemeClr val="tx1">
                  <a:lumMod val="95000"/>
                  <a:lumOff val="5000"/>
                </a:schemeClr>
              </a:solidFill>
            </a:ln>
          </xdr:spPr>
        </xdr:pic>
        <xdr:clientData/>
      </xdr:oneCellAnchor>
    </mc:Choice>
    <mc:Fallback/>
  </mc:AlternateContent>
  <xdr:twoCellAnchor>
    <xdr:from>
      <xdr:col>16</xdr:col>
      <xdr:colOff>179294</xdr:colOff>
      <xdr:row>10</xdr:row>
      <xdr:rowOff>44824</xdr:rowOff>
    </xdr:from>
    <xdr:to>
      <xdr:col>17</xdr:col>
      <xdr:colOff>257735</xdr:colOff>
      <xdr:row>11</xdr:row>
      <xdr:rowOff>291353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7A2F7090-69A7-45A5-AE9D-362AF88F2258}"/>
            </a:ext>
          </a:extLst>
        </xdr:cNvPr>
        <xdr:cNvCxnSpPr/>
      </xdr:nvCxnSpPr>
      <xdr:spPr>
        <a:xfrm>
          <a:off x="11889441" y="3854824"/>
          <a:ext cx="459441" cy="627529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322229</xdr:colOff>
      <xdr:row>5</xdr:row>
      <xdr:rowOff>261430</xdr:rowOff>
    </xdr:from>
    <xdr:to>
      <xdr:col>4</xdr:col>
      <xdr:colOff>1307155</xdr:colOff>
      <xdr:row>5</xdr:row>
      <xdr:rowOff>1031537</xdr:rowOff>
    </xdr:to>
    <xdr:grpSp>
      <xdr:nvGrpSpPr>
        <xdr:cNvPr id="197" name="Groupe 196">
          <a:extLst>
            <a:ext uri="{FF2B5EF4-FFF2-40B4-BE49-F238E27FC236}">
              <a16:creationId xmlns:a16="http://schemas.microsoft.com/office/drawing/2014/main" id="{487AF5E5-F712-4971-B4F3-4861A72CA991}"/>
            </a:ext>
          </a:extLst>
        </xdr:cNvPr>
        <xdr:cNvGrpSpPr/>
      </xdr:nvGrpSpPr>
      <xdr:grpSpPr>
        <a:xfrm rot="5400000">
          <a:off x="6716138" y="3202021"/>
          <a:ext cx="770107" cy="984926"/>
          <a:chOff x="1957691" y="2837235"/>
          <a:chExt cx="770107" cy="984926"/>
        </a:xfrm>
      </xdr:grpSpPr>
      <xdr:sp macro="" textlink="">
        <xdr:nvSpPr>
          <xdr:cNvPr id="198" name="Rectangle 197">
            <a:extLst>
              <a:ext uri="{FF2B5EF4-FFF2-40B4-BE49-F238E27FC236}">
                <a16:creationId xmlns:a16="http://schemas.microsoft.com/office/drawing/2014/main" id="{27392756-95B6-4C68-A9D2-7407A06A86B3}"/>
              </a:ext>
            </a:extLst>
          </xdr:cNvPr>
          <xdr:cNvSpPr/>
        </xdr:nvSpPr>
        <xdr:spPr>
          <a:xfrm>
            <a:off x="1957691" y="2837235"/>
            <a:ext cx="770107" cy="984926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99" name="Groupe 198">
            <a:extLst>
              <a:ext uri="{FF2B5EF4-FFF2-40B4-BE49-F238E27FC236}">
                <a16:creationId xmlns:a16="http://schemas.microsoft.com/office/drawing/2014/main" id="{52B02843-C822-4345-9D69-6EE952701359}"/>
              </a:ext>
            </a:extLst>
          </xdr:cNvPr>
          <xdr:cNvGrpSpPr/>
        </xdr:nvGrpSpPr>
        <xdr:grpSpPr>
          <a:xfrm>
            <a:off x="1994169" y="2885873"/>
            <a:ext cx="693097" cy="895755"/>
            <a:chOff x="380999" y="2821022"/>
            <a:chExt cx="693097" cy="895755"/>
          </a:xfrm>
        </xdr:grpSpPr>
        <xdr:sp macro="" textlink="">
          <xdr:nvSpPr>
            <xdr:cNvPr id="200" name="Rectangle 199">
              <a:extLst>
                <a:ext uri="{FF2B5EF4-FFF2-40B4-BE49-F238E27FC236}">
                  <a16:creationId xmlns:a16="http://schemas.microsoft.com/office/drawing/2014/main" id="{39521A71-9F8F-49CC-9FAB-BA215F75C38C}"/>
                </a:ext>
              </a:extLst>
            </xdr:cNvPr>
            <xdr:cNvSpPr/>
          </xdr:nvSpPr>
          <xdr:spPr>
            <a:xfrm>
              <a:off x="380999" y="2821022"/>
              <a:ext cx="693097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01" name="Rectangle 200">
              <a:extLst>
                <a:ext uri="{FF2B5EF4-FFF2-40B4-BE49-F238E27FC236}">
                  <a16:creationId xmlns:a16="http://schemas.microsoft.com/office/drawing/2014/main" id="{F4A73634-B491-4538-AA76-9F4406FE631A}"/>
                </a:ext>
              </a:extLst>
            </xdr:cNvPr>
            <xdr:cNvSpPr/>
          </xdr:nvSpPr>
          <xdr:spPr>
            <a:xfrm>
              <a:off x="393160" y="2829129"/>
              <a:ext cx="676883" cy="48637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</xdr:col>
      <xdr:colOff>432288</xdr:colOff>
      <xdr:row>5</xdr:row>
      <xdr:rowOff>154022</xdr:rowOff>
    </xdr:from>
    <xdr:to>
      <xdr:col>1</xdr:col>
      <xdr:colOff>1125385</xdr:colOff>
      <xdr:row>5</xdr:row>
      <xdr:rowOff>1049777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3C8A2A5-538C-49F5-A036-1A851CB29AAC}"/>
            </a:ext>
          </a:extLst>
        </xdr:cNvPr>
        <xdr:cNvGrpSpPr/>
      </xdr:nvGrpSpPr>
      <xdr:grpSpPr>
        <a:xfrm>
          <a:off x="2003913" y="3202022"/>
          <a:ext cx="693097" cy="895755"/>
          <a:chOff x="2007576" y="3202022"/>
          <a:chExt cx="693097" cy="895755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FF007654-9CE5-4003-B43A-EC59BB22D118}"/>
              </a:ext>
            </a:extLst>
          </xdr:cNvPr>
          <xdr:cNvGrpSpPr/>
        </xdr:nvGrpSpPr>
        <xdr:grpSpPr>
          <a:xfrm>
            <a:off x="2007576" y="3202022"/>
            <a:ext cx="693097" cy="895755"/>
            <a:chOff x="380999" y="2821022"/>
            <a:chExt cx="693097" cy="895755"/>
          </a:xfrm>
        </xdr:grpSpPr>
        <xdr:sp macro="" textlink="">
          <xdr:nvSpPr>
            <xdr:cNvPr id="3" name="Rectangle 2">
              <a:extLst>
                <a:ext uri="{FF2B5EF4-FFF2-40B4-BE49-F238E27FC236}">
                  <a16:creationId xmlns:a16="http://schemas.microsoft.com/office/drawing/2014/main" id="{5DD2DC70-1317-4377-9794-910676B1489E}"/>
                </a:ext>
              </a:extLst>
            </xdr:cNvPr>
            <xdr:cNvSpPr/>
          </xdr:nvSpPr>
          <xdr:spPr>
            <a:xfrm>
              <a:off x="380999" y="2821022"/>
              <a:ext cx="693097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 b="1"/>
            </a:p>
          </xdr:txBody>
        </xdr:sp>
        <xdr:sp macro="" textlink="">
          <xdr:nvSpPr>
            <xdr:cNvPr id="5" name="Rectangle 4">
              <a:extLst>
                <a:ext uri="{FF2B5EF4-FFF2-40B4-BE49-F238E27FC236}">
                  <a16:creationId xmlns:a16="http://schemas.microsoft.com/office/drawing/2014/main" id="{CE73101A-2578-49E9-9DC7-172337B023B0}"/>
                </a:ext>
              </a:extLst>
            </xdr:cNvPr>
            <xdr:cNvSpPr/>
          </xdr:nvSpPr>
          <xdr:spPr>
            <a:xfrm>
              <a:off x="393160" y="2829129"/>
              <a:ext cx="676883" cy="48637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 b="1"/>
            </a:p>
          </xdr:txBody>
        </xdr:sp>
      </xdr:grp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CCF1CBAE-8DCF-4EA2-AA9D-D06D215ED3D8}"/>
              </a:ext>
            </a:extLst>
          </xdr:cNvPr>
          <xdr:cNvSpPr/>
        </xdr:nvSpPr>
        <xdr:spPr>
          <a:xfrm>
            <a:off x="2262928" y="3299298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1"/>
          </a:p>
        </xdr:txBody>
      </xdr:sp>
    </xdr:grpSp>
    <xdr:clientData/>
  </xdr:twoCellAnchor>
  <xdr:twoCellAnchor>
    <xdr:from>
      <xdr:col>4</xdr:col>
      <xdr:colOff>689043</xdr:colOff>
      <xdr:row>5</xdr:row>
      <xdr:rowOff>332362</xdr:rowOff>
    </xdr:from>
    <xdr:to>
      <xdr:col>4</xdr:col>
      <xdr:colOff>863330</xdr:colOff>
      <xdr:row>5</xdr:row>
      <xdr:rowOff>378081</xdr:rowOff>
    </xdr:to>
    <xdr:sp macro="" textlink="">
      <xdr:nvSpPr>
        <xdr:cNvPr id="240" name="Rectangle 239">
          <a:extLst>
            <a:ext uri="{FF2B5EF4-FFF2-40B4-BE49-F238E27FC236}">
              <a16:creationId xmlns:a16="http://schemas.microsoft.com/office/drawing/2014/main" id="{C5805A2B-1A56-45DE-860F-B5BB943F533E}"/>
            </a:ext>
          </a:extLst>
        </xdr:cNvPr>
        <xdr:cNvSpPr/>
      </xdr:nvSpPr>
      <xdr:spPr>
        <a:xfrm>
          <a:off x="5406958" y="2999362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243192</xdr:colOff>
      <xdr:row>5</xdr:row>
      <xdr:rowOff>299935</xdr:rowOff>
    </xdr:from>
    <xdr:to>
      <xdr:col>5</xdr:col>
      <xdr:colOff>1321340</xdr:colOff>
      <xdr:row>5</xdr:row>
      <xdr:rowOff>1025457</xdr:rowOff>
    </xdr:to>
    <xdr:grpSp>
      <xdr:nvGrpSpPr>
        <xdr:cNvPr id="250" name="Groupe 249">
          <a:extLst>
            <a:ext uri="{FF2B5EF4-FFF2-40B4-BE49-F238E27FC236}">
              <a16:creationId xmlns:a16="http://schemas.microsoft.com/office/drawing/2014/main" id="{77376321-5E04-499A-A540-AC478EED4D58}"/>
            </a:ext>
          </a:extLst>
        </xdr:cNvPr>
        <xdr:cNvGrpSpPr/>
      </xdr:nvGrpSpPr>
      <xdr:grpSpPr>
        <a:xfrm>
          <a:off x="8101317" y="3347935"/>
          <a:ext cx="1078148" cy="725522"/>
          <a:chOff x="243192" y="4349073"/>
          <a:chExt cx="1078148" cy="725522"/>
        </a:xfrm>
      </xdr:grpSpPr>
      <xdr:grpSp>
        <xdr:nvGrpSpPr>
          <xdr:cNvPr id="251" name="Groupe 250">
            <a:extLst>
              <a:ext uri="{FF2B5EF4-FFF2-40B4-BE49-F238E27FC236}">
                <a16:creationId xmlns:a16="http://schemas.microsoft.com/office/drawing/2014/main" id="{54B1A5BA-F041-48D5-B5AF-A1F2DF886FEE}"/>
              </a:ext>
            </a:extLst>
          </xdr:cNvPr>
          <xdr:cNvGrpSpPr/>
        </xdr:nvGrpSpPr>
        <xdr:grpSpPr>
          <a:xfrm>
            <a:off x="243192" y="4349073"/>
            <a:ext cx="1078148" cy="725522"/>
            <a:chOff x="380999" y="2821022"/>
            <a:chExt cx="1506268" cy="895755"/>
          </a:xfrm>
        </xdr:grpSpPr>
        <xdr:sp macro="" textlink="">
          <xdr:nvSpPr>
            <xdr:cNvPr id="253" name="Rectangle 252">
              <a:extLst>
                <a:ext uri="{FF2B5EF4-FFF2-40B4-BE49-F238E27FC236}">
                  <a16:creationId xmlns:a16="http://schemas.microsoft.com/office/drawing/2014/main" id="{18127009-E6AB-4153-91E2-8FF6577C0CA4}"/>
                </a:ext>
              </a:extLst>
            </xdr:cNvPr>
            <xdr:cNvSpPr/>
          </xdr:nvSpPr>
          <xdr:spPr>
            <a:xfrm>
              <a:off x="380999" y="2821022"/>
              <a:ext cx="1506268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54" name="Rectangle 253">
              <a:extLst>
                <a:ext uri="{FF2B5EF4-FFF2-40B4-BE49-F238E27FC236}">
                  <a16:creationId xmlns:a16="http://schemas.microsoft.com/office/drawing/2014/main" id="{C76BC978-244F-41A5-92C0-163B13DFC189}"/>
                </a:ext>
              </a:extLst>
            </xdr:cNvPr>
            <xdr:cNvSpPr/>
          </xdr:nvSpPr>
          <xdr:spPr>
            <a:xfrm>
              <a:off x="393159" y="2829129"/>
              <a:ext cx="1482781" cy="71962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cxnSp macro="">
        <xdr:nvCxnSpPr>
          <xdr:cNvPr id="252" name="Connecteur droit 251">
            <a:extLst>
              <a:ext uri="{FF2B5EF4-FFF2-40B4-BE49-F238E27FC236}">
                <a16:creationId xmlns:a16="http://schemas.microsoft.com/office/drawing/2014/main" id="{A216627C-92E5-4E8C-84FB-07867E355F45}"/>
              </a:ext>
            </a:extLst>
          </xdr:cNvPr>
          <xdr:cNvCxnSpPr>
            <a:stCxn id="253" idx="0"/>
            <a:endCxn id="253" idx="2"/>
          </xdr:cNvCxnSpPr>
        </xdr:nvCxnSpPr>
        <xdr:spPr>
          <a:xfrm>
            <a:off x="782266" y="4349073"/>
            <a:ext cx="0" cy="725522"/>
          </a:xfrm>
          <a:prstGeom prst="line">
            <a:avLst/>
          </a:prstGeom>
          <a:ln>
            <a:prstDash val="lg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95560</xdr:colOff>
      <xdr:row>5</xdr:row>
      <xdr:rowOff>378347</xdr:rowOff>
    </xdr:from>
    <xdr:to>
      <xdr:col>6</xdr:col>
      <xdr:colOff>1469591</xdr:colOff>
      <xdr:row>5</xdr:row>
      <xdr:rowOff>913370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334D386E-6F3A-4DC3-BFA5-4AEE16ADF772}"/>
            </a:ext>
          </a:extLst>
        </xdr:cNvPr>
        <xdr:cNvGrpSpPr/>
      </xdr:nvGrpSpPr>
      <xdr:grpSpPr>
        <a:xfrm>
          <a:off x="9525310" y="3426347"/>
          <a:ext cx="1374031" cy="535023"/>
          <a:chOff x="11144561" y="3477636"/>
          <a:chExt cx="1374031" cy="535023"/>
        </a:xfrm>
      </xdr:grpSpPr>
      <xdr:grpSp>
        <xdr:nvGrpSpPr>
          <xdr:cNvPr id="262" name="Groupe 261">
            <a:extLst>
              <a:ext uri="{FF2B5EF4-FFF2-40B4-BE49-F238E27FC236}">
                <a16:creationId xmlns:a16="http://schemas.microsoft.com/office/drawing/2014/main" id="{8B6148CC-E085-4B5C-9CEB-7C3F0838E2F9}"/>
              </a:ext>
            </a:extLst>
          </xdr:cNvPr>
          <xdr:cNvGrpSpPr/>
        </xdr:nvGrpSpPr>
        <xdr:grpSpPr>
          <a:xfrm>
            <a:off x="11144561" y="3477636"/>
            <a:ext cx="1374031" cy="535023"/>
            <a:chOff x="243192" y="4349073"/>
            <a:chExt cx="1078148" cy="725522"/>
          </a:xfrm>
        </xdr:grpSpPr>
        <xdr:grpSp>
          <xdr:nvGrpSpPr>
            <xdr:cNvPr id="263" name="Groupe 262">
              <a:extLst>
                <a:ext uri="{FF2B5EF4-FFF2-40B4-BE49-F238E27FC236}">
                  <a16:creationId xmlns:a16="http://schemas.microsoft.com/office/drawing/2014/main" id="{B9A10336-A0E9-47FE-B88A-7ABD209F81D4}"/>
                </a:ext>
              </a:extLst>
            </xdr:cNvPr>
            <xdr:cNvGrpSpPr/>
          </xdr:nvGrpSpPr>
          <xdr:grpSpPr>
            <a:xfrm>
              <a:off x="243192" y="4349073"/>
              <a:ext cx="1078148" cy="725522"/>
              <a:chOff x="380999" y="2821022"/>
              <a:chExt cx="1506268" cy="895755"/>
            </a:xfrm>
          </xdr:grpSpPr>
          <xdr:sp macro="" textlink="">
            <xdr:nvSpPr>
              <xdr:cNvPr id="265" name="Rectangle 264">
                <a:extLst>
                  <a:ext uri="{FF2B5EF4-FFF2-40B4-BE49-F238E27FC236}">
                    <a16:creationId xmlns:a16="http://schemas.microsoft.com/office/drawing/2014/main" id="{A6E38F8F-4091-42A2-B8C7-B637E5441CDA}"/>
                  </a:ext>
                </a:extLst>
              </xdr:cNvPr>
              <xdr:cNvSpPr/>
            </xdr:nvSpPr>
            <xdr:spPr>
              <a:xfrm>
                <a:off x="380999" y="2821022"/>
                <a:ext cx="1506268" cy="895755"/>
              </a:xfrm>
              <a:prstGeom prst="rect">
                <a:avLst/>
              </a:prstGeom>
              <a:solidFill>
                <a:schemeClr val="bg2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266" name="Rectangle 265">
                <a:extLst>
                  <a:ext uri="{FF2B5EF4-FFF2-40B4-BE49-F238E27FC236}">
                    <a16:creationId xmlns:a16="http://schemas.microsoft.com/office/drawing/2014/main" id="{FF8FDF48-8586-4DC5-91ED-C9D8E925FE4A}"/>
                  </a:ext>
                </a:extLst>
              </xdr:cNvPr>
              <xdr:cNvSpPr/>
            </xdr:nvSpPr>
            <xdr:spPr>
              <a:xfrm>
                <a:off x="393159" y="2829129"/>
                <a:ext cx="1482781" cy="71962"/>
              </a:xfrm>
              <a:prstGeom prst="rect">
                <a:avLst/>
              </a:prstGeom>
            </xdr:spPr>
            <xdr:style>
              <a:lnRef idx="2">
                <a:schemeClr val="accent6">
                  <a:shade val="50000"/>
                </a:schemeClr>
              </a:lnRef>
              <a:fillRef idx="1">
                <a:schemeClr val="accent6"/>
              </a:fillRef>
              <a:effectRef idx="0">
                <a:schemeClr val="accent6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  <xdr:cxnSp macro="">
          <xdr:nvCxnSpPr>
            <xdr:cNvPr id="264" name="Connecteur droit 263">
              <a:extLst>
                <a:ext uri="{FF2B5EF4-FFF2-40B4-BE49-F238E27FC236}">
                  <a16:creationId xmlns:a16="http://schemas.microsoft.com/office/drawing/2014/main" id="{852A60A0-59DF-4DAB-AF4E-C147A634676A}"/>
                </a:ext>
              </a:extLst>
            </xdr:cNvPr>
            <xdr:cNvCxnSpPr>
              <a:stCxn id="265" idx="0"/>
              <a:endCxn id="265" idx="2"/>
            </xdr:cNvCxnSpPr>
          </xdr:nvCxnSpPr>
          <xdr:spPr>
            <a:xfrm>
              <a:off x="782266" y="4349073"/>
              <a:ext cx="0" cy="725522"/>
            </a:xfrm>
            <a:prstGeom prst="line">
              <a:avLst/>
            </a:prstGeom>
            <a:ln>
              <a:prstDash val="lgDash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74" name="Rectangle 273">
            <a:extLst>
              <a:ext uri="{FF2B5EF4-FFF2-40B4-BE49-F238E27FC236}">
                <a16:creationId xmlns:a16="http://schemas.microsoft.com/office/drawing/2014/main" id="{F9939114-628A-431F-BFA6-79DB6DD70CD4}"/>
              </a:ext>
            </a:extLst>
          </xdr:cNvPr>
          <xdr:cNvSpPr/>
        </xdr:nvSpPr>
        <xdr:spPr>
          <a:xfrm>
            <a:off x="11382079" y="3553029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5" name="Rectangle 274">
            <a:extLst>
              <a:ext uri="{FF2B5EF4-FFF2-40B4-BE49-F238E27FC236}">
                <a16:creationId xmlns:a16="http://schemas.microsoft.com/office/drawing/2014/main" id="{E9B279DB-EA4A-450E-A398-23D3716CE147}"/>
              </a:ext>
            </a:extLst>
          </xdr:cNvPr>
          <xdr:cNvSpPr/>
        </xdr:nvSpPr>
        <xdr:spPr>
          <a:xfrm>
            <a:off x="12057341" y="3551407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40532</xdr:colOff>
      <xdr:row>5</xdr:row>
      <xdr:rowOff>255817</xdr:rowOff>
    </xdr:from>
    <xdr:to>
      <xdr:col>8</xdr:col>
      <xdr:colOff>1532105</xdr:colOff>
      <xdr:row>5</xdr:row>
      <xdr:rowOff>944858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38B7D01C-D49E-41E2-89C7-789F7DC76667}"/>
            </a:ext>
          </a:extLst>
        </xdr:cNvPr>
        <xdr:cNvGrpSpPr/>
      </xdr:nvGrpSpPr>
      <xdr:grpSpPr>
        <a:xfrm>
          <a:off x="12613532" y="3303817"/>
          <a:ext cx="1491573" cy="689041"/>
          <a:chOff x="12642840" y="3384414"/>
          <a:chExt cx="1491573" cy="689041"/>
        </a:xfrm>
      </xdr:grpSpPr>
      <xdr:grpSp>
        <xdr:nvGrpSpPr>
          <xdr:cNvPr id="267" name="Groupe 266">
            <a:extLst>
              <a:ext uri="{FF2B5EF4-FFF2-40B4-BE49-F238E27FC236}">
                <a16:creationId xmlns:a16="http://schemas.microsoft.com/office/drawing/2014/main" id="{1CCC5AE2-5622-4760-8D0C-63438D866689}"/>
              </a:ext>
            </a:extLst>
          </xdr:cNvPr>
          <xdr:cNvGrpSpPr/>
        </xdr:nvGrpSpPr>
        <xdr:grpSpPr>
          <a:xfrm>
            <a:off x="12642840" y="3384414"/>
            <a:ext cx="1491573" cy="689041"/>
            <a:chOff x="1771246" y="4278922"/>
            <a:chExt cx="1159212" cy="869320"/>
          </a:xfrm>
        </xdr:grpSpPr>
        <xdr:sp macro="" textlink="">
          <xdr:nvSpPr>
            <xdr:cNvPr id="268" name="Rectangle 267">
              <a:extLst>
                <a:ext uri="{FF2B5EF4-FFF2-40B4-BE49-F238E27FC236}">
                  <a16:creationId xmlns:a16="http://schemas.microsoft.com/office/drawing/2014/main" id="{78351832-6F88-40A8-B06A-985DFE4C8D67}"/>
                </a:ext>
              </a:extLst>
            </xdr:cNvPr>
            <xdr:cNvSpPr/>
          </xdr:nvSpPr>
          <xdr:spPr>
            <a:xfrm>
              <a:off x="1771246" y="4278922"/>
              <a:ext cx="1159212" cy="869320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pSp>
          <xdr:nvGrpSpPr>
            <xdr:cNvPr id="269" name="Groupe 268">
              <a:extLst>
                <a:ext uri="{FF2B5EF4-FFF2-40B4-BE49-F238E27FC236}">
                  <a16:creationId xmlns:a16="http://schemas.microsoft.com/office/drawing/2014/main" id="{F81EA606-772A-4BDD-9396-E19DD729EDC5}"/>
                </a:ext>
              </a:extLst>
            </xdr:cNvPr>
            <xdr:cNvGrpSpPr/>
          </xdr:nvGrpSpPr>
          <xdr:grpSpPr>
            <a:xfrm>
              <a:off x="1811777" y="4349073"/>
              <a:ext cx="1078148" cy="725522"/>
              <a:chOff x="243192" y="4349073"/>
              <a:chExt cx="1078148" cy="725522"/>
            </a:xfrm>
          </xdr:grpSpPr>
          <xdr:grpSp>
            <xdr:nvGrpSpPr>
              <xdr:cNvPr id="270" name="Groupe 269">
                <a:extLst>
                  <a:ext uri="{FF2B5EF4-FFF2-40B4-BE49-F238E27FC236}">
                    <a16:creationId xmlns:a16="http://schemas.microsoft.com/office/drawing/2014/main" id="{60C17C2E-529A-4BD9-912B-42E04F2933C4}"/>
                  </a:ext>
                </a:extLst>
              </xdr:cNvPr>
              <xdr:cNvGrpSpPr/>
            </xdr:nvGrpSpPr>
            <xdr:grpSpPr>
              <a:xfrm>
                <a:off x="243192" y="4349073"/>
                <a:ext cx="1078148" cy="725522"/>
                <a:chOff x="381000" y="2821022"/>
                <a:chExt cx="1506268" cy="895755"/>
              </a:xfrm>
            </xdr:grpSpPr>
            <xdr:sp macro="" textlink="">
              <xdr:nvSpPr>
                <xdr:cNvPr id="272" name="Rectangle 271">
                  <a:extLst>
                    <a:ext uri="{FF2B5EF4-FFF2-40B4-BE49-F238E27FC236}">
                      <a16:creationId xmlns:a16="http://schemas.microsoft.com/office/drawing/2014/main" id="{76D27C4F-EDBF-4123-A736-7DE62F6616D5}"/>
                    </a:ext>
                  </a:extLst>
                </xdr:cNvPr>
                <xdr:cNvSpPr/>
              </xdr:nvSpPr>
              <xdr:spPr>
                <a:xfrm>
                  <a:off x="381000" y="2821022"/>
                  <a:ext cx="1506268" cy="895755"/>
                </a:xfrm>
                <a:prstGeom prst="rect">
                  <a:avLst/>
                </a:prstGeom>
                <a:solidFill>
                  <a:schemeClr val="bg2"/>
                </a:solidFill>
                <a:ln>
                  <a:solidFill>
                    <a:schemeClr val="tx1">
                      <a:lumMod val="95000"/>
                      <a:lumOff val="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">
              <xdr:nvSpPr>
                <xdr:cNvPr id="273" name="Rectangle 272">
                  <a:extLst>
                    <a:ext uri="{FF2B5EF4-FFF2-40B4-BE49-F238E27FC236}">
                      <a16:creationId xmlns:a16="http://schemas.microsoft.com/office/drawing/2014/main" id="{2E968BFA-1C67-4BCD-8ACA-5FD5E1C1E3D2}"/>
                    </a:ext>
                  </a:extLst>
                </xdr:cNvPr>
                <xdr:cNvSpPr/>
              </xdr:nvSpPr>
              <xdr:spPr>
                <a:xfrm>
                  <a:off x="393159" y="2829129"/>
                  <a:ext cx="1482781" cy="71962"/>
                </a:xfrm>
                <a:prstGeom prst="rect">
                  <a:avLst/>
                </a:prstGeom>
              </xdr:spPr>
              <xdr:style>
                <a:lnRef idx="2">
                  <a:schemeClr val="accent6">
                    <a:shade val="50000"/>
                  </a:schemeClr>
                </a:lnRef>
                <a:fillRef idx="1">
                  <a:schemeClr val="accent6"/>
                </a:fillRef>
                <a:effectRef idx="0">
                  <a:schemeClr val="accent6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  <xdr:cxnSp macro="">
            <xdr:nvCxnSpPr>
              <xdr:cNvPr id="271" name="Connecteur droit 270">
                <a:extLst>
                  <a:ext uri="{FF2B5EF4-FFF2-40B4-BE49-F238E27FC236}">
                    <a16:creationId xmlns:a16="http://schemas.microsoft.com/office/drawing/2014/main" id="{817BF86F-D963-40EB-A55E-42502FA1A6EC}"/>
                  </a:ext>
                </a:extLst>
              </xdr:cNvPr>
              <xdr:cNvCxnSpPr>
                <a:stCxn id="272" idx="0"/>
                <a:endCxn id="272" idx="2"/>
              </xdr:cNvCxnSpPr>
            </xdr:nvCxnSpPr>
            <xdr:spPr>
              <a:xfrm>
                <a:off x="782266" y="4349073"/>
                <a:ext cx="0" cy="725522"/>
              </a:xfrm>
              <a:prstGeom prst="line">
                <a:avLst/>
              </a:prstGeom>
              <a:ln>
                <a:prstDash val="lgDash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276" name="Rectangle 275">
            <a:extLst>
              <a:ext uri="{FF2B5EF4-FFF2-40B4-BE49-F238E27FC236}">
                <a16:creationId xmlns:a16="http://schemas.microsoft.com/office/drawing/2014/main" id="{80F7A60E-6432-4182-9C78-0853A1E8F468}"/>
              </a:ext>
            </a:extLst>
          </xdr:cNvPr>
          <xdr:cNvSpPr/>
        </xdr:nvSpPr>
        <xdr:spPr>
          <a:xfrm>
            <a:off x="12977634" y="3532763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7" name="Rectangle 276">
            <a:extLst>
              <a:ext uri="{FF2B5EF4-FFF2-40B4-BE49-F238E27FC236}">
                <a16:creationId xmlns:a16="http://schemas.microsoft.com/office/drawing/2014/main" id="{E72E9D98-9C2C-4AD3-A3DD-353CA23F35FB}"/>
              </a:ext>
            </a:extLst>
          </xdr:cNvPr>
          <xdr:cNvSpPr/>
        </xdr:nvSpPr>
        <xdr:spPr>
          <a:xfrm>
            <a:off x="13652896" y="3531141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411805</xdr:colOff>
      <xdr:row>5</xdr:row>
      <xdr:rowOff>391540</xdr:rowOff>
    </xdr:from>
    <xdr:to>
      <xdr:col>5</xdr:col>
      <xdr:colOff>586092</xdr:colOff>
      <xdr:row>5</xdr:row>
      <xdr:rowOff>437259</xdr:rowOff>
    </xdr:to>
    <xdr:sp macro="" textlink="">
      <xdr:nvSpPr>
        <xdr:cNvPr id="278" name="Rectangle 277">
          <a:extLst>
            <a:ext uri="{FF2B5EF4-FFF2-40B4-BE49-F238E27FC236}">
              <a16:creationId xmlns:a16="http://schemas.microsoft.com/office/drawing/2014/main" id="{83FDD1FD-5C6E-401F-9B84-90D7F008DD76}"/>
            </a:ext>
          </a:extLst>
        </xdr:cNvPr>
        <xdr:cNvSpPr/>
      </xdr:nvSpPr>
      <xdr:spPr>
        <a:xfrm>
          <a:off x="411805" y="4439665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965471</xdr:colOff>
      <xdr:row>5</xdr:row>
      <xdr:rowOff>389918</xdr:rowOff>
    </xdr:from>
    <xdr:to>
      <xdr:col>5</xdr:col>
      <xdr:colOff>1139758</xdr:colOff>
      <xdr:row>5</xdr:row>
      <xdr:rowOff>435637</xdr:rowOff>
    </xdr:to>
    <xdr:sp macro="" textlink="">
      <xdr:nvSpPr>
        <xdr:cNvPr id="279" name="Rectangle 278">
          <a:extLst>
            <a:ext uri="{FF2B5EF4-FFF2-40B4-BE49-F238E27FC236}">
              <a16:creationId xmlns:a16="http://schemas.microsoft.com/office/drawing/2014/main" id="{46732748-ABE6-4FF0-8F5D-2D7A36A0542E}"/>
            </a:ext>
          </a:extLst>
        </xdr:cNvPr>
        <xdr:cNvSpPr/>
      </xdr:nvSpPr>
      <xdr:spPr>
        <a:xfrm>
          <a:off x="965471" y="4438043"/>
          <a:ext cx="174287" cy="4571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</xdr:row>
      <xdr:rowOff>573577</xdr:rowOff>
    </xdr:from>
    <xdr:to>
      <xdr:col>3</xdr:col>
      <xdr:colOff>5443</xdr:colOff>
      <xdr:row>1</xdr:row>
      <xdr:rowOff>573577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502BD3C8-862B-437B-9223-FB6868649B6B}"/>
            </a:ext>
          </a:extLst>
        </xdr:cNvPr>
        <xdr:cNvCxnSpPr/>
      </xdr:nvCxnSpPr>
      <xdr:spPr>
        <a:xfrm>
          <a:off x="3148263" y="774103"/>
          <a:ext cx="1579575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792079</xdr:colOff>
      <xdr:row>1</xdr:row>
      <xdr:rowOff>1143000</xdr:rowOff>
    </xdr:from>
    <xdr:to>
      <xdr:col>2</xdr:col>
      <xdr:colOff>792079</xdr:colOff>
      <xdr:row>2</xdr:row>
      <xdr:rowOff>1143000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245BFA78-69BA-412F-B70B-03A3B0721ED8}"/>
            </a:ext>
          </a:extLst>
        </xdr:cNvPr>
        <xdr:cNvCxnSpPr/>
      </xdr:nvCxnSpPr>
      <xdr:spPr>
        <a:xfrm>
          <a:off x="3940342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1567543</xdr:colOff>
      <xdr:row>1</xdr:row>
      <xdr:rowOff>383484</xdr:rowOff>
    </xdr:from>
    <xdr:to>
      <xdr:col>3</xdr:col>
      <xdr:colOff>1574131</xdr:colOff>
      <xdr:row>1</xdr:row>
      <xdr:rowOff>383484</xdr:rowOff>
    </xdr:to>
    <xdr:cxnSp macro="">
      <xdr:nvCxnSpPr>
        <xdr:cNvPr id="166" name="Connecteur droit 165">
          <a:extLst>
            <a:ext uri="{FF2B5EF4-FFF2-40B4-BE49-F238E27FC236}">
              <a16:creationId xmlns:a16="http://schemas.microsoft.com/office/drawing/2014/main" id="{3630C0CE-A066-4601-A6B2-35AE90D36B54}"/>
            </a:ext>
          </a:extLst>
        </xdr:cNvPr>
        <xdr:cNvCxnSpPr/>
      </xdr:nvCxnSpPr>
      <xdr:spPr>
        <a:xfrm>
          <a:off x="4715806" y="584010"/>
          <a:ext cx="1580720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1567543</xdr:colOff>
      <xdr:row>1</xdr:row>
      <xdr:rowOff>762813</xdr:rowOff>
    </xdr:from>
    <xdr:to>
      <xdr:col>3</xdr:col>
      <xdr:colOff>1574131</xdr:colOff>
      <xdr:row>1</xdr:row>
      <xdr:rowOff>762813</xdr:rowOff>
    </xdr:to>
    <xdr:cxnSp macro="">
      <xdr:nvCxnSpPr>
        <xdr:cNvPr id="167" name="Connecteur droit 166">
          <a:extLst>
            <a:ext uri="{FF2B5EF4-FFF2-40B4-BE49-F238E27FC236}">
              <a16:creationId xmlns:a16="http://schemas.microsoft.com/office/drawing/2014/main" id="{75AEA493-6DDD-42F2-8DD3-9DEC8A43AE79}"/>
            </a:ext>
          </a:extLst>
        </xdr:cNvPr>
        <xdr:cNvCxnSpPr/>
      </xdr:nvCxnSpPr>
      <xdr:spPr>
        <a:xfrm>
          <a:off x="4715806" y="963339"/>
          <a:ext cx="1580720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1054434</xdr:colOff>
      <xdr:row>1</xdr:row>
      <xdr:rowOff>1143000</xdr:rowOff>
    </xdr:from>
    <xdr:to>
      <xdr:col>3</xdr:col>
      <xdr:colOff>1054434</xdr:colOff>
      <xdr:row>2</xdr:row>
      <xdr:rowOff>1143000</xdr:rowOff>
    </xdr:to>
    <xdr:cxnSp macro="">
      <xdr:nvCxnSpPr>
        <xdr:cNvPr id="169" name="Connecteur droit 168">
          <a:extLst>
            <a:ext uri="{FF2B5EF4-FFF2-40B4-BE49-F238E27FC236}">
              <a16:creationId xmlns:a16="http://schemas.microsoft.com/office/drawing/2014/main" id="{690D811F-8C0C-47D8-8BFC-F48109667521}"/>
            </a:ext>
          </a:extLst>
        </xdr:cNvPr>
        <xdr:cNvCxnSpPr/>
      </xdr:nvCxnSpPr>
      <xdr:spPr>
        <a:xfrm>
          <a:off x="5776829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529723</xdr:colOff>
      <xdr:row>1</xdr:row>
      <xdr:rowOff>1143000</xdr:rowOff>
    </xdr:from>
    <xdr:to>
      <xdr:col>3</xdr:col>
      <xdr:colOff>529723</xdr:colOff>
      <xdr:row>2</xdr:row>
      <xdr:rowOff>1143000</xdr:rowOff>
    </xdr:to>
    <xdr:cxnSp macro="">
      <xdr:nvCxnSpPr>
        <xdr:cNvPr id="170" name="Connecteur droit 169">
          <a:extLst>
            <a:ext uri="{FF2B5EF4-FFF2-40B4-BE49-F238E27FC236}">
              <a16:creationId xmlns:a16="http://schemas.microsoft.com/office/drawing/2014/main" id="{749A61D2-BFC3-4A29-8772-48D5BA34F2D2}"/>
            </a:ext>
          </a:extLst>
        </xdr:cNvPr>
        <xdr:cNvCxnSpPr/>
      </xdr:nvCxnSpPr>
      <xdr:spPr>
        <a:xfrm>
          <a:off x="5252118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1</xdr:row>
      <xdr:rowOff>290299</xdr:rowOff>
    </xdr:from>
    <xdr:to>
      <xdr:col>5</xdr:col>
      <xdr:colOff>5443</xdr:colOff>
      <xdr:row>1</xdr:row>
      <xdr:rowOff>290299</xdr:rowOff>
    </xdr:to>
    <xdr:cxnSp macro="">
      <xdr:nvCxnSpPr>
        <xdr:cNvPr id="171" name="Connecteur droit 170">
          <a:extLst>
            <a:ext uri="{FF2B5EF4-FFF2-40B4-BE49-F238E27FC236}">
              <a16:creationId xmlns:a16="http://schemas.microsoft.com/office/drawing/2014/main" id="{57BB6F91-8994-492C-8010-684DB4B32385}"/>
            </a:ext>
          </a:extLst>
        </xdr:cNvPr>
        <xdr:cNvCxnSpPr/>
      </xdr:nvCxnSpPr>
      <xdr:spPr>
        <a:xfrm>
          <a:off x="6296527" y="490825"/>
          <a:ext cx="1579574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1</xdr:row>
      <xdr:rowOff>575011</xdr:rowOff>
    </xdr:from>
    <xdr:to>
      <xdr:col>5</xdr:col>
      <xdr:colOff>5443</xdr:colOff>
      <xdr:row>1</xdr:row>
      <xdr:rowOff>575011</xdr:rowOff>
    </xdr:to>
    <xdr:cxnSp macro="">
      <xdr:nvCxnSpPr>
        <xdr:cNvPr id="172" name="Connecteur droit 171">
          <a:extLst>
            <a:ext uri="{FF2B5EF4-FFF2-40B4-BE49-F238E27FC236}">
              <a16:creationId xmlns:a16="http://schemas.microsoft.com/office/drawing/2014/main" id="{1F43C2D7-E052-429C-A7DD-2A9BB9A5DF88}"/>
            </a:ext>
          </a:extLst>
        </xdr:cNvPr>
        <xdr:cNvCxnSpPr/>
      </xdr:nvCxnSpPr>
      <xdr:spPr>
        <a:xfrm>
          <a:off x="6296527" y="775537"/>
          <a:ext cx="1579574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</xdr:colOff>
      <xdr:row>1</xdr:row>
      <xdr:rowOff>859723</xdr:rowOff>
    </xdr:from>
    <xdr:to>
      <xdr:col>5</xdr:col>
      <xdr:colOff>5443</xdr:colOff>
      <xdr:row>1</xdr:row>
      <xdr:rowOff>859723</xdr:rowOff>
    </xdr:to>
    <xdr:cxnSp macro="">
      <xdr:nvCxnSpPr>
        <xdr:cNvPr id="173" name="Connecteur droit 172">
          <a:extLst>
            <a:ext uri="{FF2B5EF4-FFF2-40B4-BE49-F238E27FC236}">
              <a16:creationId xmlns:a16="http://schemas.microsoft.com/office/drawing/2014/main" id="{2B5FBECE-3A17-496C-95A7-603235B3019C}"/>
            </a:ext>
          </a:extLst>
        </xdr:cNvPr>
        <xdr:cNvCxnSpPr/>
      </xdr:nvCxnSpPr>
      <xdr:spPr>
        <a:xfrm>
          <a:off x="6296527" y="1060249"/>
          <a:ext cx="1579574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792079</xdr:colOff>
      <xdr:row>1</xdr:row>
      <xdr:rowOff>1143000</xdr:rowOff>
    </xdr:from>
    <xdr:to>
      <xdr:col>4</xdr:col>
      <xdr:colOff>792079</xdr:colOff>
      <xdr:row>2</xdr:row>
      <xdr:rowOff>1143000</xdr:rowOff>
    </xdr:to>
    <xdr:cxnSp macro="">
      <xdr:nvCxnSpPr>
        <xdr:cNvPr id="207" name="Connecteur droit 206">
          <a:extLst>
            <a:ext uri="{FF2B5EF4-FFF2-40B4-BE49-F238E27FC236}">
              <a16:creationId xmlns:a16="http://schemas.microsoft.com/office/drawing/2014/main" id="{7DBAEA07-DD7F-4DC4-8D30-A4667CF9F1B6}"/>
            </a:ext>
          </a:extLst>
        </xdr:cNvPr>
        <xdr:cNvCxnSpPr/>
      </xdr:nvCxnSpPr>
      <xdr:spPr>
        <a:xfrm>
          <a:off x="7088605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398546</xdr:colOff>
      <xdr:row>1</xdr:row>
      <xdr:rowOff>1143000</xdr:rowOff>
    </xdr:from>
    <xdr:to>
      <xdr:col>4</xdr:col>
      <xdr:colOff>398546</xdr:colOff>
      <xdr:row>2</xdr:row>
      <xdr:rowOff>1143000</xdr:rowOff>
    </xdr:to>
    <xdr:cxnSp macro="">
      <xdr:nvCxnSpPr>
        <xdr:cNvPr id="208" name="Connecteur droit 207">
          <a:extLst>
            <a:ext uri="{FF2B5EF4-FFF2-40B4-BE49-F238E27FC236}">
              <a16:creationId xmlns:a16="http://schemas.microsoft.com/office/drawing/2014/main" id="{3F5ED874-0261-4B38-8DD6-4D07D0F718FE}"/>
            </a:ext>
          </a:extLst>
        </xdr:cNvPr>
        <xdr:cNvCxnSpPr/>
      </xdr:nvCxnSpPr>
      <xdr:spPr>
        <a:xfrm>
          <a:off x="6695072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1185612</xdr:colOff>
      <xdr:row>1</xdr:row>
      <xdr:rowOff>1143000</xdr:rowOff>
    </xdr:from>
    <xdr:to>
      <xdr:col>4</xdr:col>
      <xdr:colOff>1185612</xdr:colOff>
      <xdr:row>2</xdr:row>
      <xdr:rowOff>1143000</xdr:rowOff>
    </xdr:to>
    <xdr:cxnSp macro="">
      <xdr:nvCxnSpPr>
        <xdr:cNvPr id="209" name="Connecteur droit 208">
          <a:extLst>
            <a:ext uri="{FF2B5EF4-FFF2-40B4-BE49-F238E27FC236}">
              <a16:creationId xmlns:a16="http://schemas.microsoft.com/office/drawing/2014/main" id="{55B36D71-677E-4AF9-87F3-2D95BF9BA0C0}"/>
            </a:ext>
          </a:extLst>
        </xdr:cNvPr>
        <xdr:cNvCxnSpPr/>
      </xdr:nvCxnSpPr>
      <xdr:spPr>
        <a:xfrm>
          <a:off x="7482138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8386</xdr:colOff>
      <xdr:row>1</xdr:row>
      <xdr:rowOff>920384</xdr:rowOff>
    </xdr:from>
    <xdr:to>
      <xdr:col>6</xdr:col>
      <xdr:colOff>1057</xdr:colOff>
      <xdr:row>1</xdr:row>
      <xdr:rowOff>920384</xdr:rowOff>
    </xdr:to>
    <xdr:cxnSp macro="">
      <xdr:nvCxnSpPr>
        <xdr:cNvPr id="81" name="Connecteur droit 80">
          <a:extLst>
            <a:ext uri="{FF2B5EF4-FFF2-40B4-BE49-F238E27FC236}">
              <a16:creationId xmlns:a16="http://schemas.microsoft.com/office/drawing/2014/main" id="{341C8240-0B70-43E6-85B6-F168E345DBAA}"/>
            </a:ext>
          </a:extLst>
        </xdr:cNvPr>
        <xdr:cNvCxnSpPr/>
      </xdr:nvCxnSpPr>
      <xdr:spPr>
        <a:xfrm>
          <a:off x="7879044" y="1120910"/>
          <a:ext cx="156680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1570662</xdr:colOff>
      <xdr:row>1</xdr:row>
      <xdr:rowOff>690936</xdr:rowOff>
    </xdr:from>
    <xdr:to>
      <xdr:col>6</xdr:col>
      <xdr:colOff>1973</xdr:colOff>
      <xdr:row>1</xdr:row>
      <xdr:rowOff>690936</xdr:rowOff>
    </xdr:to>
    <xdr:cxnSp macro="">
      <xdr:nvCxnSpPr>
        <xdr:cNvPr id="82" name="Connecteur droit 81">
          <a:extLst>
            <a:ext uri="{FF2B5EF4-FFF2-40B4-BE49-F238E27FC236}">
              <a16:creationId xmlns:a16="http://schemas.microsoft.com/office/drawing/2014/main" id="{F9A3668C-486A-4008-98A1-8AC3C7A0898F}"/>
            </a:ext>
          </a:extLst>
        </xdr:cNvPr>
        <xdr:cNvCxnSpPr/>
      </xdr:nvCxnSpPr>
      <xdr:spPr>
        <a:xfrm>
          <a:off x="7867188" y="891462"/>
          <a:ext cx="1579574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1543</xdr:colOff>
      <xdr:row>1</xdr:row>
      <xdr:rowOff>461488</xdr:rowOff>
    </xdr:from>
    <xdr:to>
      <xdr:col>6</xdr:col>
      <xdr:colOff>6986</xdr:colOff>
      <xdr:row>1</xdr:row>
      <xdr:rowOff>461488</xdr:rowOff>
    </xdr:to>
    <xdr:cxnSp macro="">
      <xdr:nvCxnSpPr>
        <xdr:cNvPr id="83" name="Connecteur droit 82">
          <a:extLst>
            <a:ext uri="{FF2B5EF4-FFF2-40B4-BE49-F238E27FC236}">
              <a16:creationId xmlns:a16="http://schemas.microsoft.com/office/drawing/2014/main" id="{C1C7327A-0C42-4A13-A8AD-BAAB63E1C935}"/>
            </a:ext>
          </a:extLst>
        </xdr:cNvPr>
        <xdr:cNvCxnSpPr/>
      </xdr:nvCxnSpPr>
      <xdr:spPr>
        <a:xfrm>
          <a:off x="7872201" y="662014"/>
          <a:ext cx="1579574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2459</xdr:colOff>
      <xdr:row>1</xdr:row>
      <xdr:rowOff>232040</xdr:rowOff>
    </xdr:from>
    <xdr:to>
      <xdr:col>6</xdr:col>
      <xdr:colOff>7900</xdr:colOff>
      <xdr:row>1</xdr:row>
      <xdr:rowOff>232040</xdr:rowOff>
    </xdr:to>
    <xdr:cxnSp macro="">
      <xdr:nvCxnSpPr>
        <xdr:cNvPr id="84" name="Connecteur droit 83">
          <a:extLst>
            <a:ext uri="{FF2B5EF4-FFF2-40B4-BE49-F238E27FC236}">
              <a16:creationId xmlns:a16="http://schemas.microsoft.com/office/drawing/2014/main" id="{E4419397-C43F-4294-B621-DA4EE2D463AA}"/>
            </a:ext>
          </a:extLst>
        </xdr:cNvPr>
        <xdr:cNvCxnSpPr/>
      </xdr:nvCxnSpPr>
      <xdr:spPr>
        <a:xfrm>
          <a:off x="7873117" y="432566"/>
          <a:ext cx="157957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949491</xdr:colOff>
      <xdr:row>1</xdr:row>
      <xdr:rowOff>1137987</xdr:rowOff>
    </xdr:from>
    <xdr:to>
      <xdr:col>5</xdr:col>
      <xdr:colOff>949491</xdr:colOff>
      <xdr:row>2</xdr:row>
      <xdr:rowOff>1137987</xdr:rowOff>
    </xdr:to>
    <xdr:cxnSp macro="">
      <xdr:nvCxnSpPr>
        <xdr:cNvPr id="73" name="Connecteur droit 72">
          <a:extLst>
            <a:ext uri="{FF2B5EF4-FFF2-40B4-BE49-F238E27FC236}">
              <a16:creationId xmlns:a16="http://schemas.microsoft.com/office/drawing/2014/main" id="{B91264B7-764C-4A77-A917-2835B31B3CA3}"/>
            </a:ext>
          </a:extLst>
        </xdr:cNvPr>
        <xdr:cNvCxnSpPr/>
      </xdr:nvCxnSpPr>
      <xdr:spPr>
        <a:xfrm>
          <a:off x="8820149" y="1338513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634665</xdr:colOff>
      <xdr:row>1</xdr:row>
      <xdr:rowOff>1143000</xdr:rowOff>
    </xdr:from>
    <xdr:to>
      <xdr:col>5</xdr:col>
      <xdr:colOff>634665</xdr:colOff>
      <xdr:row>2</xdr:row>
      <xdr:rowOff>1143000</xdr:rowOff>
    </xdr:to>
    <xdr:cxnSp macro="">
      <xdr:nvCxnSpPr>
        <xdr:cNvPr id="74" name="Connecteur droit 73">
          <a:extLst>
            <a:ext uri="{FF2B5EF4-FFF2-40B4-BE49-F238E27FC236}">
              <a16:creationId xmlns:a16="http://schemas.microsoft.com/office/drawing/2014/main" id="{28BCD0B6-3FF9-4D2E-9445-320272214BFD}"/>
            </a:ext>
          </a:extLst>
        </xdr:cNvPr>
        <xdr:cNvCxnSpPr/>
      </xdr:nvCxnSpPr>
      <xdr:spPr>
        <a:xfrm>
          <a:off x="8505323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1264317</xdr:colOff>
      <xdr:row>1</xdr:row>
      <xdr:rowOff>1143000</xdr:rowOff>
    </xdr:from>
    <xdr:to>
      <xdr:col>5</xdr:col>
      <xdr:colOff>1264317</xdr:colOff>
      <xdr:row>2</xdr:row>
      <xdr:rowOff>1143000</xdr:rowOff>
    </xdr:to>
    <xdr:cxnSp macro="">
      <xdr:nvCxnSpPr>
        <xdr:cNvPr id="75" name="Connecteur droit 74">
          <a:extLst>
            <a:ext uri="{FF2B5EF4-FFF2-40B4-BE49-F238E27FC236}">
              <a16:creationId xmlns:a16="http://schemas.microsoft.com/office/drawing/2014/main" id="{7BC1753A-B444-49A2-B73B-39A8B5B9046B}"/>
            </a:ext>
          </a:extLst>
        </xdr:cNvPr>
        <xdr:cNvCxnSpPr/>
      </xdr:nvCxnSpPr>
      <xdr:spPr>
        <a:xfrm>
          <a:off x="9134975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503</xdr:colOff>
      <xdr:row>1</xdr:row>
      <xdr:rowOff>194293</xdr:rowOff>
    </xdr:from>
    <xdr:to>
      <xdr:col>7</xdr:col>
      <xdr:colOff>5943</xdr:colOff>
      <xdr:row>1</xdr:row>
      <xdr:rowOff>194293</xdr:rowOff>
    </xdr:to>
    <xdr:cxnSp macro="">
      <xdr:nvCxnSpPr>
        <xdr:cNvPr id="77" name="Connecteur droit 76">
          <a:extLst>
            <a:ext uri="{FF2B5EF4-FFF2-40B4-BE49-F238E27FC236}">
              <a16:creationId xmlns:a16="http://schemas.microsoft.com/office/drawing/2014/main" id="{E375E7F1-E30B-44F2-95DB-F6E464E37927}"/>
            </a:ext>
          </a:extLst>
        </xdr:cNvPr>
        <xdr:cNvCxnSpPr/>
      </xdr:nvCxnSpPr>
      <xdr:spPr>
        <a:xfrm>
          <a:off x="9445292" y="394819"/>
          <a:ext cx="157957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503</xdr:colOff>
      <xdr:row>1</xdr:row>
      <xdr:rowOff>391008</xdr:rowOff>
    </xdr:from>
    <xdr:to>
      <xdr:col>7</xdr:col>
      <xdr:colOff>5943</xdr:colOff>
      <xdr:row>1</xdr:row>
      <xdr:rowOff>391008</xdr:rowOff>
    </xdr:to>
    <xdr:cxnSp macro="">
      <xdr:nvCxnSpPr>
        <xdr:cNvPr id="78" name="Connecteur droit 77">
          <a:extLst>
            <a:ext uri="{FF2B5EF4-FFF2-40B4-BE49-F238E27FC236}">
              <a16:creationId xmlns:a16="http://schemas.microsoft.com/office/drawing/2014/main" id="{CB39942E-08F8-4000-8108-92BE13F9BF44}"/>
            </a:ext>
          </a:extLst>
        </xdr:cNvPr>
        <xdr:cNvCxnSpPr/>
      </xdr:nvCxnSpPr>
      <xdr:spPr>
        <a:xfrm>
          <a:off x="9445292" y="591534"/>
          <a:ext cx="157957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503</xdr:colOff>
      <xdr:row>1</xdr:row>
      <xdr:rowOff>587723</xdr:rowOff>
    </xdr:from>
    <xdr:to>
      <xdr:col>7</xdr:col>
      <xdr:colOff>5943</xdr:colOff>
      <xdr:row>1</xdr:row>
      <xdr:rowOff>587723</xdr:rowOff>
    </xdr:to>
    <xdr:cxnSp macro="">
      <xdr:nvCxnSpPr>
        <xdr:cNvPr id="79" name="Connecteur droit 78">
          <a:extLst>
            <a:ext uri="{FF2B5EF4-FFF2-40B4-BE49-F238E27FC236}">
              <a16:creationId xmlns:a16="http://schemas.microsoft.com/office/drawing/2014/main" id="{153E3CD0-3969-4D71-87EB-613FEE5040B9}"/>
            </a:ext>
          </a:extLst>
        </xdr:cNvPr>
        <xdr:cNvCxnSpPr/>
      </xdr:nvCxnSpPr>
      <xdr:spPr>
        <a:xfrm>
          <a:off x="9445292" y="788249"/>
          <a:ext cx="157957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503</xdr:colOff>
      <xdr:row>1</xdr:row>
      <xdr:rowOff>784438</xdr:rowOff>
    </xdr:from>
    <xdr:to>
      <xdr:col>7</xdr:col>
      <xdr:colOff>5943</xdr:colOff>
      <xdr:row>1</xdr:row>
      <xdr:rowOff>784438</xdr:rowOff>
    </xdr:to>
    <xdr:cxnSp macro="">
      <xdr:nvCxnSpPr>
        <xdr:cNvPr id="80" name="Connecteur droit 79">
          <a:extLst>
            <a:ext uri="{FF2B5EF4-FFF2-40B4-BE49-F238E27FC236}">
              <a16:creationId xmlns:a16="http://schemas.microsoft.com/office/drawing/2014/main" id="{0C2250FD-1EF8-4030-A281-8E3EF120F2B8}"/>
            </a:ext>
          </a:extLst>
        </xdr:cNvPr>
        <xdr:cNvCxnSpPr/>
      </xdr:nvCxnSpPr>
      <xdr:spPr>
        <a:xfrm>
          <a:off x="9445292" y="984964"/>
          <a:ext cx="157957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503</xdr:colOff>
      <xdr:row>1</xdr:row>
      <xdr:rowOff>981154</xdr:rowOff>
    </xdr:from>
    <xdr:to>
      <xdr:col>7</xdr:col>
      <xdr:colOff>5943</xdr:colOff>
      <xdr:row>1</xdr:row>
      <xdr:rowOff>981154</xdr:rowOff>
    </xdr:to>
    <xdr:cxnSp macro="">
      <xdr:nvCxnSpPr>
        <xdr:cNvPr id="85" name="Connecteur droit 84">
          <a:extLst>
            <a:ext uri="{FF2B5EF4-FFF2-40B4-BE49-F238E27FC236}">
              <a16:creationId xmlns:a16="http://schemas.microsoft.com/office/drawing/2014/main" id="{8C760DCB-E1E2-4096-ADB4-1292D8B99A37}"/>
            </a:ext>
          </a:extLst>
        </xdr:cNvPr>
        <xdr:cNvCxnSpPr/>
      </xdr:nvCxnSpPr>
      <xdr:spPr>
        <a:xfrm>
          <a:off x="9445292" y="1181680"/>
          <a:ext cx="1579572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319839</xdr:colOff>
      <xdr:row>1</xdr:row>
      <xdr:rowOff>1143000</xdr:rowOff>
    </xdr:from>
    <xdr:to>
      <xdr:col>5</xdr:col>
      <xdr:colOff>319839</xdr:colOff>
      <xdr:row>2</xdr:row>
      <xdr:rowOff>1143000</xdr:rowOff>
    </xdr:to>
    <xdr:cxnSp macro="">
      <xdr:nvCxnSpPr>
        <xdr:cNvPr id="86" name="Connecteur droit 85">
          <a:extLst>
            <a:ext uri="{FF2B5EF4-FFF2-40B4-BE49-F238E27FC236}">
              <a16:creationId xmlns:a16="http://schemas.microsoft.com/office/drawing/2014/main" id="{B1623D05-1537-4AEB-AA42-5B068985E7AC}"/>
            </a:ext>
          </a:extLst>
        </xdr:cNvPr>
        <xdr:cNvCxnSpPr/>
      </xdr:nvCxnSpPr>
      <xdr:spPr>
        <a:xfrm>
          <a:off x="8190497" y="1343526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262355</xdr:colOff>
      <xdr:row>2</xdr:row>
      <xdr:rowOff>3008</xdr:rowOff>
    </xdr:from>
    <xdr:to>
      <xdr:col>6</xdr:col>
      <xdr:colOff>262355</xdr:colOff>
      <xdr:row>3</xdr:row>
      <xdr:rowOff>3008</xdr:rowOff>
    </xdr:to>
    <xdr:cxnSp macro="">
      <xdr:nvCxnSpPr>
        <xdr:cNvPr id="87" name="Connecteur droit 86">
          <a:extLst>
            <a:ext uri="{FF2B5EF4-FFF2-40B4-BE49-F238E27FC236}">
              <a16:creationId xmlns:a16="http://schemas.microsoft.com/office/drawing/2014/main" id="{BF5F6302-588F-453A-A804-40E111A10FEC}"/>
            </a:ext>
          </a:extLst>
        </xdr:cNvPr>
        <xdr:cNvCxnSpPr/>
      </xdr:nvCxnSpPr>
      <xdr:spPr>
        <a:xfrm>
          <a:off x="9707144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524710</xdr:colOff>
      <xdr:row>2</xdr:row>
      <xdr:rowOff>3008</xdr:rowOff>
    </xdr:from>
    <xdr:to>
      <xdr:col>6</xdr:col>
      <xdr:colOff>524710</xdr:colOff>
      <xdr:row>3</xdr:row>
      <xdr:rowOff>3008</xdr:rowOff>
    </xdr:to>
    <xdr:cxnSp macro="">
      <xdr:nvCxnSpPr>
        <xdr:cNvPr id="88" name="Connecteur droit 87">
          <a:extLst>
            <a:ext uri="{FF2B5EF4-FFF2-40B4-BE49-F238E27FC236}">
              <a16:creationId xmlns:a16="http://schemas.microsoft.com/office/drawing/2014/main" id="{D23836C7-8013-4A51-99F3-68A6F0D8FC54}"/>
            </a:ext>
          </a:extLst>
        </xdr:cNvPr>
        <xdr:cNvCxnSpPr/>
      </xdr:nvCxnSpPr>
      <xdr:spPr>
        <a:xfrm>
          <a:off x="9969499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787065</xdr:colOff>
      <xdr:row>2</xdr:row>
      <xdr:rowOff>3008</xdr:rowOff>
    </xdr:from>
    <xdr:to>
      <xdr:col>6</xdr:col>
      <xdr:colOff>787065</xdr:colOff>
      <xdr:row>3</xdr:row>
      <xdr:rowOff>3008</xdr:rowOff>
    </xdr:to>
    <xdr:cxnSp macro="">
      <xdr:nvCxnSpPr>
        <xdr:cNvPr id="89" name="Connecteur droit 88">
          <a:extLst>
            <a:ext uri="{FF2B5EF4-FFF2-40B4-BE49-F238E27FC236}">
              <a16:creationId xmlns:a16="http://schemas.microsoft.com/office/drawing/2014/main" id="{6FA6F83A-BA8A-4AB5-8843-B610EFE0590F}"/>
            </a:ext>
          </a:extLst>
        </xdr:cNvPr>
        <xdr:cNvCxnSpPr/>
      </xdr:nvCxnSpPr>
      <xdr:spPr>
        <a:xfrm>
          <a:off x="10231854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1049420</xdr:colOff>
      <xdr:row>2</xdr:row>
      <xdr:rowOff>3008</xdr:rowOff>
    </xdr:from>
    <xdr:to>
      <xdr:col>6</xdr:col>
      <xdr:colOff>1049420</xdr:colOff>
      <xdr:row>3</xdr:row>
      <xdr:rowOff>3008</xdr:rowOff>
    </xdr:to>
    <xdr:cxnSp macro="">
      <xdr:nvCxnSpPr>
        <xdr:cNvPr id="90" name="Connecteur droit 89">
          <a:extLst>
            <a:ext uri="{FF2B5EF4-FFF2-40B4-BE49-F238E27FC236}">
              <a16:creationId xmlns:a16="http://schemas.microsoft.com/office/drawing/2014/main" id="{1EECB69F-70F1-4AC1-AD5A-BACF9CFA9163}"/>
            </a:ext>
          </a:extLst>
        </xdr:cNvPr>
        <xdr:cNvCxnSpPr/>
      </xdr:nvCxnSpPr>
      <xdr:spPr>
        <a:xfrm>
          <a:off x="10494209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1311775</xdr:colOff>
      <xdr:row>2</xdr:row>
      <xdr:rowOff>3008</xdr:rowOff>
    </xdr:from>
    <xdr:to>
      <xdr:col>6</xdr:col>
      <xdr:colOff>1311775</xdr:colOff>
      <xdr:row>3</xdr:row>
      <xdr:rowOff>3008</xdr:rowOff>
    </xdr:to>
    <xdr:cxnSp macro="">
      <xdr:nvCxnSpPr>
        <xdr:cNvPr id="91" name="Connecteur droit 90">
          <a:extLst>
            <a:ext uri="{FF2B5EF4-FFF2-40B4-BE49-F238E27FC236}">
              <a16:creationId xmlns:a16="http://schemas.microsoft.com/office/drawing/2014/main" id="{0822D474-DF40-4D33-8658-E2C6C05844E3}"/>
            </a:ext>
          </a:extLst>
        </xdr:cNvPr>
        <xdr:cNvCxnSpPr/>
      </xdr:nvCxnSpPr>
      <xdr:spPr>
        <a:xfrm>
          <a:off x="10756564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1572127</xdr:colOff>
      <xdr:row>1</xdr:row>
      <xdr:rowOff>165305</xdr:rowOff>
    </xdr:from>
    <xdr:to>
      <xdr:col>8</xdr:col>
      <xdr:colOff>0</xdr:colOff>
      <xdr:row>1</xdr:row>
      <xdr:rowOff>165305</xdr:rowOff>
    </xdr:to>
    <xdr:cxnSp macro="">
      <xdr:nvCxnSpPr>
        <xdr:cNvPr id="93" name="Connecteur droit 92">
          <a:extLst>
            <a:ext uri="{FF2B5EF4-FFF2-40B4-BE49-F238E27FC236}">
              <a16:creationId xmlns:a16="http://schemas.microsoft.com/office/drawing/2014/main" id="{655CF03B-7953-4276-B88F-74C932F54F84}"/>
            </a:ext>
          </a:extLst>
        </xdr:cNvPr>
        <xdr:cNvCxnSpPr/>
      </xdr:nvCxnSpPr>
      <xdr:spPr>
        <a:xfrm>
          <a:off x="11013307" y="367235"/>
          <a:ext cx="1574933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1572127</xdr:colOff>
      <xdr:row>1</xdr:row>
      <xdr:rowOff>328018</xdr:rowOff>
    </xdr:from>
    <xdr:to>
      <xdr:col>8</xdr:col>
      <xdr:colOff>0</xdr:colOff>
      <xdr:row>1</xdr:row>
      <xdr:rowOff>328018</xdr:rowOff>
    </xdr:to>
    <xdr:cxnSp macro="">
      <xdr:nvCxnSpPr>
        <xdr:cNvPr id="94" name="Connecteur droit 93">
          <a:extLst>
            <a:ext uri="{FF2B5EF4-FFF2-40B4-BE49-F238E27FC236}">
              <a16:creationId xmlns:a16="http://schemas.microsoft.com/office/drawing/2014/main" id="{2ACE8BD3-FB69-4348-BEBF-80DDCE89E4EA}"/>
            </a:ext>
          </a:extLst>
        </xdr:cNvPr>
        <xdr:cNvCxnSpPr/>
      </xdr:nvCxnSpPr>
      <xdr:spPr>
        <a:xfrm>
          <a:off x="11013307" y="529948"/>
          <a:ext cx="1574933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1572127</xdr:colOff>
      <xdr:row>1</xdr:row>
      <xdr:rowOff>490731</xdr:rowOff>
    </xdr:from>
    <xdr:to>
      <xdr:col>8</xdr:col>
      <xdr:colOff>0</xdr:colOff>
      <xdr:row>1</xdr:row>
      <xdr:rowOff>490731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id="{FA168614-CC92-4908-A2EC-51690418E318}"/>
            </a:ext>
          </a:extLst>
        </xdr:cNvPr>
        <xdr:cNvCxnSpPr/>
      </xdr:nvCxnSpPr>
      <xdr:spPr>
        <a:xfrm>
          <a:off x="11013307" y="692661"/>
          <a:ext cx="1574933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1572127</xdr:colOff>
      <xdr:row>1</xdr:row>
      <xdr:rowOff>653444</xdr:rowOff>
    </xdr:from>
    <xdr:to>
      <xdr:col>8</xdr:col>
      <xdr:colOff>7620</xdr:colOff>
      <xdr:row>1</xdr:row>
      <xdr:rowOff>653444</xdr:rowOff>
    </xdr:to>
    <xdr:cxnSp macro="">
      <xdr:nvCxnSpPr>
        <xdr:cNvPr id="96" name="Connecteur droit 95">
          <a:extLst>
            <a:ext uri="{FF2B5EF4-FFF2-40B4-BE49-F238E27FC236}">
              <a16:creationId xmlns:a16="http://schemas.microsoft.com/office/drawing/2014/main" id="{75598517-F858-4DF0-99FF-B097BE92383C}"/>
            </a:ext>
          </a:extLst>
        </xdr:cNvPr>
        <xdr:cNvCxnSpPr/>
      </xdr:nvCxnSpPr>
      <xdr:spPr>
        <a:xfrm>
          <a:off x="11013307" y="855374"/>
          <a:ext cx="1582553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1572127</xdr:colOff>
      <xdr:row>1</xdr:row>
      <xdr:rowOff>816157</xdr:rowOff>
    </xdr:from>
    <xdr:to>
      <xdr:col>8</xdr:col>
      <xdr:colOff>0</xdr:colOff>
      <xdr:row>1</xdr:row>
      <xdr:rowOff>816157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id="{F0E235C6-950A-49F9-B526-E86FE13B7880}"/>
            </a:ext>
          </a:extLst>
        </xdr:cNvPr>
        <xdr:cNvCxnSpPr/>
      </xdr:nvCxnSpPr>
      <xdr:spPr>
        <a:xfrm>
          <a:off x="11013307" y="1018087"/>
          <a:ext cx="1574933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1572127</xdr:colOff>
      <xdr:row>1</xdr:row>
      <xdr:rowOff>978870</xdr:rowOff>
    </xdr:from>
    <xdr:to>
      <xdr:col>8</xdr:col>
      <xdr:colOff>0</xdr:colOff>
      <xdr:row>1</xdr:row>
      <xdr:rowOff>978870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58E819B2-ED52-43A3-99B8-B3DC366D1BE2}"/>
            </a:ext>
          </a:extLst>
        </xdr:cNvPr>
        <xdr:cNvCxnSpPr/>
      </xdr:nvCxnSpPr>
      <xdr:spPr>
        <a:xfrm>
          <a:off x="11013307" y="1180800"/>
          <a:ext cx="1574933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453974</xdr:colOff>
      <xdr:row>2</xdr:row>
      <xdr:rowOff>3008</xdr:rowOff>
    </xdr:from>
    <xdr:to>
      <xdr:col>7</xdr:col>
      <xdr:colOff>453974</xdr:colOff>
      <xdr:row>3</xdr:row>
      <xdr:rowOff>3008</xdr:rowOff>
    </xdr:to>
    <xdr:cxnSp macro="">
      <xdr:nvCxnSpPr>
        <xdr:cNvPr id="113" name="Connecteur droit 112">
          <a:extLst>
            <a:ext uri="{FF2B5EF4-FFF2-40B4-BE49-F238E27FC236}">
              <a16:creationId xmlns:a16="http://schemas.microsoft.com/office/drawing/2014/main" id="{B497A273-7538-43E7-817C-84F0EABE0C53}"/>
            </a:ext>
          </a:extLst>
        </xdr:cNvPr>
        <xdr:cNvCxnSpPr/>
      </xdr:nvCxnSpPr>
      <xdr:spPr>
        <a:xfrm>
          <a:off x="1147289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679184</xdr:colOff>
      <xdr:row>2</xdr:row>
      <xdr:rowOff>3008</xdr:rowOff>
    </xdr:from>
    <xdr:to>
      <xdr:col>7</xdr:col>
      <xdr:colOff>679184</xdr:colOff>
      <xdr:row>3</xdr:row>
      <xdr:rowOff>3008</xdr:rowOff>
    </xdr:to>
    <xdr:cxnSp macro="">
      <xdr:nvCxnSpPr>
        <xdr:cNvPr id="114" name="Connecteur droit 113">
          <a:extLst>
            <a:ext uri="{FF2B5EF4-FFF2-40B4-BE49-F238E27FC236}">
              <a16:creationId xmlns:a16="http://schemas.microsoft.com/office/drawing/2014/main" id="{670D816A-DABF-4EBD-9245-34861189D77D}"/>
            </a:ext>
          </a:extLst>
        </xdr:cNvPr>
        <xdr:cNvCxnSpPr/>
      </xdr:nvCxnSpPr>
      <xdr:spPr>
        <a:xfrm>
          <a:off x="1169810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904394</xdr:colOff>
      <xdr:row>2</xdr:row>
      <xdr:rowOff>3008</xdr:rowOff>
    </xdr:from>
    <xdr:to>
      <xdr:col>7</xdr:col>
      <xdr:colOff>904394</xdr:colOff>
      <xdr:row>3</xdr:row>
      <xdr:rowOff>3008</xdr:rowOff>
    </xdr:to>
    <xdr:cxnSp macro="">
      <xdr:nvCxnSpPr>
        <xdr:cNvPr id="115" name="Connecteur droit 114">
          <a:extLst>
            <a:ext uri="{FF2B5EF4-FFF2-40B4-BE49-F238E27FC236}">
              <a16:creationId xmlns:a16="http://schemas.microsoft.com/office/drawing/2014/main" id="{A823F749-89B2-4B3B-989B-CA73F32008E2}"/>
            </a:ext>
          </a:extLst>
        </xdr:cNvPr>
        <xdr:cNvCxnSpPr/>
      </xdr:nvCxnSpPr>
      <xdr:spPr>
        <a:xfrm>
          <a:off x="1192331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1129604</xdr:colOff>
      <xdr:row>2</xdr:row>
      <xdr:rowOff>3008</xdr:rowOff>
    </xdr:from>
    <xdr:to>
      <xdr:col>7</xdr:col>
      <xdr:colOff>1129604</xdr:colOff>
      <xdr:row>3</xdr:row>
      <xdr:rowOff>3008</xdr:rowOff>
    </xdr:to>
    <xdr:cxnSp macro="">
      <xdr:nvCxnSpPr>
        <xdr:cNvPr id="116" name="Connecteur droit 115">
          <a:extLst>
            <a:ext uri="{FF2B5EF4-FFF2-40B4-BE49-F238E27FC236}">
              <a16:creationId xmlns:a16="http://schemas.microsoft.com/office/drawing/2014/main" id="{5247BDCC-9CCD-4277-B939-39C6F1BD51DF}"/>
            </a:ext>
          </a:extLst>
        </xdr:cNvPr>
        <xdr:cNvCxnSpPr/>
      </xdr:nvCxnSpPr>
      <xdr:spPr>
        <a:xfrm>
          <a:off x="1214852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1354814</xdr:colOff>
      <xdr:row>2</xdr:row>
      <xdr:rowOff>3008</xdr:rowOff>
    </xdr:from>
    <xdr:to>
      <xdr:col>7</xdr:col>
      <xdr:colOff>1354814</xdr:colOff>
      <xdr:row>3</xdr:row>
      <xdr:rowOff>3008</xdr:rowOff>
    </xdr:to>
    <xdr:cxnSp macro="">
      <xdr:nvCxnSpPr>
        <xdr:cNvPr id="117" name="Connecteur droit 116">
          <a:extLst>
            <a:ext uri="{FF2B5EF4-FFF2-40B4-BE49-F238E27FC236}">
              <a16:creationId xmlns:a16="http://schemas.microsoft.com/office/drawing/2014/main" id="{5EFC54B1-4043-42B5-B943-A36461089EAA}"/>
            </a:ext>
          </a:extLst>
        </xdr:cNvPr>
        <xdr:cNvCxnSpPr/>
      </xdr:nvCxnSpPr>
      <xdr:spPr>
        <a:xfrm>
          <a:off x="1237373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228764</xdr:colOff>
      <xdr:row>2</xdr:row>
      <xdr:rowOff>3008</xdr:rowOff>
    </xdr:from>
    <xdr:to>
      <xdr:col>7</xdr:col>
      <xdr:colOff>228764</xdr:colOff>
      <xdr:row>3</xdr:row>
      <xdr:rowOff>3008</xdr:rowOff>
    </xdr:to>
    <xdr:cxnSp macro="">
      <xdr:nvCxnSpPr>
        <xdr:cNvPr id="118" name="Connecteur droit 117">
          <a:extLst>
            <a:ext uri="{FF2B5EF4-FFF2-40B4-BE49-F238E27FC236}">
              <a16:creationId xmlns:a16="http://schemas.microsoft.com/office/drawing/2014/main" id="{09A950FF-439C-452A-8ECC-328B72082525}"/>
            </a:ext>
          </a:extLst>
        </xdr:cNvPr>
        <xdr:cNvCxnSpPr/>
      </xdr:nvCxnSpPr>
      <xdr:spPr>
        <a:xfrm>
          <a:off x="1124768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398554</xdr:colOff>
      <xdr:row>2</xdr:row>
      <xdr:rowOff>3008</xdr:rowOff>
    </xdr:from>
    <xdr:to>
      <xdr:col>8</xdr:col>
      <xdr:colOff>398554</xdr:colOff>
      <xdr:row>3</xdr:row>
      <xdr:rowOff>3008</xdr:rowOff>
    </xdr:to>
    <xdr:cxnSp macro="">
      <xdr:nvCxnSpPr>
        <xdr:cNvPr id="127" name="Connecteur droit 126">
          <a:extLst>
            <a:ext uri="{FF2B5EF4-FFF2-40B4-BE49-F238E27FC236}">
              <a16:creationId xmlns:a16="http://schemas.microsoft.com/office/drawing/2014/main" id="{E65325B8-C483-4907-A971-A6327061CECC}"/>
            </a:ext>
          </a:extLst>
        </xdr:cNvPr>
        <xdr:cNvCxnSpPr/>
      </xdr:nvCxnSpPr>
      <xdr:spPr>
        <a:xfrm>
          <a:off x="1299160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594694</xdr:colOff>
      <xdr:row>2</xdr:row>
      <xdr:rowOff>3008</xdr:rowOff>
    </xdr:from>
    <xdr:to>
      <xdr:col>8</xdr:col>
      <xdr:colOff>594694</xdr:colOff>
      <xdr:row>3</xdr:row>
      <xdr:rowOff>3008</xdr:rowOff>
    </xdr:to>
    <xdr:cxnSp macro="">
      <xdr:nvCxnSpPr>
        <xdr:cNvPr id="128" name="Connecteur droit 127">
          <a:extLst>
            <a:ext uri="{FF2B5EF4-FFF2-40B4-BE49-F238E27FC236}">
              <a16:creationId xmlns:a16="http://schemas.microsoft.com/office/drawing/2014/main" id="{966E47C3-6ABD-44CF-B0F3-AEC887E5A441}"/>
            </a:ext>
          </a:extLst>
        </xdr:cNvPr>
        <xdr:cNvCxnSpPr/>
      </xdr:nvCxnSpPr>
      <xdr:spPr>
        <a:xfrm>
          <a:off x="1318774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790834</xdr:colOff>
      <xdr:row>2</xdr:row>
      <xdr:rowOff>3008</xdr:rowOff>
    </xdr:from>
    <xdr:to>
      <xdr:col>8</xdr:col>
      <xdr:colOff>790834</xdr:colOff>
      <xdr:row>3</xdr:row>
      <xdr:rowOff>3008</xdr:rowOff>
    </xdr:to>
    <xdr:cxnSp macro="">
      <xdr:nvCxnSpPr>
        <xdr:cNvPr id="129" name="Connecteur droit 128">
          <a:extLst>
            <a:ext uri="{FF2B5EF4-FFF2-40B4-BE49-F238E27FC236}">
              <a16:creationId xmlns:a16="http://schemas.microsoft.com/office/drawing/2014/main" id="{24E5720B-A2FF-4EF9-8DF0-FE10775A700B}"/>
            </a:ext>
          </a:extLst>
        </xdr:cNvPr>
        <xdr:cNvCxnSpPr/>
      </xdr:nvCxnSpPr>
      <xdr:spPr>
        <a:xfrm>
          <a:off x="1338388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986974</xdr:colOff>
      <xdr:row>2</xdr:row>
      <xdr:rowOff>3008</xdr:rowOff>
    </xdr:from>
    <xdr:to>
      <xdr:col>8</xdr:col>
      <xdr:colOff>986974</xdr:colOff>
      <xdr:row>3</xdr:row>
      <xdr:rowOff>3008</xdr:rowOff>
    </xdr:to>
    <xdr:cxnSp macro="">
      <xdr:nvCxnSpPr>
        <xdr:cNvPr id="130" name="Connecteur droit 129">
          <a:extLst>
            <a:ext uri="{FF2B5EF4-FFF2-40B4-BE49-F238E27FC236}">
              <a16:creationId xmlns:a16="http://schemas.microsoft.com/office/drawing/2014/main" id="{F385A85F-1FB4-453B-A8D3-6A79A4A8C4A1}"/>
            </a:ext>
          </a:extLst>
        </xdr:cNvPr>
        <xdr:cNvCxnSpPr/>
      </xdr:nvCxnSpPr>
      <xdr:spPr>
        <a:xfrm>
          <a:off x="1358002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1183114</xdr:colOff>
      <xdr:row>2</xdr:row>
      <xdr:rowOff>3008</xdr:rowOff>
    </xdr:from>
    <xdr:to>
      <xdr:col>8</xdr:col>
      <xdr:colOff>1183114</xdr:colOff>
      <xdr:row>3</xdr:row>
      <xdr:rowOff>3008</xdr:rowOff>
    </xdr:to>
    <xdr:cxnSp macro="">
      <xdr:nvCxnSpPr>
        <xdr:cNvPr id="131" name="Connecteur droit 130">
          <a:extLst>
            <a:ext uri="{FF2B5EF4-FFF2-40B4-BE49-F238E27FC236}">
              <a16:creationId xmlns:a16="http://schemas.microsoft.com/office/drawing/2014/main" id="{54E7563C-6E20-4D91-BD66-05CCC5DCD934}"/>
            </a:ext>
          </a:extLst>
        </xdr:cNvPr>
        <xdr:cNvCxnSpPr/>
      </xdr:nvCxnSpPr>
      <xdr:spPr>
        <a:xfrm>
          <a:off x="1377616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202414</xdr:colOff>
      <xdr:row>2</xdr:row>
      <xdr:rowOff>3008</xdr:rowOff>
    </xdr:from>
    <xdr:to>
      <xdr:col>8</xdr:col>
      <xdr:colOff>202414</xdr:colOff>
      <xdr:row>3</xdr:row>
      <xdr:rowOff>3008</xdr:rowOff>
    </xdr:to>
    <xdr:cxnSp macro="">
      <xdr:nvCxnSpPr>
        <xdr:cNvPr id="132" name="Connecteur droit 131">
          <a:extLst>
            <a:ext uri="{FF2B5EF4-FFF2-40B4-BE49-F238E27FC236}">
              <a16:creationId xmlns:a16="http://schemas.microsoft.com/office/drawing/2014/main" id="{9B2477D6-896F-4014-A2FE-BABB7062B9AE}"/>
            </a:ext>
          </a:extLst>
        </xdr:cNvPr>
        <xdr:cNvCxnSpPr/>
      </xdr:nvCxnSpPr>
      <xdr:spPr>
        <a:xfrm>
          <a:off x="1279546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1379254</xdr:colOff>
      <xdr:row>2</xdr:row>
      <xdr:rowOff>3008</xdr:rowOff>
    </xdr:from>
    <xdr:to>
      <xdr:col>8</xdr:col>
      <xdr:colOff>1379254</xdr:colOff>
      <xdr:row>3</xdr:row>
      <xdr:rowOff>3008</xdr:rowOff>
    </xdr:to>
    <xdr:cxnSp macro="">
      <xdr:nvCxnSpPr>
        <xdr:cNvPr id="133" name="Connecteur droit 132">
          <a:extLst>
            <a:ext uri="{FF2B5EF4-FFF2-40B4-BE49-F238E27FC236}">
              <a16:creationId xmlns:a16="http://schemas.microsoft.com/office/drawing/2014/main" id="{2C93613E-D3B5-4C4B-AA4E-EA315A24492D}"/>
            </a:ext>
          </a:extLst>
        </xdr:cNvPr>
        <xdr:cNvCxnSpPr/>
      </xdr:nvCxnSpPr>
      <xdr:spPr>
        <a:xfrm>
          <a:off x="1397230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354342</xdr:colOff>
      <xdr:row>2</xdr:row>
      <xdr:rowOff>3008</xdr:rowOff>
    </xdr:from>
    <xdr:to>
      <xdr:col>9</xdr:col>
      <xdr:colOff>354342</xdr:colOff>
      <xdr:row>3</xdr:row>
      <xdr:rowOff>3008</xdr:rowOff>
    </xdr:to>
    <xdr:cxnSp macro="">
      <xdr:nvCxnSpPr>
        <xdr:cNvPr id="136" name="Connecteur droit 135">
          <a:extLst>
            <a:ext uri="{FF2B5EF4-FFF2-40B4-BE49-F238E27FC236}">
              <a16:creationId xmlns:a16="http://schemas.microsoft.com/office/drawing/2014/main" id="{D2145BE6-36A3-4380-A92B-80EA2459356D}"/>
            </a:ext>
          </a:extLst>
        </xdr:cNvPr>
        <xdr:cNvCxnSpPr/>
      </xdr:nvCxnSpPr>
      <xdr:spPr>
        <a:xfrm>
          <a:off x="14521526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528688</xdr:colOff>
      <xdr:row>2</xdr:row>
      <xdr:rowOff>3008</xdr:rowOff>
    </xdr:from>
    <xdr:to>
      <xdr:col>9</xdr:col>
      <xdr:colOff>528688</xdr:colOff>
      <xdr:row>3</xdr:row>
      <xdr:rowOff>3008</xdr:rowOff>
    </xdr:to>
    <xdr:cxnSp macro="">
      <xdr:nvCxnSpPr>
        <xdr:cNvPr id="137" name="Connecteur droit 136">
          <a:extLst>
            <a:ext uri="{FF2B5EF4-FFF2-40B4-BE49-F238E27FC236}">
              <a16:creationId xmlns:a16="http://schemas.microsoft.com/office/drawing/2014/main" id="{93FA8A1F-B609-4DDC-AA71-481027199707}"/>
            </a:ext>
          </a:extLst>
        </xdr:cNvPr>
        <xdr:cNvCxnSpPr/>
      </xdr:nvCxnSpPr>
      <xdr:spPr>
        <a:xfrm>
          <a:off x="14695872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703034</xdr:colOff>
      <xdr:row>2</xdr:row>
      <xdr:rowOff>3008</xdr:rowOff>
    </xdr:from>
    <xdr:to>
      <xdr:col>9</xdr:col>
      <xdr:colOff>703034</xdr:colOff>
      <xdr:row>3</xdr:row>
      <xdr:rowOff>3008</xdr:rowOff>
    </xdr:to>
    <xdr:cxnSp macro="">
      <xdr:nvCxnSpPr>
        <xdr:cNvPr id="138" name="Connecteur droit 137">
          <a:extLst>
            <a:ext uri="{FF2B5EF4-FFF2-40B4-BE49-F238E27FC236}">
              <a16:creationId xmlns:a16="http://schemas.microsoft.com/office/drawing/2014/main" id="{C8D1CC56-9495-47D3-B384-87B3F128BE73}"/>
            </a:ext>
          </a:extLst>
        </xdr:cNvPr>
        <xdr:cNvCxnSpPr/>
      </xdr:nvCxnSpPr>
      <xdr:spPr>
        <a:xfrm>
          <a:off x="14870218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877380</xdr:colOff>
      <xdr:row>2</xdr:row>
      <xdr:rowOff>3008</xdr:rowOff>
    </xdr:from>
    <xdr:to>
      <xdr:col>9</xdr:col>
      <xdr:colOff>877380</xdr:colOff>
      <xdr:row>3</xdr:row>
      <xdr:rowOff>3008</xdr:rowOff>
    </xdr:to>
    <xdr:cxnSp macro="">
      <xdr:nvCxnSpPr>
        <xdr:cNvPr id="139" name="Connecteur droit 138">
          <a:extLst>
            <a:ext uri="{FF2B5EF4-FFF2-40B4-BE49-F238E27FC236}">
              <a16:creationId xmlns:a16="http://schemas.microsoft.com/office/drawing/2014/main" id="{EEB8DDBF-3E22-4687-B78C-0268E42D2FFE}"/>
            </a:ext>
          </a:extLst>
        </xdr:cNvPr>
        <xdr:cNvCxnSpPr/>
      </xdr:nvCxnSpPr>
      <xdr:spPr>
        <a:xfrm>
          <a:off x="15044564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1051726</xdr:colOff>
      <xdr:row>2</xdr:row>
      <xdr:rowOff>3008</xdr:rowOff>
    </xdr:from>
    <xdr:to>
      <xdr:col>9</xdr:col>
      <xdr:colOff>1051726</xdr:colOff>
      <xdr:row>3</xdr:row>
      <xdr:rowOff>3008</xdr:rowOff>
    </xdr:to>
    <xdr:cxnSp macro="">
      <xdr:nvCxnSpPr>
        <xdr:cNvPr id="140" name="Connecteur droit 139">
          <a:extLst>
            <a:ext uri="{FF2B5EF4-FFF2-40B4-BE49-F238E27FC236}">
              <a16:creationId xmlns:a16="http://schemas.microsoft.com/office/drawing/2014/main" id="{C4B7B19C-0192-4522-8709-87788F032085}"/>
            </a:ext>
          </a:extLst>
        </xdr:cNvPr>
        <xdr:cNvCxnSpPr/>
      </xdr:nvCxnSpPr>
      <xdr:spPr>
        <a:xfrm>
          <a:off x="15218910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179996</xdr:colOff>
      <xdr:row>2</xdr:row>
      <xdr:rowOff>3008</xdr:rowOff>
    </xdr:from>
    <xdr:to>
      <xdr:col>9</xdr:col>
      <xdr:colOff>179996</xdr:colOff>
      <xdr:row>3</xdr:row>
      <xdr:rowOff>3008</xdr:rowOff>
    </xdr:to>
    <xdr:cxnSp macro="">
      <xdr:nvCxnSpPr>
        <xdr:cNvPr id="141" name="Connecteur droit 140">
          <a:extLst>
            <a:ext uri="{FF2B5EF4-FFF2-40B4-BE49-F238E27FC236}">
              <a16:creationId xmlns:a16="http://schemas.microsoft.com/office/drawing/2014/main" id="{62D59181-3A43-4287-A72B-AF8E0E51DF43}"/>
            </a:ext>
          </a:extLst>
        </xdr:cNvPr>
        <xdr:cNvCxnSpPr/>
      </xdr:nvCxnSpPr>
      <xdr:spPr>
        <a:xfrm>
          <a:off x="14347180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1400418</xdr:colOff>
      <xdr:row>2</xdr:row>
      <xdr:rowOff>3008</xdr:rowOff>
    </xdr:from>
    <xdr:to>
      <xdr:col>9</xdr:col>
      <xdr:colOff>1400418</xdr:colOff>
      <xdr:row>3</xdr:row>
      <xdr:rowOff>3008</xdr:rowOff>
    </xdr:to>
    <xdr:cxnSp macro="">
      <xdr:nvCxnSpPr>
        <xdr:cNvPr id="142" name="Connecteur droit 141">
          <a:extLst>
            <a:ext uri="{FF2B5EF4-FFF2-40B4-BE49-F238E27FC236}">
              <a16:creationId xmlns:a16="http://schemas.microsoft.com/office/drawing/2014/main" id="{497F87AB-3E28-4903-8D0B-67D0331CD271}"/>
            </a:ext>
          </a:extLst>
        </xdr:cNvPr>
        <xdr:cNvCxnSpPr/>
      </xdr:nvCxnSpPr>
      <xdr:spPr>
        <a:xfrm>
          <a:off x="15567602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1226072</xdr:colOff>
      <xdr:row>2</xdr:row>
      <xdr:rowOff>3008</xdr:rowOff>
    </xdr:from>
    <xdr:to>
      <xdr:col>9</xdr:col>
      <xdr:colOff>1226072</xdr:colOff>
      <xdr:row>3</xdr:row>
      <xdr:rowOff>3008</xdr:rowOff>
    </xdr:to>
    <xdr:cxnSp macro="">
      <xdr:nvCxnSpPr>
        <xdr:cNvPr id="143" name="Connecteur droit 142">
          <a:extLst>
            <a:ext uri="{FF2B5EF4-FFF2-40B4-BE49-F238E27FC236}">
              <a16:creationId xmlns:a16="http://schemas.microsoft.com/office/drawing/2014/main" id="{2AE4CBDC-9269-4447-AD06-A601169E2A94}"/>
            </a:ext>
          </a:extLst>
        </xdr:cNvPr>
        <xdr:cNvCxnSpPr/>
      </xdr:nvCxnSpPr>
      <xdr:spPr>
        <a:xfrm>
          <a:off x="15393256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317575</xdr:colOff>
      <xdr:row>2</xdr:row>
      <xdr:rowOff>3008</xdr:rowOff>
    </xdr:from>
    <xdr:to>
      <xdr:col>10</xdr:col>
      <xdr:colOff>317575</xdr:colOff>
      <xdr:row>3</xdr:row>
      <xdr:rowOff>3008</xdr:rowOff>
    </xdr:to>
    <xdr:cxnSp macro="">
      <xdr:nvCxnSpPr>
        <xdr:cNvPr id="146" name="Connecteur droit 145">
          <a:extLst>
            <a:ext uri="{FF2B5EF4-FFF2-40B4-BE49-F238E27FC236}">
              <a16:creationId xmlns:a16="http://schemas.microsoft.com/office/drawing/2014/main" id="{676A5B07-90A2-416F-AB76-3A28B6193524}"/>
            </a:ext>
          </a:extLst>
        </xdr:cNvPr>
        <xdr:cNvCxnSpPr/>
      </xdr:nvCxnSpPr>
      <xdr:spPr>
        <a:xfrm>
          <a:off x="16058891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475489</xdr:colOff>
      <xdr:row>2</xdr:row>
      <xdr:rowOff>3008</xdr:rowOff>
    </xdr:from>
    <xdr:to>
      <xdr:col>10</xdr:col>
      <xdr:colOff>475489</xdr:colOff>
      <xdr:row>3</xdr:row>
      <xdr:rowOff>3008</xdr:rowOff>
    </xdr:to>
    <xdr:cxnSp macro="">
      <xdr:nvCxnSpPr>
        <xdr:cNvPr id="147" name="Connecteur droit 146">
          <a:extLst>
            <a:ext uri="{FF2B5EF4-FFF2-40B4-BE49-F238E27FC236}">
              <a16:creationId xmlns:a16="http://schemas.microsoft.com/office/drawing/2014/main" id="{76E7AEC2-055F-45E5-BB52-B5A0D2876085}"/>
            </a:ext>
          </a:extLst>
        </xdr:cNvPr>
        <xdr:cNvCxnSpPr/>
      </xdr:nvCxnSpPr>
      <xdr:spPr>
        <a:xfrm>
          <a:off x="1621680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633403</xdr:colOff>
      <xdr:row>2</xdr:row>
      <xdr:rowOff>3008</xdr:rowOff>
    </xdr:from>
    <xdr:to>
      <xdr:col>10</xdr:col>
      <xdr:colOff>633403</xdr:colOff>
      <xdr:row>3</xdr:row>
      <xdr:rowOff>3008</xdr:rowOff>
    </xdr:to>
    <xdr:cxnSp macro="">
      <xdr:nvCxnSpPr>
        <xdr:cNvPr id="148" name="Connecteur droit 147">
          <a:extLst>
            <a:ext uri="{FF2B5EF4-FFF2-40B4-BE49-F238E27FC236}">
              <a16:creationId xmlns:a16="http://schemas.microsoft.com/office/drawing/2014/main" id="{4320DF06-8A19-4BBC-9CAF-65EF0813F65F}"/>
            </a:ext>
          </a:extLst>
        </xdr:cNvPr>
        <xdr:cNvCxnSpPr/>
      </xdr:nvCxnSpPr>
      <xdr:spPr>
        <a:xfrm>
          <a:off x="16374719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791317</xdr:colOff>
      <xdr:row>2</xdr:row>
      <xdr:rowOff>3008</xdr:rowOff>
    </xdr:from>
    <xdr:to>
      <xdr:col>10</xdr:col>
      <xdr:colOff>791317</xdr:colOff>
      <xdr:row>3</xdr:row>
      <xdr:rowOff>3008</xdr:rowOff>
    </xdr:to>
    <xdr:cxnSp macro="">
      <xdr:nvCxnSpPr>
        <xdr:cNvPr id="149" name="Connecteur droit 148">
          <a:extLst>
            <a:ext uri="{FF2B5EF4-FFF2-40B4-BE49-F238E27FC236}">
              <a16:creationId xmlns:a16="http://schemas.microsoft.com/office/drawing/2014/main" id="{25E15CA8-3441-4E67-8803-3FA2ED36E4C3}"/>
            </a:ext>
          </a:extLst>
        </xdr:cNvPr>
        <xdr:cNvCxnSpPr/>
      </xdr:nvCxnSpPr>
      <xdr:spPr>
        <a:xfrm>
          <a:off x="16532633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949231</xdr:colOff>
      <xdr:row>2</xdr:row>
      <xdr:rowOff>3008</xdr:rowOff>
    </xdr:from>
    <xdr:to>
      <xdr:col>10</xdr:col>
      <xdr:colOff>949231</xdr:colOff>
      <xdr:row>3</xdr:row>
      <xdr:rowOff>3008</xdr:rowOff>
    </xdr:to>
    <xdr:cxnSp macro="">
      <xdr:nvCxnSpPr>
        <xdr:cNvPr id="150" name="Connecteur droit 149">
          <a:extLst>
            <a:ext uri="{FF2B5EF4-FFF2-40B4-BE49-F238E27FC236}">
              <a16:creationId xmlns:a16="http://schemas.microsoft.com/office/drawing/2014/main" id="{933FFFFB-CD54-435B-8D4A-42C1FB927036}"/>
            </a:ext>
          </a:extLst>
        </xdr:cNvPr>
        <xdr:cNvCxnSpPr/>
      </xdr:nvCxnSpPr>
      <xdr:spPr>
        <a:xfrm>
          <a:off x="1669054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159661</xdr:colOff>
      <xdr:row>2</xdr:row>
      <xdr:rowOff>3008</xdr:rowOff>
    </xdr:from>
    <xdr:to>
      <xdr:col>10</xdr:col>
      <xdr:colOff>159661</xdr:colOff>
      <xdr:row>3</xdr:row>
      <xdr:rowOff>3008</xdr:rowOff>
    </xdr:to>
    <xdr:cxnSp macro="">
      <xdr:nvCxnSpPr>
        <xdr:cNvPr id="151" name="Connecteur droit 150">
          <a:extLst>
            <a:ext uri="{FF2B5EF4-FFF2-40B4-BE49-F238E27FC236}">
              <a16:creationId xmlns:a16="http://schemas.microsoft.com/office/drawing/2014/main" id="{148A0916-E9AC-4F2A-A7E0-6C7BD1D4E82D}"/>
            </a:ext>
          </a:extLst>
        </xdr:cNvPr>
        <xdr:cNvCxnSpPr/>
      </xdr:nvCxnSpPr>
      <xdr:spPr>
        <a:xfrm>
          <a:off x="15900977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1265059</xdr:colOff>
      <xdr:row>2</xdr:row>
      <xdr:rowOff>3008</xdr:rowOff>
    </xdr:from>
    <xdr:to>
      <xdr:col>10</xdr:col>
      <xdr:colOff>1265059</xdr:colOff>
      <xdr:row>3</xdr:row>
      <xdr:rowOff>3008</xdr:rowOff>
    </xdr:to>
    <xdr:cxnSp macro="">
      <xdr:nvCxnSpPr>
        <xdr:cNvPr id="152" name="Connecteur droit 151">
          <a:extLst>
            <a:ext uri="{FF2B5EF4-FFF2-40B4-BE49-F238E27FC236}">
              <a16:creationId xmlns:a16="http://schemas.microsoft.com/office/drawing/2014/main" id="{99ADE98C-D516-4366-BD22-8A0059DC5940}"/>
            </a:ext>
          </a:extLst>
        </xdr:cNvPr>
        <xdr:cNvCxnSpPr/>
      </xdr:nvCxnSpPr>
      <xdr:spPr>
        <a:xfrm>
          <a:off x="17006375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1107145</xdr:colOff>
      <xdr:row>2</xdr:row>
      <xdr:rowOff>3008</xdr:rowOff>
    </xdr:from>
    <xdr:to>
      <xdr:col>10</xdr:col>
      <xdr:colOff>1107145</xdr:colOff>
      <xdr:row>3</xdr:row>
      <xdr:rowOff>3008</xdr:rowOff>
    </xdr:to>
    <xdr:cxnSp macro="">
      <xdr:nvCxnSpPr>
        <xdr:cNvPr id="153" name="Connecteur droit 152">
          <a:extLst>
            <a:ext uri="{FF2B5EF4-FFF2-40B4-BE49-F238E27FC236}">
              <a16:creationId xmlns:a16="http://schemas.microsoft.com/office/drawing/2014/main" id="{7CB1DBD9-5AD2-4902-840B-C859D5F64CD9}"/>
            </a:ext>
          </a:extLst>
        </xdr:cNvPr>
        <xdr:cNvCxnSpPr/>
      </xdr:nvCxnSpPr>
      <xdr:spPr>
        <a:xfrm>
          <a:off x="16848461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1422973</xdr:colOff>
      <xdr:row>2</xdr:row>
      <xdr:rowOff>3008</xdr:rowOff>
    </xdr:from>
    <xdr:to>
      <xdr:col>10</xdr:col>
      <xdr:colOff>1422973</xdr:colOff>
      <xdr:row>3</xdr:row>
      <xdr:rowOff>3008</xdr:rowOff>
    </xdr:to>
    <xdr:cxnSp macro="">
      <xdr:nvCxnSpPr>
        <xdr:cNvPr id="154" name="Connecteur droit 153">
          <a:extLst>
            <a:ext uri="{FF2B5EF4-FFF2-40B4-BE49-F238E27FC236}">
              <a16:creationId xmlns:a16="http://schemas.microsoft.com/office/drawing/2014/main" id="{585BECD3-D06F-4E7C-AF45-B7FE733D613A}"/>
            </a:ext>
          </a:extLst>
        </xdr:cNvPr>
        <xdr:cNvCxnSpPr/>
      </xdr:nvCxnSpPr>
      <xdr:spPr>
        <a:xfrm>
          <a:off x="17164289" y="1346534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</xdr:colOff>
      <xdr:row>1</xdr:row>
      <xdr:rowOff>289739</xdr:rowOff>
    </xdr:from>
    <xdr:to>
      <xdr:col>8</xdr:col>
      <xdr:colOff>1571968</xdr:colOff>
      <xdr:row>1</xdr:row>
      <xdr:rowOff>289739</xdr:rowOff>
    </xdr:to>
    <xdr:cxnSp macro="">
      <xdr:nvCxnSpPr>
        <xdr:cNvPr id="157" name="Connecteur droit 156">
          <a:extLst>
            <a:ext uri="{FF2B5EF4-FFF2-40B4-BE49-F238E27FC236}">
              <a16:creationId xmlns:a16="http://schemas.microsoft.com/office/drawing/2014/main" id="{F207987F-D7DA-43B5-98F7-557BF007463A}"/>
            </a:ext>
          </a:extLst>
        </xdr:cNvPr>
        <xdr:cNvCxnSpPr/>
      </xdr:nvCxnSpPr>
      <xdr:spPr>
        <a:xfrm>
          <a:off x="12592050" y="491669"/>
          <a:ext cx="1568158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</xdr:colOff>
      <xdr:row>1</xdr:row>
      <xdr:rowOff>432168</xdr:rowOff>
    </xdr:from>
    <xdr:to>
      <xdr:col>8</xdr:col>
      <xdr:colOff>1571968</xdr:colOff>
      <xdr:row>1</xdr:row>
      <xdr:rowOff>441960</xdr:rowOff>
    </xdr:to>
    <xdr:cxnSp macro="">
      <xdr:nvCxnSpPr>
        <xdr:cNvPr id="158" name="Connecteur droit 157">
          <a:extLst>
            <a:ext uri="{FF2B5EF4-FFF2-40B4-BE49-F238E27FC236}">
              <a16:creationId xmlns:a16="http://schemas.microsoft.com/office/drawing/2014/main" id="{7E686703-962F-47A7-BC09-5739A3E68B7B}"/>
            </a:ext>
          </a:extLst>
        </xdr:cNvPr>
        <xdr:cNvCxnSpPr/>
      </xdr:nvCxnSpPr>
      <xdr:spPr>
        <a:xfrm flipV="1">
          <a:off x="12592050" y="634098"/>
          <a:ext cx="1568158" cy="9792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1562100</xdr:colOff>
      <xdr:row>1</xdr:row>
      <xdr:rowOff>574595</xdr:rowOff>
    </xdr:from>
    <xdr:to>
      <xdr:col>8</xdr:col>
      <xdr:colOff>1571968</xdr:colOff>
      <xdr:row>1</xdr:row>
      <xdr:rowOff>574595</xdr:rowOff>
    </xdr:to>
    <xdr:cxnSp macro="">
      <xdr:nvCxnSpPr>
        <xdr:cNvPr id="159" name="Connecteur droit 158">
          <a:extLst>
            <a:ext uri="{FF2B5EF4-FFF2-40B4-BE49-F238E27FC236}">
              <a16:creationId xmlns:a16="http://schemas.microsoft.com/office/drawing/2014/main" id="{D9F6A894-052E-4006-890A-F49A6A0372F9}"/>
            </a:ext>
          </a:extLst>
        </xdr:cNvPr>
        <xdr:cNvCxnSpPr/>
      </xdr:nvCxnSpPr>
      <xdr:spPr>
        <a:xfrm>
          <a:off x="12576810" y="776525"/>
          <a:ext cx="1583398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</xdr:colOff>
      <xdr:row>1</xdr:row>
      <xdr:rowOff>717024</xdr:rowOff>
    </xdr:from>
    <xdr:to>
      <xdr:col>8</xdr:col>
      <xdr:colOff>1571968</xdr:colOff>
      <xdr:row>1</xdr:row>
      <xdr:rowOff>720090</xdr:rowOff>
    </xdr:to>
    <xdr:cxnSp macro="">
      <xdr:nvCxnSpPr>
        <xdr:cNvPr id="160" name="Connecteur droit 159">
          <a:extLst>
            <a:ext uri="{FF2B5EF4-FFF2-40B4-BE49-F238E27FC236}">
              <a16:creationId xmlns:a16="http://schemas.microsoft.com/office/drawing/2014/main" id="{4CF787E8-437E-4AE7-A0E8-21C6C7069331}"/>
            </a:ext>
          </a:extLst>
        </xdr:cNvPr>
        <xdr:cNvCxnSpPr/>
      </xdr:nvCxnSpPr>
      <xdr:spPr>
        <a:xfrm flipV="1">
          <a:off x="12592050" y="918954"/>
          <a:ext cx="1568158" cy="3066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859452</xdr:rowOff>
    </xdr:from>
    <xdr:to>
      <xdr:col>8</xdr:col>
      <xdr:colOff>1571968</xdr:colOff>
      <xdr:row>1</xdr:row>
      <xdr:rowOff>868680</xdr:rowOff>
    </xdr:to>
    <xdr:cxnSp macro="">
      <xdr:nvCxnSpPr>
        <xdr:cNvPr id="161" name="Connecteur droit 160">
          <a:extLst>
            <a:ext uri="{FF2B5EF4-FFF2-40B4-BE49-F238E27FC236}">
              <a16:creationId xmlns:a16="http://schemas.microsoft.com/office/drawing/2014/main" id="{813F0185-DDB4-478D-B26A-0376FD2498B6}"/>
            </a:ext>
          </a:extLst>
        </xdr:cNvPr>
        <xdr:cNvCxnSpPr/>
      </xdr:nvCxnSpPr>
      <xdr:spPr>
        <a:xfrm flipV="1">
          <a:off x="12588240" y="1061382"/>
          <a:ext cx="1571968" cy="9228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1001880</xdr:rowOff>
    </xdr:from>
    <xdr:to>
      <xdr:col>8</xdr:col>
      <xdr:colOff>1571968</xdr:colOff>
      <xdr:row>1</xdr:row>
      <xdr:rowOff>1013460</xdr:rowOff>
    </xdr:to>
    <xdr:cxnSp macro="">
      <xdr:nvCxnSpPr>
        <xdr:cNvPr id="162" name="Connecteur droit 161">
          <a:extLst>
            <a:ext uri="{FF2B5EF4-FFF2-40B4-BE49-F238E27FC236}">
              <a16:creationId xmlns:a16="http://schemas.microsoft.com/office/drawing/2014/main" id="{949794A2-C685-4C4F-910E-7E03C37F6B54}"/>
            </a:ext>
          </a:extLst>
        </xdr:cNvPr>
        <xdr:cNvCxnSpPr/>
      </xdr:nvCxnSpPr>
      <xdr:spPr>
        <a:xfrm flipV="1">
          <a:off x="12588240" y="1203810"/>
          <a:ext cx="1571968" cy="1158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147311</xdr:rowOff>
    </xdr:from>
    <xdr:to>
      <xdr:col>8</xdr:col>
      <xdr:colOff>1571968</xdr:colOff>
      <xdr:row>1</xdr:row>
      <xdr:rowOff>147311</xdr:rowOff>
    </xdr:to>
    <xdr:cxnSp macro="">
      <xdr:nvCxnSpPr>
        <xdr:cNvPr id="185" name="Connecteur droit 184">
          <a:extLst>
            <a:ext uri="{FF2B5EF4-FFF2-40B4-BE49-F238E27FC236}">
              <a16:creationId xmlns:a16="http://schemas.microsoft.com/office/drawing/2014/main" id="{04186DF8-46E8-4AD3-8ACD-85BC1E56BA47}"/>
            </a:ext>
          </a:extLst>
        </xdr:cNvPr>
        <xdr:cNvCxnSpPr/>
      </xdr:nvCxnSpPr>
      <xdr:spPr>
        <a:xfrm>
          <a:off x="12588240" y="349241"/>
          <a:ext cx="1571968" cy="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1572127</xdr:colOff>
      <xdr:row>1</xdr:row>
      <xdr:rowOff>132761</xdr:rowOff>
    </xdr:from>
    <xdr:to>
      <xdr:col>10</xdr:col>
      <xdr:colOff>0</xdr:colOff>
      <xdr:row>1</xdr:row>
      <xdr:rowOff>1017862</xdr:rowOff>
    </xdr:to>
    <xdr:grpSp>
      <xdr:nvGrpSpPr>
        <xdr:cNvPr id="221" name="Groupe 220">
          <a:extLst>
            <a:ext uri="{FF2B5EF4-FFF2-40B4-BE49-F238E27FC236}">
              <a16:creationId xmlns:a16="http://schemas.microsoft.com/office/drawing/2014/main" id="{F6677BDD-DA19-4A9E-B114-54704652EDFC}"/>
            </a:ext>
          </a:extLst>
        </xdr:cNvPr>
        <xdr:cNvGrpSpPr/>
      </xdr:nvGrpSpPr>
      <xdr:grpSpPr>
        <a:xfrm>
          <a:off x="14145127" y="332786"/>
          <a:ext cx="1571123" cy="885101"/>
          <a:chOff x="14160366" y="334691"/>
          <a:chExt cx="1582797" cy="885101"/>
        </a:xfrm>
      </xdr:grpSpPr>
      <xdr:cxnSp macro="">
        <xdr:nvCxnSpPr>
          <xdr:cNvPr id="163" name="Connecteur droit 162">
            <a:extLst>
              <a:ext uri="{FF2B5EF4-FFF2-40B4-BE49-F238E27FC236}">
                <a16:creationId xmlns:a16="http://schemas.microsoft.com/office/drawing/2014/main" id="{0E5F0D92-1384-454D-93AD-F4303AE7AEFB}"/>
              </a:ext>
            </a:extLst>
          </xdr:cNvPr>
          <xdr:cNvCxnSpPr/>
        </xdr:nvCxnSpPr>
        <xdr:spPr>
          <a:xfrm>
            <a:off x="14160366" y="334691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4" name="Connecteur droit 163">
            <a:extLst>
              <a:ext uri="{FF2B5EF4-FFF2-40B4-BE49-F238E27FC236}">
                <a16:creationId xmlns:a16="http://schemas.microsoft.com/office/drawing/2014/main" id="{D23E0C1F-65F3-4DD0-864F-0729F94BA5C9}"/>
              </a:ext>
            </a:extLst>
          </xdr:cNvPr>
          <xdr:cNvCxnSpPr/>
        </xdr:nvCxnSpPr>
        <xdr:spPr>
          <a:xfrm>
            <a:off x="14160366" y="461134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5" name="Connecteur droit 164">
            <a:extLst>
              <a:ext uri="{FF2B5EF4-FFF2-40B4-BE49-F238E27FC236}">
                <a16:creationId xmlns:a16="http://schemas.microsoft.com/office/drawing/2014/main" id="{25A3857B-531F-4BB2-8BBE-8DB1F04BA2B1}"/>
              </a:ext>
            </a:extLst>
          </xdr:cNvPr>
          <xdr:cNvCxnSpPr/>
        </xdr:nvCxnSpPr>
        <xdr:spPr>
          <a:xfrm>
            <a:off x="14160366" y="587577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68" name="Connecteur droit 167">
            <a:extLst>
              <a:ext uri="{FF2B5EF4-FFF2-40B4-BE49-F238E27FC236}">
                <a16:creationId xmlns:a16="http://schemas.microsoft.com/office/drawing/2014/main" id="{99306039-FE43-46B9-9F22-8D2F3514D5C2}"/>
              </a:ext>
            </a:extLst>
          </xdr:cNvPr>
          <xdr:cNvCxnSpPr/>
        </xdr:nvCxnSpPr>
        <xdr:spPr>
          <a:xfrm>
            <a:off x="14160366" y="714020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4" name="Connecteur droit 173">
            <a:extLst>
              <a:ext uri="{FF2B5EF4-FFF2-40B4-BE49-F238E27FC236}">
                <a16:creationId xmlns:a16="http://schemas.microsoft.com/office/drawing/2014/main" id="{C9236831-129C-4609-918F-C49EDC9CCEC1}"/>
              </a:ext>
            </a:extLst>
          </xdr:cNvPr>
          <xdr:cNvCxnSpPr/>
        </xdr:nvCxnSpPr>
        <xdr:spPr>
          <a:xfrm>
            <a:off x="14160366" y="840463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5" name="Connecteur droit 174">
            <a:extLst>
              <a:ext uri="{FF2B5EF4-FFF2-40B4-BE49-F238E27FC236}">
                <a16:creationId xmlns:a16="http://schemas.microsoft.com/office/drawing/2014/main" id="{17B7C338-F917-4CA5-B1C6-AB03FBBAC259}"/>
              </a:ext>
            </a:extLst>
          </xdr:cNvPr>
          <xdr:cNvCxnSpPr/>
        </xdr:nvCxnSpPr>
        <xdr:spPr>
          <a:xfrm>
            <a:off x="14160366" y="1093349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8" name="Connecteur droit 187">
            <a:extLst>
              <a:ext uri="{FF2B5EF4-FFF2-40B4-BE49-F238E27FC236}">
                <a16:creationId xmlns:a16="http://schemas.microsoft.com/office/drawing/2014/main" id="{40C24914-4255-4608-877B-265C3A6DD448}"/>
              </a:ext>
            </a:extLst>
          </xdr:cNvPr>
          <xdr:cNvCxnSpPr/>
        </xdr:nvCxnSpPr>
        <xdr:spPr>
          <a:xfrm>
            <a:off x="14160366" y="1219792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9" name="Connecteur droit 188">
            <a:extLst>
              <a:ext uri="{FF2B5EF4-FFF2-40B4-BE49-F238E27FC236}">
                <a16:creationId xmlns:a16="http://schemas.microsoft.com/office/drawing/2014/main" id="{7FBB5DB1-E848-4B67-9C92-6CF6771A326E}"/>
              </a:ext>
            </a:extLst>
          </xdr:cNvPr>
          <xdr:cNvCxnSpPr/>
        </xdr:nvCxnSpPr>
        <xdr:spPr>
          <a:xfrm>
            <a:off x="14160366" y="966906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1572127</xdr:colOff>
      <xdr:row>1</xdr:row>
      <xdr:rowOff>118682</xdr:rowOff>
    </xdr:from>
    <xdr:to>
      <xdr:col>11</xdr:col>
      <xdr:colOff>1</xdr:colOff>
      <xdr:row>1</xdr:row>
      <xdr:rowOff>1029074</xdr:rowOff>
    </xdr:to>
    <xdr:grpSp>
      <xdr:nvGrpSpPr>
        <xdr:cNvPr id="222" name="Groupe 221">
          <a:extLst>
            <a:ext uri="{FF2B5EF4-FFF2-40B4-BE49-F238E27FC236}">
              <a16:creationId xmlns:a16="http://schemas.microsoft.com/office/drawing/2014/main" id="{D6CFED26-8E17-4524-BBB5-4D885A06AFDF}"/>
            </a:ext>
          </a:extLst>
        </xdr:cNvPr>
        <xdr:cNvGrpSpPr/>
      </xdr:nvGrpSpPr>
      <xdr:grpSpPr>
        <a:xfrm>
          <a:off x="15716752" y="318707"/>
          <a:ext cx="1571124" cy="910392"/>
          <a:chOff x="15733896" y="320612"/>
          <a:chExt cx="1582797" cy="910392"/>
        </a:xfrm>
      </xdr:grpSpPr>
      <xdr:cxnSp macro="">
        <xdr:nvCxnSpPr>
          <xdr:cNvPr id="176" name="Connecteur droit 175">
            <a:extLst>
              <a:ext uri="{FF2B5EF4-FFF2-40B4-BE49-F238E27FC236}">
                <a16:creationId xmlns:a16="http://schemas.microsoft.com/office/drawing/2014/main" id="{BD7A46B4-A235-4B11-BE59-04FCE937FA18}"/>
              </a:ext>
            </a:extLst>
          </xdr:cNvPr>
          <xdr:cNvCxnSpPr/>
        </xdr:nvCxnSpPr>
        <xdr:spPr>
          <a:xfrm>
            <a:off x="15733896" y="434411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7" name="Connecteur droit 176">
            <a:extLst>
              <a:ext uri="{FF2B5EF4-FFF2-40B4-BE49-F238E27FC236}">
                <a16:creationId xmlns:a16="http://schemas.microsoft.com/office/drawing/2014/main" id="{ADC88F7F-0AA7-4E10-B73E-0CEBD4C9284B}"/>
              </a:ext>
            </a:extLst>
          </xdr:cNvPr>
          <xdr:cNvCxnSpPr/>
        </xdr:nvCxnSpPr>
        <xdr:spPr>
          <a:xfrm>
            <a:off x="15733896" y="662009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8" name="Connecteur droit 177">
            <a:extLst>
              <a:ext uri="{FF2B5EF4-FFF2-40B4-BE49-F238E27FC236}">
                <a16:creationId xmlns:a16="http://schemas.microsoft.com/office/drawing/2014/main" id="{69DB23A3-FFF4-4093-A3C1-C7FF08CE22DB}"/>
              </a:ext>
            </a:extLst>
          </xdr:cNvPr>
          <xdr:cNvCxnSpPr/>
        </xdr:nvCxnSpPr>
        <xdr:spPr>
          <a:xfrm>
            <a:off x="15733896" y="889607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79" name="Connecteur droit 178">
            <a:extLst>
              <a:ext uri="{FF2B5EF4-FFF2-40B4-BE49-F238E27FC236}">
                <a16:creationId xmlns:a16="http://schemas.microsoft.com/office/drawing/2014/main" id="{1AFD07C5-EAE5-4B85-8251-E0FE0899F49E}"/>
              </a:ext>
            </a:extLst>
          </xdr:cNvPr>
          <xdr:cNvCxnSpPr/>
        </xdr:nvCxnSpPr>
        <xdr:spPr>
          <a:xfrm>
            <a:off x="15733896" y="1003406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0" name="Connecteur droit 179">
            <a:extLst>
              <a:ext uri="{FF2B5EF4-FFF2-40B4-BE49-F238E27FC236}">
                <a16:creationId xmlns:a16="http://schemas.microsoft.com/office/drawing/2014/main" id="{3FA1FCB7-B251-4514-A45C-213DD3E5F60B}"/>
              </a:ext>
            </a:extLst>
          </xdr:cNvPr>
          <xdr:cNvCxnSpPr/>
        </xdr:nvCxnSpPr>
        <xdr:spPr>
          <a:xfrm>
            <a:off x="15733896" y="1117205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4" name="Connecteur droit 183">
            <a:extLst>
              <a:ext uri="{FF2B5EF4-FFF2-40B4-BE49-F238E27FC236}">
                <a16:creationId xmlns:a16="http://schemas.microsoft.com/office/drawing/2014/main" id="{D9F24FAD-B00B-4DEF-A7D0-EFA7ECE3B646}"/>
              </a:ext>
            </a:extLst>
          </xdr:cNvPr>
          <xdr:cNvCxnSpPr/>
        </xdr:nvCxnSpPr>
        <xdr:spPr>
          <a:xfrm>
            <a:off x="15733896" y="1231004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5" name="Connecteur droit 194">
            <a:extLst>
              <a:ext uri="{FF2B5EF4-FFF2-40B4-BE49-F238E27FC236}">
                <a16:creationId xmlns:a16="http://schemas.microsoft.com/office/drawing/2014/main" id="{FA540AD3-76E6-420D-A253-92946CF5A084}"/>
              </a:ext>
            </a:extLst>
          </xdr:cNvPr>
          <xdr:cNvCxnSpPr/>
        </xdr:nvCxnSpPr>
        <xdr:spPr>
          <a:xfrm>
            <a:off x="15733896" y="320612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96" name="Connecteur droit 195">
            <a:extLst>
              <a:ext uri="{FF2B5EF4-FFF2-40B4-BE49-F238E27FC236}">
                <a16:creationId xmlns:a16="http://schemas.microsoft.com/office/drawing/2014/main" id="{B6374B42-AD51-49EB-A598-3B0B8068A49F}"/>
              </a:ext>
            </a:extLst>
          </xdr:cNvPr>
          <xdr:cNvCxnSpPr/>
        </xdr:nvCxnSpPr>
        <xdr:spPr>
          <a:xfrm>
            <a:off x="15733896" y="548210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02" name="Connecteur droit 201">
            <a:extLst>
              <a:ext uri="{FF2B5EF4-FFF2-40B4-BE49-F238E27FC236}">
                <a16:creationId xmlns:a16="http://schemas.microsoft.com/office/drawing/2014/main" id="{F8716D12-96DD-4706-A679-370E7E9EF020}"/>
              </a:ext>
            </a:extLst>
          </xdr:cNvPr>
          <xdr:cNvCxnSpPr/>
        </xdr:nvCxnSpPr>
        <xdr:spPr>
          <a:xfrm>
            <a:off x="15733896" y="775808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331676</xdr:colOff>
      <xdr:row>5</xdr:row>
      <xdr:rowOff>256848</xdr:rowOff>
    </xdr:from>
    <xdr:to>
      <xdr:col>2</xdr:col>
      <xdr:colOff>1227431</xdr:colOff>
      <xdr:row>5</xdr:row>
      <xdr:rowOff>949945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50162750-A78C-4BC4-9996-D915F414F0F4}"/>
            </a:ext>
          </a:extLst>
        </xdr:cNvPr>
        <xdr:cNvGrpSpPr/>
      </xdr:nvGrpSpPr>
      <xdr:grpSpPr>
        <a:xfrm>
          <a:off x="3474926" y="3304848"/>
          <a:ext cx="895755" cy="693097"/>
          <a:chOff x="3482253" y="3304848"/>
          <a:chExt cx="895755" cy="693097"/>
        </a:xfrm>
      </xdr:grpSpPr>
      <xdr:grpSp>
        <xdr:nvGrpSpPr>
          <xdr:cNvPr id="394" name="Groupe 393">
            <a:extLst>
              <a:ext uri="{FF2B5EF4-FFF2-40B4-BE49-F238E27FC236}">
                <a16:creationId xmlns:a16="http://schemas.microsoft.com/office/drawing/2014/main" id="{34165A94-B67B-405A-A4D3-BA71DC3B5C7B}"/>
              </a:ext>
            </a:extLst>
          </xdr:cNvPr>
          <xdr:cNvGrpSpPr/>
        </xdr:nvGrpSpPr>
        <xdr:grpSpPr>
          <a:xfrm rot="5400000">
            <a:off x="3583582" y="3203519"/>
            <a:ext cx="693097" cy="895755"/>
            <a:chOff x="380999" y="2821023"/>
            <a:chExt cx="693097" cy="895755"/>
          </a:xfrm>
        </xdr:grpSpPr>
        <xdr:sp macro="" textlink="">
          <xdr:nvSpPr>
            <xdr:cNvPr id="396" name="Rectangle 395">
              <a:extLst>
                <a:ext uri="{FF2B5EF4-FFF2-40B4-BE49-F238E27FC236}">
                  <a16:creationId xmlns:a16="http://schemas.microsoft.com/office/drawing/2014/main" id="{97A84CFE-40E8-4079-9E5D-9FE9F54A4CC8}"/>
                </a:ext>
              </a:extLst>
            </xdr:cNvPr>
            <xdr:cNvSpPr/>
          </xdr:nvSpPr>
          <xdr:spPr>
            <a:xfrm>
              <a:off x="380999" y="2821023"/>
              <a:ext cx="693097" cy="895755"/>
            </a:xfrm>
            <a:prstGeom prst="rect">
              <a:avLst/>
            </a:prstGeom>
            <a:solidFill>
              <a:schemeClr val="bg2"/>
            </a:solidFill>
            <a:ln>
              <a:solidFill>
                <a:schemeClr val="tx1">
                  <a:lumMod val="95000"/>
                  <a:lumOff val="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97" name="Rectangle 396">
              <a:extLst>
                <a:ext uri="{FF2B5EF4-FFF2-40B4-BE49-F238E27FC236}">
                  <a16:creationId xmlns:a16="http://schemas.microsoft.com/office/drawing/2014/main" id="{D5EC8129-2453-41B5-982C-42D26E916BE2}"/>
                </a:ext>
              </a:extLst>
            </xdr:cNvPr>
            <xdr:cNvSpPr/>
          </xdr:nvSpPr>
          <xdr:spPr>
            <a:xfrm>
              <a:off x="393160" y="2829129"/>
              <a:ext cx="676883" cy="48637"/>
            </a:xfrm>
            <a:prstGeom prst="rect">
              <a:avLst/>
            </a:prstGeom>
          </xdr:spPr>
          <xdr:style>
            <a:lnRef idx="2">
              <a:schemeClr val="accent6">
                <a:shade val="50000"/>
              </a:schemeClr>
            </a:lnRef>
            <a:fillRef idx="1">
              <a:schemeClr val="accent6"/>
            </a:fillRef>
            <a:effectRef idx="0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395" name="Rectangle 394">
            <a:extLst>
              <a:ext uri="{FF2B5EF4-FFF2-40B4-BE49-F238E27FC236}">
                <a16:creationId xmlns:a16="http://schemas.microsoft.com/office/drawing/2014/main" id="{BB181626-D061-4085-BFC9-FF414EC97C11}"/>
              </a:ext>
            </a:extLst>
          </xdr:cNvPr>
          <xdr:cNvSpPr/>
        </xdr:nvSpPr>
        <xdr:spPr>
          <a:xfrm>
            <a:off x="3819479" y="3338084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 </a:t>
            </a:r>
          </a:p>
        </xdr:txBody>
      </xdr:sp>
    </xdr:grpSp>
    <xdr:clientData/>
  </xdr:twoCellAnchor>
  <xdr:twoCellAnchor>
    <xdr:from>
      <xdr:col>3</xdr:col>
      <xdr:colOff>383588</xdr:colOff>
      <xdr:row>5</xdr:row>
      <xdr:rowOff>124808</xdr:rowOff>
    </xdr:from>
    <xdr:to>
      <xdr:col>3</xdr:col>
      <xdr:colOff>1153695</xdr:colOff>
      <xdr:row>5</xdr:row>
      <xdr:rowOff>1109734</xdr:rowOff>
    </xdr:to>
    <xdr:grpSp>
      <xdr:nvGrpSpPr>
        <xdr:cNvPr id="398" name="Groupe 397">
          <a:extLst>
            <a:ext uri="{FF2B5EF4-FFF2-40B4-BE49-F238E27FC236}">
              <a16:creationId xmlns:a16="http://schemas.microsoft.com/office/drawing/2014/main" id="{5ACF9563-991A-4B3E-A1B2-EA9E73D29B15}"/>
            </a:ext>
          </a:extLst>
        </xdr:cNvPr>
        <xdr:cNvGrpSpPr/>
      </xdr:nvGrpSpPr>
      <xdr:grpSpPr>
        <a:xfrm>
          <a:off x="5098463" y="3172808"/>
          <a:ext cx="770107" cy="984926"/>
          <a:chOff x="3535630" y="4603023"/>
          <a:chExt cx="770107" cy="984926"/>
        </a:xfrm>
      </xdr:grpSpPr>
      <xdr:grpSp>
        <xdr:nvGrpSpPr>
          <xdr:cNvPr id="399" name="Groupe 398">
            <a:extLst>
              <a:ext uri="{FF2B5EF4-FFF2-40B4-BE49-F238E27FC236}">
                <a16:creationId xmlns:a16="http://schemas.microsoft.com/office/drawing/2014/main" id="{48F16066-BE21-4CC9-A41A-B93D1E3035A0}"/>
              </a:ext>
            </a:extLst>
          </xdr:cNvPr>
          <xdr:cNvGrpSpPr/>
        </xdr:nvGrpSpPr>
        <xdr:grpSpPr>
          <a:xfrm>
            <a:off x="3535630" y="4603023"/>
            <a:ext cx="770107" cy="984926"/>
            <a:chOff x="1957691" y="2837235"/>
            <a:chExt cx="770107" cy="984926"/>
          </a:xfrm>
        </xdr:grpSpPr>
        <xdr:sp macro="" textlink="">
          <xdr:nvSpPr>
            <xdr:cNvPr id="401" name="Rectangle 400">
              <a:extLst>
                <a:ext uri="{FF2B5EF4-FFF2-40B4-BE49-F238E27FC236}">
                  <a16:creationId xmlns:a16="http://schemas.microsoft.com/office/drawing/2014/main" id="{24D2B003-4E78-4836-97B6-33735B4A570F}"/>
                </a:ext>
              </a:extLst>
            </xdr:cNvPr>
            <xdr:cNvSpPr/>
          </xdr:nvSpPr>
          <xdr:spPr>
            <a:xfrm>
              <a:off x="1957691" y="2837235"/>
              <a:ext cx="770107" cy="984926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pSp>
          <xdr:nvGrpSpPr>
            <xdr:cNvPr id="402" name="Groupe 401">
              <a:extLst>
                <a:ext uri="{FF2B5EF4-FFF2-40B4-BE49-F238E27FC236}">
                  <a16:creationId xmlns:a16="http://schemas.microsoft.com/office/drawing/2014/main" id="{9EAD06B2-0292-4AF9-9452-C5C10E7EEA6B}"/>
                </a:ext>
              </a:extLst>
            </xdr:cNvPr>
            <xdr:cNvGrpSpPr/>
          </xdr:nvGrpSpPr>
          <xdr:grpSpPr>
            <a:xfrm>
              <a:off x="1994169" y="2885873"/>
              <a:ext cx="693097" cy="895755"/>
              <a:chOff x="380999" y="2821022"/>
              <a:chExt cx="693097" cy="895755"/>
            </a:xfrm>
          </xdr:grpSpPr>
          <xdr:sp macro="" textlink="">
            <xdr:nvSpPr>
              <xdr:cNvPr id="403" name="Rectangle 402">
                <a:extLst>
                  <a:ext uri="{FF2B5EF4-FFF2-40B4-BE49-F238E27FC236}">
                    <a16:creationId xmlns:a16="http://schemas.microsoft.com/office/drawing/2014/main" id="{19E49D6D-CBED-4DD2-9F4B-9D4F532B745C}"/>
                  </a:ext>
                </a:extLst>
              </xdr:cNvPr>
              <xdr:cNvSpPr/>
            </xdr:nvSpPr>
            <xdr:spPr>
              <a:xfrm>
                <a:off x="380999" y="2821022"/>
                <a:ext cx="693097" cy="895755"/>
              </a:xfrm>
              <a:prstGeom prst="rect">
                <a:avLst/>
              </a:prstGeom>
              <a:solidFill>
                <a:schemeClr val="bg2"/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  <xdr:sp macro="" textlink="">
            <xdr:nvSpPr>
              <xdr:cNvPr id="404" name="Rectangle 403">
                <a:extLst>
                  <a:ext uri="{FF2B5EF4-FFF2-40B4-BE49-F238E27FC236}">
                    <a16:creationId xmlns:a16="http://schemas.microsoft.com/office/drawing/2014/main" id="{8E26B3BA-58D2-403F-9EF9-0B4F12F9CF63}"/>
                  </a:ext>
                </a:extLst>
              </xdr:cNvPr>
              <xdr:cNvSpPr/>
            </xdr:nvSpPr>
            <xdr:spPr>
              <a:xfrm>
                <a:off x="393160" y="2829129"/>
                <a:ext cx="676883" cy="48637"/>
              </a:xfrm>
              <a:prstGeom prst="rect">
                <a:avLst/>
              </a:prstGeom>
            </xdr:spPr>
            <xdr:style>
              <a:lnRef idx="2">
                <a:schemeClr val="accent6">
                  <a:shade val="50000"/>
                </a:schemeClr>
              </a:lnRef>
              <a:fillRef idx="1">
                <a:schemeClr val="accent6"/>
              </a:fillRef>
              <a:effectRef idx="0">
                <a:schemeClr val="accent6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FR" sz="1100"/>
              </a:p>
            </xdr:txBody>
          </xdr:sp>
        </xdr:grpSp>
      </xdr:grpSp>
      <xdr:sp macro="" textlink="">
        <xdr:nvSpPr>
          <xdr:cNvPr id="400" name="Rectangle 399">
            <a:extLst>
              <a:ext uri="{FF2B5EF4-FFF2-40B4-BE49-F238E27FC236}">
                <a16:creationId xmlns:a16="http://schemas.microsoft.com/office/drawing/2014/main" id="{77347E21-75D8-48A8-BF44-29EF6B4DBF72}"/>
              </a:ext>
            </a:extLst>
          </xdr:cNvPr>
          <xdr:cNvSpPr/>
        </xdr:nvSpPr>
        <xdr:spPr>
          <a:xfrm>
            <a:off x="3835660" y="4739210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7</xdr:col>
      <xdr:colOff>197143</xdr:colOff>
      <xdr:row>5</xdr:row>
      <xdr:rowOff>195270</xdr:rowOff>
    </xdr:from>
    <xdr:to>
      <xdr:col>7</xdr:col>
      <xdr:colOff>1356355</xdr:colOff>
      <xdr:row>5</xdr:row>
      <xdr:rowOff>1008342</xdr:rowOff>
    </xdr:to>
    <xdr:grpSp>
      <xdr:nvGrpSpPr>
        <xdr:cNvPr id="416" name="Groupe 415">
          <a:extLst>
            <a:ext uri="{FF2B5EF4-FFF2-40B4-BE49-F238E27FC236}">
              <a16:creationId xmlns:a16="http://schemas.microsoft.com/office/drawing/2014/main" id="{C2923452-5E9A-434C-960A-99DECE6F30E1}"/>
            </a:ext>
          </a:extLst>
        </xdr:cNvPr>
        <xdr:cNvGrpSpPr/>
      </xdr:nvGrpSpPr>
      <xdr:grpSpPr>
        <a:xfrm>
          <a:off x="11198518" y="3243270"/>
          <a:ext cx="1159212" cy="813072"/>
          <a:chOff x="9650339" y="4688139"/>
          <a:chExt cx="1159212" cy="813072"/>
        </a:xfrm>
      </xdr:grpSpPr>
      <xdr:grpSp>
        <xdr:nvGrpSpPr>
          <xdr:cNvPr id="417" name="Groupe 416">
            <a:extLst>
              <a:ext uri="{FF2B5EF4-FFF2-40B4-BE49-F238E27FC236}">
                <a16:creationId xmlns:a16="http://schemas.microsoft.com/office/drawing/2014/main" id="{BDE36CCD-68C2-421E-8930-724F0B81066D}"/>
              </a:ext>
            </a:extLst>
          </xdr:cNvPr>
          <xdr:cNvGrpSpPr/>
        </xdr:nvGrpSpPr>
        <xdr:grpSpPr>
          <a:xfrm>
            <a:off x="9650339" y="4688139"/>
            <a:ext cx="1159212" cy="813072"/>
            <a:chOff x="1771246" y="4304489"/>
            <a:chExt cx="1159212" cy="813072"/>
          </a:xfrm>
        </xdr:grpSpPr>
        <xdr:sp macro="" textlink="">
          <xdr:nvSpPr>
            <xdr:cNvPr id="420" name="Rectangle 419">
              <a:extLst>
                <a:ext uri="{FF2B5EF4-FFF2-40B4-BE49-F238E27FC236}">
                  <a16:creationId xmlns:a16="http://schemas.microsoft.com/office/drawing/2014/main" id="{BA2FC099-ADD4-4C3A-8ADE-06A9860E80CC}"/>
                </a:ext>
              </a:extLst>
            </xdr:cNvPr>
            <xdr:cNvSpPr/>
          </xdr:nvSpPr>
          <xdr:spPr>
            <a:xfrm>
              <a:off x="1771246" y="4304489"/>
              <a:ext cx="1159212" cy="813072"/>
            </a:xfrm>
            <a:prstGeom prst="rect">
              <a:avLst/>
            </a:prstGeom>
            <a:solidFill>
              <a:schemeClr val="accent5">
                <a:lumMod val="40000"/>
                <a:lumOff val="6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pSp>
          <xdr:nvGrpSpPr>
            <xdr:cNvPr id="421" name="Groupe 420">
              <a:extLst>
                <a:ext uri="{FF2B5EF4-FFF2-40B4-BE49-F238E27FC236}">
                  <a16:creationId xmlns:a16="http://schemas.microsoft.com/office/drawing/2014/main" id="{D8191CD6-2021-402B-B72D-4D9A1867E642}"/>
                </a:ext>
              </a:extLst>
            </xdr:cNvPr>
            <xdr:cNvGrpSpPr/>
          </xdr:nvGrpSpPr>
          <xdr:grpSpPr>
            <a:xfrm>
              <a:off x="1811777" y="4349073"/>
              <a:ext cx="1078148" cy="725522"/>
              <a:chOff x="243192" y="4349073"/>
              <a:chExt cx="1078148" cy="725522"/>
            </a:xfrm>
          </xdr:grpSpPr>
          <xdr:grpSp>
            <xdr:nvGrpSpPr>
              <xdr:cNvPr id="422" name="Groupe 421">
                <a:extLst>
                  <a:ext uri="{FF2B5EF4-FFF2-40B4-BE49-F238E27FC236}">
                    <a16:creationId xmlns:a16="http://schemas.microsoft.com/office/drawing/2014/main" id="{03E993E0-D7EE-4A28-8CB7-D941EE0DFD3C}"/>
                  </a:ext>
                </a:extLst>
              </xdr:cNvPr>
              <xdr:cNvGrpSpPr/>
            </xdr:nvGrpSpPr>
            <xdr:grpSpPr>
              <a:xfrm>
                <a:off x="243192" y="4349073"/>
                <a:ext cx="1078148" cy="725522"/>
                <a:chOff x="381000" y="2821022"/>
                <a:chExt cx="1506268" cy="895755"/>
              </a:xfrm>
            </xdr:grpSpPr>
            <xdr:sp macro="" textlink="">
              <xdr:nvSpPr>
                <xdr:cNvPr id="424" name="Rectangle 423">
                  <a:extLst>
                    <a:ext uri="{FF2B5EF4-FFF2-40B4-BE49-F238E27FC236}">
                      <a16:creationId xmlns:a16="http://schemas.microsoft.com/office/drawing/2014/main" id="{0978D788-4692-4488-A5DA-9F849A9A3B37}"/>
                    </a:ext>
                  </a:extLst>
                </xdr:cNvPr>
                <xdr:cNvSpPr/>
              </xdr:nvSpPr>
              <xdr:spPr>
                <a:xfrm>
                  <a:off x="381000" y="2821022"/>
                  <a:ext cx="1506268" cy="895755"/>
                </a:xfrm>
                <a:prstGeom prst="rect">
                  <a:avLst/>
                </a:prstGeom>
                <a:solidFill>
                  <a:schemeClr val="bg2"/>
                </a:solidFill>
                <a:ln>
                  <a:solidFill>
                    <a:schemeClr val="tx1">
                      <a:lumMod val="95000"/>
                      <a:lumOff val="5000"/>
                    </a:schemeClr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  <xdr:sp macro="" textlink="">
              <xdr:nvSpPr>
                <xdr:cNvPr id="425" name="Rectangle 424">
                  <a:extLst>
                    <a:ext uri="{FF2B5EF4-FFF2-40B4-BE49-F238E27FC236}">
                      <a16:creationId xmlns:a16="http://schemas.microsoft.com/office/drawing/2014/main" id="{499E51AC-3E77-4195-A037-27614B104D9D}"/>
                    </a:ext>
                  </a:extLst>
                </xdr:cNvPr>
                <xdr:cNvSpPr/>
              </xdr:nvSpPr>
              <xdr:spPr>
                <a:xfrm>
                  <a:off x="393159" y="2829129"/>
                  <a:ext cx="1482781" cy="71962"/>
                </a:xfrm>
                <a:prstGeom prst="rect">
                  <a:avLst/>
                </a:prstGeom>
              </xdr:spPr>
              <xdr:style>
                <a:lnRef idx="2">
                  <a:schemeClr val="accent6">
                    <a:shade val="50000"/>
                  </a:schemeClr>
                </a:lnRef>
                <a:fillRef idx="1">
                  <a:schemeClr val="accent6"/>
                </a:fillRef>
                <a:effectRef idx="0">
                  <a:schemeClr val="accent6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fr-FR" sz="1100"/>
                </a:p>
              </xdr:txBody>
            </xdr:sp>
          </xdr:grpSp>
          <xdr:cxnSp macro="">
            <xdr:nvCxnSpPr>
              <xdr:cNvPr id="423" name="Connecteur droit 422">
                <a:extLst>
                  <a:ext uri="{FF2B5EF4-FFF2-40B4-BE49-F238E27FC236}">
                    <a16:creationId xmlns:a16="http://schemas.microsoft.com/office/drawing/2014/main" id="{A8F78986-7398-4340-88C3-3DCE1B985BD7}"/>
                  </a:ext>
                </a:extLst>
              </xdr:cNvPr>
              <xdr:cNvCxnSpPr>
                <a:stCxn id="424" idx="0"/>
                <a:endCxn id="424" idx="2"/>
              </xdr:cNvCxnSpPr>
            </xdr:nvCxnSpPr>
            <xdr:spPr>
              <a:xfrm>
                <a:off x="782266" y="4349073"/>
                <a:ext cx="0" cy="725522"/>
              </a:xfrm>
              <a:prstGeom prst="line">
                <a:avLst/>
              </a:prstGeom>
              <a:ln>
                <a:prstDash val="lgDash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sp macro="" textlink="">
        <xdr:nvSpPr>
          <xdr:cNvPr id="418" name="Rectangle 417">
            <a:extLst>
              <a:ext uri="{FF2B5EF4-FFF2-40B4-BE49-F238E27FC236}">
                <a16:creationId xmlns:a16="http://schemas.microsoft.com/office/drawing/2014/main" id="{F1C85C8A-8A26-4972-B73C-27BA6BF97696}"/>
              </a:ext>
            </a:extLst>
          </xdr:cNvPr>
          <xdr:cNvSpPr/>
        </xdr:nvSpPr>
        <xdr:spPr>
          <a:xfrm>
            <a:off x="9867590" y="4824328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19" name="Rectangle 418">
            <a:extLst>
              <a:ext uri="{FF2B5EF4-FFF2-40B4-BE49-F238E27FC236}">
                <a16:creationId xmlns:a16="http://schemas.microsoft.com/office/drawing/2014/main" id="{0145D509-3A3B-4032-970C-8FB45E86E254}"/>
              </a:ext>
            </a:extLst>
          </xdr:cNvPr>
          <xdr:cNvSpPr/>
        </xdr:nvSpPr>
        <xdr:spPr>
          <a:xfrm>
            <a:off x="10421256" y="4822706"/>
            <a:ext cx="174287" cy="45719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432289</xdr:colOff>
      <xdr:row>8</xdr:row>
      <xdr:rowOff>307731</xdr:rowOff>
    </xdr:from>
    <xdr:to>
      <xdr:col>1</xdr:col>
      <xdr:colOff>1121020</xdr:colOff>
      <xdr:row>8</xdr:row>
      <xdr:rowOff>1075594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id="{FE7F409A-7142-4986-BA1B-B5A8D0C12C33}"/>
            </a:ext>
          </a:extLst>
        </xdr:cNvPr>
        <xdr:cNvGrpSpPr/>
      </xdr:nvGrpSpPr>
      <xdr:grpSpPr>
        <a:xfrm>
          <a:off x="2003914" y="5479806"/>
          <a:ext cx="688731" cy="767863"/>
          <a:chOff x="2000250" y="4447442"/>
          <a:chExt cx="688731" cy="767863"/>
        </a:xfrm>
      </xdr:grpSpPr>
      <xdr:cxnSp macro="">
        <xdr:nvCxnSpPr>
          <xdr:cNvPr id="17" name="Connecteur droit 16">
            <a:extLst>
              <a:ext uri="{FF2B5EF4-FFF2-40B4-BE49-F238E27FC236}">
                <a16:creationId xmlns:a16="http://schemas.microsoft.com/office/drawing/2014/main" id="{6361A21B-1D57-443F-9195-7DDB9B723559}"/>
              </a:ext>
            </a:extLst>
          </xdr:cNvPr>
          <xdr:cNvCxnSpPr/>
        </xdr:nvCxnSpPr>
        <xdr:spPr>
          <a:xfrm>
            <a:off x="2000250" y="4447442"/>
            <a:ext cx="359020" cy="762000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19" name="Connecteur droit 218">
            <a:extLst>
              <a:ext uri="{FF2B5EF4-FFF2-40B4-BE49-F238E27FC236}">
                <a16:creationId xmlns:a16="http://schemas.microsoft.com/office/drawing/2014/main" id="{B4C8CB78-95F7-466C-91F2-EEB9CFAE74F5}"/>
              </a:ext>
            </a:extLst>
          </xdr:cNvPr>
          <xdr:cNvCxnSpPr/>
        </xdr:nvCxnSpPr>
        <xdr:spPr>
          <a:xfrm flipH="1">
            <a:off x="2357805" y="4447443"/>
            <a:ext cx="331176" cy="767862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205154</xdr:colOff>
      <xdr:row>8</xdr:row>
      <xdr:rowOff>307731</xdr:rowOff>
    </xdr:from>
    <xdr:to>
      <xdr:col>2</xdr:col>
      <xdr:colOff>1260232</xdr:colOff>
      <xdr:row>8</xdr:row>
      <xdr:rowOff>1075594</xdr:rowOff>
    </xdr:to>
    <xdr:grpSp>
      <xdr:nvGrpSpPr>
        <xdr:cNvPr id="224" name="Groupe 223">
          <a:extLst>
            <a:ext uri="{FF2B5EF4-FFF2-40B4-BE49-F238E27FC236}">
              <a16:creationId xmlns:a16="http://schemas.microsoft.com/office/drawing/2014/main" id="{881EE1B5-E3D1-430D-9FF1-03C35241B51B}"/>
            </a:ext>
          </a:extLst>
        </xdr:cNvPr>
        <xdr:cNvGrpSpPr/>
      </xdr:nvGrpSpPr>
      <xdr:grpSpPr>
        <a:xfrm>
          <a:off x="3348404" y="5479806"/>
          <a:ext cx="1055078" cy="767863"/>
          <a:chOff x="2000250" y="4447442"/>
          <a:chExt cx="1055078" cy="767863"/>
        </a:xfrm>
      </xdr:grpSpPr>
      <xdr:cxnSp macro="">
        <xdr:nvCxnSpPr>
          <xdr:cNvPr id="225" name="Connecteur droit 224">
            <a:extLst>
              <a:ext uri="{FF2B5EF4-FFF2-40B4-BE49-F238E27FC236}">
                <a16:creationId xmlns:a16="http://schemas.microsoft.com/office/drawing/2014/main" id="{DF858578-0039-4D9A-9A1C-84E02621BF80}"/>
              </a:ext>
            </a:extLst>
          </xdr:cNvPr>
          <xdr:cNvCxnSpPr/>
        </xdr:nvCxnSpPr>
        <xdr:spPr>
          <a:xfrm>
            <a:off x="2000250" y="4447442"/>
            <a:ext cx="359020" cy="762000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6" name="Connecteur droit 225">
            <a:extLst>
              <a:ext uri="{FF2B5EF4-FFF2-40B4-BE49-F238E27FC236}">
                <a16:creationId xmlns:a16="http://schemas.microsoft.com/office/drawing/2014/main" id="{9825C932-666B-497D-A1E9-BC307E970AD8}"/>
              </a:ext>
            </a:extLst>
          </xdr:cNvPr>
          <xdr:cNvCxnSpPr/>
        </xdr:nvCxnSpPr>
        <xdr:spPr>
          <a:xfrm flipH="1">
            <a:off x="2357805" y="4447443"/>
            <a:ext cx="331176" cy="767862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7" name="Connecteur droit 226">
            <a:extLst>
              <a:ext uri="{FF2B5EF4-FFF2-40B4-BE49-F238E27FC236}">
                <a16:creationId xmlns:a16="http://schemas.microsoft.com/office/drawing/2014/main" id="{378276D3-B364-4D15-879E-99EB06969FF3}"/>
              </a:ext>
            </a:extLst>
          </xdr:cNvPr>
          <xdr:cNvCxnSpPr/>
        </xdr:nvCxnSpPr>
        <xdr:spPr>
          <a:xfrm>
            <a:off x="2696308" y="4447442"/>
            <a:ext cx="359020" cy="762000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395655</xdr:colOff>
      <xdr:row>8</xdr:row>
      <xdr:rowOff>249116</xdr:rowOff>
    </xdr:from>
    <xdr:to>
      <xdr:col>3</xdr:col>
      <xdr:colOff>1245578</xdr:colOff>
      <xdr:row>8</xdr:row>
      <xdr:rowOff>1016979</xdr:rowOff>
    </xdr:to>
    <xdr:grpSp>
      <xdr:nvGrpSpPr>
        <xdr:cNvPr id="228" name="Groupe 227">
          <a:extLst>
            <a:ext uri="{FF2B5EF4-FFF2-40B4-BE49-F238E27FC236}">
              <a16:creationId xmlns:a16="http://schemas.microsoft.com/office/drawing/2014/main" id="{169B1223-8DE1-4B3D-A937-62A77D2CE9F2}"/>
            </a:ext>
          </a:extLst>
        </xdr:cNvPr>
        <xdr:cNvGrpSpPr/>
      </xdr:nvGrpSpPr>
      <xdr:grpSpPr>
        <a:xfrm>
          <a:off x="5110530" y="5421191"/>
          <a:ext cx="849923" cy="767863"/>
          <a:chOff x="2000250" y="4447442"/>
          <a:chExt cx="849923" cy="767863"/>
        </a:xfrm>
      </xdr:grpSpPr>
      <xdr:cxnSp macro="">
        <xdr:nvCxnSpPr>
          <xdr:cNvPr id="229" name="Connecteur droit 228">
            <a:extLst>
              <a:ext uri="{FF2B5EF4-FFF2-40B4-BE49-F238E27FC236}">
                <a16:creationId xmlns:a16="http://schemas.microsoft.com/office/drawing/2014/main" id="{3E994F76-9C0B-49DC-944D-2B605D34CDA1}"/>
              </a:ext>
            </a:extLst>
          </xdr:cNvPr>
          <xdr:cNvCxnSpPr/>
        </xdr:nvCxnSpPr>
        <xdr:spPr>
          <a:xfrm>
            <a:off x="2000250" y="4447442"/>
            <a:ext cx="359020" cy="762000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0" name="Connecteur droit 229">
            <a:extLst>
              <a:ext uri="{FF2B5EF4-FFF2-40B4-BE49-F238E27FC236}">
                <a16:creationId xmlns:a16="http://schemas.microsoft.com/office/drawing/2014/main" id="{8D51C3EB-E5AE-4532-B7CC-361782ACD9E3}"/>
              </a:ext>
            </a:extLst>
          </xdr:cNvPr>
          <xdr:cNvCxnSpPr/>
        </xdr:nvCxnSpPr>
        <xdr:spPr>
          <a:xfrm flipH="1">
            <a:off x="2357805" y="4674577"/>
            <a:ext cx="485041" cy="540728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1" name="Connecteur droit 230">
            <a:extLst>
              <a:ext uri="{FF2B5EF4-FFF2-40B4-BE49-F238E27FC236}">
                <a16:creationId xmlns:a16="http://schemas.microsoft.com/office/drawing/2014/main" id="{44709A68-5413-4429-BBAA-34342F05EF2C}"/>
              </a:ext>
            </a:extLst>
          </xdr:cNvPr>
          <xdr:cNvCxnSpPr/>
        </xdr:nvCxnSpPr>
        <xdr:spPr>
          <a:xfrm flipH="1">
            <a:off x="2329961" y="4667250"/>
            <a:ext cx="520212" cy="227135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109903</xdr:colOff>
      <xdr:row>8</xdr:row>
      <xdr:rowOff>652087</xdr:rowOff>
    </xdr:from>
    <xdr:to>
      <xdr:col>4</xdr:col>
      <xdr:colOff>1392114</xdr:colOff>
      <xdr:row>8</xdr:row>
      <xdr:rowOff>864567</xdr:rowOff>
    </xdr:to>
    <xdr:grpSp>
      <xdr:nvGrpSpPr>
        <xdr:cNvPr id="244" name="Groupe 243">
          <a:extLst>
            <a:ext uri="{FF2B5EF4-FFF2-40B4-BE49-F238E27FC236}">
              <a16:creationId xmlns:a16="http://schemas.microsoft.com/office/drawing/2014/main" id="{74C384E5-E329-4BBD-B3FD-A1931886785E}"/>
            </a:ext>
          </a:extLst>
        </xdr:cNvPr>
        <xdr:cNvGrpSpPr/>
      </xdr:nvGrpSpPr>
      <xdr:grpSpPr>
        <a:xfrm>
          <a:off x="6396403" y="5824162"/>
          <a:ext cx="1282211" cy="212480"/>
          <a:chOff x="6513635" y="5318680"/>
          <a:chExt cx="1003788" cy="135215"/>
        </a:xfrm>
      </xdr:grpSpPr>
      <xdr:cxnSp macro="">
        <xdr:nvCxnSpPr>
          <xdr:cNvPr id="232" name="Connecteur droit 231">
            <a:extLst>
              <a:ext uri="{FF2B5EF4-FFF2-40B4-BE49-F238E27FC236}">
                <a16:creationId xmlns:a16="http://schemas.microsoft.com/office/drawing/2014/main" id="{21B1B039-4910-4ADE-B279-1F4FC7490DE7}"/>
              </a:ext>
            </a:extLst>
          </xdr:cNvPr>
          <xdr:cNvCxnSpPr/>
        </xdr:nvCxnSpPr>
        <xdr:spPr>
          <a:xfrm>
            <a:off x="6513635" y="5451231"/>
            <a:ext cx="989134" cy="0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7" name="Connecteur droit 236">
            <a:extLst>
              <a:ext uri="{FF2B5EF4-FFF2-40B4-BE49-F238E27FC236}">
                <a16:creationId xmlns:a16="http://schemas.microsoft.com/office/drawing/2014/main" id="{A9BE5F63-CCBA-4B5D-8AD1-732A69F43BE1}"/>
              </a:ext>
            </a:extLst>
          </xdr:cNvPr>
          <xdr:cNvCxnSpPr/>
        </xdr:nvCxnSpPr>
        <xdr:spPr>
          <a:xfrm>
            <a:off x="7187711" y="5318680"/>
            <a:ext cx="329712" cy="132551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42" name="Connecteur droit 241">
            <a:extLst>
              <a:ext uri="{FF2B5EF4-FFF2-40B4-BE49-F238E27FC236}">
                <a16:creationId xmlns:a16="http://schemas.microsoft.com/office/drawing/2014/main" id="{BDD82BEB-CBB1-4D56-8364-BE7F03E318F7}"/>
              </a:ext>
            </a:extLst>
          </xdr:cNvPr>
          <xdr:cNvCxnSpPr/>
        </xdr:nvCxnSpPr>
        <xdr:spPr>
          <a:xfrm flipH="1">
            <a:off x="6513639" y="5318686"/>
            <a:ext cx="344360" cy="135209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212484</xdr:colOff>
      <xdr:row>8</xdr:row>
      <xdr:rowOff>241792</xdr:rowOff>
    </xdr:from>
    <xdr:to>
      <xdr:col>5</xdr:col>
      <xdr:colOff>1274885</xdr:colOff>
      <xdr:row>8</xdr:row>
      <xdr:rowOff>1104901</xdr:rowOff>
    </xdr:to>
    <xdr:grpSp>
      <xdr:nvGrpSpPr>
        <xdr:cNvPr id="72" name="Groupe 71">
          <a:extLst>
            <a:ext uri="{FF2B5EF4-FFF2-40B4-BE49-F238E27FC236}">
              <a16:creationId xmlns:a16="http://schemas.microsoft.com/office/drawing/2014/main" id="{597ADF91-E7D9-4A73-8489-B610AA9FCD24}"/>
            </a:ext>
          </a:extLst>
        </xdr:cNvPr>
        <xdr:cNvGrpSpPr/>
      </xdr:nvGrpSpPr>
      <xdr:grpSpPr>
        <a:xfrm>
          <a:off x="8070609" y="5413867"/>
          <a:ext cx="1062401" cy="863109"/>
          <a:chOff x="8059618" y="4615964"/>
          <a:chExt cx="1062401" cy="863109"/>
        </a:xfrm>
      </xdr:grpSpPr>
      <xdr:grpSp>
        <xdr:nvGrpSpPr>
          <xdr:cNvPr id="71" name="Groupe 70">
            <a:extLst>
              <a:ext uri="{FF2B5EF4-FFF2-40B4-BE49-F238E27FC236}">
                <a16:creationId xmlns:a16="http://schemas.microsoft.com/office/drawing/2014/main" id="{4DC00D1A-861E-4F3C-9D3D-7B0931B092D2}"/>
              </a:ext>
            </a:extLst>
          </xdr:cNvPr>
          <xdr:cNvGrpSpPr/>
        </xdr:nvGrpSpPr>
        <xdr:grpSpPr>
          <a:xfrm>
            <a:off x="8059618" y="4615964"/>
            <a:ext cx="586151" cy="857248"/>
            <a:chOff x="8059618" y="4615964"/>
            <a:chExt cx="586151" cy="857248"/>
          </a:xfrm>
        </xdr:grpSpPr>
        <xdr:cxnSp macro="">
          <xdr:nvCxnSpPr>
            <xdr:cNvPr id="257" name="Connecteur droit 256">
              <a:extLst>
                <a:ext uri="{FF2B5EF4-FFF2-40B4-BE49-F238E27FC236}">
                  <a16:creationId xmlns:a16="http://schemas.microsoft.com/office/drawing/2014/main" id="{E969DC52-56C9-49E0-9601-A50C84BDDC2F}"/>
                </a:ext>
              </a:extLst>
            </xdr:cNvPr>
            <xdr:cNvCxnSpPr/>
          </xdr:nvCxnSpPr>
          <xdr:spPr>
            <a:xfrm flipH="1" flipV="1">
              <a:off x="8059618" y="4615965"/>
              <a:ext cx="490901" cy="454266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58" name="Connecteur droit 257">
              <a:extLst>
                <a:ext uri="{FF2B5EF4-FFF2-40B4-BE49-F238E27FC236}">
                  <a16:creationId xmlns:a16="http://schemas.microsoft.com/office/drawing/2014/main" id="{F2BCF7BC-DAB7-48D9-9F9B-22CB723FDEDF}"/>
                </a:ext>
              </a:extLst>
            </xdr:cNvPr>
            <xdr:cNvCxnSpPr/>
          </xdr:nvCxnSpPr>
          <xdr:spPr>
            <a:xfrm flipH="1" flipV="1">
              <a:off x="8066941" y="4615964"/>
              <a:ext cx="578828" cy="857248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  <xdr:grpSp>
        <xdr:nvGrpSpPr>
          <xdr:cNvPr id="290" name="Groupe 289">
            <a:extLst>
              <a:ext uri="{FF2B5EF4-FFF2-40B4-BE49-F238E27FC236}">
                <a16:creationId xmlns:a16="http://schemas.microsoft.com/office/drawing/2014/main" id="{F9FB308E-C514-422F-9278-E665F30870D9}"/>
              </a:ext>
            </a:extLst>
          </xdr:cNvPr>
          <xdr:cNvGrpSpPr/>
        </xdr:nvGrpSpPr>
        <xdr:grpSpPr>
          <a:xfrm flipH="1">
            <a:off x="8636976" y="4621825"/>
            <a:ext cx="485043" cy="857248"/>
            <a:chOff x="8059618" y="4615964"/>
            <a:chExt cx="586151" cy="857248"/>
          </a:xfrm>
        </xdr:grpSpPr>
        <xdr:cxnSp macro="">
          <xdr:nvCxnSpPr>
            <xdr:cNvPr id="291" name="Connecteur droit 290">
              <a:extLst>
                <a:ext uri="{FF2B5EF4-FFF2-40B4-BE49-F238E27FC236}">
                  <a16:creationId xmlns:a16="http://schemas.microsoft.com/office/drawing/2014/main" id="{D5690E0D-2F9F-4B54-862A-85CAE5C1CB19}"/>
                </a:ext>
              </a:extLst>
            </xdr:cNvPr>
            <xdr:cNvCxnSpPr/>
          </xdr:nvCxnSpPr>
          <xdr:spPr>
            <a:xfrm flipH="1" flipV="1">
              <a:off x="8059618" y="4615965"/>
              <a:ext cx="490901" cy="454266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292" name="Connecteur droit 291">
              <a:extLst>
                <a:ext uri="{FF2B5EF4-FFF2-40B4-BE49-F238E27FC236}">
                  <a16:creationId xmlns:a16="http://schemas.microsoft.com/office/drawing/2014/main" id="{FF5042FE-1E53-4B9B-810D-EAABC23EAFCF}"/>
                </a:ext>
              </a:extLst>
            </xdr:cNvPr>
            <xdr:cNvCxnSpPr/>
          </xdr:nvCxnSpPr>
          <xdr:spPr>
            <a:xfrm flipH="1" flipV="1">
              <a:off x="8066941" y="4615964"/>
              <a:ext cx="578828" cy="857248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6</xdr:col>
      <xdr:colOff>381859</xdr:colOff>
      <xdr:row>8</xdr:row>
      <xdr:rowOff>227135</xdr:rowOff>
    </xdr:from>
    <xdr:to>
      <xdr:col>6</xdr:col>
      <xdr:colOff>1333498</xdr:colOff>
      <xdr:row>8</xdr:row>
      <xdr:rowOff>1164983</xdr:rowOff>
    </xdr:to>
    <xdr:grpSp>
      <xdr:nvGrpSpPr>
        <xdr:cNvPr id="106" name="Groupe 105">
          <a:extLst>
            <a:ext uri="{FF2B5EF4-FFF2-40B4-BE49-F238E27FC236}">
              <a16:creationId xmlns:a16="http://schemas.microsoft.com/office/drawing/2014/main" id="{6F0A161C-E535-4899-B605-DA4972678856}"/>
            </a:ext>
          </a:extLst>
        </xdr:cNvPr>
        <xdr:cNvGrpSpPr/>
      </xdr:nvGrpSpPr>
      <xdr:grpSpPr>
        <a:xfrm>
          <a:off x="9811609" y="5399210"/>
          <a:ext cx="951639" cy="937848"/>
          <a:chOff x="9869370" y="4513384"/>
          <a:chExt cx="915862" cy="1084387"/>
        </a:xfrm>
      </xdr:grpSpPr>
      <xdr:cxnSp macro="">
        <xdr:nvCxnSpPr>
          <xdr:cNvPr id="293" name="Connecteur droit 292">
            <a:extLst>
              <a:ext uri="{FF2B5EF4-FFF2-40B4-BE49-F238E27FC236}">
                <a16:creationId xmlns:a16="http://schemas.microsoft.com/office/drawing/2014/main" id="{AAF764AE-FC2E-4FFE-B258-088A2859CEB6}"/>
              </a:ext>
            </a:extLst>
          </xdr:cNvPr>
          <xdr:cNvCxnSpPr/>
        </xdr:nvCxnSpPr>
        <xdr:spPr>
          <a:xfrm flipH="1">
            <a:off x="9869370" y="4989633"/>
            <a:ext cx="915862" cy="608138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94" name="Connecteur droit 293">
            <a:extLst>
              <a:ext uri="{FF2B5EF4-FFF2-40B4-BE49-F238E27FC236}">
                <a16:creationId xmlns:a16="http://schemas.microsoft.com/office/drawing/2014/main" id="{C367B3C7-419E-4657-9BBE-17B8F7BE3A20}"/>
              </a:ext>
            </a:extLst>
          </xdr:cNvPr>
          <xdr:cNvCxnSpPr/>
        </xdr:nvCxnSpPr>
        <xdr:spPr>
          <a:xfrm flipH="1" flipV="1">
            <a:off x="9884019" y="4513384"/>
            <a:ext cx="892421" cy="474784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95" name="Connecteur droit 294">
            <a:extLst>
              <a:ext uri="{FF2B5EF4-FFF2-40B4-BE49-F238E27FC236}">
                <a16:creationId xmlns:a16="http://schemas.microsoft.com/office/drawing/2014/main" id="{843D87D8-0007-4250-BD3B-867FDBFB1590}"/>
              </a:ext>
            </a:extLst>
          </xdr:cNvPr>
          <xdr:cNvCxnSpPr/>
        </xdr:nvCxnSpPr>
        <xdr:spPr>
          <a:xfrm flipH="1">
            <a:off x="9939055" y="5018942"/>
            <a:ext cx="597060" cy="383977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96" name="Connecteur droit 295">
            <a:extLst>
              <a:ext uri="{FF2B5EF4-FFF2-40B4-BE49-F238E27FC236}">
                <a16:creationId xmlns:a16="http://schemas.microsoft.com/office/drawing/2014/main" id="{07264E83-ED4A-49A8-B743-F17ACA24680E}"/>
              </a:ext>
            </a:extLst>
          </xdr:cNvPr>
          <xdr:cNvCxnSpPr/>
        </xdr:nvCxnSpPr>
        <xdr:spPr>
          <a:xfrm flipH="1" flipV="1">
            <a:off x="9884019" y="4513385"/>
            <a:ext cx="644769" cy="498230"/>
          </a:xfrm>
          <a:prstGeom prst="line">
            <a:avLst/>
          </a:prstGeom>
          <a:ln w="12700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285444</xdr:colOff>
      <xdr:row>2</xdr:row>
      <xdr:rowOff>3008</xdr:rowOff>
    </xdr:from>
    <xdr:to>
      <xdr:col>11</xdr:col>
      <xdr:colOff>285444</xdr:colOff>
      <xdr:row>3</xdr:row>
      <xdr:rowOff>3008</xdr:rowOff>
    </xdr:to>
    <xdr:cxnSp macro="">
      <xdr:nvCxnSpPr>
        <xdr:cNvPr id="193" name="Connecteur droit 192">
          <a:extLst>
            <a:ext uri="{FF2B5EF4-FFF2-40B4-BE49-F238E27FC236}">
              <a16:creationId xmlns:a16="http://schemas.microsoft.com/office/drawing/2014/main" id="{1886FE7E-AEAA-4143-8604-53A71BB56AFE}"/>
            </a:ext>
          </a:extLst>
        </xdr:cNvPr>
        <xdr:cNvCxnSpPr/>
      </xdr:nvCxnSpPr>
      <xdr:spPr>
        <a:xfrm>
          <a:off x="17613617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428932</xdr:colOff>
      <xdr:row>2</xdr:row>
      <xdr:rowOff>3008</xdr:rowOff>
    </xdr:from>
    <xdr:to>
      <xdr:col>11</xdr:col>
      <xdr:colOff>428932</xdr:colOff>
      <xdr:row>3</xdr:row>
      <xdr:rowOff>3008</xdr:rowOff>
    </xdr:to>
    <xdr:cxnSp macro="">
      <xdr:nvCxnSpPr>
        <xdr:cNvPr id="203" name="Connecteur droit 202">
          <a:extLst>
            <a:ext uri="{FF2B5EF4-FFF2-40B4-BE49-F238E27FC236}">
              <a16:creationId xmlns:a16="http://schemas.microsoft.com/office/drawing/2014/main" id="{BA0CD217-DD4C-4B7F-8DE0-C4553524FC08}"/>
            </a:ext>
          </a:extLst>
        </xdr:cNvPr>
        <xdr:cNvCxnSpPr/>
      </xdr:nvCxnSpPr>
      <xdr:spPr>
        <a:xfrm>
          <a:off x="17757105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572420</xdr:colOff>
      <xdr:row>2</xdr:row>
      <xdr:rowOff>3008</xdr:rowOff>
    </xdr:from>
    <xdr:to>
      <xdr:col>11</xdr:col>
      <xdr:colOff>572420</xdr:colOff>
      <xdr:row>3</xdr:row>
      <xdr:rowOff>3008</xdr:rowOff>
    </xdr:to>
    <xdr:cxnSp macro="">
      <xdr:nvCxnSpPr>
        <xdr:cNvPr id="204" name="Connecteur droit 203">
          <a:extLst>
            <a:ext uri="{FF2B5EF4-FFF2-40B4-BE49-F238E27FC236}">
              <a16:creationId xmlns:a16="http://schemas.microsoft.com/office/drawing/2014/main" id="{353ECA2C-4E0E-44E1-862A-CFA09ACEA12C}"/>
            </a:ext>
          </a:extLst>
        </xdr:cNvPr>
        <xdr:cNvCxnSpPr/>
      </xdr:nvCxnSpPr>
      <xdr:spPr>
        <a:xfrm>
          <a:off x="17900593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715908</xdr:colOff>
      <xdr:row>2</xdr:row>
      <xdr:rowOff>3008</xdr:rowOff>
    </xdr:from>
    <xdr:to>
      <xdr:col>11</xdr:col>
      <xdr:colOff>715908</xdr:colOff>
      <xdr:row>3</xdr:row>
      <xdr:rowOff>3008</xdr:rowOff>
    </xdr:to>
    <xdr:cxnSp macro="">
      <xdr:nvCxnSpPr>
        <xdr:cNvPr id="205" name="Connecteur droit 204">
          <a:extLst>
            <a:ext uri="{FF2B5EF4-FFF2-40B4-BE49-F238E27FC236}">
              <a16:creationId xmlns:a16="http://schemas.microsoft.com/office/drawing/2014/main" id="{E6606D1F-701A-4847-AF14-9AE79C4FA87E}"/>
            </a:ext>
          </a:extLst>
        </xdr:cNvPr>
        <xdr:cNvCxnSpPr/>
      </xdr:nvCxnSpPr>
      <xdr:spPr>
        <a:xfrm>
          <a:off x="18044081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859396</xdr:colOff>
      <xdr:row>2</xdr:row>
      <xdr:rowOff>3008</xdr:rowOff>
    </xdr:from>
    <xdr:to>
      <xdr:col>11</xdr:col>
      <xdr:colOff>859396</xdr:colOff>
      <xdr:row>3</xdr:row>
      <xdr:rowOff>3008</xdr:rowOff>
    </xdr:to>
    <xdr:cxnSp macro="">
      <xdr:nvCxnSpPr>
        <xdr:cNvPr id="206" name="Connecteur droit 205">
          <a:extLst>
            <a:ext uri="{FF2B5EF4-FFF2-40B4-BE49-F238E27FC236}">
              <a16:creationId xmlns:a16="http://schemas.microsoft.com/office/drawing/2014/main" id="{2836965E-9EC6-4131-BCA7-66E23E518CA7}"/>
            </a:ext>
          </a:extLst>
        </xdr:cNvPr>
        <xdr:cNvCxnSpPr/>
      </xdr:nvCxnSpPr>
      <xdr:spPr>
        <a:xfrm>
          <a:off x="18187569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141956</xdr:colOff>
      <xdr:row>2</xdr:row>
      <xdr:rowOff>3008</xdr:rowOff>
    </xdr:from>
    <xdr:to>
      <xdr:col>11</xdr:col>
      <xdr:colOff>141956</xdr:colOff>
      <xdr:row>3</xdr:row>
      <xdr:rowOff>3008</xdr:rowOff>
    </xdr:to>
    <xdr:cxnSp macro="">
      <xdr:nvCxnSpPr>
        <xdr:cNvPr id="210" name="Connecteur droit 209">
          <a:extLst>
            <a:ext uri="{FF2B5EF4-FFF2-40B4-BE49-F238E27FC236}">
              <a16:creationId xmlns:a16="http://schemas.microsoft.com/office/drawing/2014/main" id="{9DA6213A-3C17-4EEE-B6A2-803FCF1C55D9}"/>
            </a:ext>
          </a:extLst>
        </xdr:cNvPr>
        <xdr:cNvCxnSpPr/>
      </xdr:nvCxnSpPr>
      <xdr:spPr>
        <a:xfrm>
          <a:off x="17470129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1146372</xdr:colOff>
      <xdr:row>2</xdr:row>
      <xdr:rowOff>3008</xdr:rowOff>
    </xdr:from>
    <xdr:to>
      <xdr:col>11</xdr:col>
      <xdr:colOff>1146372</xdr:colOff>
      <xdr:row>3</xdr:row>
      <xdr:rowOff>3008</xdr:rowOff>
    </xdr:to>
    <xdr:cxnSp macro="">
      <xdr:nvCxnSpPr>
        <xdr:cNvPr id="211" name="Connecteur droit 210">
          <a:extLst>
            <a:ext uri="{FF2B5EF4-FFF2-40B4-BE49-F238E27FC236}">
              <a16:creationId xmlns:a16="http://schemas.microsoft.com/office/drawing/2014/main" id="{FC2C56AF-26E4-4F92-9719-C2C4A2ADBBA2}"/>
            </a:ext>
          </a:extLst>
        </xdr:cNvPr>
        <xdr:cNvCxnSpPr/>
      </xdr:nvCxnSpPr>
      <xdr:spPr>
        <a:xfrm>
          <a:off x="18474545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1002884</xdr:colOff>
      <xdr:row>2</xdr:row>
      <xdr:rowOff>3008</xdr:rowOff>
    </xdr:from>
    <xdr:to>
      <xdr:col>11</xdr:col>
      <xdr:colOff>1002884</xdr:colOff>
      <xdr:row>3</xdr:row>
      <xdr:rowOff>3008</xdr:rowOff>
    </xdr:to>
    <xdr:cxnSp macro="">
      <xdr:nvCxnSpPr>
        <xdr:cNvPr id="212" name="Connecteur droit 211">
          <a:extLst>
            <a:ext uri="{FF2B5EF4-FFF2-40B4-BE49-F238E27FC236}">
              <a16:creationId xmlns:a16="http://schemas.microsoft.com/office/drawing/2014/main" id="{07483AB5-B7B3-4961-A9FE-471196394FC6}"/>
            </a:ext>
          </a:extLst>
        </xdr:cNvPr>
        <xdr:cNvCxnSpPr/>
      </xdr:nvCxnSpPr>
      <xdr:spPr>
        <a:xfrm>
          <a:off x="18331057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1289860</xdr:colOff>
      <xdr:row>2</xdr:row>
      <xdr:rowOff>3008</xdr:rowOff>
    </xdr:from>
    <xdr:to>
      <xdr:col>11</xdr:col>
      <xdr:colOff>1289860</xdr:colOff>
      <xdr:row>3</xdr:row>
      <xdr:rowOff>3008</xdr:rowOff>
    </xdr:to>
    <xdr:cxnSp macro="">
      <xdr:nvCxnSpPr>
        <xdr:cNvPr id="213" name="Connecteur droit 212">
          <a:extLst>
            <a:ext uri="{FF2B5EF4-FFF2-40B4-BE49-F238E27FC236}">
              <a16:creationId xmlns:a16="http://schemas.microsoft.com/office/drawing/2014/main" id="{DA26068D-C375-4065-B8E5-9081F77EEED4}"/>
            </a:ext>
          </a:extLst>
        </xdr:cNvPr>
        <xdr:cNvCxnSpPr/>
      </xdr:nvCxnSpPr>
      <xdr:spPr>
        <a:xfrm>
          <a:off x="18618033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1433348</xdr:colOff>
      <xdr:row>2</xdr:row>
      <xdr:rowOff>3008</xdr:rowOff>
    </xdr:from>
    <xdr:to>
      <xdr:col>11</xdr:col>
      <xdr:colOff>1433348</xdr:colOff>
      <xdr:row>3</xdr:row>
      <xdr:rowOff>3008</xdr:rowOff>
    </xdr:to>
    <xdr:cxnSp macro="">
      <xdr:nvCxnSpPr>
        <xdr:cNvPr id="214" name="Connecteur droit 213">
          <a:extLst>
            <a:ext uri="{FF2B5EF4-FFF2-40B4-BE49-F238E27FC236}">
              <a16:creationId xmlns:a16="http://schemas.microsoft.com/office/drawing/2014/main" id="{FA7E9409-2062-4E91-8CCC-8B79FE0EBCCC}"/>
            </a:ext>
          </a:extLst>
        </xdr:cNvPr>
        <xdr:cNvCxnSpPr/>
      </xdr:nvCxnSpPr>
      <xdr:spPr>
        <a:xfrm>
          <a:off x="18761521" y="1343835"/>
          <a:ext cx="0" cy="1143000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1572126</xdr:colOff>
      <xdr:row>1</xdr:row>
      <xdr:rowOff>111523</xdr:rowOff>
    </xdr:from>
    <xdr:to>
      <xdr:col>12</xdr:col>
      <xdr:colOff>0</xdr:colOff>
      <xdr:row>1</xdr:row>
      <xdr:rowOff>1036228</xdr:rowOff>
    </xdr:to>
    <xdr:grpSp>
      <xdr:nvGrpSpPr>
        <xdr:cNvPr id="217" name="Groupe 216">
          <a:extLst>
            <a:ext uri="{FF2B5EF4-FFF2-40B4-BE49-F238E27FC236}">
              <a16:creationId xmlns:a16="http://schemas.microsoft.com/office/drawing/2014/main" id="{8B868CC6-C0D3-433F-AE7B-4D6DB7461227}"/>
            </a:ext>
          </a:extLst>
        </xdr:cNvPr>
        <xdr:cNvGrpSpPr/>
      </xdr:nvGrpSpPr>
      <xdr:grpSpPr>
        <a:xfrm>
          <a:off x="17288376" y="311548"/>
          <a:ext cx="1571124" cy="924705"/>
          <a:chOff x="15733896" y="313453"/>
          <a:chExt cx="1582797" cy="924705"/>
        </a:xfrm>
      </xdr:grpSpPr>
      <xdr:cxnSp macro="">
        <xdr:nvCxnSpPr>
          <xdr:cNvPr id="218" name="Connecteur droit 217">
            <a:extLst>
              <a:ext uri="{FF2B5EF4-FFF2-40B4-BE49-F238E27FC236}">
                <a16:creationId xmlns:a16="http://schemas.microsoft.com/office/drawing/2014/main" id="{C4351265-7EE3-4453-B3AB-14BA6F3A6BC1}"/>
              </a:ext>
            </a:extLst>
          </xdr:cNvPr>
          <xdr:cNvCxnSpPr/>
        </xdr:nvCxnSpPr>
        <xdr:spPr>
          <a:xfrm>
            <a:off x="15733896" y="416198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0" name="Connecteur droit 219">
            <a:extLst>
              <a:ext uri="{FF2B5EF4-FFF2-40B4-BE49-F238E27FC236}">
                <a16:creationId xmlns:a16="http://schemas.microsoft.com/office/drawing/2014/main" id="{EB5D8447-E7CB-4292-811F-A3C5F2EF5523}"/>
              </a:ext>
            </a:extLst>
          </xdr:cNvPr>
          <xdr:cNvCxnSpPr/>
        </xdr:nvCxnSpPr>
        <xdr:spPr>
          <a:xfrm>
            <a:off x="15733896" y="621688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23" name="Connecteur droit 222">
            <a:extLst>
              <a:ext uri="{FF2B5EF4-FFF2-40B4-BE49-F238E27FC236}">
                <a16:creationId xmlns:a16="http://schemas.microsoft.com/office/drawing/2014/main" id="{2D33E3F6-D987-4B07-917E-A9DECCDA9BF4}"/>
              </a:ext>
            </a:extLst>
          </xdr:cNvPr>
          <xdr:cNvCxnSpPr/>
        </xdr:nvCxnSpPr>
        <xdr:spPr>
          <a:xfrm>
            <a:off x="15733896" y="827178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3" name="Connecteur droit 232">
            <a:extLst>
              <a:ext uri="{FF2B5EF4-FFF2-40B4-BE49-F238E27FC236}">
                <a16:creationId xmlns:a16="http://schemas.microsoft.com/office/drawing/2014/main" id="{6CECF179-3163-4910-8335-6B4FC2460B3F}"/>
              </a:ext>
            </a:extLst>
          </xdr:cNvPr>
          <xdr:cNvCxnSpPr/>
        </xdr:nvCxnSpPr>
        <xdr:spPr>
          <a:xfrm>
            <a:off x="15733896" y="929923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4" name="Connecteur droit 233">
            <a:extLst>
              <a:ext uri="{FF2B5EF4-FFF2-40B4-BE49-F238E27FC236}">
                <a16:creationId xmlns:a16="http://schemas.microsoft.com/office/drawing/2014/main" id="{7D783CD7-A42A-4D8C-9DDF-516B9E7528AD}"/>
              </a:ext>
            </a:extLst>
          </xdr:cNvPr>
          <xdr:cNvCxnSpPr/>
        </xdr:nvCxnSpPr>
        <xdr:spPr>
          <a:xfrm>
            <a:off x="15733896" y="1032668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5" name="Connecteur droit 234">
            <a:extLst>
              <a:ext uri="{FF2B5EF4-FFF2-40B4-BE49-F238E27FC236}">
                <a16:creationId xmlns:a16="http://schemas.microsoft.com/office/drawing/2014/main" id="{B1CCB3C7-DC15-4691-9F05-A1E61D44EDDA}"/>
              </a:ext>
            </a:extLst>
          </xdr:cNvPr>
          <xdr:cNvCxnSpPr/>
        </xdr:nvCxnSpPr>
        <xdr:spPr>
          <a:xfrm>
            <a:off x="15733896" y="1135413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6" name="Connecteur droit 235">
            <a:extLst>
              <a:ext uri="{FF2B5EF4-FFF2-40B4-BE49-F238E27FC236}">
                <a16:creationId xmlns:a16="http://schemas.microsoft.com/office/drawing/2014/main" id="{6C865C5B-DCE2-44DC-BABC-2513716B8C2F}"/>
              </a:ext>
            </a:extLst>
          </xdr:cNvPr>
          <xdr:cNvCxnSpPr/>
        </xdr:nvCxnSpPr>
        <xdr:spPr>
          <a:xfrm>
            <a:off x="15733896" y="313453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8" name="Connecteur droit 237">
            <a:extLst>
              <a:ext uri="{FF2B5EF4-FFF2-40B4-BE49-F238E27FC236}">
                <a16:creationId xmlns:a16="http://schemas.microsoft.com/office/drawing/2014/main" id="{2FD35EA0-56FF-4468-8E82-2F00C3487B27}"/>
              </a:ext>
            </a:extLst>
          </xdr:cNvPr>
          <xdr:cNvCxnSpPr/>
        </xdr:nvCxnSpPr>
        <xdr:spPr>
          <a:xfrm>
            <a:off x="15733896" y="518943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9" name="Connecteur droit 238">
            <a:extLst>
              <a:ext uri="{FF2B5EF4-FFF2-40B4-BE49-F238E27FC236}">
                <a16:creationId xmlns:a16="http://schemas.microsoft.com/office/drawing/2014/main" id="{98DBAE7A-CFF7-485A-9846-056D964CC53D}"/>
              </a:ext>
            </a:extLst>
          </xdr:cNvPr>
          <xdr:cNvCxnSpPr/>
        </xdr:nvCxnSpPr>
        <xdr:spPr>
          <a:xfrm>
            <a:off x="15733896" y="724433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60" name="Connecteur droit 259">
            <a:extLst>
              <a:ext uri="{FF2B5EF4-FFF2-40B4-BE49-F238E27FC236}">
                <a16:creationId xmlns:a16="http://schemas.microsoft.com/office/drawing/2014/main" id="{609F6FFC-7452-44A7-9A2C-B19913751B97}"/>
              </a:ext>
            </a:extLst>
          </xdr:cNvPr>
          <xdr:cNvCxnSpPr/>
        </xdr:nvCxnSpPr>
        <xdr:spPr>
          <a:xfrm>
            <a:off x="15733896" y="1238158"/>
            <a:ext cx="1582797" cy="0"/>
          </a:xfrm>
          <a:prstGeom prst="line">
            <a:avLst/>
          </a:prstGeom>
          <a:ln w="9525"/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212481</xdr:colOff>
      <xdr:row>8</xdr:row>
      <xdr:rowOff>135610</xdr:rowOff>
    </xdr:from>
    <xdr:to>
      <xdr:col>7</xdr:col>
      <xdr:colOff>1267558</xdr:colOff>
      <xdr:row>8</xdr:row>
      <xdr:rowOff>1106365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1584DE76-F6A1-47D5-8823-0B3016CD8E4B}"/>
            </a:ext>
          </a:extLst>
        </xdr:cNvPr>
        <xdr:cNvGrpSpPr/>
      </xdr:nvGrpSpPr>
      <xdr:grpSpPr>
        <a:xfrm>
          <a:off x="11213856" y="5307685"/>
          <a:ext cx="1055077" cy="970755"/>
          <a:chOff x="11219506" y="5308169"/>
          <a:chExt cx="1055077" cy="970755"/>
        </a:xfrm>
      </xdr:grpSpPr>
      <xdr:sp macro="" textlink="">
        <xdr:nvSpPr>
          <xdr:cNvPr id="9" name="Triangle isocèle 8">
            <a:extLst>
              <a:ext uri="{FF2B5EF4-FFF2-40B4-BE49-F238E27FC236}">
                <a16:creationId xmlns:a16="http://schemas.microsoft.com/office/drawing/2014/main" id="{ADDB3A1E-E6BF-4929-B2A8-949B0EEF7D12}"/>
              </a:ext>
            </a:extLst>
          </xdr:cNvPr>
          <xdr:cNvSpPr/>
        </xdr:nvSpPr>
        <xdr:spPr>
          <a:xfrm rot="21226378">
            <a:off x="11449008" y="6176605"/>
            <a:ext cx="748566" cy="57025"/>
          </a:xfrm>
          <a:prstGeom prst="triangle">
            <a:avLst>
              <a:gd name="adj" fmla="val 93114"/>
            </a:avLst>
          </a:prstGeom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5" name="Triangle isocèle 214">
            <a:extLst>
              <a:ext uri="{FF2B5EF4-FFF2-40B4-BE49-F238E27FC236}">
                <a16:creationId xmlns:a16="http://schemas.microsoft.com/office/drawing/2014/main" id="{F4E829AF-4656-45DD-B251-0CDEAFA7EB1A}"/>
              </a:ext>
            </a:extLst>
          </xdr:cNvPr>
          <xdr:cNvSpPr/>
        </xdr:nvSpPr>
        <xdr:spPr>
          <a:xfrm rot="21338813">
            <a:off x="11395534" y="5433054"/>
            <a:ext cx="679702" cy="60165"/>
          </a:xfrm>
          <a:prstGeom prst="triangle">
            <a:avLst>
              <a:gd name="adj" fmla="val 100000"/>
            </a:avLst>
          </a:prstGeom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194" name="Groupe 193">
            <a:extLst>
              <a:ext uri="{FF2B5EF4-FFF2-40B4-BE49-F238E27FC236}">
                <a16:creationId xmlns:a16="http://schemas.microsoft.com/office/drawing/2014/main" id="{B3DDDFD1-6BA0-4466-9F02-AA504DE6BE0C}"/>
              </a:ext>
            </a:extLst>
          </xdr:cNvPr>
          <xdr:cNvGrpSpPr/>
        </xdr:nvGrpSpPr>
        <xdr:grpSpPr>
          <a:xfrm>
            <a:off x="11219506" y="5308169"/>
            <a:ext cx="1055077" cy="970755"/>
            <a:chOff x="12785481" y="4605033"/>
            <a:chExt cx="1055077" cy="970755"/>
          </a:xfrm>
        </xdr:grpSpPr>
        <xdr:cxnSp macro="">
          <xdr:nvCxnSpPr>
            <xdr:cNvPr id="110" name="Connecteur droit 109">
              <a:extLst>
                <a:ext uri="{FF2B5EF4-FFF2-40B4-BE49-F238E27FC236}">
                  <a16:creationId xmlns:a16="http://schemas.microsoft.com/office/drawing/2014/main" id="{5660209A-1EDA-413C-9D82-0F9BD622ED73}"/>
                </a:ext>
              </a:extLst>
            </xdr:cNvPr>
            <xdr:cNvCxnSpPr/>
          </xdr:nvCxnSpPr>
          <xdr:spPr>
            <a:xfrm flipH="1">
              <a:off x="12895387" y="4605033"/>
              <a:ext cx="739893" cy="216082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01" name="Connecteur droit 300">
              <a:extLst>
                <a:ext uri="{FF2B5EF4-FFF2-40B4-BE49-F238E27FC236}">
                  <a16:creationId xmlns:a16="http://schemas.microsoft.com/office/drawing/2014/main" id="{700288C4-7AC4-4085-8226-C11A01856620}"/>
                </a:ext>
              </a:extLst>
            </xdr:cNvPr>
            <xdr:cNvCxnSpPr/>
          </xdr:nvCxnSpPr>
          <xdr:spPr>
            <a:xfrm flipH="1">
              <a:off x="12892653" y="4762500"/>
              <a:ext cx="874636" cy="55635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05" name="Connecteur droit 304">
              <a:extLst>
                <a:ext uri="{FF2B5EF4-FFF2-40B4-BE49-F238E27FC236}">
                  <a16:creationId xmlns:a16="http://schemas.microsoft.com/office/drawing/2014/main" id="{33EF5777-5DF3-4A1D-AFD9-02C141F047E7}"/>
                </a:ext>
              </a:extLst>
            </xdr:cNvPr>
            <xdr:cNvCxnSpPr/>
          </xdr:nvCxnSpPr>
          <xdr:spPr>
            <a:xfrm flipH="1">
              <a:off x="12785481" y="4819650"/>
              <a:ext cx="108439" cy="411773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09" name="Connecteur droit 308">
              <a:extLst>
                <a:ext uri="{FF2B5EF4-FFF2-40B4-BE49-F238E27FC236}">
                  <a16:creationId xmlns:a16="http://schemas.microsoft.com/office/drawing/2014/main" id="{CF36F482-B18F-4371-AE5F-7B346B864EAE}"/>
                </a:ext>
              </a:extLst>
            </xdr:cNvPr>
            <xdr:cNvCxnSpPr/>
          </xdr:nvCxnSpPr>
          <xdr:spPr>
            <a:xfrm>
              <a:off x="12785481" y="5238750"/>
              <a:ext cx="175846" cy="337038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3" name="Connecteur droit 312">
              <a:extLst>
                <a:ext uri="{FF2B5EF4-FFF2-40B4-BE49-F238E27FC236}">
                  <a16:creationId xmlns:a16="http://schemas.microsoft.com/office/drawing/2014/main" id="{2FB34CCD-FFA7-444A-A9E3-ADE1EEB40C52}"/>
                </a:ext>
              </a:extLst>
            </xdr:cNvPr>
            <xdr:cNvCxnSpPr/>
          </xdr:nvCxnSpPr>
          <xdr:spPr>
            <a:xfrm flipH="1">
              <a:off x="12954000" y="5561135"/>
              <a:ext cx="886558" cy="14653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7" name="Connecteur droit 316">
              <a:extLst>
                <a:ext uri="{FF2B5EF4-FFF2-40B4-BE49-F238E27FC236}">
                  <a16:creationId xmlns:a16="http://schemas.microsoft.com/office/drawing/2014/main" id="{F29C3D17-D1D4-4187-9C70-9390C364E110}"/>
                </a:ext>
              </a:extLst>
            </xdr:cNvPr>
            <xdr:cNvCxnSpPr/>
          </xdr:nvCxnSpPr>
          <xdr:spPr>
            <a:xfrm flipH="1">
              <a:off x="12785481" y="5165481"/>
              <a:ext cx="791307" cy="58615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18" name="Connecteur droit 317">
              <a:extLst>
                <a:ext uri="{FF2B5EF4-FFF2-40B4-BE49-F238E27FC236}">
                  <a16:creationId xmlns:a16="http://schemas.microsoft.com/office/drawing/2014/main" id="{FE80A3E0-8D08-4B62-9D86-305604F490DF}"/>
                </a:ext>
              </a:extLst>
            </xdr:cNvPr>
            <xdr:cNvCxnSpPr/>
          </xdr:nvCxnSpPr>
          <xdr:spPr>
            <a:xfrm flipH="1">
              <a:off x="12954002" y="5414596"/>
              <a:ext cx="857248" cy="153865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0" name="Connecteur droit 319">
              <a:extLst>
                <a:ext uri="{FF2B5EF4-FFF2-40B4-BE49-F238E27FC236}">
                  <a16:creationId xmlns:a16="http://schemas.microsoft.com/office/drawing/2014/main" id="{CCD86E50-0F63-41E6-BF2D-E06E8156E3DF}"/>
                </a:ext>
              </a:extLst>
            </xdr:cNvPr>
            <xdr:cNvCxnSpPr/>
          </xdr:nvCxnSpPr>
          <xdr:spPr>
            <a:xfrm>
              <a:off x="13630438" y="4606276"/>
              <a:ext cx="11299" cy="169885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5" name="Connecteur droit 324">
              <a:extLst>
                <a:ext uri="{FF2B5EF4-FFF2-40B4-BE49-F238E27FC236}">
                  <a16:creationId xmlns:a16="http://schemas.microsoft.com/office/drawing/2014/main" id="{A8F79B5B-2568-44B3-BE09-93A8E7DD360C}"/>
                </a:ext>
              </a:extLst>
            </xdr:cNvPr>
            <xdr:cNvCxnSpPr/>
          </xdr:nvCxnSpPr>
          <xdr:spPr>
            <a:xfrm flipH="1">
              <a:off x="13569462" y="4768362"/>
              <a:ext cx="203691" cy="404446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28" name="Connecteur droit 327">
              <a:extLst>
                <a:ext uri="{FF2B5EF4-FFF2-40B4-BE49-F238E27FC236}">
                  <a16:creationId xmlns:a16="http://schemas.microsoft.com/office/drawing/2014/main" id="{6E6FF3E0-1B9B-49B7-9596-59A2FF9C9927}"/>
                </a:ext>
              </a:extLst>
            </xdr:cNvPr>
            <xdr:cNvCxnSpPr/>
          </xdr:nvCxnSpPr>
          <xdr:spPr>
            <a:xfrm>
              <a:off x="13576788" y="5165481"/>
              <a:ext cx="234462" cy="241788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  <xdr:cxnSp macro="">
          <xdr:nvCxnSpPr>
            <xdr:cNvPr id="333" name="Connecteur droit 332">
              <a:extLst>
                <a:ext uri="{FF2B5EF4-FFF2-40B4-BE49-F238E27FC236}">
                  <a16:creationId xmlns:a16="http://schemas.microsoft.com/office/drawing/2014/main" id="{5CF5ED1C-058F-4AF6-8A2B-4EED1D68E34E}"/>
                </a:ext>
              </a:extLst>
            </xdr:cNvPr>
            <xdr:cNvCxnSpPr/>
          </xdr:nvCxnSpPr>
          <xdr:spPr>
            <a:xfrm>
              <a:off x="13716000" y="5436577"/>
              <a:ext cx="124558" cy="124558"/>
            </a:xfrm>
            <a:prstGeom prst="line">
              <a:avLst/>
            </a:prstGeom>
            <a:ln w="12700"/>
          </xdr:spPr>
          <xdr:style>
            <a:lnRef idx="1">
              <a:schemeClr val="dk1"/>
            </a:lnRef>
            <a:fillRef idx="0">
              <a:schemeClr val="dk1"/>
            </a:fillRef>
            <a:effectRef idx="0">
              <a:schemeClr val="dk1"/>
            </a:effectRef>
            <a:fontRef idx="minor">
              <a:schemeClr val="tx1"/>
            </a:fontRef>
          </xdr:style>
        </xdr:cxnSp>
      </xdr:grpSp>
    </xdr:grp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4-09T10:14:09.666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1 1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6029F-6EAB-42FF-9F08-519F3733EC46}">
  <sheetPr codeName="Feuil11"/>
  <dimension ref="A1:AP244"/>
  <sheetViews>
    <sheetView zoomScale="115" zoomScaleNormal="115" workbookViewId="0">
      <selection activeCell="C20" sqref="C20"/>
    </sheetView>
  </sheetViews>
  <sheetFormatPr baseColWidth="10" defaultRowHeight="15" customHeight="1" x14ac:dyDescent="0.25"/>
  <cols>
    <col min="1" max="1" width="11.42578125" style="99"/>
    <col min="2" max="2" width="30" style="278" customWidth="1"/>
    <col min="3" max="3" width="10.7109375" style="69" customWidth="1"/>
    <col min="4" max="4" width="2.7109375" style="75" customWidth="1"/>
    <col min="5" max="5" width="7.7109375" style="24" customWidth="1"/>
    <col min="6" max="6" width="19.5703125" customWidth="1"/>
    <col min="7" max="7" width="14.5703125" customWidth="1"/>
    <col min="8" max="8" width="4" customWidth="1"/>
    <col min="9" max="9" width="13.42578125" style="198" customWidth="1"/>
    <col min="10" max="10" width="10" customWidth="1"/>
    <col min="11" max="11" width="6" customWidth="1"/>
    <col min="12" max="12" width="3.5703125" style="148" customWidth="1"/>
    <col min="13" max="13" width="9.85546875" customWidth="1"/>
    <col min="14" max="14" width="7.28515625" customWidth="1"/>
    <col min="15" max="15" width="6.5703125" style="200" customWidth="1"/>
    <col min="16" max="16" width="27.140625" style="165" customWidth="1"/>
    <col min="17" max="18" width="14.28515625" style="80" customWidth="1"/>
    <col min="19" max="19" width="8.85546875" style="80" customWidth="1"/>
    <col min="20" max="20" width="13" customWidth="1"/>
    <col min="21" max="21" width="7.42578125" style="80" customWidth="1"/>
    <col min="22" max="22" width="33.85546875" style="165" customWidth="1"/>
    <col min="23" max="23" width="5.85546875" style="80" customWidth="1"/>
    <col min="24" max="25" width="11.42578125" style="80"/>
    <col min="26" max="26" width="12.7109375" customWidth="1"/>
  </cols>
  <sheetData>
    <row r="1" spans="2:42" ht="15" customHeight="1" x14ac:dyDescent="0.25">
      <c r="B1" s="276"/>
      <c r="C1" s="96"/>
      <c r="D1" s="97"/>
      <c r="E1" s="98"/>
      <c r="F1" s="99"/>
      <c r="G1" s="99"/>
      <c r="H1" s="99"/>
      <c r="I1" s="197"/>
      <c r="J1" s="197"/>
      <c r="K1" s="99"/>
      <c r="L1" s="99"/>
      <c r="M1" s="131"/>
      <c r="N1" s="99"/>
      <c r="P1" s="201" t="s">
        <v>16</v>
      </c>
      <c r="Q1" s="348" t="str">
        <f>IF(C12="numérique","Non","Oui")</f>
        <v>Oui</v>
      </c>
      <c r="R1" s="76"/>
      <c r="S1" s="202">
        <v>7500</v>
      </c>
      <c r="T1" s="203" t="s">
        <v>93</v>
      </c>
      <c r="U1" s="99"/>
      <c r="V1" s="200" t="s">
        <v>66</v>
      </c>
      <c r="W1" s="306">
        <f>IF(F2="Paysage/Italienne",1,0)</f>
        <v>0</v>
      </c>
      <c r="X1" s="200"/>
      <c r="Y1" s="200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</row>
    <row r="2" spans="2:42" ht="15" customHeight="1" x14ac:dyDescent="0.25">
      <c r="B2" s="276" t="s">
        <v>49</v>
      </c>
      <c r="C2" s="406">
        <v>210</v>
      </c>
      <c r="D2" s="97" t="s">
        <v>13</v>
      </c>
      <c r="E2" s="409">
        <v>297</v>
      </c>
      <c r="F2" s="151" t="str">
        <f>IF(C2&gt;=E2,"Paysage/Italienne","Portrait/Française")</f>
        <v>Portrait/Française</v>
      </c>
      <c r="G2" s="99"/>
      <c r="H2" s="99"/>
      <c r="I2" s="197"/>
      <c r="J2" s="95" t="s">
        <v>21</v>
      </c>
      <c r="K2" s="99"/>
      <c r="L2" s="105"/>
      <c r="M2" s="106">
        <f>IF('Détail du travail'!E18="R°V°",2,1)</f>
        <v>2</v>
      </c>
      <c r="N2" s="99"/>
      <c r="P2" s="204" t="s">
        <v>14</v>
      </c>
      <c r="Q2" s="349" t="str">
        <f>IF(Q1="oui","3%",0)</f>
        <v>3%</v>
      </c>
      <c r="R2" s="77"/>
      <c r="S2" s="205"/>
      <c r="T2" s="206"/>
      <c r="U2" s="99"/>
      <c r="V2" s="200" t="s">
        <v>73</v>
      </c>
      <c r="W2" s="306" t="str">
        <f>IF(C6&gt;=1,"1","0")</f>
        <v>1</v>
      </c>
      <c r="X2" s="200"/>
      <c r="Y2" s="200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</row>
    <row r="3" spans="2:42" ht="15" customHeight="1" x14ac:dyDescent="0.25">
      <c r="B3" s="276" t="s">
        <v>51</v>
      </c>
      <c r="C3" s="334">
        <f>IF('Détail du travail'!C4="non",C2*C8+(C6*2),(C2*2)+(C6*2))</f>
        <v>216</v>
      </c>
      <c r="D3" s="97" t="s">
        <v>13</v>
      </c>
      <c r="E3" s="335">
        <f>E2+(C6*2)</f>
        <v>303</v>
      </c>
      <c r="F3" s="99"/>
      <c r="G3" s="99"/>
      <c r="H3" s="99"/>
      <c r="I3" s="197"/>
      <c r="J3" s="95" t="s">
        <v>38</v>
      </c>
      <c r="K3" s="406">
        <v>450</v>
      </c>
      <c r="L3" s="97" t="s">
        <v>13</v>
      </c>
      <c r="M3" s="335">
        <f>VLOOKUP(K3,Listes!C2:E19,3,0)</f>
        <v>640</v>
      </c>
      <c r="N3" s="99"/>
      <c r="P3" s="207" t="s">
        <v>15</v>
      </c>
      <c r="Q3" s="78" t="str">
        <f>IF(Q1="oui","200",0)</f>
        <v>200</v>
      </c>
      <c r="R3" s="147" t="s">
        <v>22</v>
      </c>
      <c r="S3" s="222">
        <f>C13</f>
        <v>9</v>
      </c>
      <c r="T3" s="208"/>
      <c r="U3" s="99"/>
      <c r="V3" s="200" t="s">
        <v>69</v>
      </c>
      <c r="W3" s="306">
        <f>IF('Détail du travail'!C4="oui",4,0)</f>
        <v>0</v>
      </c>
      <c r="X3" s="200"/>
      <c r="Y3" s="200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</row>
    <row r="4" spans="2:42" ht="15" customHeight="1" x14ac:dyDescent="0.25">
      <c r="B4" s="276" t="s">
        <v>53</v>
      </c>
      <c r="C4" s="407" t="s">
        <v>55</v>
      </c>
      <c r="D4" s="97"/>
      <c r="E4" s="98"/>
      <c r="F4" s="101"/>
      <c r="G4" s="99"/>
      <c r="H4" s="99"/>
      <c r="I4" s="197"/>
      <c r="J4" s="95" t="s">
        <v>35</v>
      </c>
      <c r="K4" s="413">
        <v>115</v>
      </c>
      <c r="L4" s="97"/>
      <c r="M4" s="409" t="s">
        <v>206</v>
      </c>
      <c r="N4" s="99"/>
      <c r="P4" s="209"/>
      <c r="Q4" s="350"/>
      <c r="R4" s="97"/>
      <c r="S4" s="102"/>
      <c r="T4" s="200"/>
      <c r="U4" s="99"/>
      <c r="V4" s="200" t="s">
        <v>72</v>
      </c>
      <c r="W4" s="306" t="str">
        <f>IF(C6&gt;=1,"1","0")</f>
        <v>1</v>
      </c>
      <c r="X4" s="200"/>
      <c r="Y4" s="200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</row>
    <row r="5" spans="2:42" ht="15" customHeight="1" x14ac:dyDescent="0.25">
      <c r="B5" s="276" t="s">
        <v>33</v>
      </c>
      <c r="C5" s="408">
        <v>10000</v>
      </c>
      <c r="D5" s="97" t="s">
        <v>56</v>
      </c>
      <c r="E5" s="102"/>
      <c r="F5" s="103"/>
      <c r="G5" s="99"/>
      <c r="H5" s="99"/>
      <c r="I5" s="197"/>
      <c r="J5" s="95"/>
      <c r="K5" s="107"/>
      <c r="L5" s="97"/>
      <c r="M5" s="98"/>
      <c r="N5" s="99"/>
      <c r="P5" s="201" t="s">
        <v>178</v>
      </c>
      <c r="Q5" s="348" t="str">
        <f>IF(C12="numérique","Oui","Non")</f>
        <v>Non</v>
      </c>
      <c r="R5" s="76"/>
      <c r="S5" s="202">
        <v>7500</v>
      </c>
      <c r="T5" s="203" t="s">
        <v>93</v>
      </c>
      <c r="U5" s="99"/>
      <c r="V5" s="200"/>
      <c r="W5" s="306">
        <f>W1+W2+W3+W4</f>
        <v>2</v>
      </c>
      <c r="X5" s="200"/>
      <c r="Y5" s="200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2:42" ht="15" customHeight="1" x14ac:dyDescent="0.25">
      <c r="B6" s="276" t="s">
        <v>52</v>
      </c>
      <c r="C6" s="406">
        <v>3</v>
      </c>
      <c r="D6" s="97"/>
      <c r="E6" s="102"/>
      <c r="F6" s="103"/>
      <c r="G6" s="99"/>
      <c r="H6" s="99"/>
      <c r="I6" s="197"/>
      <c r="J6" s="95" t="s">
        <v>108</v>
      </c>
      <c r="K6" s="99"/>
      <c r="L6" s="97"/>
      <c r="M6" s="106">
        <f>IF('Détail du travail'!E19="R°V°",2,1)</f>
        <v>1</v>
      </c>
      <c r="N6" s="99"/>
      <c r="P6" s="204" t="s">
        <v>14</v>
      </c>
      <c r="Q6" s="349">
        <f>IF(Q5="oui","3%",0)</f>
        <v>0</v>
      </c>
      <c r="R6" s="77"/>
      <c r="S6" s="205"/>
      <c r="T6" s="206"/>
      <c r="U6" s="99"/>
      <c r="V6" s="200"/>
      <c r="W6" s="306"/>
      <c r="X6" s="200"/>
      <c r="Y6" s="200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</row>
    <row r="7" spans="2:42" ht="15" customHeight="1" x14ac:dyDescent="0.25">
      <c r="B7" s="276"/>
      <c r="C7" s="149">
        <f>HLOOKUP(C10,images!A7:H8,2,0)</f>
        <v>2</v>
      </c>
      <c r="D7" s="97"/>
      <c r="E7" s="98"/>
      <c r="F7" s="99"/>
      <c r="G7" s="99"/>
      <c r="H7" s="99"/>
      <c r="I7" s="197"/>
      <c r="J7" s="95" t="s">
        <v>37</v>
      </c>
      <c r="K7" s="406">
        <v>630</v>
      </c>
      <c r="L7" s="97" t="s">
        <v>13</v>
      </c>
      <c r="M7" s="335">
        <f>VLOOKUP(K7,Listes!C2:E19,3,0)</f>
        <v>880</v>
      </c>
      <c r="N7" s="99"/>
      <c r="P7" s="207" t="s">
        <v>15</v>
      </c>
      <c r="Q7" s="78">
        <f>IF(Q5="oui","200",0)</f>
        <v>0</v>
      </c>
      <c r="R7" s="147"/>
      <c r="S7" s="222"/>
      <c r="T7" s="208"/>
      <c r="U7" s="109"/>
      <c r="V7" s="249"/>
      <c r="W7" s="306"/>
      <c r="X7" s="200"/>
      <c r="Y7" s="200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</row>
    <row r="8" spans="2:42" ht="15" customHeight="1" x14ac:dyDescent="0.25">
      <c r="B8" s="276" t="s">
        <v>65</v>
      </c>
      <c r="C8" s="449">
        <v>1</v>
      </c>
      <c r="D8" s="97"/>
      <c r="E8" s="98"/>
      <c r="F8" s="99"/>
      <c r="G8" s="99"/>
      <c r="H8" s="99"/>
      <c r="I8" s="197"/>
      <c r="J8" s="95" t="s">
        <v>35</v>
      </c>
      <c r="K8" s="413">
        <v>115</v>
      </c>
      <c r="L8" s="97"/>
      <c r="M8" s="409" t="s">
        <v>206</v>
      </c>
      <c r="N8" s="99"/>
      <c r="P8" s="200"/>
      <c r="Q8" s="306"/>
      <c r="R8" s="200"/>
      <c r="S8" s="200"/>
      <c r="T8" s="200"/>
      <c r="U8" s="109"/>
      <c r="V8" s="249"/>
      <c r="W8" s="306"/>
      <c r="X8" s="200"/>
      <c r="Y8" s="200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</row>
    <row r="9" spans="2:42" ht="15" customHeight="1" x14ac:dyDescent="0.25">
      <c r="B9" s="276" t="s">
        <v>106</v>
      </c>
      <c r="C9" s="346">
        <f>IF('Détail du travail'!C4="non",C8-1,"non")</f>
        <v>0</v>
      </c>
      <c r="D9" s="97"/>
      <c r="E9" s="98"/>
      <c r="F9" s="99"/>
      <c r="G9" s="99"/>
      <c r="H9" s="99"/>
      <c r="I9" s="197"/>
      <c r="J9" s="197"/>
      <c r="K9" s="99"/>
      <c r="L9" s="99"/>
      <c r="M9" s="131"/>
      <c r="N9" s="99"/>
      <c r="P9" s="201" t="s">
        <v>17</v>
      </c>
      <c r="Q9" s="351" t="s">
        <v>55</v>
      </c>
      <c r="R9" s="76">
        <f>IF(Q9="oui","7500",0)</f>
        <v>0</v>
      </c>
      <c r="S9" s="210" t="s">
        <v>127</v>
      </c>
      <c r="T9" s="211">
        <f>IF(C4="non",C9,0)</f>
        <v>0</v>
      </c>
      <c r="U9" s="109"/>
      <c r="V9" s="249"/>
      <c r="W9" s="306"/>
      <c r="X9" s="200"/>
      <c r="Y9" s="200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</row>
    <row r="10" spans="2:42" ht="15" customHeight="1" x14ac:dyDescent="0.25">
      <c r="B10" s="276" t="s">
        <v>169</v>
      </c>
      <c r="C10" s="449" t="s">
        <v>71</v>
      </c>
      <c r="D10" s="97"/>
      <c r="E10" s="98"/>
      <c r="F10" s="99"/>
      <c r="G10" s="99"/>
      <c r="H10" s="99"/>
      <c r="I10" s="383"/>
      <c r="J10" s="384" t="s">
        <v>53</v>
      </c>
      <c r="K10" s="99"/>
      <c r="L10" s="131"/>
      <c r="M10" s="99"/>
      <c r="N10" s="99"/>
      <c r="P10" s="204" t="s">
        <v>78</v>
      </c>
      <c r="Q10" s="349">
        <f>IF(Q9="oui","1%",0)</f>
        <v>0</v>
      </c>
      <c r="R10" s="77"/>
      <c r="S10" s="212" t="s">
        <v>129</v>
      </c>
      <c r="T10" s="213">
        <f>IF(C4="oui",K12,0)</f>
        <v>0</v>
      </c>
      <c r="U10" s="109"/>
      <c r="V10" s="249"/>
      <c r="W10" s="306"/>
      <c r="X10" s="200"/>
      <c r="Y10" s="200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</row>
    <row r="11" spans="2:42" ht="15" customHeight="1" thickBot="1" x14ac:dyDescent="0.3">
      <c r="B11" s="276"/>
      <c r="C11" s="96"/>
      <c r="D11" s="97"/>
      <c r="E11" s="98"/>
      <c r="F11" s="99"/>
      <c r="G11" s="99"/>
      <c r="H11" s="99"/>
      <c r="I11" s="197"/>
      <c r="J11" s="99"/>
      <c r="K11" s="99"/>
      <c r="L11" s="99"/>
      <c r="M11" s="131"/>
      <c r="N11" s="99"/>
      <c r="P11" s="207" t="s">
        <v>79</v>
      </c>
      <c r="Q11" s="78">
        <f>IF(Q9="oui","25",0)</f>
        <v>0</v>
      </c>
      <c r="R11" s="78" t="s">
        <v>13</v>
      </c>
      <c r="S11" s="214" t="s">
        <v>128</v>
      </c>
      <c r="T11" s="215">
        <f>IF(C4="Oui",K13+M13,0)</f>
        <v>0</v>
      </c>
      <c r="U11" s="109"/>
      <c r="V11" s="249"/>
      <c r="W11" s="306"/>
      <c r="X11" s="200"/>
      <c r="Y11" s="200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</row>
    <row r="12" spans="2:42" ht="15" customHeight="1" thickBot="1" x14ac:dyDescent="0.3">
      <c r="B12" s="276" t="s">
        <v>174</v>
      </c>
      <c r="C12" s="416" t="s">
        <v>177</v>
      </c>
      <c r="D12" s="417"/>
      <c r="E12" s="98"/>
      <c r="F12" s="99"/>
      <c r="G12" s="99"/>
      <c r="H12" s="99"/>
      <c r="I12" s="197"/>
      <c r="J12" s="95" t="s">
        <v>161</v>
      </c>
      <c r="K12" s="399">
        <f>IF(C4="oui",'produits en croix'!L7,0)</f>
        <v>0</v>
      </c>
      <c r="L12" s="97"/>
      <c r="M12" s="271">
        <f>IF(C4="oui",'produits en croix'!F24,0)</f>
        <v>0</v>
      </c>
      <c r="N12" s="106" t="str">
        <f>IF('Détail du travail'!E18="R°V°","R°V°","V°")</f>
        <v>R°V°</v>
      </c>
      <c r="P12" s="209"/>
      <c r="Q12" s="350"/>
      <c r="R12" s="97"/>
      <c r="S12" s="102"/>
      <c r="T12" s="200"/>
      <c r="U12" s="109"/>
      <c r="V12" s="249"/>
      <c r="W12" s="306"/>
      <c r="X12" s="200"/>
      <c r="Y12" s="200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</row>
    <row r="13" spans="2:42" ht="15" customHeight="1" thickBot="1" x14ac:dyDescent="0.3">
      <c r="B13" s="276" t="s">
        <v>22</v>
      </c>
      <c r="C13" s="409">
        <v>9</v>
      </c>
      <c r="D13" s="97"/>
      <c r="E13" s="98"/>
      <c r="F13" s="99"/>
      <c r="G13" s="99"/>
      <c r="H13" s="99"/>
      <c r="I13" s="197"/>
      <c r="J13" s="95" t="s">
        <v>92</v>
      </c>
      <c r="K13" s="400">
        <f>ROUNDUP('produits en croix'!O10,0)</f>
        <v>0</v>
      </c>
      <c r="L13" s="97" t="s">
        <v>1</v>
      </c>
      <c r="M13" s="336">
        <f>IF(C4="oui",'produits en croix'!Q10,0)</f>
        <v>0</v>
      </c>
      <c r="N13" s="106" t="str">
        <f>IF(E19="R°V°","R°V°","R°")</f>
        <v>R°</v>
      </c>
      <c r="P13" s="201" t="s">
        <v>18</v>
      </c>
      <c r="Q13" s="351" t="s">
        <v>55</v>
      </c>
      <c r="R13" s="145">
        <v>11000</v>
      </c>
      <c r="S13" s="245" t="s">
        <v>181</v>
      </c>
      <c r="T13" s="216"/>
      <c r="U13" s="109"/>
      <c r="V13" s="249"/>
      <c r="W13" s="306"/>
      <c r="X13" s="200"/>
      <c r="Y13" s="200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</row>
    <row r="14" spans="2:42" ht="15" customHeight="1" x14ac:dyDescent="0.25">
      <c r="B14" s="276"/>
      <c r="C14" s="96"/>
      <c r="D14" s="97"/>
      <c r="E14" s="98"/>
      <c r="F14" s="99"/>
      <c r="G14" s="99"/>
      <c r="H14" s="99"/>
      <c r="I14" s="197"/>
      <c r="J14" s="95" t="s">
        <v>104</v>
      </c>
      <c r="K14" s="108">
        <f>IF(C4="oui",'produits en croix'!Z6,0)</f>
        <v>0</v>
      </c>
      <c r="L14" s="100" t="s">
        <v>139</v>
      </c>
      <c r="M14" s="108" t="s">
        <v>195</v>
      </c>
      <c r="N14" s="108"/>
      <c r="P14" s="217" t="s">
        <v>74</v>
      </c>
      <c r="Q14" s="352">
        <f>IF(Q13="oui","0,50%",0)</f>
        <v>0</v>
      </c>
      <c r="R14" s="146" t="s">
        <v>136</v>
      </c>
      <c r="S14" s="77">
        <v>0.25</v>
      </c>
      <c r="T14" s="206"/>
      <c r="U14" s="109"/>
      <c r="V14" s="249"/>
      <c r="W14" s="306"/>
      <c r="X14" s="200"/>
      <c r="Y14" s="200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</row>
    <row r="15" spans="2:42" ht="15" customHeight="1" x14ac:dyDescent="0.25">
      <c r="B15" s="276" t="s">
        <v>99</v>
      </c>
      <c r="C15" s="411">
        <v>4</v>
      </c>
      <c r="D15" s="97" t="s">
        <v>1</v>
      </c>
      <c r="E15" s="412">
        <v>0</v>
      </c>
      <c r="F15" s="101" t="s">
        <v>64</v>
      </c>
      <c r="G15" s="99"/>
      <c r="H15" s="99"/>
      <c r="I15" s="197"/>
      <c r="J15" s="197"/>
      <c r="K15" s="99"/>
      <c r="L15" s="99"/>
      <c r="M15" s="131"/>
      <c r="N15" s="99"/>
      <c r="P15" s="207" t="s">
        <v>75</v>
      </c>
      <c r="Q15" s="78">
        <f>IF(Q13="oui","15",0)</f>
        <v>0</v>
      </c>
      <c r="R15" s="78" t="s">
        <v>13</v>
      </c>
      <c r="S15" s="218">
        <f>'produits en croix'!O10+'produits en croix'!Q10</f>
        <v>0</v>
      </c>
      <c r="T15" s="219">
        <f>Q15*S15</f>
        <v>0</v>
      </c>
      <c r="U15" s="109"/>
      <c r="V15" s="249"/>
      <c r="W15" s="306"/>
      <c r="X15" s="200"/>
      <c r="Y15" s="200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</row>
    <row r="16" spans="2:42" ht="15" customHeight="1" x14ac:dyDescent="0.25">
      <c r="B16" s="276" t="s">
        <v>100</v>
      </c>
      <c r="C16" s="411">
        <v>7</v>
      </c>
      <c r="D16" s="97" t="s">
        <v>1</v>
      </c>
      <c r="E16" s="412">
        <v>0</v>
      </c>
      <c r="F16" s="101" t="s">
        <v>64</v>
      </c>
      <c r="G16" s="99"/>
      <c r="H16" s="99"/>
      <c r="I16" s="383"/>
      <c r="J16" s="385" t="s">
        <v>141</v>
      </c>
      <c r="K16" s="99"/>
      <c r="L16" s="99"/>
      <c r="M16" s="131"/>
      <c r="N16" s="99"/>
      <c r="P16" s="209"/>
      <c r="Q16" s="350"/>
      <c r="R16" s="97"/>
      <c r="S16" s="102"/>
      <c r="T16" s="200"/>
      <c r="U16" s="109"/>
      <c r="V16" s="249"/>
      <c r="W16" s="306"/>
      <c r="X16" s="200"/>
      <c r="Y16" s="200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</row>
    <row r="17" spans="2:42" ht="15" customHeight="1" thickBot="1" x14ac:dyDescent="0.3">
      <c r="B17" s="276"/>
      <c r="C17" s="96"/>
      <c r="D17" s="97"/>
      <c r="E17" s="98"/>
      <c r="F17" s="99"/>
      <c r="G17" s="99"/>
      <c r="H17" s="99"/>
      <c r="I17" s="197"/>
      <c r="J17" s="99"/>
      <c r="K17" s="99"/>
      <c r="L17" s="131"/>
      <c r="M17" s="99"/>
      <c r="N17" s="99"/>
      <c r="P17" s="201" t="s">
        <v>20</v>
      </c>
      <c r="Q17" s="351" t="s">
        <v>54</v>
      </c>
      <c r="R17" s="193">
        <v>3500</v>
      </c>
      <c r="S17" s="245" t="s">
        <v>155</v>
      </c>
      <c r="T17" s="216"/>
      <c r="U17" s="109"/>
      <c r="V17" s="249"/>
      <c r="W17" s="306"/>
      <c r="X17" s="200"/>
      <c r="Y17" s="200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</row>
    <row r="18" spans="2:42" ht="15" customHeight="1" thickBot="1" x14ac:dyDescent="0.3">
      <c r="B18" s="276" t="s">
        <v>36</v>
      </c>
      <c r="C18" s="411">
        <v>0</v>
      </c>
      <c r="D18" s="105"/>
      <c r="E18" s="410" t="s">
        <v>34</v>
      </c>
      <c r="F18" s="99"/>
      <c r="G18" s="99"/>
      <c r="H18" s="99"/>
      <c r="I18" s="197"/>
      <c r="J18" s="95" t="s">
        <v>142</v>
      </c>
      <c r="K18" s="401">
        <f>ROUND('produits en croix'!O18,1)</f>
        <v>15</v>
      </c>
      <c r="L18" s="97" t="s">
        <v>1</v>
      </c>
      <c r="M18" s="402">
        <f>IF(C4="oui",0,'produits en croix'!Q18)</f>
        <v>0</v>
      </c>
      <c r="N18" s="106" t="str">
        <f>IF('Détail du travail'!E19="R°V°","R°V°","R°")</f>
        <v>R°</v>
      </c>
      <c r="P18" s="204" t="s">
        <v>76</v>
      </c>
      <c r="Q18" s="352" t="str">
        <f>IF(Q17="oui","0,50%",0)</f>
        <v>0,50%</v>
      </c>
      <c r="R18" s="212" t="s">
        <v>153</v>
      </c>
      <c r="S18" s="248">
        <f>C9</f>
        <v>0</v>
      </c>
      <c r="T18" s="206"/>
      <c r="U18" s="109"/>
      <c r="V18" s="249"/>
      <c r="W18" s="306"/>
      <c r="X18" s="200"/>
      <c r="Y18" s="200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</row>
    <row r="19" spans="2:42" ht="15" customHeight="1" x14ac:dyDescent="0.25">
      <c r="B19" s="276" t="s">
        <v>105</v>
      </c>
      <c r="C19" s="411">
        <v>120</v>
      </c>
      <c r="D19" s="105"/>
      <c r="E19" s="410" t="s">
        <v>59</v>
      </c>
      <c r="F19" s="99"/>
      <c r="G19" s="99"/>
      <c r="H19" s="99"/>
      <c r="I19" s="197"/>
      <c r="J19" s="100">
        <f>'produits en croix'!Z6</f>
        <v>8</v>
      </c>
      <c r="K19" s="415" t="s">
        <v>143</v>
      </c>
      <c r="L19" s="100"/>
      <c r="M19" s="108" t="s">
        <v>195</v>
      </c>
      <c r="N19" s="99"/>
      <c r="P19" s="207" t="s">
        <v>77</v>
      </c>
      <c r="Q19" s="78" t="str">
        <f>IF(Q17="oui","2",0)</f>
        <v>2</v>
      </c>
      <c r="R19" s="78" t="s">
        <v>13</v>
      </c>
      <c r="S19" s="220">
        <f>C9</f>
        <v>0</v>
      </c>
      <c r="T19" s="208"/>
      <c r="U19" s="109"/>
      <c r="V19" s="249"/>
      <c r="W19" s="306"/>
      <c r="X19" s="200"/>
      <c r="Y19" s="200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</row>
    <row r="20" spans="2:42" ht="15" customHeight="1" x14ac:dyDescent="0.25">
      <c r="B20" s="276"/>
      <c r="C20" s="104"/>
      <c r="D20" s="97"/>
      <c r="E20" s="98"/>
      <c r="F20" s="99"/>
      <c r="G20" s="99"/>
      <c r="H20" s="99"/>
      <c r="I20" s="197"/>
      <c r="J20" s="197"/>
      <c r="K20" s="99"/>
      <c r="L20" s="99"/>
      <c r="M20" s="131"/>
      <c r="N20" s="99"/>
      <c r="P20" s="209"/>
      <c r="Q20" s="350"/>
      <c r="R20" s="97"/>
      <c r="S20" s="102"/>
      <c r="T20" s="200"/>
      <c r="U20" s="109"/>
      <c r="V20" s="249"/>
      <c r="W20" s="306"/>
      <c r="X20" s="200"/>
      <c r="Y20" s="200"/>
      <c r="Z20" s="99"/>
      <c r="AA20" s="99"/>
      <c r="AB20" s="99"/>
      <c r="AC20" s="99"/>
      <c r="AD20" s="99"/>
      <c r="AE20" s="99"/>
      <c r="AF20" s="99"/>
      <c r="AG20" s="99"/>
      <c r="AH20" s="99"/>
      <c r="AI20" s="99"/>
      <c r="AJ20" s="99"/>
      <c r="AK20" s="99"/>
      <c r="AL20" s="99"/>
      <c r="AM20" s="99"/>
      <c r="AN20" s="99"/>
      <c r="AO20" s="99"/>
      <c r="AP20" s="99"/>
    </row>
    <row r="21" spans="2:42" ht="15" customHeight="1" thickBot="1" x14ac:dyDescent="0.3">
      <c r="B21" s="276" t="s">
        <v>144</v>
      </c>
      <c r="C21" s="406">
        <v>250</v>
      </c>
      <c r="D21" s="97"/>
      <c r="E21" s="98"/>
      <c r="F21" s="99"/>
      <c r="G21" s="99"/>
      <c r="H21" s="99"/>
      <c r="I21" s="197"/>
      <c r="J21" s="197"/>
      <c r="K21" s="99"/>
      <c r="L21" s="99"/>
      <c r="M21" s="131"/>
      <c r="N21" s="99"/>
      <c r="P21" s="221" t="s">
        <v>80</v>
      </c>
      <c r="Q21" s="351" t="s">
        <v>54</v>
      </c>
      <c r="R21" s="195"/>
      <c r="S21" s="210"/>
      <c r="T21" s="211"/>
      <c r="U21" s="109"/>
      <c r="V21" s="249"/>
      <c r="W21" s="306"/>
      <c r="X21" s="200"/>
      <c r="Y21" s="200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99"/>
      <c r="AK21" s="99"/>
      <c r="AL21" s="99"/>
      <c r="AM21" s="99"/>
      <c r="AN21" s="99"/>
      <c r="AO21" s="99"/>
      <c r="AP21" s="99"/>
    </row>
    <row r="22" spans="2:42" ht="15" customHeight="1" thickBot="1" x14ac:dyDescent="0.3">
      <c r="B22" s="276" t="s">
        <v>107</v>
      </c>
      <c r="C22" s="406">
        <v>500</v>
      </c>
      <c r="D22" s="97"/>
      <c r="E22" s="98"/>
      <c r="F22" s="99"/>
      <c r="G22" s="99"/>
      <c r="H22" s="99"/>
      <c r="I22" s="197"/>
      <c r="J22" s="95" t="s">
        <v>212</v>
      </c>
      <c r="K22" s="337">
        <f>IF(C4="oui",'produits en croix'!M13,'produits en croix'!Q21)</f>
        <v>0</v>
      </c>
      <c r="L22" s="99"/>
      <c r="M22" s="131"/>
      <c r="N22" s="99"/>
      <c r="P22" s="193" t="s">
        <v>118</v>
      </c>
      <c r="Q22" s="76">
        <v>0.01</v>
      </c>
      <c r="R22" s="194"/>
      <c r="S22" s="234"/>
      <c r="T22" s="213"/>
      <c r="U22" s="99"/>
      <c r="V22" s="200"/>
      <c r="W22" s="306"/>
      <c r="X22" s="200"/>
      <c r="Y22" s="200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</row>
    <row r="23" spans="2:42" ht="15" customHeight="1" thickBot="1" x14ac:dyDescent="0.3">
      <c r="B23" s="276"/>
      <c r="C23" s="96"/>
      <c r="D23" s="97"/>
      <c r="E23" s="98"/>
      <c r="F23" s="99"/>
      <c r="G23" s="99"/>
      <c r="H23" s="99"/>
      <c r="I23" s="197"/>
      <c r="J23" s="265">
        <f>IF(C4="oui",'produits en croix'!O13,'produits en croix'!O21)</f>
        <v>0</v>
      </c>
      <c r="K23" s="266" t="s">
        <v>139</v>
      </c>
      <c r="L23" s="264">
        <f>IF(C4="oui",'produits en croix'!Q13,'produits en croix'!Q21)</f>
        <v>0</v>
      </c>
      <c r="M23" s="108" t="s">
        <v>143</v>
      </c>
      <c r="N23" s="99"/>
      <c r="P23" s="279"/>
      <c r="Q23" s="353"/>
      <c r="R23" s="280"/>
      <c r="S23" s="280"/>
      <c r="T23" s="279"/>
      <c r="U23" s="99"/>
      <c r="V23" s="200"/>
      <c r="W23" s="306"/>
      <c r="X23" s="200"/>
      <c r="Y23" s="200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</row>
    <row r="24" spans="2:42" ht="15" customHeight="1" thickBot="1" x14ac:dyDescent="0.3">
      <c r="B24" s="276"/>
      <c r="C24" s="104"/>
      <c r="D24" s="97"/>
      <c r="E24" s="98"/>
      <c r="F24" s="99"/>
      <c r="G24" s="99"/>
      <c r="H24" s="99"/>
      <c r="I24" s="197"/>
      <c r="J24" s="95" t="s">
        <v>213</v>
      </c>
      <c r="K24" s="337">
        <f>IF(C4="oui",'produits en croix'!M15,'produits en croix'!Q23)</f>
        <v>0</v>
      </c>
      <c r="L24" s="99"/>
      <c r="M24" s="131"/>
      <c r="N24" s="99"/>
      <c r="P24" s="221" t="s">
        <v>83</v>
      </c>
      <c r="Q24" s="351" t="s">
        <v>54</v>
      </c>
      <c r="R24" s="79"/>
      <c r="S24" s="223">
        <f>IF(Q24="oui",C5/C22,0)</f>
        <v>20</v>
      </c>
      <c r="T24" s="224" t="s">
        <v>214</v>
      </c>
      <c r="U24" s="99"/>
      <c r="V24" s="200"/>
      <c r="W24" s="306"/>
      <c r="X24" s="200"/>
      <c r="Y24" s="200"/>
      <c r="Z24" s="99"/>
      <c r="AA24" s="99"/>
      <c r="AB24" s="99"/>
      <c r="AC24" s="99"/>
      <c r="AD24" s="99"/>
      <c r="AE24" s="99"/>
      <c r="AF24" s="99"/>
      <c r="AG24" s="99"/>
      <c r="AH24" s="99"/>
      <c r="AI24" s="99"/>
      <c r="AJ24" s="99"/>
      <c r="AK24" s="99"/>
      <c r="AL24" s="99"/>
      <c r="AM24" s="99"/>
      <c r="AN24" s="99"/>
      <c r="AO24" s="99"/>
      <c r="AP24" s="99"/>
    </row>
    <row r="25" spans="2:42" ht="15" customHeight="1" x14ac:dyDescent="0.25">
      <c r="B25" s="276"/>
      <c r="C25" s="96"/>
      <c r="D25" s="97"/>
      <c r="E25" s="98"/>
      <c r="F25" s="99"/>
      <c r="G25" s="99"/>
      <c r="H25" s="99"/>
      <c r="I25" s="197"/>
      <c r="J25" s="265">
        <f>IF(C4="oui",'produits en croix'!O15,'produits en croix'!O23)</f>
        <v>0</v>
      </c>
      <c r="K25" s="266" t="s">
        <v>139</v>
      </c>
      <c r="L25" s="264">
        <f>IF(C4="oui",'produits en croix'!Q15,'produits en croix'!Q23)</f>
        <v>0</v>
      </c>
      <c r="M25" s="108" t="s">
        <v>143</v>
      </c>
      <c r="N25" s="99" t="s">
        <v>63</v>
      </c>
      <c r="O25" s="197"/>
      <c r="P25" s="404"/>
      <c r="Q25" s="404"/>
      <c r="R25" s="405"/>
      <c r="S25" s="404"/>
      <c r="T25" s="404"/>
      <c r="U25" s="200"/>
      <c r="V25" s="306"/>
      <c r="W25" s="200"/>
      <c r="X25" s="200"/>
      <c r="Y25" s="200"/>
      <c r="Z25" s="99"/>
      <c r="AA25" s="99"/>
      <c r="AB25" s="99"/>
      <c r="AC25" s="99"/>
      <c r="AD25" s="99"/>
      <c r="AE25" s="99"/>
      <c r="AF25" s="99"/>
      <c r="AG25" s="99"/>
      <c r="AH25" s="99"/>
      <c r="AI25" s="99"/>
      <c r="AJ25" s="99"/>
      <c r="AK25" s="99"/>
      <c r="AL25" s="99"/>
      <c r="AM25" s="99"/>
      <c r="AN25" s="99"/>
      <c r="AO25" s="99"/>
      <c r="AP25" s="99"/>
    </row>
    <row r="26" spans="2:42" ht="15" customHeight="1" thickBot="1" x14ac:dyDescent="0.3">
      <c r="B26" s="276"/>
      <c r="C26" s="96"/>
      <c r="D26" s="97"/>
      <c r="E26" s="98"/>
      <c r="F26" s="99"/>
      <c r="G26" s="99"/>
      <c r="H26" s="99"/>
      <c r="I26" s="197"/>
      <c r="J26" s="99"/>
      <c r="K26" s="99"/>
      <c r="L26" s="131"/>
      <c r="M26" s="99" t="s">
        <v>63</v>
      </c>
      <c r="N26" s="99"/>
      <c r="P26" s="403"/>
      <c r="Q26" s="414" t="s">
        <v>219</v>
      </c>
      <c r="R26" s="403"/>
      <c r="S26" s="403"/>
      <c r="T26" s="403"/>
      <c r="U26" s="99"/>
      <c r="V26" s="200"/>
      <c r="W26" s="306"/>
      <c r="X26" s="200"/>
      <c r="Y26" s="200"/>
      <c r="Z26" s="200"/>
      <c r="AA26" s="99"/>
      <c r="AB26" s="99"/>
      <c r="AC26" s="99"/>
      <c r="AD26" s="99"/>
      <c r="AE26" s="99"/>
      <c r="AF26" s="99"/>
      <c r="AG26" s="99"/>
      <c r="AH26" s="99"/>
      <c r="AI26" s="99"/>
      <c r="AJ26" s="99"/>
      <c r="AK26" s="99"/>
      <c r="AL26" s="99"/>
      <c r="AM26" s="99"/>
      <c r="AN26" s="99"/>
      <c r="AO26" s="99"/>
      <c r="AP26" s="99"/>
    </row>
    <row r="27" spans="2:42" s="99" customFormat="1" ht="15" customHeight="1" thickTop="1" x14ac:dyDescent="0.25">
      <c r="B27" s="95" t="s">
        <v>170</v>
      </c>
      <c r="D27" s="97"/>
      <c r="E27" s="286" t="s">
        <v>172</v>
      </c>
      <c r="F27" s="286" t="s">
        <v>173</v>
      </c>
      <c r="P27" s="200"/>
      <c r="Q27" s="306"/>
      <c r="R27" s="200"/>
      <c r="S27" s="200"/>
      <c r="T27" s="200"/>
      <c r="V27" s="200"/>
      <c r="W27" s="306"/>
      <c r="X27" s="200"/>
      <c r="Y27" s="200"/>
      <c r="Z27" s="200"/>
    </row>
    <row r="28" spans="2:42" ht="15" customHeight="1" x14ac:dyDescent="0.25">
      <c r="B28" s="95" t="s">
        <v>129</v>
      </c>
      <c r="C28" s="342">
        <f>IF(C4="oui",'commande papier'!H31,0)</f>
        <v>0</v>
      </c>
      <c r="D28" s="97" t="s">
        <v>188</v>
      </c>
      <c r="E28" s="328">
        <f>ROUNDUP((C28/C21),0)</f>
        <v>0</v>
      </c>
      <c r="F28" s="338">
        <f>C21*E28</f>
        <v>0</v>
      </c>
      <c r="G28" s="285" t="s">
        <v>188</v>
      </c>
      <c r="H28" s="99"/>
      <c r="I28" s="197"/>
      <c r="J28" s="99"/>
      <c r="K28" s="99"/>
      <c r="L28" s="131"/>
      <c r="M28" s="99"/>
      <c r="N28" s="99"/>
      <c r="P28" s="201" t="s">
        <v>86</v>
      </c>
      <c r="Q28" s="348">
        <f>IF(C18="4",'Détail du travail'!C19,'Détail du travail'!C19+C18)</f>
        <v>120</v>
      </c>
      <c r="R28" s="76"/>
      <c r="S28" s="225"/>
      <c r="T28" s="216"/>
      <c r="U28" s="99"/>
      <c r="V28" s="200"/>
      <c r="W28" s="306"/>
      <c r="X28" s="200"/>
      <c r="Y28" s="200"/>
      <c r="Z28" s="200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</row>
    <row r="29" spans="2:42" ht="15" customHeight="1" x14ac:dyDescent="0.25">
      <c r="B29" s="95" t="s">
        <v>171</v>
      </c>
      <c r="C29" s="341">
        <f>'commande papier'!Q55</f>
        <v>0</v>
      </c>
      <c r="D29" s="152" t="s">
        <v>188</v>
      </c>
      <c r="E29" s="209">
        <f>ROUNDUP((C29/C21),0)</f>
        <v>0</v>
      </c>
      <c r="F29" s="339">
        <f>E29*C21</f>
        <v>0</v>
      </c>
      <c r="G29" s="285" t="s">
        <v>188</v>
      </c>
      <c r="H29" s="99"/>
      <c r="I29" s="197"/>
      <c r="J29" s="99"/>
      <c r="K29" s="99"/>
      <c r="L29" s="131"/>
      <c r="M29" s="99"/>
      <c r="N29" s="99"/>
      <c r="P29" s="204" t="s">
        <v>87</v>
      </c>
      <c r="Q29" s="228">
        <f>0.02</f>
        <v>0.02</v>
      </c>
      <c r="R29" s="77"/>
      <c r="S29" s="205"/>
      <c r="T29" s="206"/>
      <c r="U29" s="99"/>
      <c r="V29" s="200"/>
      <c r="W29" s="306"/>
      <c r="X29" s="200"/>
      <c r="Y29" s="200"/>
      <c r="Z29" s="200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</row>
    <row r="30" spans="2:42" ht="15" customHeight="1" x14ac:dyDescent="0.25">
      <c r="B30" s="276"/>
      <c r="C30" s="96"/>
      <c r="D30" s="97"/>
      <c r="E30" s="98"/>
      <c r="F30" s="99"/>
      <c r="G30" s="99"/>
      <c r="H30" s="99"/>
      <c r="I30" s="99"/>
      <c r="J30" s="99"/>
      <c r="K30" s="99"/>
      <c r="L30" s="131"/>
      <c r="M30" s="99"/>
      <c r="N30" s="99"/>
      <c r="P30" s="207" t="s">
        <v>88</v>
      </c>
      <c r="Q30" s="262">
        <f>(C18+'Détail du travail'!C19)*Q29</f>
        <v>2.4</v>
      </c>
      <c r="R30" s="78"/>
      <c r="S30" s="226" t="s">
        <v>89</v>
      </c>
      <c r="T30" s="272">
        <f>Q30*60/100</f>
        <v>1.44</v>
      </c>
      <c r="U30" s="99"/>
      <c r="V30" s="200"/>
      <c r="W30" s="306"/>
      <c r="X30" s="200"/>
      <c r="Y30" s="200"/>
      <c r="Z30" s="200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</row>
    <row r="31" spans="2:42" s="99" customFormat="1" ht="15" customHeight="1" x14ac:dyDescent="0.25">
      <c r="B31" s="209" t="s">
        <v>220</v>
      </c>
      <c r="C31" s="340">
        <f>F28*(K3/1000*M3/1000*K4)/1000</f>
        <v>0</v>
      </c>
      <c r="D31" s="285" t="s">
        <v>183</v>
      </c>
      <c r="G31" s="197"/>
      <c r="M31" s="200"/>
      <c r="N31" s="200"/>
      <c r="P31" s="200"/>
      <c r="Q31" s="306"/>
      <c r="R31" s="200"/>
      <c r="T31" s="200"/>
      <c r="U31" s="200"/>
      <c r="V31" s="200"/>
      <c r="W31" s="306"/>
      <c r="X31" s="200"/>
    </row>
    <row r="32" spans="2:42" ht="15" customHeight="1" x14ac:dyDescent="0.25">
      <c r="B32" s="209" t="s">
        <v>221</v>
      </c>
      <c r="C32" s="340">
        <f>F29*(K7/1000*M7/1000*K8/1000)</f>
        <v>0</v>
      </c>
      <c r="D32" s="285" t="s">
        <v>183</v>
      </c>
      <c r="E32" s="99"/>
      <c r="F32" s="99"/>
      <c r="G32" s="99"/>
      <c r="H32" s="99"/>
      <c r="I32" s="197"/>
      <c r="J32" s="99"/>
      <c r="K32" s="99"/>
      <c r="L32" s="131"/>
      <c r="M32" s="99"/>
      <c r="N32" s="99"/>
      <c r="P32" s="201" t="s">
        <v>110</v>
      </c>
      <c r="Q32" s="348" t="str">
        <f>Q1</f>
        <v>Oui</v>
      </c>
      <c r="R32" s="145"/>
      <c r="S32" s="210"/>
      <c r="T32" s="227"/>
      <c r="U32" s="99"/>
      <c r="V32" s="200"/>
      <c r="W32" s="306"/>
      <c r="X32" s="200"/>
      <c r="Y32" s="200"/>
      <c r="Z32" s="200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</row>
    <row r="33" spans="2:42" ht="15" customHeight="1" x14ac:dyDescent="0.25">
      <c r="B33" s="276"/>
      <c r="C33" s="96"/>
      <c r="D33" s="97"/>
      <c r="E33" s="98"/>
      <c r="F33" s="99"/>
      <c r="G33" s="99"/>
      <c r="H33" s="99"/>
      <c r="I33" s="197"/>
      <c r="J33" s="99"/>
      <c r="K33" s="99"/>
      <c r="L33" s="131"/>
      <c r="M33" s="99"/>
      <c r="N33" s="99"/>
      <c r="P33" s="204" t="s">
        <v>111</v>
      </c>
      <c r="Q33" s="228" t="str">
        <f>IF(Q32="oui","0,15",0)</f>
        <v>0,15</v>
      </c>
      <c r="R33" s="146" t="s">
        <v>112</v>
      </c>
      <c r="S33" s="199">
        <f>(K12*M2)+((K13+M13)*M6)</f>
        <v>0</v>
      </c>
      <c r="T33" s="206"/>
      <c r="U33" s="99"/>
      <c r="V33" s="200"/>
      <c r="W33" s="306"/>
      <c r="X33" s="200"/>
      <c r="Y33" s="200"/>
      <c r="Z33" s="200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</row>
    <row r="34" spans="2:42" ht="15" customHeight="1" x14ac:dyDescent="0.25">
      <c r="B34" s="95" t="s">
        <v>182</v>
      </c>
      <c r="C34" s="99"/>
      <c r="D34" s="99"/>
      <c r="E34" s="131"/>
      <c r="F34" s="100" t="s">
        <v>187</v>
      </c>
      <c r="G34" s="99"/>
      <c r="H34" s="99"/>
      <c r="I34" s="197"/>
      <c r="J34" s="99"/>
      <c r="K34" s="99"/>
      <c r="L34" s="131"/>
      <c r="M34" s="99"/>
      <c r="N34" s="99"/>
      <c r="P34" s="207" t="s">
        <v>88</v>
      </c>
      <c r="Q34" s="261">
        <f>S33*Q33</f>
        <v>0</v>
      </c>
      <c r="R34" s="147"/>
      <c r="S34" s="226" t="s">
        <v>89</v>
      </c>
      <c r="T34" s="272">
        <f>Q34*60/100</f>
        <v>0</v>
      </c>
      <c r="U34" s="99"/>
      <c r="V34" s="200"/>
      <c r="W34" s="306"/>
      <c r="X34" s="200"/>
      <c r="Y34" s="200"/>
      <c r="Z34" s="200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</row>
    <row r="35" spans="2:42" s="99" customFormat="1" ht="15" customHeight="1" x14ac:dyDescent="0.25">
      <c r="B35" s="95" t="s">
        <v>129</v>
      </c>
      <c r="C35" s="343">
        <f>IF(C4="oui",((C2/1000)*(E2/1000)*(K4)/1000)*C5,0)</f>
        <v>0</v>
      </c>
      <c r="D35" s="108" t="s">
        <v>183</v>
      </c>
      <c r="E35" s="100" t="s">
        <v>211</v>
      </c>
      <c r="F35" s="340">
        <f>(C37/C5)*Q120</f>
        <v>3.5862749999999992</v>
      </c>
      <c r="G35" s="285" t="s">
        <v>183</v>
      </c>
      <c r="I35" s="95"/>
      <c r="P35" s="200"/>
      <c r="Q35" s="306"/>
      <c r="R35" s="200"/>
      <c r="S35" s="200"/>
      <c r="T35" s="200"/>
      <c r="V35" s="200"/>
      <c r="W35" s="306"/>
      <c r="X35" s="200"/>
      <c r="Y35" s="200"/>
      <c r="Z35" s="200"/>
    </row>
    <row r="36" spans="2:42" ht="15" customHeight="1" x14ac:dyDescent="0.25">
      <c r="B36" s="276" t="s">
        <v>184</v>
      </c>
      <c r="C36" s="343">
        <f>((C2/1000)*(E2/1000)*(K8)/1000)*C5</f>
        <v>71.725499999999982</v>
      </c>
      <c r="D36" s="285" t="s">
        <v>183</v>
      </c>
      <c r="E36" s="100">
        <f>S119</f>
        <v>20</v>
      </c>
      <c r="F36" s="344">
        <f>F35*E36</f>
        <v>71.725499999999982</v>
      </c>
      <c r="G36" s="285" t="s">
        <v>183</v>
      </c>
      <c r="H36" s="99"/>
      <c r="I36" s="95"/>
      <c r="J36" s="99"/>
      <c r="K36" s="99"/>
      <c r="L36" s="131"/>
      <c r="M36" s="99"/>
      <c r="N36" s="99"/>
      <c r="P36" s="201" t="s">
        <v>90</v>
      </c>
      <c r="Q36" s="348" t="str">
        <f>Q1</f>
        <v>Oui</v>
      </c>
      <c r="R36" s="145" t="s">
        <v>101</v>
      </c>
      <c r="S36" s="230">
        <f>C15+E15</f>
        <v>4</v>
      </c>
      <c r="T36" s="231">
        <f>((K13*M6)*C16)+((M13+E16)*C16)</f>
        <v>0</v>
      </c>
      <c r="U36" s="99"/>
      <c r="V36" s="200"/>
      <c r="W36" s="306"/>
      <c r="X36" s="200"/>
      <c r="Y36" s="200"/>
      <c r="Z36" s="200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</row>
    <row r="37" spans="2:42" ht="15" customHeight="1" x14ac:dyDescent="0.25">
      <c r="B37" s="95" t="s">
        <v>185</v>
      </c>
      <c r="C37" s="343">
        <f>IF(C4="oui",C35+C36,C36)</f>
        <v>71.725499999999982</v>
      </c>
      <c r="D37" s="285" t="s">
        <v>186</v>
      </c>
      <c r="E37" s="131"/>
      <c r="F37" s="99"/>
      <c r="G37" s="99"/>
      <c r="H37" s="99"/>
      <c r="I37" s="197"/>
      <c r="J37" s="99"/>
      <c r="K37" s="99"/>
      <c r="L37" s="131"/>
      <c r="M37" s="99"/>
      <c r="N37" s="99"/>
      <c r="P37" s="204" t="s">
        <v>91</v>
      </c>
      <c r="Q37" s="228" t="str">
        <f>IF(Q36="oui","0,20",0)</f>
        <v>0,20</v>
      </c>
      <c r="R37" s="146" t="s">
        <v>102</v>
      </c>
      <c r="S37" s="199">
        <f>S36+T36</f>
        <v>4</v>
      </c>
      <c r="T37" s="206"/>
      <c r="U37" s="99"/>
      <c r="V37" s="200"/>
      <c r="W37" s="306"/>
      <c r="X37" s="200"/>
      <c r="Y37" s="200"/>
      <c r="Z37" s="200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</row>
    <row r="38" spans="2:42" ht="15" customHeight="1" x14ac:dyDescent="0.25">
      <c r="B38" s="276"/>
      <c r="C38" s="96"/>
      <c r="D38" s="97"/>
      <c r="E38" s="98"/>
      <c r="F38" s="99"/>
      <c r="G38" s="99"/>
      <c r="H38" s="99"/>
      <c r="I38" s="197"/>
      <c r="J38" s="99"/>
      <c r="K38" s="99"/>
      <c r="L38" s="131"/>
      <c r="M38" s="99"/>
      <c r="N38" s="99"/>
      <c r="P38" s="207" t="s">
        <v>88</v>
      </c>
      <c r="Q38" s="261">
        <f>S37*Q37</f>
        <v>0.8</v>
      </c>
      <c r="R38" s="147"/>
      <c r="S38" s="226" t="s">
        <v>89</v>
      </c>
      <c r="T38" s="272">
        <f>Q38*60/100</f>
        <v>0.48</v>
      </c>
      <c r="U38" s="99"/>
      <c r="V38" s="200"/>
      <c r="W38" s="306"/>
      <c r="X38" s="200"/>
      <c r="Y38" s="200"/>
      <c r="Z38" s="200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</row>
    <row r="39" spans="2:42" s="99" customFormat="1" ht="15" customHeight="1" x14ac:dyDescent="0.25">
      <c r="B39" s="277"/>
      <c r="I39" s="197"/>
      <c r="L39" s="131"/>
      <c r="P39" s="232"/>
      <c r="Q39" s="354"/>
      <c r="R39" s="233"/>
      <c r="S39" s="200"/>
      <c r="T39" s="200"/>
      <c r="V39" s="200"/>
      <c r="W39" s="306"/>
      <c r="X39" s="200"/>
      <c r="Y39" s="200"/>
      <c r="Z39" s="200"/>
    </row>
    <row r="40" spans="2:42" ht="15" customHeight="1" x14ac:dyDescent="0.25">
      <c r="B40" s="276"/>
      <c r="C40" s="96"/>
      <c r="D40" s="97"/>
      <c r="E40" s="98"/>
      <c r="F40" s="99"/>
      <c r="G40" s="99"/>
      <c r="H40" s="99"/>
      <c r="I40" s="197"/>
      <c r="J40" s="99"/>
      <c r="K40" s="99"/>
      <c r="L40" s="131"/>
      <c r="M40" s="99"/>
      <c r="N40" s="99"/>
      <c r="P40" s="201" t="s">
        <v>132</v>
      </c>
      <c r="Q40" s="348" t="str">
        <f>IF(C4="oui","oui","non")</f>
        <v>non</v>
      </c>
      <c r="R40" s="254"/>
      <c r="S40" s="225"/>
      <c r="T40" s="216"/>
      <c r="U40" s="99"/>
      <c r="V40" s="201" t="s">
        <v>133</v>
      </c>
      <c r="W40" s="348" t="str">
        <f>IF(C4="non","oui","non")</f>
        <v>oui</v>
      </c>
      <c r="X40" s="145"/>
      <c r="Y40" s="225"/>
      <c r="Z40" s="216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</row>
    <row r="41" spans="2:42" s="99" customFormat="1" ht="15" customHeight="1" x14ac:dyDescent="0.25">
      <c r="B41" s="277"/>
      <c r="P41" s="256" t="s">
        <v>148</v>
      </c>
      <c r="Q41" s="355"/>
      <c r="R41" s="255"/>
      <c r="S41" s="255"/>
      <c r="T41" s="74"/>
      <c r="V41" s="256" t="s">
        <v>192</v>
      </c>
      <c r="W41" s="355"/>
      <c r="X41" s="255"/>
      <c r="Y41" s="255"/>
      <c r="Z41" s="74"/>
    </row>
    <row r="42" spans="2:42" ht="15" customHeight="1" x14ac:dyDescent="0.25">
      <c r="B42" s="276"/>
      <c r="C42" s="96"/>
      <c r="D42" s="97"/>
      <c r="E42" s="98"/>
      <c r="F42" s="99"/>
      <c r="G42" s="99"/>
      <c r="H42" s="99"/>
      <c r="I42" s="197"/>
      <c r="J42" s="99"/>
      <c r="K42" s="99"/>
      <c r="L42" s="131"/>
      <c r="M42" s="99"/>
      <c r="N42" s="99"/>
      <c r="P42" s="204" t="s">
        <v>149</v>
      </c>
      <c r="Q42" s="228">
        <f>IF(Q40="oui","0,15",0)</f>
        <v>0</v>
      </c>
      <c r="R42" s="146" t="s">
        <v>98</v>
      </c>
      <c r="S42" s="234">
        <f>K12</f>
        <v>0</v>
      </c>
      <c r="T42" s="206"/>
      <c r="U42" s="99"/>
      <c r="V42" s="204" t="s">
        <v>94</v>
      </c>
      <c r="W42" s="228" t="str">
        <f>IF(W40="oui","0,15",0)</f>
        <v>0,15</v>
      </c>
      <c r="X42" s="146" t="s">
        <v>98</v>
      </c>
      <c r="Y42" s="199">
        <f>K18*(C16+E16)</f>
        <v>105</v>
      </c>
      <c r="Z42" s="206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</row>
    <row r="43" spans="2:42" ht="15" customHeight="1" x14ac:dyDescent="0.25">
      <c r="B43" s="276"/>
      <c r="C43" s="96"/>
      <c r="D43" s="97"/>
      <c r="E43" s="98"/>
      <c r="F43" s="99"/>
      <c r="G43" s="99"/>
      <c r="H43" s="99"/>
      <c r="I43" s="197"/>
      <c r="J43" s="99"/>
      <c r="K43" s="99"/>
      <c r="L43" s="131"/>
      <c r="M43" s="99"/>
      <c r="N43" s="99"/>
      <c r="P43" s="207" t="s">
        <v>88</v>
      </c>
      <c r="Q43" s="235">
        <f>S42*Q42</f>
        <v>0</v>
      </c>
      <c r="R43" s="147"/>
      <c r="S43" s="226" t="s">
        <v>89</v>
      </c>
      <c r="T43" s="273">
        <f>Q43*60/100</f>
        <v>0</v>
      </c>
      <c r="U43" s="99"/>
      <c r="V43" s="207" t="s">
        <v>88</v>
      </c>
      <c r="W43" s="235">
        <f>Y42*W42</f>
        <v>15.75</v>
      </c>
      <c r="X43" s="147"/>
      <c r="Y43" s="226" t="s">
        <v>89</v>
      </c>
      <c r="Z43" s="273">
        <f>W43*60/100</f>
        <v>9.4499999999999993</v>
      </c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</row>
    <row r="44" spans="2:42" ht="15" customHeight="1" x14ac:dyDescent="0.25">
      <c r="B44" s="276"/>
      <c r="C44" s="96"/>
      <c r="D44" s="97"/>
      <c r="E44" s="98"/>
      <c r="F44" s="99"/>
      <c r="G44" s="99"/>
      <c r="H44" s="99"/>
      <c r="I44" s="197"/>
      <c r="J44" s="98"/>
      <c r="K44" s="99"/>
      <c r="L44" s="131"/>
      <c r="M44" s="99"/>
      <c r="N44" s="99"/>
      <c r="P44" s="204" t="s">
        <v>150</v>
      </c>
      <c r="Q44" s="228">
        <f>IF(Q40="oui","0,25",0)</f>
        <v>0</v>
      </c>
      <c r="R44" s="146" t="s">
        <v>95</v>
      </c>
      <c r="S44" s="234">
        <f>S42</f>
        <v>0</v>
      </c>
      <c r="T44" s="206"/>
      <c r="U44" s="99"/>
      <c r="V44" s="204" t="s">
        <v>150</v>
      </c>
      <c r="W44" s="228" t="str">
        <f>IF(W40="oui","0,25",0)</f>
        <v>0,25</v>
      </c>
      <c r="X44" s="146" t="s">
        <v>95</v>
      </c>
      <c r="Y44" s="199">
        <f>K18</f>
        <v>15</v>
      </c>
      <c r="Z44" s="206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</row>
    <row r="45" spans="2:42" ht="15" customHeight="1" x14ac:dyDescent="0.25">
      <c r="B45" s="276"/>
      <c r="C45" s="96"/>
      <c r="D45" s="97"/>
      <c r="E45" s="98"/>
      <c r="F45" s="99"/>
      <c r="G45" s="99"/>
      <c r="H45" s="99"/>
      <c r="I45" s="197"/>
      <c r="J45" s="99"/>
      <c r="K45" s="99"/>
      <c r="L45" s="131"/>
      <c r="M45" s="99"/>
      <c r="N45" s="99"/>
      <c r="P45" s="207" t="s">
        <v>88</v>
      </c>
      <c r="Q45" s="235">
        <f>S44*Q44</f>
        <v>0</v>
      </c>
      <c r="R45" s="147"/>
      <c r="S45" s="226" t="s">
        <v>89</v>
      </c>
      <c r="T45" s="273">
        <f>Q45*60/100</f>
        <v>0</v>
      </c>
      <c r="U45" s="99"/>
      <c r="V45" s="207" t="s">
        <v>88</v>
      </c>
      <c r="W45" s="235">
        <f>Y44*W44</f>
        <v>3.75</v>
      </c>
      <c r="X45" s="147"/>
      <c r="Y45" s="226" t="s">
        <v>89</v>
      </c>
      <c r="Z45" s="273">
        <f>W45*60/100</f>
        <v>2.25</v>
      </c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</row>
    <row r="46" spans="2:42" ht="15" customHeight="1" x14ac:dyDescent="0.25">
      <c r="B46" s="276"/>
      <c r="C46" s="96"/>
      <c r="D46" s="97"/>
      <c r="E46" s="98"/>
      <c r="F46" s="99"/>
      <c r="G46" s="99"/>
      <c r="H46" s="99"/>
      <c r="I46" s="197"/>
      <c r="J46" s="99"/>
      <c r="K46" s="99"/>
      <c r="L46" s="131"/>
      <c r="M46" s="99"/>
      <c r="N46" s="99"/>
      <c r="P46" s="204" t="s">
        <v>97</v>
      </c>
      <c r="Q46" s="236">
        <f>IF(Q40="oui",S1,0)</f>
        <v>0</v>
      </c>
      <c r="R46" s="146" t="s">
        <v>109</v>
      </c>
      <c r="S46" s="237">
        <f>IFERROR('commande papier'!H32,0)</f>
        <v>0</v>
      </c>
      <c r="T46" s="238"/>
      <c r="U46" s="99"/>
      <c r="V46" s="204" t="s">
        <v>96</v>
      </c>
      <c r="W46" s="236">
        <f>IF(W40="oui",S1,0)</f>
        <v>7500</v>
      </c>
      <c r="X46" s="146" t="s">
        <v>109</v>
      </c>
      <c r="Y46" s="237">
        <f>'commande papier'!P37</f>
        <v>0</v>
      </c>
      <c r="Z46" s="238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</row>
    <row r="47" spans="2:42" ht="15" customHeight="1" x14ac:dyDescent="0.25">
      <c r="B47" s="276"/>
      <c r="C47" s="96"/>
      <c r="D47" s="97"/>
      <c r="E47" s="98"/>
      <c r="F47" s="99"/>
      <c r="G47" s="99"/>
      <c r="H47" s="99"/>
      <c r="I47" s="197"/>
      <c r="J47" s="99"/>
      <c r="K47" s="99"/>
      <c r="L47" s="131"/>
      <c r="M47" s="99"/>
      <c r="N47" s="99"/>
      <c r="P47" s="207" t="s">
        <v>88</v>
      </c>
      <c r="Q47" s="235">
        <f>IF(Q40="oui",S46/Q46,0)</f>
        <v>0</v>
      </c>
      <c r="R47" s="147"/>
      <c r="S47" s="226" t="s">
        <v>89</v>
      </c>
      <c r="T47" s="273">
        <f>Q47*60/100</f>
        <v>0</v>
      </c>
      <c r="U47" s="99"/>
      <c r="V47" s="207" t="s">
        <v>88</v>
      </c>
      <c r="W47" s="235">
        <f>IF(W34="oui",Y46/W46,0)</f>
        <v>0</v>
      </c>
      <c r="X47" s="147"/>
      <c r="Y47" s="226" t="s">
        <v>89</v>
      </c>
      <c r="Z47" s="273">
        <f>W47*60/100</f>
        <v>0</v>
      </c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</row>
    <row r="48" spans="2:42" ht="15" customHeight="1" x14ac:dyDescent="0.25">
      <c r="B48" s="276"/>
      <c r="C48" s="96"/>
      <c r="D48" s="97"/>
      <c r="E48" s="98"/>
      <c r="F48" s="99"/>
      <c r="G48" s="99"/>
      <c r="H48" s="99"/>
      <c r="I48" s="197"/>
      <c r="J48" s="99"/>
      <c r="K48" s="99"/>
      <c r="L48" s="131"/>
      <c r="M48" s="99"/>
      <c r="N48" s="99"/>
      <c r="P48" s="239" t="s">
        <v>113</v>
      </c>
      <c r="Q48" s="240">
        <v>0.25</v>
      </c>
      <c r="R48" s="202" t="s">
        <v>114</v>
      </c>
      <c r="S48" s="241">
        <f>S42</f>
        <v>0</v>
      </c>
      <c r="T48" s="216"/>
      <c r="U48" s="99"/>
      <c r="V48" s="239" t="s">
        <v>113</v>
      </c>
      <c r="W48" s="240">
        <v>0.25</v>
      </c>
      <c r="X48" s="202" t="s">
        <v>114</v>
      </c>
      <c r="Y48" s="241">
        <f>Y42</f>
        <v>105</v>
      </c>
      <c r="Z48" s="216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</row>
    <row r="49" spans="2:42" ht="15" customHeight="1" x14ac:dyDescent="0.25">
      <c r="B49" s="276"/>
      <c r="C49" s="96"/>
      <c r="D49" s="97"/>
      <c r="E49" s="98"/>
      <c r="F49" s="99"/>
      <c r="G49" s="99"/>
      <c r="H49" s="99"/>
      <c r="I49" s="197"/>
      <c r="J49" s="99"/>
      <c r="K49" s="99"/>
      <c r="L49" s="131"/>
      <c r="M49" s="99"/>
      <c r="N49" s="99"/>
      <c r="P49" s="207" t="s">
        <v>88</v>
      </c>
      <c r="Q49" s="235">
        <f>IF(Q40="oui",Q48*S48,0)</f>
        <v>0</v>
      </c>
      <c r="R49" s="147"/>
      <c r="S49" s="222" t="s">
        <v>89</v>
      </c>
      <c r="T49" s="274">
        <f>Q49*60/100</f>
        <v>0</v>
      </c>
      <c r="U49" s="99"/>
      <c r="V49" s="207" t="s">
        <v>88</v>
      </c>
      <c r="W49" s="235">
        <f>IF(W40="oui",W48*Y48,0)</f>
        <v>26.25</v>
      </c>
      <c r="X49" s="147"/>
      <c r="Y49" s="222" t="s">
        <v>89</v>
      </c>
      <c r="Z49" s="274">
        <f>W49*60/100</f>
        <v>15.75</v>
      </c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</row>
    <row r="50" spans="2:42" ht="15" customHeight="1" x14ac:dyDescent="0.25">
      <c r="B50" s="276"/>
      <c r="C50" s="96"/>
      <c r="D50" s="97"/>
      <c r="E50" s="98"/>
      <c r="F50" s="99"/>
      <c r="G50" s="99"/>
      <c r="H50" s="99"/>
      <c r="I50" s="197"/>
      <c r="J50" s="99"/>
      <c r="K50" s="99"/>
      <c r="L50" s="131"/>
      <c r="M50" s="99"/>
      <c r="N50" s="99"/>
      <c r="P50" s="207" t="s">
        <v>88</v>
      </c>
      <c r="Q50" s="229">
        <f>Q43+Q45+Q47+Q49</f>
        <v>0</v>
      </c>
      <c r="R50" s="147"/>
      <c r="S50" s="226" t="s">
        <v>89</v>
      </c>
      <c r="T50" s="257">
        <f>Q50*60/100</f>
        <v>0</v>
      </c>
      <c r="U50" s="99"/>
      <c r="V50" s="207" t="s">
        <v>88</v>
      </c>
      <c r="W50" s="229">
        <f>W43+W45+W47+W49</f>
        <v>45.75</v>
      </c>
      <c r="X50" s="147"/>
      <c r="Y50" s="226" t="s">
        <v>89</v>
      </c>
      <c r="Z50" s="257">
        <f>W50*60/100</f>
        <v>27.45</v>
      </c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</row>
    <row r="51" spans="2:42" ht="15" customHeight="1" x14ac:dyDescent="0.25">
      <c r="B51" s="276"/>
      <c r="C51" s="96"/>
      <c r="D51" s="97"/>
      <c r="E51" s="98"/>
      <c r="F51" s="99"/>
      <c r="G51" s="99"/>
      <c r="H51" s="99"/>
      <c r="I51" s="197"/>
      <c r="J51" s="99"/>
      <c r="K51" s="99"/>
      <c r="L51" s="131"/>
      <c r="M51" s="99"/>
      <c r="N51" s="99"/>
      <c r="P51" s="256" t="s">
        <v>151</v>
      </c>
      <c r="Q51" s="355"/>
      <c r="R51" s="255"/>
      <c r="S51" s="255"/>
      <c r="T51" s="74"/>
      <c r="U51" s="99"/>
      <c r="V51" s="256" t="s">
        <v>191</v>
      </c>
      <c r="W51" s="355"/>
      <c r="X51" s="255"/>
      <c r="Y51" s="255"/>
      <c r="Z51" s="74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</row>
    <row r="52" spans="2:42" ht="15" customHeight="1" x14ac:dyDescent="0.25">
      <c r="B52" s="276"/>
      <c r="C52" s="96"/>
      <c r="D52" s="97"/>
      <c r="E52" s="98"/>
      <c r="F52" s="99"/>
      <c r="G52" s="109"/>
      <c r="H52" s="109"/>
      <c r="I52" s="197"/>
      <c r="J52" s="99"/>
      <c r="K52" s="99"/>
      <c r="L52" s="131"/>
      <c r="M52" s="99"/>
      <c r="N52" s="99"/>
      <c r="P52" s="204" t="s">
        <v>94</v>
      </c>
      <c r="Q52" s="228">
        <f>IF(Q40="oui","0,15",0)</f>
        <v>0</v>
      </c>
      <c r="R52" s="146" t="s">
        <v>98</v>
      </c>
      <c r="S52" s="199">
        <f>((K13+E16)*M6)*C16</f>
        <v>0</v>
      </c>
      <c r="T52" s="206"/>
      <c r="U52" s="99"/>
      <c r="V52" s="204" t="s">
        <v>94</v>
      </c>
      <c r="W52" s="228" t="str">
        <f>IF(W40="oui","0,15",0)</f>
        <v>0,15</v>
      </c>
      <c r="X52" s="146" t="s">
        <v>98</v>
      </c>
      <c r="Y52" s="199">
        <f>IF('Détail du travail'!K22=0,0,C16+E16)</f>
        <v>0</v>
      </c>
      <c r="Z52" s="206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</row>
    <row r="53" spans="2:42" ht="15" customHeight="1" x14ac:dyDescent="0.25">
      <c r="B53" s="276"/>
      <c r="C53" s="96"/>
      <c r="D53" s="97"/>
      <c r="E53" s="98"/>
      <c r="F53" s="99"/>
      <c r="G53" s="99"/>
      <c r="H53" s="99"/>
      <c r="I53" s="197"/>
      <c r="J53" s="99"/>
      <c r="K53" s="99"/>
      <c r="L53" s="131"/>
      <c r="M53" s="99"/>
      <c r="N53" s="99"/>
      <c r="P53" s="207" t="s">
        <v>88</v>
      </c>
      <c r="Q53" s="235">
        <f>S52*Q52</f>
        <v>0</v>
      </c>
      <c r="R53" s="147"/>
      <c r="S53" s="226" t="s">
        <v>89</v>
      </c>
      <c r="T53" s="273">
        <f>Q53*60/100</f>
        <v>0</v>
      </c>
      <c r="U53" s="99"/>
      <c r="V53" s="207" t="s">
        <v>88</v>
      </c>
      <c r="W53" s="235">
        <f>Y52*W52</f>
        <v>0</v>
      </c>
      <c r="X53" s="147"/>
      <c r="Y53" s="226" t="s">
        <v>89</v>
      </c>
      <c r="Z53" s="273">
        <f>W53*60/100</f>
        <v>0</v>
      </c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</row>
    <row r="54" spans="2:42" ht="15" customHeight="1" x14ac:dyDescent="0.25">
      <c r="B54" s="276"/>
      <c r="C54" s="96"/>
      <c r="D54" s="97"/>
      <c r="E54" s="98"/>
      <c r="F54" s="99"/>
      <c r="G54" s="99"/>
      <c r="H54" s="99"/>
      <c r="I54" s="197"/>
      <c r="J54" s="99"/>
      <c r="K54" s="99"/>
      <c r="L54" s="131"/>
      <c r="M54" s="99"/>
      <c r="N54" s="99"/>
      <c r="P54" s="204" t="s">
        <v>150</v>
      </c>
      <c r="Q54" s="228">
        <f>IF(Q40="oui","0,25",0)</f>
        <v>0</v>
      </c>
      <c r="R54" s="146" t="s">
        <v>95</v>
      </c>
      <c r="S54" s="234">
        <f>S52/(C16+E16)</f>
        <v>0</v>
      </c>
      <c r="T54" s="206"/>
      <c r="U54" s="99"/>
      <c r="V54" s="204" t="s">
        <v>150</v>
      </c>
      <c r="W54" s="228" t="str">
        <f>IF(W40="oui","0,25",0)</f>
        <v>0,25</v>
      </c>
      <c r="X54" s="146" t="s">
        <v>95</v>
      </c>
      <c r="Y54" s="199">
        <v>1</v>
      </c>
      <c r="Z54" s="206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</row>
    <row r="55" spans="2:42" ht="15" customHeight="1" x14ac:dyDescent="0.25">
      <c r="B55" s="276"/>
      <c r="C55" s="96"/>
      <c r="D55" s="97"/>
      <c r="E55" s="98"/>
      <c r="F55" s="99"/>
      <c r="G55" s="99"/>
      <c r="H55" s="99"/>
      <c r="I55" s="197"/>
      <c r="J55" s="99"/>
      <c r="K55" s="99"/>
      <c r="L55" s="131"/>
      <c r="M55" s="99"/>
      <c r="N55" s="99"/>
      <c r="P55" s="207" t="s">
        <v>88</v>
      </c>
      <c r="Q55" s="235">
        <f>S54*Q54</f>
        <v>0</v>
      </c>
      <c r="R55" s="147"/>
      <c r="S55" s="226" t="s">
        <v>89</v>
      </c>
      <c r="T55" s="273">
        <f>Q55*60/100</f>
        <v>0</v>
      </c>
      <c r="U55" s="99"/>
      <c r="V55" s="207" t="s">
        <v>88</v>
      </c>
      <c r="W55" s="235">
        <f>Y54*W54</f>
        <v>0.25</v>
      </c>
      <c r="X55" s="147"/>
      <c r="Y55" s="226" t="s">
        <v>89</v>
      </c>
      <c r="Z55" s="273">
        <f>W55*60/100</f>
        <v>0.15</v>
      </c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</row>
    <row r="56" spans="2:42" ht="15" customHeight="1" x14ac:dyDescent="0.25">
      <c r="B56" s="277"/>
      <c r="C56" s="99"/>
      <c r="D56" s="99"/>
      <c r="E56" s="99"/>
      <c r="F56" s="99"/>
      <c r="G56" s="99"/>
      <c r="H56" s="99"/>
      <c r="I56" s="197"/>
      <c r="J56" s="99"/>
      <c r="K56" s="99"/>
      <c r="L56" s="131"/>
      <c r="M56" s="99"/>
      <c r="N56" s="99"/>
      <c r="P56" s="204" t="s">
        <v>96</v>
      </c>
      <c r="Q56" s="236">
        <f>IF(Q40="oui",S1,0)</f>
        <v>0</v>
      </c>
      <c r="R56" s="146" t="s">
        <v>109</v>
      </c>
      <c r="S56" s="237">
        <f>'commande papier'!P37</f>
        <v>0</v>
      </c>
      <c r="T56" s="238"/>
      <c r="U56" s="99"/>
      <c r="V56" s="204" t="s">
        <v>96</v>
      </c>
      <c r="W56" s="236">
        <f>IF(W40="oui",S1,0)</f>
        <v>7500</v>
      </c>
      <c r="X56" s="146" t="s">
        <v>109</v>
      </c>
      <c r="Y56" s="237">
        <f>'commande papier'!P52</f>
        <v>0</v>
      </c>
      <c r="Z56" s="238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</row>
    <row r="57" spans="2:42" ht="15" customHeight="1" x14ac:dyDescent="0.25">
      <c r="B57" s="276"/>
      <c r="C57" s="96"/>
      <c r="D57" s="97"/>
      <c r="E57" s="98"/>
      <c r="F57" s="99"/>
      <c r="G57" s="99"/>
      <c r="H57" s="99"/>
      <c r="I57" s="197"/>
      <c r="J57" s="99"/>
      <c r="K57" s="99"/>
      <c r="L57" s="131"/>
      <c r="M57" s="99"/>
      <c r="N57" s="99"/>
      <c r="P57" s="207" t="s">
        <v>88</v>
      </c>
      <c r="Q57" s="235">
        <f>IF(Q40="oui",S56/Q56,0)</f>
        <v>0</v>
      </c>
      <c r="R57" s="147"/>
      <c r="S57" s="226" t="s">
        <v>89</v>
      </c>
      <c r="T57" s="273">
        <f>Q57*60/100</f>
        <v>0</v>
      </c>
      <c r="U57" s="99"/>
      <c r="V57" s="207" t="s">
        <v>88</v>
      </c>
      <c r="W57" s="235">
        <f>IF(W44="oui",Y56/W56,0)</f>
        <v>0</v>
      </c>
      <c r="X57" s="147"/>
      <c r="Y57" s="226" t="s">
        <v>89</v>
      </c>
      <c r="Z57" s="273">
        <f>W57*60/100</f>
        <v>0</v>
      </c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</row>
    <row r="58" spans="2:42" ht="15" customHeight="1" x14ac:dyDescent="0.25">
      <c r="B58" s="276"/>
      <c r="C58" s="96"/>
      <c r="D58" s="97"/>
      <c r="E58" s="98"/>
      <c r="F58" s="99"/>
      <c r="G58" s="99"/>
      <c r="H58" s="99"/>
      <c r="I58" s="197"/>
      <c r="J58" s="99"/>
      <c r="K58" s="99"/>
      <c r="L58" s="131"/>
      <c r="M58" s="99"/>
      <c r="N58" s="99"/>
      <c r="P58" s="239" t="s">
        <v>113</v>
      </c>
      <c r="Q58" s="240">
        <v>0.25</v>
      </c>
      <c r="R58" s="202" t="s">
        <v>114</v>
      </c>
      <c r="S58" s="241">
        <f>S52</f>
        <v>0</v>
      </c>
      <c r="T58" s="216"/>
      <c r="U58" s="99"/>
      <c r="V58" s="239" t="s">
        <v>113</v>
      </c>
      <c r="W58" s="240">
        <v>0.25</v>
      </c>
      <c r="X58" s="202" t="s">
        <v>114</v>
      </c>
      <c r="Y58" s="241">
        <v>1</v>
      </c>
      <c r="Z58" s="216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</row>
    <row r="59" spans="2:42" ht="15" customHeight="1" x14ac:dyDescent="0.25">
      <c r="B59" s="276"/>
      <c r="C59" s="96"/>
      <c r="D59" s="97"/>
      <c r="E59" s="98"/>
      <c r="F59" s="99"/>
      <c r="G59" s="99"/>
      <c r="H59" s="99"/>
      <c r="I59" s="197"/>
      <c r="J59" s="99"/>
      <c r="K59" s="99"/>
      <c r="L59" s="131"/>
      <c r="M59" s="99"/>
      <c r="N59" s="99"/>
      <c r="P59" s="207" t="s">
        <v>88</v>
      </c>
      <c r="Q59" s="235">
        <f>IF(Q50="oui",Q58*S58,0)</f>
        <v>0</v>
      </c>
      <c r="R59" s="147"/>
      <c r="S59" s="222" t="s">
        <v>89</v>
      </c>
      <c r="T59" s="274">
        <f>Q59*60/100</f>
        <v>0</v>
      </c>
      <c r="U59" s="99"/>
      <c r="V59" s="207" t="s">
        <v>88</v>
      </c>
      <c r="W59" s="235">
        <f>IF(W40="oui",W58*Y58,0)</f>
        <v>0.25</v>
      </c>
      <c r="X59" s="147"/>
      <c r="Y59" s="222" t="s">
        <v>89</v>
      </c>
      <c r="Z59" s="274">
        <f>W59*60/100</f>
        <v>0.15</v>
      </c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</row>
    <row r="60" spans="2:42" ht="15" customHeight="1" x14ac:dyDescent="0.25">
      <c r="B60" s="276"/>
      <c r="C60" s="96"/>
      <c r="D60" s="97"/>
      <c r="E60" s="98"/>
      <c r="F60" s="99"/>
      <c r="G60" s="99"/>
      <c r="H60" s="99"/>
      <c r="I60" s="197"/>
      <c r="J60" s="99"/>
      <c r="K60" s="99"/>
      <c r="L60" s="131"/>
      <c r="M60" s="99"/>
      <c r="N60" s="99"/>
      <c r="P60" s="207" t="s">
        <v>88</v>
      </c>
      <c r="Q60" s="229">
        <f>Q51+Q53+Q55+Q57</f>
        <v>0</v>
      </c>
      <c r="R60" s="147"/>
      <c r="S60" s="226" t="s">
        <v>89</v>
      </c>
      <c r="T60" s="257">
        <f>Q60*60/100</f>
        <v>0</v>
      </c>
      <c r="U60" s="99"/>
      <c r="V60" s="207" t="s">
        <v>88</v>
      </c>
      <c r="W60" s="229">
        <f>W53+W55+W57+W59</f>
        <v>0.5</v>
      </c>
      <c r="X60" s="147"/>
      <c r="Y60" s="226" t="s">
        <v>89</v>
      </c>
      <c r="Z60" s="257">
        <f>W60*60/100</f>
        <v>0.3</v>
      </c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</row>
    <row r="61" spans="2:42" ht="15" customHeight="1" x14ac:dyDescent="0.25">
      <c r="B61" s="276"/>
      <c r="C61" s="96"/>
      <c r="D61" s="97"/>
      <c r="E61" s="98"/>
      <c r="F61" s="99"/>
      <c r="G61" s="99"/>
      <c r="H61" s="99"/>
      <c r="I61" s="197"/>
      <c r="J61" s="99"/>
      <c r="K61" s="99"/>
      <c r="L61" s="131"/>
      <c r="M61" s="99"/>
      <c r="N61" s="99"/>
      <c r="P61" s="256" t="s">
        <v>191</v>
      </c>
      <c r="Q61" s="355"/>
      <c r="R61" s="255"/>
      <c r="S61" s="255"/>
      <c r="T61" s="74"/>
      <c r="U61" s="99"/>
      <c r="V61" s="256" t="s">
        <v>190</v>
      </c>
      <c r="W61" s="355"/>
      <c r="X61" s="255"/>
      <c r="Y61" s="255"/>
      <c r="Z61" s="74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</row>
    <row r="62" spans="2:42" ht="15" customHeight="1" x14ac:dyDescent="0.25">
      <c r="B62" s="276"/>
      <c r="C62" s="96"/>
      <c r="D62" s="97"/>
      <c r="E62" s="98"/>
      <c r="F62" s="99"/>
      <c r="G62" s="99"/>
      <c r="H62" s="99"/>
      <c r="I62" s="197"/>
      <c r="J62" s="99"/>
      <c r="K62" s="99"/>
      <c r="L62" s="131"/>
      <c r="M62" s="99"/>
      <c r="N62" s="99"/>
      <c r="P62" s="204" t="s">
        <v>94</v>
      </c>
      <c r="Q62" s="228">
        <f>IF(Q40="oui","0,15",0)</f>
        <v>0</v>
      </c>
      <c r="R62" s="146" t="s">
        <v>98</v>
      </c>
      <c r="S62" s="199">
        <f>IF('produits en croix'!R13=0,0,C16+E16)</f>
        <v>0</v>
      </c>
      <c r="T62" s="206"/>
      <c r="U62" s="99"/>
      <c r="V62" s="204" t="s">
        <v>94</v>
      </c>
      <c r="W62" s="228" t="str">
        <f>IF(W40="oui","0,15",0)</f>
        <v>0,15</v>
      </c>
      <c r="X62" s="146" t="s">
        <v>98</v>
      </c>
      <c r="Y62" s="199">
        <f>IF(K22=0,0,C16+E16)</f>
        <v>0</v>
      </c>
      <c r="Z62" s="206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</row>
    <row r="63" spans="2:42" ht="15" customHeight="1" x14ac:dyDescent="0.25">
      <c r="B63" s="276"/>
      <c r="C63" s="96"/>
      <c r="D63" s="97"/>
      <c r="E63" s="98"/>
      <c r="F63" s="99"/>
      <c r="G63" s="99"/>
      <c r="H63" s="99"/>
      <c r="I63" s="197"/>
      <c r="J63" s="99"/>
      <c r="K63" s="99"/>
      <c r="L63" s="131"/>
      <c r="M63" s="99"/>
      <c r="N63" s="99"/>
      <c r="P63" s="207" t="s">
        <v>88</v>
      </c>
      <c r="Q63" s="235">
        <f>S62*Q62</f>
        <v>0</v>
      </c>
      <c r="R63" s="147"/>
      <c r="S63" s="226" t="s">
        <v>89</v>
      </c>
      <c r="T63" s="273">
        <f>Q63*60/100</f>
        <v>0</v>
      </c>
      <c r="U63" s="99"/>
      <c r="V63" s="207" t="s">
        <v>88</v>
      </c>
      <c r="W63" s="235">
        <f>Y62*W62</f>
        <v>0</v>
      </c>
      <c r="X63" s="147"/>
      <c r="Y63" s="226" t="s">
        <v>89</v>
      </c>
      <c r="Z63" s="273">
        <f>W63*60/100</f>
        <v>0</v>
      </c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</row>
    <row r="64" spans="2:42" ht="15" customHeight="1" x14ac:dyDescent="0.25">
      <c r="B64" s="276"/>
      <c r="C64" s="96"/>
      <c r="D64" s="97"/>
      <c r="E64" s="98"/>
      <c r="F64" s="99"/>
      <c r="G64" s="99"/>
      <c r="H64" s="99"/>
      <c r="I64" s="197"/>
      <c r="J64" s="99"/>
      <c r="K64" s="99"/>
      <c r="L64" s="131"/>
      <c r="M64" s="99"/>
      <c r="N64" s="99"/>
      <c r="P64" s="204" t="s">
        <v>150</v>
      </c>
      <c r="Q64" s="228">
        <f>IF(Q40="oui","0,25",0)</f>
        <v>0</v>
      </c>
      <c r="R64" s="146" t="s">
        <v>95</v>
      </c>
      <c r="S64" s="199">
        <f>M13</f>
        <v>0</v>
      </c>
      <c r="T64" s="206"/>
      <c r="U64" s="99"/>
      <c r="V64" s="204" t="s">
        <v>150</v>
      </c>
      <c r="W64" s="228" t="str">
        <f>IF(W40="oui","0,25",0)</f>
        <v>0,25</v>
      </c>
      <c r="X64" s="146" t="s">
        <v>95</v>
      </c>
      <c r="Y64" s="199">
        <v>1</v>
      </c>
      <c r="Z64" s="206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</row>
    <row r="65" spans="2:42" ht="15" customHeight="1" x14ac:dyDescent="0.25">
      <c r="B65" s="276"/>
      <c r="C65" s="96"/>
      <c r="D65" s="97"/>
      <c r="E65" s="98"/>
      <c r="F65" s="99"/>
      <c r="G65" s="99"/>
      <c r="H65" s="99"/>
      <c r="I65" s="197"/>
      <c r="J65" s="99"/>
      <c r="K65" s="99"/>
      <c r="L65" s="131"/>
      <c r="M65" s="99"/>
      <c r="N65" s="99"/>
      <c r="P65" s="207" t="s">
        <v>88</v>
      </c>
      <c r="Q65" s="235">
        <f>S64*Q64</f>
        <v>0</v>
      </c>
      <c r="R65" s="147"/>
      <c r="S65" s="226" t="s">
        <v>89</v>
      </c>
      <c r="T65" s="273">
        <f>Q65*60/100</f>
        <v>0</v>
      </c>
      <c r="U65" s="99"/>
      <c r="V65" s="207" t="s">
        <v>88</v>
      </c>
      <c r="W65" s="235">
        <f>Y64*W64</f>
        <v>0.25</v>
      </c>
      <c r="X65" s="147"/>
      <c r="Y65" s="226" t="s">
        <v>89</v>
      </c>
      <c r="Z65" s="273">
        <f>W65*60/100</f>
        <v>0.15</v>
      </c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</row>
    <row r="66" spans="2:42" ht="15" customHeight="1" x14ac:dyDescent="0.25">
      <c r="B66" s="276"/>
      <c r="C66" s="96"/>
      <c r="D66" s="97"/>
      <c r="E66" s="98"/>
      <c r="F66" s="99"/>
      <c r="G66" s="99"/>
      <c r="H66" s="99"/>
      <c r="I66" s="197"/>
      <c r="J66" s="99"/>
      <c r="K66" s="99"/>
      <c r="L66" s="131"/>
      <c r="M66" s="99"/>
      <c r="N66" s="99"/>
      <c r="P66" s="204" t="s">
        <v>96</v>
      </c>
      <c r="Q66" s="236">
        <f>IF(Q40="oui",S1,0)</f>
        <v>0</v>
      </c>
      <c r="R66" s="146" t="s">
        <v>109</v>
      </c>
      <c r="S66" s="237">
        <f>'commande papier'!P52</f>
        <v>0</v>
      </c>
      <c r="T66" s="238"/>
      <c r="U66" s="99"/>
      <c r="V66" s="204" t="s">
        <v>96</v>
      </c>
      <c r="W66" s="236">
        <f>IF(W40="oui",S1,0)</f>
        <v>7500</v>
      </c>
      <c r="X66" s="146" t="s">
        <v>109</v>
      </c>
      <c r="Y66" s="237">
        <f>'commande papier'!P67</f>
        <v>0</v>
      </c>
      <c r="Z66" s="238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</row>
    <row r="67" spans="2:42" ht="15" customHeight="1" x14ac:dyDescent="0.25">
      <c r="B67" s="276"/>
      <c r="C67" s="96"/>
      <c r="D67" s="97"/>
      <c r="E67" s="98"/>
      <c r="F67" s="99"/>
      <c r="G67" s="99"/>
      <c r="H67" s="99"/>
      <c r="I67" s="197"/>
      <c r="J67" s="99"/>
      <c r="K67" s="99"/>
      <c r="L67" s="131"/>
      <c r="M67" s="99"/>
      <c r="N67" s="99"/>
      <c r="P67" s="207" t="s">
        <v>88</v>
      </c>
      <c r="Q67" s="242">
        <f>IF(Q40="oui",S66/Q66,0)</f>
        <v>0</v>
      </c>
      <c r="R67" s="147"/>
      <c r="S67" s="226" t="s">
        <v>89</v>
      </c>
      <c r="T67" s="273">
        <f>Q67*60/100</f>
        <v>0</v>
      </c>
      <c r="U67" s="99"/>
      <c r="V67" s="207" t="s">
        <v>88</v>
      </c>
      <c r="W67" s="235">
        <f>IF('commande papier'!L55=0,0,Q77/S77)</f>
        <v>0</v>
      </c>
      <c r="X67" s="147"/>
      <c r="Y67" s="226" t="s">
        <v>89</v>
      </c>
      <c r="Z67" s="273">
        <f>W67*60/100</f>
        <v>0</v>
      </c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</row>
    <row r="68" spans="2:42" ht="15" customHeight="1" x14ac:dyDescent="0.25">
      <c r="B68" s="276"/>
      <c r="C68" s="96"/>
      <c r="D68" s="97"/>
      <c r="E68" s="98"/>
      <c r="F68" s="99"/>
      <c r="G68" s="99"/>
      <c r="H68" s="99"/>
      <c r="I68" s="197"/>
      <c r="J68" s="99"/>
      <c r="K68" s="99"/>
      <c r="L68" s="131"/>
      <c r="M68" s="99"/>
      <c r="N68" s="99"/>
      <c r="P68" s="207" t="s">
        <v>88</v>
      </c>
      <c r="Q68" s="243">
        <f>Q61+Q63+Q65+Q67</f>
        <v>0</v>
      </c>
      <c r="R68" s="147"/>
      <c r="S68" s="226" t="s">
        <v>89</v>
      </c>
      <c r="T68" s="257">
        <f>Q68*60/100</f>
        <v>0</v>
      </c>
      <c r="U68" s="99"/>
      <c r="V68" s="239" t="s">
        <v>113</v>
      </c>
      <c r="W68" s="240">
        <v>0.25</v>
      </c>
      <c r="X68" s="202" t="s">
        <v>114</v>
      </c>
      <c r="Y68" s="241">
        <v>1</v>
      </c>
      <c r="Z68" s="216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</row>
    <row r="69" spans="2:42" ht="15" customHeight="1" x14ac:dyDescent="0.25">
      <c r="B69" s="276"/>
      <c r="C69" s="96"/>
      <c r="D69" s="97"/>
      <c r="E69" s="98"/>
      <c r="F69" s="99"/>
      <c r="G69" s="99"/>
      <c r="H69" s="99"/>
      <c r="I69" s="197"/>
      <c r="J69" s="99"/>
      <c r="K69" s="99"/>
      <c r="L69" s="131"/>
      <c r="M69" s="99"/>
      <c r="N69" s="99"/>
      <c r="P69" s="239" t="s">
        <v>113</v>
      </c>
      <c r="Q69" s="240">
        <v>0.25</v>
      </c>
      <c r="R69" s="202" t="s">
        <v>114</v>
      </c>
      <c r="S69" s="241" t="str">
        <f>S63</f>
        <v>Heure :</v>
      </c>
      <c r="T69" s="216"/>
      <c r="U69" s="99"/>
      <c r="V69" s="207" t="s">
        <v>88</v>
      </c>
      <c r="W69" s="235">
        <f>IF(W40="oui",W68*Y68,0)</f>
        <v>0.25</v>
      </c>
      <c r="X69" s="147"/>
      <c r="Y69" s="222" t="s">
        <v>89</v>
      </c>
      <c r="Z69" s="274">
        <f>W69*60/100</f>
        <v>0.15</v>
      </c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</row>
    <row r="70" spans="2:42" ht="15" customHeight="1" x14ac:dyDescent="0.25">
      <c r="B70" s="276"/>
      <c r="C70" s="96"/>
      <c r="D70" s="97"/>
      <c r="E70" s="98"/>
      <c r="F70" s="99"/>
      <c r="G70" s="99"/>
      <c r="H70" s="99"/>
      <c r="I70" s="197"/>
      <c r="J70" s="99"/>
      <c r="K70" s="99"/>
      <c r="L70" s="131"/>
      <c r="M70" s="99"/>
      <c r="N70" s="99"/>
      <c r="P70" s="207" t="s">
        <v>88</v>
      </c>
      <c r="Q70" s="235">
        <f>IF(Q61="oui",Q69*S69,0)</f>
        <v>0</v>
      </c>
      <c r="R70" s="147"/>
      <c r="S70" s="222" t="s">
        <v>89</v>
      </c>
      <c r="T70" s="274">
        <f>Q70*60/100</f>
        <v>0</v>
      </c>
      <c r="U70" s="99"/>
      <c r="V70" s="207" t="s">
        <v>88</v>
      </c>
      <c r="W70" s="229">
        <f>W63+W65+W67+W69</f>
        <v>0.5</v>
      </c>
      <c r="X70" s="147"/>
      <c r="Y70" s="226" t="s">
        <v>89</v>
      </c>
      <c r="Z70" s="257">
        <f>W70*60/100</f>
        <v>0.3</v>
      </c>
      <c r="AA70" s="99"/>
      <c r="AB70" s="332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</row>
    <row r="71" spans="2:42" ht="15" customHeight="1" x14ac:dyDescent="0.25">
      <c r="B71" s="276"/>
      <c r="C71" s="96"/>
      <c r="D71" s="97"/>
      <c r="E71" s="98"/>
      <c r="F71" s="99"/>
      <c r="G71" s="99"/>
      <c r="H71" s="99"/>
      <c r="I71" s="197"/>
      <c r="J71" s="99"/>
      <c r="K71" s="99"/>
      <c r="L71" s="131"/>
      <c r="M71" s="99"/>
      <c r="N71" s="99"/>
      <c r="P71" s="207" t="s">
        <v>88</v>
      </c>
      <c r="Q71" s="262">
        <f>Q50+Q60+Q68</f>
        <v>0</v>
      </c>
      <c r="R71" s="147"/>
      <c r="S71" s="226" t="s">
        <v>89</v>
      </c>
      <c r="T71" s="272">
        <f>Q71*60/100</f>
        <v>0</v>
      </c>
      <c r="U71" s="99"/>
      <c r="V71" s="207" t="s">
        <v>88</v>
      </c>
      <c r="W71" s="261">
        <f>W50+W60+W70</f>
        <v>46.75</v>
      </c>
      <c r="X71" s="147"/>
      <c r="Y71" s="226" t="s">
        <v>89</v>
      </c>
      <c r="Z71" s="272">
        <f>W71*60/100</f>
        <v>28.05</v>
      </c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</row>
    <row r="72" spans="2:42" ht="15" customHeight="1" x14ac:dyDescent="0.25">
      <c r="B72" s="276"/>
      <c r="C72" s="96"/>
      <c r="D72" s="97"/>
      <c r="E72" s="98"/>
      <c r="F72" s="99"/>
      <c r="G72" s="99"/>
      <c r="H72" s="99"/>
      <c r="I72" s="197"/>
      <c r="J72" s="99"/>
      <c r="K72" s="99"/>
      <c r="L72" s="131"/>
      <c r="M72" s="99"/>
      <c r="N72" s="99"/>
      <c r="P72" s="256" t="s">
        <v>190</v>
      </c>
      <c r="Q72" s="355"/>
      <c r="R72" s="255"/>
      <c r="S72" s="255"/>
      <c r="T72" s="74"/>
      <c r="U72" s="99"/>
      <c r="V72" s="200"/>
      <c r="W72" s="306"/>
      <c r="X72" s="200"/>
      <c r="Y72" s="200"/>
      <c r="Z72" s="200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</row>
    <row r="73" spans="2:42" ht="15" customHeight="1" x14ac:dyDescent="0.25">
      <c r="B73" s="276"/>
      <c r="C73" s="96"/>
      <c r="D73" s="97"/>
      <c r="E73" s="98"/>
      <c r="F73" s="99"/>
      <c r="G73" s="99"/>
      <c r="H73" s="99"/>
      <c r="I73" s="197"/>
      <c r="J73" s="99"/>
      <c r="K73" s="99"/>
      <c r="L73" s="131"/>
      <c r="M73" s="99"/>
      <c r="N73" s="99"/>
      <c r="P73" s="204" t="s">
        <v>94</v>
      </c>
      <c r="Q73" s="228">
        <f>IF(Q40="oui","0,15",0)</f>
        <v>0</v>
      </c>
      <c r="R73" s="146" t="s">
        <v>98</v>
      </c>
      <c r="S73" s="199">
        <f>IF('produits en croix'!R15=0,0,C16+E16)</f>
        <v>0</v>
      </c>
      <c r="T73" s="206"/>
      <c r="U73" s="99"/>
      <c r="V73" s="200"/>
      <c r="W73" s="306"/>
      <c r="X73" s="200"/>
      <c r="Y73" s="200"/>
      <c r="Z73" s="200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</row>
    <row r="74" spans="2:42" ht="15" customHeight="1" x14ac:dyDescent="0.25">
      <c r="B74" s="276"/>
      <c r="C74" s="96"/>
      <c r="D74" s="97"/>
      <c r="E74" s="98"/>
      <c r="F74" s="99"/>
      <c r="G74" s="99"/>
      <c r="H74" s="99"/>
      <c r="I74" s="197"/>
      <c r="J74" s="99"/>
      <c r="K74" s="99"/>
      <c r="L74" s="131"/>
      <c r="M74" s="99"/>
      <c r="N74" s="99"/>
      <c r="P74" s="207" t="s">
        <v>88</v>
      </c>
      <c r="Q74" s="235">
        <f>S73*Q73</f>
        <v>0</v>
      </c>
      <c r="R74" s="147"/>
      <c r="S74" s="226" t="s">
        <v>89</v>
      </c>
      <c r="T74" s="273">
        <f>Q74*60/100</f>
        <v>0</v>
      </c>
      <c r="U74" s="99"/>
      <c r="V74" s="200"/>
      <c r="W74" s="306"/>
      <c r="X74" s="200"/>
      <c r="Y74" s="200"/>
      <c r="Z74" s="200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</row>
    <row r="75" spans="2:42" ht="15" customHeight="1" x14ac:dyDescent="0.25">
      <c r="B75" s="276"/>
      <c r="C75" s="96"/>
      <c r="D75" s="97"/>
      <c r="E75" s="98"/>
      <c r="F75" s="99"/>
      <c r="G75" s="99"/>
      <c r="H75" s="99"/>
      <c r="I75" s="197"/>
      <c r="J75" s="99"/>
      <c r="K75" s="99"/>
      <c r="L75" s="131"/>
      <c r="M75" s="99"/>
      <c r="N75" s="99"/>
      <c r="P75" s="204" t="s">
        <v>150</v>
      </c>
      <c r="Q75" s="228">
        <f>IF(Q40="oui","0,25",0)</f>
        <v>0</v>
      </c>
      <c r="R75" s="146" t="s">
        <v>95</v>
      </c>
      <c r="S75" s="199">
        <v>1</v>
      </c>
      <c r="T75" s="206"/>
      <c r="U75" s="99"/>
      <c r="V75" s="200"/>
      <c r="W75" s="306"/>
      <c r="X75" s="200"/>
      <c r="Y75" s="200"/>
      <c r="Z75" s="200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</row>
    <row r="76" spans="2:42" ht="15" customHeight="1" x14ac:dyDescent="0.25">
      <c r="B76" s="276"/>
      <c r="C76" s="96"/>
      <c r="D76" s="97"/>
      <c r="E76" s="98"/>
      <c r="F76" s="99"/>
      <c r="G76" s="99"/>
      <c r="H76" s="99"/>
      <c r="I76" s="197"/>
      <c r="J76" s="99"/>
      <c r="K76" s="99"/>
      <c r="L76" s="131"/>
      <c r="M76" s="99"/>
      <c r="N76" s="99"/>
      <c r="P76" s="207" t="s">
        <v>88</v>
      </c>
      <c r="Q76" s="235">
        <f>S75*Q75</f>
        <v>0</v>
      </c>
      <c r="R76" s="147"/>
      <c r="S76" s="226" t="s">
        <v>89</v>
      </c>
      <c r="T76" s="273">
        <f>Q76*60/100</f>
        <v>0</v>
      </c>
      <c r="U76" s="99"/>
      <c r="V76" s="201" t="s">
        <v>123</v>
      </c>
      <c r="W76" s="348" t="str">
        <f>IF(C4="non","oui","non")</f>
        <v>oui</v>
      </c>
      <c r="X76" s="145"/>
      <c r="Y76" s="225"/>
      <c r="Z76" s="216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</row>
    <row r="77" spans="2:42" ht="15" customHeight="1" x14ac:dyDescent="0.25">
      <c r="B77" s="276"/>
      <c r="C77" s="96"/>
      <c r="D77" s="97"/>
      <c r="E77" s="98"/>
      <c r="F77" s="99"/>
      <c r="G77" s="99"/>
      <c r="H77" s="99"/>
      <c r="I77" s="197"/>
      <c r="J77" s="99"/>
      <c r="K77" s="99"/>
      <c r="L77" s="131"/>
      <c r="M77" s="99"/>
      <c r="N77" s="99"/>
      <c r="P77" s="204" t="s">
        <v>96</v>
      </c>
      <c r="Q77" s="236">
        <f>IF(Q40="oui",S1,0)</f>
        <v>0</v>
      </c>
      <c r="R77" s="146" t="s">
        <v>109</v>
      </c>
      <c r="S77" s="237">
        <f>'commande papier'!P67</f>
        <v>0</v>
      </c>
      <c r="T77" s="238"/>
      <c r="U77" s="99"/>
      <c r="V77" s="204" t="s">
        <v>120</v>
      </c>
      <c r="W77" s="228" t="str">
        <f>IF(W76="oui","0,25",0)</f>
        <v>0,25</v>
      </c>
      <c r="X77" s="146" t="s">
        <v>119</v>
      </c>
      <c r="Y77" s="234">
        <f>IF(C4="oui",0,C9)</f>
        <v>0</v>
      </c>
      <c r="Z77" s="206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</row>
    <row r="78" spans="2:42" ht="15" customHeight="1" x14ac:dyDescent="0.25">
      <c r="B78" s="276"/>
      <c r="C78" s="96"/>
      <c r="D78" s="97"/>
      <c r="E78" s="98"/>
      <c r="F78" s="99"/>
      <c r="G78" s="99"/>
      <c r="H78" s="99"/>
      <c r="I78" s="197"/>
      <c r="J78" s="99"/>
      <c r="K78" s="99"/>
      <c r="L78" s="131"/>
      <c r="M78" s="99"/>
      <c r="N78" s="99"/>
      <c r="P78" s="207" t="s">
        <v>88</v>
      </c>
      <c r="Q78" s="242">
        <f>IF('commande papier'!L55=0,0,Q77/S77)</f>
        <v>0</v>
      </c>
      <c r="R78" s="147"/>
      <c r="S78" s="226" t="s">
        <v>89</v>
      </c>
      <c r="T78" s="273">
        <f>Q78*60/100</f>
        <v>0</v>
      </c>
      <c r="U78" s="99"/>
      <c r="V78" s="207" t="s">
        <v>88</v>
      </c>
      <c r="W78" s="229">
        <f>(Y77*W77)</f>
        <v>0</v>
      </c>
      <c r="X78" s="147"/>
      <c r="Y78" s="226" t="s">
        <v>89</v>
      </c>
      <c r="Z78" s="273">
        <f>W78*60/100</f>
        <v>0</v>
      </c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</row>
    <row r="79" spans="2:42" ht="15" customHeight="1" x14ac:dyDescent="0.25">
      <c r="B79" s="276"/>
      <c r="C79" s="96"/>
      <c r="D79" s="97"/>
      <c r="E79" s="98"/>
      <c r="F79" s="99"/>
      <c r="G79" s="99"/>
      <c r="H79" s="99"/>
      <c r="I79" s="197"/>
      <c r="J79" s="99"/>
      <c r="K79" s="99"/>
      <c r="L79" s="131"/>
      <c r="M79" s="99"/>
      <c r="N79" s="99"/>
      <c r="P79" s="239" t="s">
        <v>113</v>
      </c>
      <c r="Q79" s="240">
        <v>0.25</v>
      </c>
      <c r="R79" s="202" t="s">
        <v>114</v>
      </c>
      <c r="S79" s="241">
        <v>1</v>
      </c>
      <c r="T79" s="216"/>
      <c r="U79" s="99"/>
      <c r="V79" s="204" t="s">
        <v>121</v>
      </c>
      <c r="W79" s="228">
        <f>IF(C4="non",R9,0)</f>
        <v>0</v>
      </c>
      <c r="X79" s="146" t="s">
        <v>122</v>
      </c>
      <c r="Y79" s="246">
        <f>IF(C4="non",'commande papier'!P22,0)</f>
        <v>10050</v>
      </c>
      <c r="Z79" s="206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</row>
    <row r="80" spans="2:42" ht="15" customHeight="1" x14ac:dyDescent="0.25">
      <c r="B80" s="276"/>
      <c r="C80" s="96"/>
      <c r="D80" s="97"/>
      <c r="E80" s="98"/>
      <c r="F80" s="99"/>
      <c r="G80" s="99"/>
      <c r="H80" s="99"/>
      <c r="I80" s="197"/>
      <c r="J80" s="99"/>
      <c r="K80" s="99"/>
      <c r="L80" s="131"/>
      <c r="M80" s="99"/>
      <c r="N80" s="99"/>
      <c r="P80" s="207" t="s">
        <v>88</v>
      </c>
      <c r="Q80" s="235">
        <f>IF(Q40="oui",Q79*S79,0)</f>
        <v>0</v>
      </c>
      <c r="R80" s="147"/>
      <c r="S80" s="222" t="s">
        <v>89</v>
      </c>
      <c r="T80" s="274">
        <f>Q80*60/100</f>
        <v>0</v>
      </c>
      <c r="U80" s="99"/>
      <c r="V80" s="207" t="s">
        <v>88</v>
      </c>
      <c r="W80" s="229">
        <f>IFERROR(Y79/W79,0)</f>
        <v>0</v>
      </c>
      <c r="X80" s="147"/>
      <c r="Y80" s="226" t="s">
        <v>89</v>
      </c>
      <c r="Z80" s="273">
        <f>W80*60/100</f>
        <v>0</v>
      </c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</row>
    <row r="81" spans="2:42" ht="15" customHeight="1" x14ac:dyDescent="0.25">
      <c r="B81" s="276"/>
      <c r="C81" s="96"/>
      <c r="D81" s="97"/>
      <c r="E81" s="98"/>
      <c r="F81" s="99"/>
      <c r="G81" s="99"/>
      <c r="H81" s="99"/>
      <c r="I81" s="197"/>
      <c r="J81" s="99"/>
      <c r="K81" s="99"/>
      <c r="L81" s="131"/>
      <c r="M81" s="99"/>
      <c r="N81" s="99"/>
      <c r="P81" s="207" t="s">
        <v>88</v>
      </c>
      <c r="Q81" s="262">
        <f>Q74+Q76+Q78+Q80</f>
        <v>0</v>
      </c>
      <c r="R81" s="147"/>
      <c r="S81" s="226" t="s">
        <v>89</v>
      </c>
      <c r="T81" s="272">
        <f>Q81*60/100</f>
        <v>0</v>
      </c>
      <c r="U81" s="99"/>
      <c r="V81" s="207" t="s">
        <v>88</v>
      </c>
      <c r="W81" s="261">
        <f>W78+W80</f>
        <v>0</v>
      </c>
      <c r="X81" s="147"/>
      <c r="Y81" s="226" t="s">
        <v>89</v>
      </c>
      <c r="Z81" s="272">
        <f>W81*60/100</f>
        <v>0</v>
      </c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99"/>
      <c r="AL81" s="99"/>
      <c r="AM81" s="99"/>
      <c r="AN81" s="99"/>
      <c r="AO81" s="99"/>
      <c r="AP81" s="99"/>
    </row>
    <row r="82" spans="2:42" ht="15" customHeight="1" x14ac:dyDescent="0.25">
      <c r="B82" s="276"/>
      <c r="C82" s="270"/>
      <c r="D82" s="97"/>
      <c r="E82" s="98"/>
      <c r="F82" s="99"/>
      <c r="G82" s="99"/>
      <c r="H82" s="99"/>
      <c r="I82" s="197"/>
      <c r="J82" s="99"/>
      <c r="K82" s="99"/>
      <c r="L82" s="131"/>
      <c r="M82" s="99"/>
      <c r="N82" s="99"/>
      <c r="P82" s="200"/>
      <c r="Q82" s="306"/>
      <c r="R82" s="200"/>
      <c r="S82" s="200"/>
      <c r="T82" s="200"/>
      <c r="U82" s="99"/>
      <c r="V82" s="200"/>
      <c r="W82" s="306"/>
      <c r="X82" s="200"/>
      <c r="Y82" s="200"/>
      <c r="Z82" s="200"/>
      <c r="AA82" s="99"/>
      <c r="AB82" s="99"/>
      <c r="AC82" s="99"/>
      <c r="AD82" s="99"/>
      <c r="AE82" s="99"/>
      <c r="AF82" s="99"/>
      <c r="AG82" s="99"/>
      <c r="AH82" s="99"/>
      <c r="AI82" s="99"/>
      <c r="AJ82" s="99"/>
      <c r="AK82" s="99"/>
      <c r="AL82" s="99"/>
      <c r="AM82" s="99"/>
      <c r="AN82" s="99"/>
      <c r="AO82" s="99"/>
      <c r="AP82" s="99"/>
    </row>
    <row r="83" spans="2:42" ht="15" customHeight="1" x14ac:dyDescent="0.25">
      <c r="B83" s="276"/>
      <c r="C83" s="96"/>
      <c r="D83" s="97"/>
      <c r="E83" s="98"/>
      <c r="F83" s="99"/>
      <c r="G83" s="99"/>
      <c r="H83" s="99"/>
      <c r="I83" s="197"/>
      <c r="J83" s="99"/>
      <c r="K83" s="99"/>
      <c r="L83" s="131"/>
      <c r="M83" s="99"/>
      <c r="N83" s="99"/>
      <c r="P83" s="201" t="s">
        <v>80</v>
      </c>
      <c r="Q83" s="348" t="str">
        <f>Q21</f>
        <v>Oui</v>
      </c>
      <c r="R83" s="145"/>
      <c r="S83" s="210"/>
      <c r="T83" s="227"/>
      <c r="U83" s="99"/>
      <c r="V83" s="200"/>
      <c r="W83" s="306"/>
      <c r="X83" s="200"/>
      <c r="Y83" s="200"/>
      <c r="Z83" s="200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</row>
    <row r="84" spans="2:42" ht="15" customHeight="1" x14ac:dyDescent="0.25">
      <c r="B84" s="276"/>
      <c r="C84" s="96"/>
      <c r="D84" s="97"/>
      <c r="E84" s="98"/>
      <c r="F84" s="99"/>
      <c r="G84" s="99"/>
      <c r="H84" s="99"/>
      <c r="I84" s="197"/>
      <c r="J84" s="99"/>
      <c r="K84" s="99"/>
      <c r="L84" s="131"/>
      <c r="M84" s="99"/>
      <c r="N84" s="99"/>
      <c r="P84" s="204" t="s">
        <v>115</v>
      </c>
      <c r="Q84" s="228">
        <f>Q22</f>
        <v>0.01</v>
      </c>
      <c r="R84" s="146" t="s">
        <v>116</v>
      </c>
      <c r="S84" s="199">
        <f>S22</f>
        <v>0</v>
      </c>
      <c r="T84" s="206"/>
      <c r="U84" s="99"/>
      <c r="V84" s="200"/>
      <c r="W84" s="306"/>
      <c r="X84" s="200"/>
      <c r="Y84" s="200"/>
      <c r="Z84" s="200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99"/>
      <c r="AO84" s="99"/>
      <c r="AP84" s="99"/>
    </row>
    <row r="85" spans="2:42" ht="15" customHeight="1" x14ac:dyDescent="0.25">
      <c r="B85" s="276"/>
      <c r="C85" s="96"/>
      <c r="D85" s="97"/>
      <c r="E85" s="98"/>
      <c r="F85" s="99"/>
      <c r="G85" s="99"/>
      <c r="H85" s="99"/>
      <c r="I85" s="197"/>
      <c r="J85" s="99"/>
      <c r="K85" s="99"/>
      <c r="L85" s="131"/>
      <c r="M85" s="99"/>
      <c r="N85" s="99"/>
      <c r="P85" s="207" t="s">
        <v>88</v>
      </c>
      <c r="Q85" s="242">
        <f>S84*Q84</f>
        <v>0</v>
      </c>
      <c r="R85" s="147"/>
      <c r="S85" s="226" t="s">
        <v>89</v>
      </c>
      <c r="T85" s="273">
        <f>Q85*60/100</f>
        <v>0</v>
      </c>
      <c r="U85" s="99"/>
      <c r="V85" s="200"/>
      <c r="W85" s="306"/>
      <c r="X85" s="200"/>
      <c r="Y85" s="200"/>
      <c r="Z85" s="200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</row>
    <row r="86" spans="2:42" ht="15" customHeight="1" x14ac:dyDescent="0.25">
      <c r="B86" s="276"/>
      <c r="C86" s="96"/>
      <c r="D86" s="97"/>
      <c r="E86" s="98"/>
      <c r="F86" s="99"/>
      <c r="G86" s="99"/>
      <c r="H86" s="99"/>
      <c r="I86" s="197"/>
      <c r="J86" s="99"/>
      <c r="K86" s="99"/>
      <c r="L86" s="131"/>
      <c r="M86" s="99"/>
      <c r="N86" s="99"/>
      <c r="P86" s="204" t="s">
        <v>158</v>
      </c>
      <c r="Q86" s="236">
        <f>IF(C4="oui",3+'produits en croix'!H6,0)</f>
        <v>0</v>
      </c>
      <c r="R86" s="146" t="s">
        <v>116</v>
      </c>
      <c r="S86" s="199">
        <f>Q86*('commande papier'!G28/'commande papier'!E33)</f>
        <v>0</v>
      </c>
      <c r="T86" s="206"/>
      <c r="U86" s="99"/>
      <c r="V86" s="200"/>
      <c r="W86" s="306"/>
      <c r="X86" s="200"/>
      <c r="Y86" s="200"/>
      <c r="Z86" s="200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</row>
    <row r="87" spans="2:42" ht="15" customHeight="1" x14ac:dyDescent="0.25">
      <c r="B87" s="276"/>
      <c r="C87" s="96"/>
      <c r="D87" s="97"/>
      <c r="E87" s="98"/>
      <c r="F87" s="99"/>
      <c r="G87" s="99"/>
      <c r="H87" s="99"/>
      <c r="I87" s="197"/>
      <c r="J87" s="99"/>
      <c r="K87" s="99"/>
      <c r="L87" s="131"/>
      <c r="M87" s="99"/>
      <c r="N87" s="99"/>
      <c r="P87" s="207" t="s">
        <v>88</v>
      </c>
      <c r="Q87" s="242">
        <f>Q85*S86</f>
        <v>0</v>
      </c>
      <c r="R87" s="147"/>
      <c r="S87" s="226" t="s">
        <v>89</v>
      </c>
      <c r="T87" s="273">
        <f>Q87*60/100</f>
        <v>0</v>
      </c>
      <c r="U87" s="99"/>
      <c r="V87" s="200"/>
      <c r="W87" s="306"/>
      <c r="X87" s="200"/>
      <c r="Y87" s="200"/>
      <c r="Z87" s="200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</row>
    <row r="88" spans="2:42" ht="15" customHeight="1" x14ac:dyDescent="0.25">
      <c r="B88" s="276"/>
      <c r="C88" s="96"/>
      <c r="D88" s="97"/>
      <c r="E88" s="98"/>
      <c r="F88" s="99"/>
      <c r="G88" s="99"/>
      <c r="H88" s="99"/>
      <c r="I88" s="197"/>
      <c r="J88" s="99"/>
      <c r="K88" s="99"/>
      <c r="L88" s="131"/>
      <c r="M88" s="99"/>
      <c r="N88" s="99"/>
      <c r="P88" s="204" t="s">
        <v>117</v>
      </c>
      <c r="Q88" s="236">
        <f>IF(C4="oui",4,'produits en croix'!U22+'produits en croix'!W22+2)</f>
        <v>8</v>
      </c>
      <c r="R88" s="146" t="s">
        <v>116</v>
      </c>
      <c r="S88" s="199">
        <f>Q88*('commande papier'!P36/'commande papier'!N70)</f>
        <v>0</v>
      </c>
      <c r="T88" s="206"/>
      <c r="U88" s="99"/>
      <c r="V88" s="200"/>
      <c r="W88" s="306"/>
      <c r="X88" s="200"/>
      <c r="Y88" s="200"/>
      <c r="Z88" s="200"/>
      <c r="AA88" s="99"/>
      <c r="AB88" s="99"/>
      <c r="AC88" s="99"/>
      <c r="AD88" s="99"/>
      <c r="AE88" s="99"/>
      <c r="AF88" s="99"/>
      <c r="AG88" s="99"/>
      <c r="AH88" s="99"/>
      <c r="AI88" s="99"/>
      <c r="AJ88" s="99"/>
      <c r="AK88" s="99"/>
      <c r="AL88" s="99"/>
      <c r="AM88" s="99"/>
      <c r="AN88" s="99"/>
      <c r="AO88" s="99"/>
      <c r="AP88" s="99"/>
    </row>
    <row r="89" spans="2:42" ht="15" customHeight="1" x14ac:dyDescent="0.25">
      <c r="B89" s="276"/>
      <c r="C89" s="96"/>
      <c r="D89" s="97"/>
      <c r="E89" s="98"/>
      <c r="F89" s="99"/>
      <c r="G89" s="99"/>
      <c r="H89" s="99"/>
      <c r="I89" s="197"/>
      <c r="J89" s="99"/>
      <c r="K89" s="99"/>
      <c r="L89" s="131"/>
      <c r="M89" s="99"/>
      <c r="N89" s="99"/>
      <c r="P89" s="207" t="s">
        <v>88</v>
      </c>
      <c r="Q89" s="242">
        <f>S88*Q84</f>
        <v>0</v>
      </c>
      <c r="R89" s="147"/>
      <c r="S89" s="226" t="s">
        <v>89</v>
      </c>
      <c r="T89" s="273">
        <f>Q89*60/100</f>
        <v>0</v>
      </c>
      <c r="U89" s="99"/>
      <c r="V89" s="200"/>
      <c r="W89" s="306"/>
      <c r="X89" s="200"/>
      <c r="Y89" s="200"/>
      <c r="Z89" s="200"/>
      <c r="AA89" s="99"/>
      <c r="AB89" s="99"/>
      <c r="AC89" s="99"/>
      <c r="AD89" s="99"/>
      <c r="AE89" s="99"/>
      <c r="AF89" s="99"/>
      <c r="AG89" s="99"/>
      <c r="AH89" s="99"/>
      <c r="AI89" s="99"/>
      <c r="AJ89" s="99"/>
      <c r="AK89" s="99"/>
      <c r="AL89" s="99"/>
      <c r="AM89" s="99"/>
      <c r="AN89" s="99"/>
      <c r="AO89" s="99"/>
      <c r="AP89" s="99"/>
    </row>
    <row r="90" spans="2:42" ht="15" customHeight="1" x14ac:dyDescent="0.25">
      <c r="B90" s="276"/>
      <c r="C90" s="96"/>
      <c r="D90" s="97"/>
      <c r="E90" s="98"/>
      <c r="F90" s="99"/>
      <c r="G90" s="99"/>
      <c r="H90" s="99"/>
      <c r="I90" s="197"/>
      <c r="J90" s="99"/>
      <c r="K90" s="99"/>
      <c r="L90" s="131"/>
      <c r="M90" s="99"/>
      <c r="N90" s="99"/>
      <c r="P90" s="204" t="s">
        <v>159</v>
      </c>
      <c r="Q90" s="236">
        <f>IF(C4="oui",4*K22,'produits en croix'!U22+'produits en croix'!W22+2)</f>
        <v>8</v>
      </c>
      <c r="R90" s="146" t="s">
        <v>116</v>
      </c>
      <c r="S90" s="199">
        <f>Q88*('commande papier'!P50/'commande papier'!E33)</f>
        <v>0</v>
      </c>
      <c r="T90" s="206"/>
      <c r="U90" s="99"/>
      <c r="V90" s="200"/>
      <c r="W90" s="306"/>
      <c r="X90" s="200"/>
      <c r="Y90" s="200"/>
      <c r="Z90" s="200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99"/>
      <c r="AP90" s="99"/>
    </row>
    <row r="91" spans="2:42" ht="15" customHeight="1" x14ac:dyDescent="0.25">
      <c r="B91" s="276"/>
      <c r="C91" s="96"/>
      <c r="D91" s="97"/>
      <c r="E91" s="98"/>
      <c r="F91" s="99"/>
      <c r="G91" s="99"/>
      <c r="H91" s="99"/>
      <c r="I91" s="197"/>
      <c r="J91" s="99"/>
      <c r="K91" s="99"/>
      <c r="L91" s="131"/>
      <c r="M91" s="99"/>
      <c r="N91" s="99"/>
      <c r="P91" s="207" t="s">
        <v>88</v>
      </c>
      <c r="Q91" s="242">
        <f>Q84*S90</f>
        <v>0</v>
      </c>
      <c r="R91" s="147"/>
      <c r="S91" s="226" t="s">
        <v>89</v>
      </c>
      <c r="T91" s="273">
        <f>Q91*60/100</f>
        <v>0</v>
      </c>
      <c r="U91" s="99"/>
      <c r="V91" s="200"/>
      <c r="W91" s="306"/>
      <c r="X91" s="200"/>
      <c r="Y91" s="200"/>
      <c r="Z91" s="200"/>
      <c r="AA91" s="99"/>
      <c r="AB91" s="99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</row>
    <row r="92" spans="2:42" ht="15" customHeight="1" x14ac:dyDescent="0.25">
      <c r="B92" s="276"/>
      <c r="C92" s="96"/>
      <c r="D92" s="97"/>
      <c r="E92" s="98"/>
      <c r="F92" s="99"/>
      <c r="G92" s="99"/>
      <c r="H92" s="99"/>
      <c r="I92" s="197"/>
      <c r="J92" s="99"/>
      <c r="K92" s="99"/>
      <c r="L92" s="131"/>
      <c r="M92" s="99"/>
      <c r="N92" s="99"/>
      <c r="P92" s="207" t="s">
        <v>88</v>
      </c>
      <c r="Q92" s="262">
        <f>Q85+Q87+Q89+Q91</f>
        <v>0</v>
      </c>
      <c r="R92" s="147"/>
      <c r="S92" s="226" t="s">
        <v>89</v>
      </c>
      <c r="T92" s="272">
        <f>Q92*60/100</f>
        <v>0</v>
      </c>
      <c r="U92" s="99"/>
      <c r="V92" s="200"/>
      <c r="W92" s="306"/>
      <c r="X92" s="200"/>
      <c r="Y92" s="200"/>
      <c r="Z92" s="200"/>
      <c r="AA92" s="99"/>
      <c r="AB92" s="99"/>
      <c r="AC92" s="99"/>
      <c r="AD92" s="99"/>
      <c r="AE92" s="99"/>
      <c r="AF92" s="99"/>
      <c r="AG92" s="99"/>
      <c r="AH92" s="99"/>
      <c r="AI92" s="99"/>
      <c r="AJ92" s="99"/>
      <c r="AK92" s="99"/>
      <c r="AL92" s="99"/>
      <c r="AM92" s="99"/>
      <c r="AN92" s="99"/>
      <c r="AO92" s="99"/>
      <c r="AP92" s="99"/>
    </row>
    <row r="93" spans="2:42" ht="15" customHeight="1" x14ac:dyDescent="0.25">
      <c r="B93" s="276"/>
      <c r="C93" s="96"/>
      <c r="D93" s="97"/>
      <c r="E93" s="98"/>
      <c r="F93" s="99"/>
      <c r="G93" s="99"/>
      <c r="H93" s="99"/>
      <c r="I93" s="197"/>
      <c r="J93" s="99"/>
      <c r="K93" s="99"/>
      <c r="L93" s="131"/>
      <c r="M93" s="99"/>
      <c r="N93" s="99"/>
      <c r="P93" s="200"/>
      <c r="Q93" s="306"/>
      <c r="R93" s="200"/>
      <c r="S93" s="200"/>
      <c r="T93" s="200"/>
      <c r="U93" s="99"/>
      <c r="V93" s="200"/>
      <c r="W93" s="306"/>
      <c r="X93" s="200"/>
      <c r="Y93" s="200"/>
      <c r="Z93" s="200"/>
      <c r="AA93" s="99"/>
      <c r="AB93" s="99"/>
      <c r="AC93" s="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  <c r="AN93" s="99"/>
      <c r="AO93" s="99"/>
      <c r="AP93" s="99"/>
    </row>
    <row r="94" spans="2:42" ht="15" customHeight="1" x14ac:dyDescent="0.25">
      <c r="B94" s="276"/>
      <c r="C94" s="96"/>
      <c r="D94" s="97"/>
      <c r="E94" s="98"/>
      <c r="F94" s="99"/>
      <c r="G94" s="99"/>
      <c r="H94" s="99"/>
      <c r="I94" s="197"/>
      <c r="J94" s="99"/>
      <c r="K94" s="99"/>
      <c r="L94" s="131"/>
      <c r="M94" s="99"/>
      <c r="N94" s="99"/>
      <c r="P94" s="201" t="s">
        <v>124</v>
      </c>
      <c r="Q94" s="356" t="str">
        <f>IF(C4="oui","oui","non")</f>
        <v>non</v>
      </c>
      <c r="R94" s="145"/>
      <c r="S94" s="225"/>
      <c r="T94" s="216"/>
      <c r="U94" s="99"/>
      <c r="V94" s="258"/>
      <c r="W94" s="306"/>
      <c r="X94" s="200"/>
      <c r="Y94" s="200"/>
      <c r="Z94" s="200"/>
      <c r="AA94" s="99"/>
      <c r="AB94" s="99"/>
      <c r="AC94" s="99"/>
      <c r="AD94" s="99"/>
      <c r="AE94" s="99"/>
      <c r="AF94" s="99"/>
      <c r="AG94" s="99"/>
      <c r="AH94" s="99"/>
      <c r="AI94" s="99"/>
      <c r="AJ94" s="99"/>
      <c r="AK94" s="99"/>
      <c r="AL94" s="99"/>
      <c r="AM94" s="99"/>
      <c r="AN94" s="99"/>
      <c r="AO94" s="99"/>
      <c r="AP94" s="99"/>
    </row>
    <row r="95" spans="2:42" ht="15" customHeight="1" x14ac:dyDescent="0.25">
      <c r="B95" s="276"/>
      <c r="C95" s="96"/>
      <c r="D95" s="97"/>
      <c r="E95" s="98"/>
      <c r="F95" s="99"/>
      <c r="G95" s="99"/>
      <c r="H95" s="99"/>
      <c r="I95" s="197"/>
      <c r="J95" s="99"/>
      <c r="K95" s="99"/>
      <c r="L95" s="131"/>
      <c r="M95" s="99"/>
      <c r="N95" s="99"/>
      <c r="P95" s="204" t="s">
        <v>126</v>
      </c>
      <c r="Q95" s="228">
        <f>IF(Q94="oui","0,25",0)</f>
        <v>0</v>
      </c>
      <c r="R95" s="146" t="s">
        <v>119</v>
      </c>
      <c r="S95" s="234">
        <f>IF(C4="oui",T10,0)</f>
        <v>0</v>
      </c>
      <c r="T95" s="206"/>
      <c r="U95" s="99"/>
      <c r="V95" s="200"/>
      <c r="W95" s="306"/>
      <c r="X95" s="200"/>
      <c r="Y95" s="200"/>
      <c r="Z95" s="200"/>
      <c r="AA95" s="99"/>
      <c r="AB95" s="99"/>
      <c r="AC95" s="99"/>
      <c r="AD95" s="99"/>
      <c r="AE95" s="99"/>
      <c r="AF95" s="99"/>
      <c r="AG95" s="99"/>
      <c r="AH95" s="99"/>
      <c r="AI95" s="99"/>
      <c r="AJ95" s="99"/>
      <c r="AK95" s="99"/>
      <c r="AL95" s="99"/>
      <c r="AM95" s="99"/>
      <c r="AN95" s="99"/>
      <c r="AO95" s="99"/>
      <c r="AP95" s="99"/>
    </row>
    <row r="96" spans="2:42" ht="15" customHeight="1" x14ac:dyDescent="0.25">
      <c r="B96" s="276"/>
      <c r="C96" s="96"/>
      <c r="D96" s="97"/>
      <c r="E96" s="98"/>
      <c r="F96" s="99"/>
      <c r="G96" s="99"/>
      <c r="H96" s="99"/>
      <c r="I96" s="197"/>
      <c r="J96" s="99"/>
      <c r="K96" s="99"/>
      <c r="L96" s="131"/>
      <c r="M96" s="99"/>
      <c r="N96" s="99"/>
      <c r="P96" s="204" t="s">
        <v>88</v>
      </c>
      <c r="Q96" s="244">
        <f>(S95*Q95)</f>
        <v>0</v>
      </c>
      <c r="R96" s="146"/>
      <c r="S96" s="245" t="s">
        <v>89</v>
      </c>
      <c r="T96" s="275">
        <f>Q96*60/100</f>
        <v>0</v>
      </c>
      <c r="U96" s="99"/>
      <c r="V96" s="200"/>
      <c r="W96" s="306"/>
      <c r="X96" s="200"/>
      <c r="Y96" s="200"/>
      <c r="Z96" s="200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99"/>
      <c r="AL96" s="99"/>
      <c r="AM96" s="99"/>
      <c r="AN96" s="99"/>
      <c r="AO96" s="99"/>
      <c r="AP96" s="99"/>
    </row>
    <row r="97" spans="2:42" ht="15" customHeight="1" x14ac:dyDescent="0.25">
      <c r="B97" s="276"/>
      <c r="C97" s="96"/>
      <c r="D97" s="97"/>
      <c r="E97" s="98"/>
      <c r="F97" s="99"/>
      <c r="G97" s="99"/>
      <c r="H97" s="99"/>
      <c r="I97" s="197"/>
      <c r="J97" s="99"/>
      <c r="K97" s="99"/>
      <c r="L97" s="131"/>
      <c r="M97" s="99"/>
      <c r="N97" s="99"/>
      <c r="P97" s="204" t="s">
        <v>125</v>
      </c>
      <c r="Q97" s="228">
        <f>IF(C4="oui",S1,0)</f>
        <v>0</v>
      </c>
      <c r="R97" s="146" t="s">
        <v>122</v>
      </c>
      <c r="S97" s="246">
        <f>IF(C4="oui",'commande papier'!G15,0)</f>
        <v>0</v>
      </c>
      <c r="T97" s="206"/>
      <c r="U97" s="99"/>
      <c r="V97" s="200"/>
      <c r="W97" s="306"/>
      <c r="X97" s="200"/>
      <c r="Y97" s="200"/>
      <c r="Z97" s="200"/>
      <c r="AA97" s="99"/>
      <c r="AB97" s="99"/>
      <c r="AC97" s="99"/>
      <c r="AD97" s="99"/>
      <c r="AE97" s="99"/>
      <c r="AF97" s="99"/>
      <c r="AG97" s="99"/>
      <c r="AH97" s="99"/>
      <c r="AI97" s="99"/>
      <c r="AJ97" s="99"/>
      <c r="AK97" s="99"/>
      <c r="AL97" s="99"/>
      <c r="AM97" s="99"/>
      <c r="AN97" s="99"/>
      <c r="AO97" s="99"/>
      <c r="AP97" s="99"/>
    </row>
    <row r="98" spans="2:42" ht="15" customHeight="1" x14ac:dyDescent="0.25">
      <c r="B98" s="276"/>
      <c r="C98" s="96"/>
      <c r="D98" s="97"/>
      <c r="E98" s="98"/>
      <c r="F98" s="99"/>
      <c r="G98" s="99"/>
      <c r="H98" s="99"/>
      <c r="I98" s="197"/>
      <c r="J98" s="99"/>
      <c r="K98" s="99"/>
      <c r="L98" s="131"/>
      <c r="M98" s="99"/>
      <c r="N98" s="99"/>
      <c r="P98" s="207" t="s">
        <v>88</v>
      </c>
      <c r="Q98" s="242">
        <f>IFERROR(S97/Q97,0)</f>
        <v>0</v>
      </c>
      <c r="R98" s="147"/>
      <c r="S98" s="226" t="s">
        <v>89</v>
      </c>
      <c r="T98" s="273">
        <f>Q98*60/100</f>
        <v>0</v>
      </c>
      <c r="U98" s="99"/>
      <c r="V98" s="200"/>
      <c r="W98" s="306"/>
      <c r="X98" s="200"/>
      <c r="Y98" s="200"/>
      <c r="Z98" s="200"/>
      <c r="AA98" s="99"/>
      <c r="AB98" s="99"/>
      <c r="AC98" s="99"/>
      <c r="AD98" s="99"/>
      <c r="AE98" s="99"/>
      <c r="AF98" s="99"/>
      <c r="AG98" s="99"/>
      <c r="AH98" s="99"/>
      <c r="AI98" s="99"/>
      <c r="AJ98" s="99"/>
      <c r="AK98" s="99"/>
      <c r="AL98" s="99"/>
      <c r="AM98" s="99"/>
      <c r="AN98" s="99"/>
      <c r="AO98" s="99"/>
      <c r="AP98" s="99"/>
    </row>
    <row r="99" spans="2:42" ht="15" customHeight="1" x14ac:dyDescent="0.25">
      <c r="B99" s="276"/>
      <c r="C99" s="96"/>
      <c r="D99" s="97"/>
      <c r="E99" s="98"/>
      <c r="F99" s="99"/>
      <c r="G99" s="99"/>
      <c r="H99" s="99"/>
      <c r="I99" s="197"/>
      <c r="J99" s="99"/>
      <c r="K99" s="99"/>
      <c r="L99" s="131"/>
      <c r="M99" s="99"/>
      <c r="N99" s="99"/>
      <c r="P99" s="204" t="s">
        <v>130</v>
      </c>
      <c r="Q99" s="228">
        <f>IF(Q94="oui","0,25",0)</f>
        <v>0</v>
      </c>
      <c r="R99" s="146" t="s">
        <v>119</v>
      </c>
      <c r="S99" s="234" t="str" cm="1">
        <f t="array" ref="S99">_xlfn.IFS('produits en croix'!Z6=2,"1",'produits en croix'!Z6=3,"3",'produits en croix'!Z6=4,"3",'produits en croix'!Z6=8,"4",'produits en croix'!Z6=12,"4",'produits en croix'!Z6=16,"5")</f>
        <v>4</v>
      </c>
      <c r="T99" s="206"/>
      <c r="U99" s="99"/>
      <c r="V99" s="200"/>
      <c r="W99" s="306"/>
      <c r="X99" s="200"/>
      <c r="Y99" s="200"/>
      <c r="Z99" s="200"/>
      <c r="AA99" s="99"/>
      <c r="AB99" s="99"/>
      <c r="AC99" s="99"/>
      <c r="AD99" s="99"/>
      <c r="AE99" s="99"/>
      <c r="AF99" s="99"/>
      <c r="AG99" s="99"/>
      <c r="AH99" s="99"/>
      <c r="AI99" s="99"/>
      <c r="AJ99" s="99"/>
      <c r="AK99" s="99"/>
      <c r="AL99" s="99"/>
      <c r="AM99" s="99"/>
      <c r="AN99" s="99"/>
      <c r="AO99" s="99"/>
      <c r="AP99" s="99"/>
    </row>
    <row r="100" spans="2:42" ht="15" customHeight="1" x14ac:dyDescent="0.25">
      <c r="B100" s="276"/>
      <c r="C100" s="96"/>
      <c r="D100" s="97"/>
      <c r="E100" s="98"/>
      <c r="F100" s="99"/>
      <c r="G100" s="99"/>
      <c r="H100" s="99"/>
      <c r="I100" s="197"/>
      <c r="J100" s="99"/>
      <c r="K100" s="99"/>
      <c r="L100" s="131"/>
      <c r="M100" s="99"/>
      <c r="N100" s="99"/>
      <c r="P100" s="204" t="s">
        <v>88</v>
      </c>
      <c r="Q100" s="244">
        <f>(S99*Q99)</f>
        <v>0</v>
      </c>
      <c r="R100" s="146"/>
      <c r="S100" s="245" t="s">
        <v>89</v>
      </c>
      <c r="T100" s="275">
        <f>Q100*60/100</f>
        <v>0</v>
      </c>
      <c r="U100" s="99"/>
      <c r="V100" s="200"/>
      <c r="W100" s="306"/>
      <c r="X100" s="200"/>
      <c r="Y100" s="200"/>
      <c r="Z100" s="200"/>
      <c r="AA100" s="99"/>
      <c r="AB100" s="99"/>
      <c r="AC100" s="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  <c r="AN100" s="99"/>
      <c r="AO100" s="99"/>
      <c r="AP100" s="99"/>
    </row>
    <row r="101" spans="2:42" ht="15" customHeight="1" x14ac:dyDescent="0.25">
      <c r="B101" s="276"/>
      <c r="C101" s="96"/>
      <c r="D101" s="97"/>
      <c r="E101" s="98"/>
      <c r="F101" s="99"/>
      <c r="G101" s="99"/>
      <c r="H101" s="99"/>
      <c r="I101" s="197"/>
      <c r="J101" s="99"/>
      <c r="K101" s="99"/>
      <c r="L101" s="131"/>
      <c r="M101" s="99"/>
      <c r="N101" s="99"/>
      <c r="P101" s="204" t="s">
        <v>131</v>
      </c>
      <c r="Q101" s="228">
        <f>IF(C4="oui",S1,0)</f>
        <v>0</v>
      </c>
      <c r="R101" s="146" t="s">
        <v>122</v>
      </c>
      <c r="S101" s="246">
        <f>IF(C4="oui",'commande papier'!P22,0)</f>
        <v>0</v>
      </c>
      <c r="T101" s="206"/>
      <c r="U101" s="99"/>
      <c r="V101" s="200"/>
      <c r="W101" s="306"/>
      <c r="X101" s="200"/>
      <c r="Y101" s="200"/>
      <c r="Z101" s="200"/>
      <c r="AA101" s="99"/>
      <c r="AB101" s="99"/>
      <c r="AC101" s="99"/>
      <c r="AD101" s="99"/>
      <c r="AE101" s="99"/>
      <c r="AF101" s="99"/>
      <c r="AG101" s="99"/>
      <c r="AH101" s="99"/>
      <c r="AI101" s="99"/>
      <c r="AJ101" s="99"/>
      <c r="AK101" s="99"/>
      <c r="AL101" s="99"/>
      <c r="AM101" s="99"/>
      <c r="AN101" s="99"/>
      <c r="AO101" s="99"/>
      <c r="AP101" s="99"/>
    </row>
    <row r="102" spans="2:42" ht="15" customHeight="1" x14ac:dyDescent="0.25">
      <c r="B102" s="276"/>
      <c r="C102" s="96"/>
      <c r="D102" s="97"/>
      <c r="E102" s="98"/>
      <c r="F102" s="99"/>
      <c r="G102" s="99"/>
      <c r="H102" s="99"/>
      <c r="I102" s="197"/>
      <c r="J102" s="99"/>
      <c r="K102" s="99"/>
      <c r="L102" s="131"/>
      <c r="M102" s="99"/>
      <c r="N102" s="99"/>
      <c r="P102" s="207" t="s">
        <v>88</v>
      </c>
      <c r="Q102" s="242">
        <f>IFERROR(S101/Q101,0)</f>
        <v>0</v>
      </c>
      <c r="R102" s="147"/>
      <c r="S102" s="226" t="s">
        <v>89</v>
      </c>
      <c r="T102" s="273">
        <f>Q102*60/100</f>
        <v>0</v>
      </c>
      <c r="U102" s="99"/>
      <c r="V102" s="200"/>
      <c r="W102" s="306"/>
      <c r="X102" s="200"/>
      <c r="Y102" s="200"/>
      <c r="Z102" s="200"/>
      <c r="AA102" s="99"/>
      <c r="AB102" s="99"/>
      <c r="AC102" s="99"/>
      <c r="AD102" s="99"/>
      <c r="AE102" s="99"/>
      <c r="AF102" s="99"/>
      <c r="AG102" s="99"/>
      <c r="AH102" s="99"/>
      <c r="AI102" s="99"/>
      <c r="AJ102" s="99"/>
      <c r="AK102" s="99"/>
      <c r="AL102" s="99"/>
      <c r="AM102" s="99"/>
      <c r="AN102" s="99"/>
      <c r="AO102" s="99"/>
      <c r="AP102" s="99"/>
    </row>
    <row r="103" spans="2:42" ht="15" customHeight="1" x14ac:dyDescent="0.25">
      <c r="B103" s="276"/>
      <c r="C103" s="96"/>
      <c r="D103" s="97"/>
      <c r="E103" s="98"/>
      <c r="F103" s="99"/>
      <c r="G103" s="99"/>
      <c r="H103" s="99"/>
      <c r="I103" s="197"/>
      <c r="J103" s="99"/>
      <c r="K103" s="99"/>
      <c r="L103" s="131"/>
      <c r="M103" s="99"/>
      <c r="N103" s="99"/>
      <c r="P103" s="207" t="s">
        <v>88</v>
      </c>
      <c r="Q103" s="262">
        <f>Q98+Q102</f>
        <v>0</v>
      </c>
      <c r="R103" s="147"/>
      <c r="S103" s="226" t="s">
        <v>89</v>
      </c>
      <c r="T103" s="272">
        <f>Q103*60/100</f>
        <v>0</v>
      </c>
      <c r="U103" s="99"/>
      <c r="V103" s="200"/>
      <c r="W103" s="306"/>
      <c r="X103" s="200"/>
      <c r="Y103" s="200"/>
      <c r="Z103" s="200"/>
      <c r="AA103" s="99"/>
      <c r="AB103" s="99"/>
      <c r="AC103" s="99"/>
      <c r="AD103" s="99"/>
      <c r="AE103" s="99"/>
      <c r="AF103" s="99"/>
      <c r="AG103" s="99"/>
      <c r="AH103" s="99"/>
      <c r="AI103" s="99"/>
      <c r="AJ103" s="99"/>
      <c r="AK103" s="99"/>
      <c r="AL103" s="99"/>
      <c r="AM103" s="99"/>
      <c r="AN103" s="99"/>
      <c r="AO103" s="99"/>
      <c r="AP103" s="99"/>
    </row>
    <row r="104" spans="2:42" ht="15" customHeight="1" x14ac:dyDescent="0.25">
      <c r="B104" s="276"/>
      <c r="C104" s="96"/>
      <c r="D104" s="97"/>
      <c r="E104" s="98"/>
      <c r="F104" s="99"/>
      <c r="G104" s="99"/>
      <c r="H104" s="99"/>
      <c r="I104" s="197"/>
      <c r="J104" s="99"/>
      <c r="K104" s="99"/>
      <c r="L104" s="131"/>
      <c r="M104" s="99"/>
      <c r="N104" s="99"/>
      <c r="P104" s="200"/>
      <c r="Q104" s="306"/>
      <c r="R104" s="200"/>
      <c r="S104" s="200"/>
      <c r="T104" s="200"/>
      <c r="U104" s="99"/>
      <c r="V104" s="200"/>
      <c r="W104" s="306"/>
      <c r="X104" s="200"/>
      <c r="Y104" s="200"/>
      <c r="Z104" s="200"/>
      <c r="AA104" s="99"/>
      <c r="AB104" s="99"/>
      <c r="AC104" s="99"/>
      <c r="AD104" s="99"/>
      <c r="AE104" s="99"/>
      <c r="AF104" s="99"/>
      <c r="AG104" s="99"/>
      <c r="AH104" s="99"/>
      <c r="AI104" s="99"/>
      <c r="AJ104" s="99"/>
      <c r="AK104" s="99"/>
      <c r="AL104" s="99"/>
      <c r="AM104" s="99"/>
      <c r="AN104" s="99"/>
      <c r="AO104" s="99"/>
      <c r="AP104" s="99"/>
    </row>
    <row r="105" spans="2:42" ht="15" customHeight="1" x14ac:dyDescent="0.25">
      <c r="B105" s="276"/>
      <c r="C105" s="96"/>
      <c r="D105" s="97"/>
      <c r="E105" s="98"/>
      <c r="F105" s="99"/>
      <c r="G105" s="99"/>
      <c r="H105" s="99"/>
      <c r="I105" s="197"/>
      <c r="J105" s="99"/>
      <c r="K105" s="99"/>
      <c r="L105" s="131"/>
      <c r="M105" s="99"/>
      <c r="N105" s="99"/>
      <c r="P105" s="201" t="s">
        <v>134</v>
      </c>
      <c r="Q105" s="348" t="str">
        <f>IF(C4="oui","oui","non")</f>
        <v>non</v>
      </c>
      <c r="R105" s="145"/>
      <c r="S105" s="210"/>
      <c r="T105" s="227"/>
      <c r="U105" s="99"/>
      <c r="V105" s="200"/>
      <c r="W105" s="306"/>
      <c r="X105" s="200"/>
      <c r="Y105" s="200"/>
      <c r="Z105" s="200"/>
      <c r="AA105" s="99"/>
      <c r="AB105" s="99"/>
      <c r="AC105" s="99"/>
      <c r="AD105" s="99"/>
      <c r="AE105" s="99"/>
      <c r="AF105" s="99"/>
      <c r="AG105" s="99"/>
      <c r="AH105" s="99"/>
      <c r="AI105" s="99"/>
      <c r="AJ105" s="99"/>
      <c r="AK105" s="99"/>
      <c r="AL105" s="99"/>
      <c r="AM105" s="99"/>
      <c r="AN105" s="99"/>
      <c r="AO105" s="99"/>
      <c r="AP105" s="99"/>
    </row>
    <row r="106" spans="2:42" ht="15" customHeight="1" x14ac:dyDescent="0.25">
      <c r="B106" s="276"/>
      <c r="C106" s="96"/>
      <c r="D106" s="97"/>
      <c r="E106" s="98"/>
      <c r="F106" s="99"/>
      <c r="G106" s="99"/>
      <c r="H106" s="99"/>
      <c r="I106" s="197"/>
      <c r="J106" s="99"/>
      <c r="K106" s="99"/>
      <c r="L106" s="131"/>
      <c r="M106" s="99"/>
      <c r="N106" s="99"/>
      <c r="P106" s="204" t="s">
        <v>135</v>
      </c>
      <c r="Q106" s="228">
        <f>IF(Q105="oui",S14,0)</f>
        <v>0</v>
      </c>
      <c r="R106" s="146" t="s">
        <v>137</v>
      </c>
      <c r="S106" s="199">
        <f>(K12+K13+M13)</f>
        <v>0</v>
      </c>
      <c r="T106" s="206"/>
      <c r="U106" s="99"/>
      <c r="V106" s="200"/>
      <c r="W106" s="306"/>
      <c r="X106" s="200"/>
      <c r="Y106" s="200"/>
      <c r="Z106" s="200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  <c r="AK106" s="99"/>
      <c r="AL106" s="99"/>
      <c r="AM106" s="99"/>
      <c r="AN106" s="99"/>
      <c r="AO106" s="99"/>
      <c r="AP106" s="99"/>
    </row>
    <row r="107" spans="2:42" ht="15" customHeight="1" x14ac:dyDescent="0.25">
      <c r="B107" s="276"/>
      <c r="C107" s="96"/>
      <c r="D107" s="97"/>
      <c r="E107" s="98"/>
      <c r="F107" s="99"/>
      <c r="G107" s="99"/>
      <c r="H107" s="99"/>
      <c r="I107" s="197"/>
      <c r="J107" s="99"/>
      <c r="K107" s="99"/>
      <c r="L107" s="131"/>
      <c r="M107" s="99"/>
      <c r="N107" s="99"/>
      <c r="P107" s="204" t="s">
        <v>88</v>
      </c>
      <c r="Q107" s="299">
        <f>S106*Q106</f>
        <v>0</v>
      </c>
      <c r="R107" s="146"/>
      <c r="S107" s="245" t="s">
        <v>89</v>
      </c>
      <c r="T107" s="275">
        <f>Q107*60/100</f>
        <v>0</v>
      </c>
      <c r="U107" s="99"/>
      <c r="V107" s="200"/>
      <c r="W107" s="306"/>
      <c r="X107" s="200"/>
      <c r="Y107" s="200"/>
      <c r="Z107" s="200"/>
      <c r="AA107" s="99"/>
      <c r="AB107" s="99"/>
      <c r="AC107" s="99"/>
      <c r="AD107" s="99"/>
      <c r="AE107" s="99"/>
      <c r="AF107" s="99"/>
      <c r="AG107" s="99"/>
      <c r="AH107" s="99"/>
      <c r="AI107" s="99"/>
      <c r="AJ107" s="99"/>
      <c r="AK107" s="99"/>
      <c r="AL107" s="99"/>
      <c r="AM107" s="99"/>
      <c r="AN107" s="99"/>
      <c r="AO107" s="99"/>
      <c r="AP107" s="99"/>
    </row>
    <row r="108" spans="2:42" ht="15" customHeight="1" x14ac:dyDescent="0.25">
      <c r="B108" s="276"/>
      <c r="C108" s="96"/>
      <c r="D108" s="97"/>
      <c r="E108" s="98"/>
      <c r="F108" s="99"/>
      <c r="G108" s="99"/>
      <c r="H108" s="99"/>
      <c r="I108" s="197"/>
      <c r="J108" s="99"/>
      <c r="K108" s="99"/>
      <c r="L108" s="131"/>
      <c r="M108" s="99"/>
      <c r="N108" s="99"/>
      <c r="P108" s="204" t="s">
        <v>121</v>
      </c>
      <c r="Q108" s="247">
        <f>IF(Q105="oui",'commande papier'!P15,0)</f>
        <v>0</v>
      </c>
      <c r="R108" s="146" t="s">
        <v>180</v>
      </c>
      <c r="S108" s="199">
        <f>R13</f>
        <v>11000</v>
      </c>
      <c r="T108" s="206"/>
      <c r="U108" s="99"/>
      <c r="V108" s="200"/>
      <c r="W108" s="306"/>
      <c r="X108" s="200"/>
      <c r="Y108" s="200"/>
      <c r="Z108" s="200"/>
      <c r="AA108" s="99"/>
      <c r="AB108" s="99"/>
      <c r="AC108" s="99"/>
      <c r="AD108" s="99"/>
      <c r="AE108" s="99"/>
      <c r="AF108" s="99"/>
      <c r="AG108" s="99"/>
      <c r="AH108" s="99"/>
      <c r="AI108" s="99"/>
      <c r="AJ108" s="99"/>
      <c r="AK108" s="99"/>
      <c r="AL108" s="99"/>
      <c r="AM108" s="99"/>
      <c r="AN108" s="99"/>
      <c r="AO108" s="99"/>
      <c r="AP108" s="99"/>
    </row>
    <row r="109" spans="2:42" ht="15" customHeight="1" x14ac:dyDescent="0.25">
      <c r="B109" s="276"/>
      <c r="C109" s="96"/>
      <c r="D109" s="97"/>
      <c r="E109" s="98"/>
      <c r="F109" s="99"/>
      <c r="G109" s="99"/>
      <c r="H109" s="99"/>
      <c r="I109" s="197"/>
      <c r="J109" s="99"/>
      <c r="K109" s="99"/>
      <c r="L109" s="131"/>
      <c r="M109" s="99"/>
      <c r="N109" s="99"/>
      <c r="P109" s="207" t="s">
        <v>88</v>
      </c>
      <c r="Q109" s="242">
        <f>Q108/S108</f>
        <v>0</v>
      </c>
      <c r="R109" s="147"/>
      <c r="S109" s="226"/>
      <c r="T109" s="273">
        <f>Q109*60/100</f>
        <v>0</v>
      </c>
      <c r="U109" s="99"/>
      <c r="V109" s="200"/>
      <c r="W109" s="306"/>
      <c r="X109" s="200"/>
      <c r="Y109" s="200"/>
      <c r="Z109" s="200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  <c r="AK109" s="99"/>
      <c r="AL109" s="99"/>
      <c r="AM109" s="99"/>
      <c r="AN109" s="99"/>
      <c r="AO109" s="99"/>
      <c r="AP109" s="99"/>
    </row>
    <row r="110" spans="2:42" ht="15" customHeight="1" x14ac:dyDescent="0.25">
      <c r="B110" s="276"/>
      <c r="C110" s="96"/>
      <c r="D110" s="97"/>
      <c r="E110" s="98"/>
      <c r="F110" s="99"/>
      <c r="G110" s="99"/>
      <c r="H110" s="99"/>
      <c r="I110" s="197"/>
      <c r="J110" s="99"/>
      <c r="K110" s="99"/>
      <c r="L110" s="131"/>
      <c r="M110" s="99"/>
      <c r="N110" s="99"/>
      <c r="P110" s="207" t="s">
        <v>88</v>
      </c>
      <c r="Q110" s="262">
        <f>Q107+Q109</f>
        <v>0</v>
      </c>
      <c r="R110" s="147"/>
      <c r="S110" s="226" t="s">
        <v>89</v>
      </c>
      <c r="T110" s="272">
        <f>Q110/24</f>
        <v>0</v>
      </c>
      <c r="U110" s="99"/>
      <c r="V110" s="200"/>
      <c r="W110" s="306"/>
      <c r="X110" s="200"/>
      <c r="Y110" s="200"/>
      <c r="Z110" s="200"/>
      <c r="AA110" s="99"/>
      <c r="AB110" s="99"/>
      <c r="AC110" s="99"/>
      <c r="AD110" s="99"/>
      <c r="AE110" s="99"/>
      <c r="AF110" s="99"/>
      <c r="AG110" s="99"/>
      <c r="AH110" s="99"/>
      <c r="AI110" s="99"/>
      <c r="AJ110" s="99"/>
      <c r="AK110" s="99"/>
      <c r="AL110" s="99"/>
      <c r="AM110" s="99"/>
      <c r="AN110" s="99"/>
      <c r="AO110" s="99"/>
      <c r="AP110" s="99"/>
    </row>
    <row r="111" spans="2:42" ht="15" customHeight="1" x14ac:dyDescent="0.25">
      <c r="B111" s="276"/>
      <c r="C111" s="96"/>
      <c r="D111" s="97"/>
      <c r="E111" s="98"/>
      <c r="F111" s="99"/>
      <c r="G111" s="99"/>
      <c r="H111" s="99"/>
      <c r="I111" s="197"/>
      <c r="J111" s="99"/>
      <c r="K111" s="99"/>
      <c r="L111" s="131"/>
      <c r="M111" s="99"/>
      <c r="N111" s="99"/>
      <c r="P111" s="200"/>
      <c r="Q111" s="306"/>
      <c r="R111" s="200"/>
      <c r="S111" s="200"/>
      <c r="T111" s="200"/>
      <c r="U111" s="99"/>
      <c r="V111" s="200"/>
      <c r="W111" s="306"/>
      <c r="X111" s="200"/>
      <c r="Y111" s="200"/>
      <c r="Z111" s="200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  <c r="AN111" s="99"/>
      <c r="AO111" s="99"/>
      <c r="AP111" s="99"/>
    </row>
    <row r="112" spans="2:42" ht="15" customHeight="1" x14ac:dyDescent="0.25">
      <c r="B112" s="276"/>
      <c r="C112" s="96"/>
      <c r="D112" s="97"/>
      <c r="E112" s="98"/>
      <c r="F112" s="99"/>
      <c r="G112" s="99"/>
      <c r="H112" s="99"/>
      <c r="I112" s="197"/>
      <c r="J112" s="99"/>
      <c r="K112" s="99"/>
      <c r="L112" s="131"/>
      <c r="M112" s="99"/>
      <c r="N112" s="99"/>
      <c r="P112" s="201" t="s">
        <v>4</v>
      </c>
      <c r="Q112" s="348" t="str">
        <f>IF(Q17="oui","oui","non")</f>
        <v>oui</v>
      </c>
      <c r="R112" s="251"/>
      <c r="S112" s="245"/>
      <c r="T112" s="260"/>
      <c r="U112" s="99"/>
      <c r="V112" s="200"/>
      <c r="W112" s="306"/>
      <c r="X112" s="200"/>
      <c r="Y112" s="200"/>
      <c r="Z112" s="200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  <c r="AN112" s="99"/>
      <c r="AO112" s="99"/>
      <c r="AP112" s="99"/>
    </row>
    <row r="113" spans="2:42" ht="15" customHeight="1" x14ac:dyDescent="0.25">
      <c r="B113" s="276"/>
      <c r="C113" s="96"/>
      <c r="D113" s="97"/>
      <c r="E113" s="98"/>
      <c r="F113" s="99"/>
      <c r="G113" s="99"/>
      <c r="H113" s="99"/>
      <c r="I113" s="197"/>
      <c r="J113" s="99"/>
      <c r="K113" s="99"/>
      <c r="L113" s="131"/>
      <c r="M113" s="99"/>
      <c r="N113" s="99"/>
      <c r="P113" s="204" t="s">
        <v>154</v>
      </c>
      <c r="Q113" s="236">
        <f>IF(Q112="oui",C8,0)</f>
        <v>1</v>
      </c>
      <c r="R113" s="146" t="s">
        <v>146</v>
      </c>
      <c r="S113" s="250">
        <v>0.05</v>
      </c>
      <c r="T113" s="259"/>
      <c r="U113" s="99"/>
      <c r="V113" s="200"/>
      <c r="W113" s="306"/>
      <c r="X113" s="200"/>
      <c r="Y113" s="200"/>
      <c r="Z113" s="200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  <c r="AN113" s="99"/>
      <c r="AO113" s="99"/>
      <c r="AP113" s="99"/>
    </row>
    <row r="114" spans="2:42" ht="15" customHeight="1" x14ac:dyDescent="0.25">
      <c r="B114" s="276"/>
      <c r="C114" s="96"/>
      <c r="D114" s="97"/>
      <c r="E114" s="98"/>
      <c r="F114" s="99"/>
      <c r="G114" s="99"/>
      <c r="H114" s="99"/>
      <c r="I114" s="197"/>
      <c r="J114" s="99"/>
      <c r="K114" s="99"/>
      <c r="L114" s="131"/>
      <c r="M114" s="99"/>
      <c r="N114" s="99"/>
      <c r="P114" s="207" t="s">
        <v>88</v>
      </c>
      <c r="Q114" s="242">
        <f>Q113*S113</f>
        <v>0.05</v>
      </c>
      <c r="R114" s="147"/>
      <c r="S114" s="226" t="s">
        <v>89</v>
      </c>
      <c r="T114" s="273">
        <f>Q114*60/100</f>
        <v>0.03</v>
      </c>
      <c r="U114" s="99"/>
      <c r="V114" s="200"/>
      <c r="W114" s="306"/>
      <c r="X114" s="200"/>
      <c r="Y114" s="200"/>
      <c r="Z114" s="200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  <c r="AN114" s="99"/>
      <c r="AO114" s="99"/>
      <c r="AP114" s="99"/>
    </row>
    <row r="115" spans="2:42" ht="15" customHeight="1" x14ac:dyDescent="0.25">
      <c r="B115" s="276"/>
      <c r="C115" s="96"/>
      <c r="D115" s="97"/>
      <c r="E115" s="98"/>
      <c r="F115" s="99"/>
      <c r="G115" s="99"/>
      <c r="H115" s="99"/>
      <c r="I115" s="197"/>
      <c r="J115" s="99"/>
      <c r="K115" s="99"/>
      <c r="L115" s="131"/>
      <c r="M115" s="99"/>
      <c r="N115" s="99"/>
      <c r="P115" s="204" t="s">
        <v>156</v>
      </c>
      <c r="Q115" s="236">
        <f>IF(C4="non",'commande papier'!G8,'commande papier'!P8)</f>
        <v>0</v>
      </c>
      <c r="R115" s="146" t="s">
        <v>157</v>
      </c>
      <c r="S115" s="250">
        <f>R17</f>
        <v>3500</v>
      </c>
      <c r="T115" s="259"/>
      <c r="U115" s="99"/>
      <c r="V115" s="200"/>
      <c r="W115" s="306"/>
      <c r="X115" s="200"/>
      <c r="Y115" s="200"/>
      <c r="Z115" s="200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</row>
    <row r="116" spans="2:42" ht="15" customHeight="1" x14ac:dyDescent="0.25">
      <c r="B116" s="276"/>
      <c r="C116" s="96"/>
      <c r="D116" s="97"/>
      <c r="E116" s="98"/>
      <c r="F116" s="99"/>
      <c r="G116" s="99"/>
      <c r="H116" s="99"/>
      <c r="I116" s="197"/>
      <c r="J116" s="99"/>
      <c r="K116" s="99"/>
      <c r="L116" s="131"/>
      <c r="M116" s="99"/>
      <c r="N116" s="99"/>
      <c r="P116" s="207" t="s">
        <v>88</v>
      </c>
      <c r="Q116" s="242">
        <f>Q115/S115</f>
        <v>0</v>
      </c>
      <c r="R116" s="147"/>
      <c r="S116" s="226" t="s">
        <v>89</v>
      </c>
      <c r="T116" s="273">
        <f>Q116*60/100</f>
        <v>0</v>
      </c>
      <c r="U116" s="99"/>
      <c r="V116" s="200"/>
      <c r="W116" s="306"/>
      <c r="X116" s="200"/>
      <c r="Y116" s="200"/>
      <c r="Z116" s="200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  <c r="AN116" s="99"/>
      <c r="AO116" s="99"/>
      <c r="AP116" s="99"/>
    </row>
    <row r="117" spans="2:42" ht="15" customHeight="1" x14ac:dyDescent="0.25">
      <c r="B117" s="276"/>
      <c r="C117" s="96"/>
      <c r="D117" s="97"/>
      <c r="E117" s="98"/>
      <c r="F117" s="99"/>
      <c r="G117" s="99"/>
      <c r="H117" s="99"/>
      <c r="I117" s="197"/>
      <c r="J117" s="99"/>
      <c r="K117" s="99"/>
      <c r="L117" s="131"/>
      <c r="M117" s="99"/>
      <c r="N117" s="99"/>
      <c r="P117" s="207" t="s">
        <v>88</v>
      </c>
      <c r="Q117" s="262">
        <f>Q114+Q116</f>
        <v>0.05</v>
      </c>
      <c r="R117" s="147"/>
      <c r="S117" s="226" t="s">
        <v>89</v>
      </c>
      <c r="T117" s="272">
        <f>Q117*60/100</f>
        <v>0.03</v>
      </c>
      <c r="U117" s="99"/>
      <c r="V117" s="200"/>
      <c r="W117" s="306"/>
      <c r="X117" s="200"/>
      <c r="Y117" s="200"/>
      <c r="Z117" s="200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</row>
    <row r="118" spans="2:42" ht="15" customHeight="1" x14ac:dyDescent="0.25">
      <c r="B118" s="276"/>
      <c r="C118" s="96"/>
      <c r="D118" s="97"/>
      <c r="E118" s="98"/>
      <c r="F118" s="99"/>
      <c r="G118" s="99"/>
      <c r="H118" s="99"/>
      <c r="I118" s="197"/>
      <c r="J118" s="99"/>
      <c r="K118" s="99"/>
      <c r="L118" s="131"/>
      <c r="M118" s="99"/>
      <c r="N118" s="99"/>
      <c r="P118" s="200"/>
      <c r="Q118" s="306"/>
      <c r="R118" s="200"/>
      <c r="S118" s="200"/>
      <c r="T118" s="200"/>
      <c r="U118" s="99"/>
      <c r="V118" s="200"/>
      <c r="W118" s="306"/>
      <c r="X118" s="200"/>
      <c r="Y118" s="200"/>
      <c r="Z118" s="200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99"/>
    </row>
    <row r="119" spans="2:42" ht="15" customHeight="1" x14ac:dyDescent="0.25">
      <c r="B119" s="276"/>
      <c r="C119" s="96"/>
      <c r="D119" s="97"/>
      <c r="E119" s="98"/>
      <c r="F119" s="99"/>
      <c r="G119" s="99"/>
      <c r="H119" s="99"/>
      <c r="I119" s="197"/>
      <c r="J119" s="99"/>
      <c r="K119" s="99"/>
      <c r="L119" s="131"/>
      <c r="M119" s="99"/>
      <c r="N119" s="99"/>
      <c r="P119" s="201" t="s">
        <v>83</v>
      </c>
      <c r="Q119" s="348" t="str">
        <f>IF(Q24="oui","oui","non")</f>
        <v>oui</v>
      </c>
      <c r="R119" s="251" t="s">
        <v>147</v>
      </c>
      <c r="S119" s="210">
        <f>C5/Q120</f>
        <v>20</v>
      </c>
      <c r="T119" s="227"/>
      <c r="U119" s="99"/>
      <c r="V119" s="200"/>
      <c r="W119" s="306"/>
      <c r="X119" s="200"/>
      <c r="Y119" s="200"/>
      <c r="Z119" s="200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99"/>
      <c r="AO119" s="99"/>
      <c r="AP119" s="99"/>
    </row>
    <row r="120" spans="2:42" ht="15" customHeight="1" x14ac:dyDescent="0.25">
      <c r="B120" s="276"/>
      <c r="C120" s="96"/>
      <c r="D120" s="97"/>
      <c r="E120" s="98"/>
      <c r="F120" s="99"/>
      <c r="G120" s="99"/>
      <c r="H120" s="99"/>
      <c r="I120" s="197"/>
      <c r="J120" s="99"/>
      <c r="K120" s="99"/>
      <c r="L120" s="131"/>
      <c r="M120" s="99"/>
      <c r="N120" s="99"/>
      <c r="P120" s="204" t="s">
        <v>145</v>
      </c>
      <c r="Q120" s="236">
        <f>IF(Q24="oui",C22,0)</f>
        <v>500</v>
      </c>
      <c r="R120" s="146" t="s">
        <v>146</v>
      </c>
      <c r="S120" s="250">
        <v>0.02</v>
      </c>
      <c r="T120" s="206"/>
      <c r="U120" s="99"/>
      <c r="V120" s="200"/>
      <c r="W120" s="306"/>
      <c r="X120" s="200"/>
      <c r="Y120" s="200"/>
      <c r="Z120" s="200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</row>
    <row r="121" spans="2:42" ht="15" customHeight="1" x14ac:dyDescent="0.25">
      <c r="B121" s="276"/>
      <c r="C121" s="96"/>
      <c r="D121" s="97"/>
      <c r="E121" s="98"/>
      <c r="F121" s="99"/>
      <c r="G121" s="99"/>
      <c r="H121" s="99"/>
      <c r="I121" s="197"/>
      <c r="J121" s="99"/>
      <c r="K121" s="99"/>
      <c r="L121" s="131"/>
      <c r="M121" s="99"/>
      <c r="N121" s="99"/>
      <c r="P121" s="207" t="s">
        <v>88</v>
      </c>
      <c r="Q121" s="243">
        <f>S119*S120</f>
        <v>0.4</v>
      </c>
      <c r="R121" s="147"/>
      <c r="S121" s="226" t="s">
        <v>89</v>
      </c>
      <c r="T121" s="257">
        <f>Q121/24</f>
        <v>1.6666666666666666E-2</v>
      </c>
      <c r="U121" s="99"/>
      <c r="V121" s="200"/>
      <c r="W121" s="306"/>
      <c r="X121" s="200"/>
      <c r="Y121" s="200"/>
      <c r="Z121" s="200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</row>
    <row r="122" spans="2:42" ht="15" customHeight="1" x14ac:dyDescent="0.25">
      <c r="B122" s="276"/>
      <c r="C122" s="96"/>
      <c r="D122" s="97"/>
      <c r="E122" s="98"/>
      <c r="F122" s="99"/>
      <c r="G122" s="99"/>
      <c r="H122" s="99"/>
      <c r="I122" s="197"/>
      <c r="J122" s="99"/>
      <c r="K122" s="99"/>
      <c r="L122" s="131"/>
      <c r="M122" s="99"/>
      <c r="N122" s="99"/>
      <c r="P122" s="200"/>
      <c r="Q122" s="306"/>
      <c r="R122" s="200"/>
      <c r="S122" s="200"/>
      <c r="T122" s="200"/>
      <c r="U122" s="99"/>
      <c r="V122" s="200"/>
      <c r="W122" s="306"/>
      <c r="X122" s="200"/>
      <c r="Y122" s="200"/>
      <c r="Z122" s="200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</row>
    <row r="123" spans="2:42" ht="15" customHeight="1" x14ac:dyDescent="0.25">
      <c r="B123" s="276"/>
      <c r="C123" s="96"/>
      <c r="D123" s="97"/>
      <c r="E123" s="98"/>
      <c r="F123" s="99"/>
      <c r="G123" s="99"/>
      <c r="H123" s="99"/>
      <c r="I123" s="197"/>
      <c r="J123" s="99"/>
      <c r="K123" s="99"/>
      <c r="L123" s="131"/>
      <c r="M123" s="99"/>
      <c r="N123" s="99"/>
      <c r="P123" s="252" t="s">
        <v>88</v>
      </c>
      <c r="Q123" s="263">
        <f>Q30+Q34+Q38+Q71+Q81+Q92+Q103+Q110+Q117+W71+W81</f>
        <v>50</v>
      </c>
      <c r="R123" s="253"/>
      <c r="S123" s="226" t="s">
        <v>89</v>
      </c>
      <c r="T123" s="272">
        <f>Q123*60/100</f>
        <v>30</v>
      </c>
      <c r="U123" s="99"/>
      <c r="V123" s="200"/>
      <c r="W123" s="306"/>
      <c r="X123" s="200"/>
      <c r="Y123" s="200"/>
      <c r="Z123" s="200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  <c r="AN123" s="99"/>
      <c r="AO123" s="99"/>
      <c r="AP123" s="99"/>
    </row>
    <row r="124" spans="2:42" ht="15" customHeight="1" x14ac:dyDescent="0.25">
      <c r="B124" s="276"/>
      <c r="C124" s="96"/>
      <c r="D124" s="97"/>
      <c r="E124" s="98"/>
      <c r="F124" s="99"/>
      <c r="G124" s="99"/>
      <c r="H124" s="99"/>
      <c r="I124" s="197"/>
      <c r="J124" s="99"/>
      <c r="K124" s="99"/>
      <c r="L124" s="131"/>
      <c r="M124" s="99"/>
      <c r="N124" s="99"/>
      <c r="P124" s="200"/>
      <c r="Q124" s="306"/>
      <c r="R124" s="200"/>
      <c r="S124" s="200"/>
      <c r="T124" s="200"/>
      <c r="U124" s="99"/>
      <c r="V124" s="200"/>
      <c r="W124" s="306"/>
      <c r="X124" s="200"/>
      <c r="Y124" s="200"/>
      <c r="Z124" s="200"/>
      <c r="AA124" s="99"/>
      <c r="AB124" s="99"/>
      <c r="AC124" s="99"/>
      <c r="AD124" s="99"/>
      <c r="AE124" s="99"/>
      <c r="AF124" s="99"/>
      <c r="AG124" s="99"/>
      <c r="AH124" s="99"/>
      <c r="AI124" s="99"/>
      <c r="AJ124" s="99"/>
      <c r="AK124" s="99"/>
      <c r="AL124" s="99"/>
      <c r="AM124" s="99"/>
      <c r="AN124" s="99"/>
      <c r="AO124" s="99"/>
      <c r="AP124" s="99"/>
    </row>
    <row r="125" spans="2:42" ht="15" customHeight="1" x14ac:dyDescent="0.25">
      <c r="B125" s="276"/>
      <c r="C125" s="96"/>
      <c r="D125" s="97"/>
      <c r="E125" s="98"/>
      <c r="F125" s="99"/>
      <c r="G125" s="99"/>
      <c r="H125" s="99"/>
      <c r="I125" s="197"/>
      <c r="J125" s="99"/>
      <c r="K125" s="99"/>
      <c r="L125" s="131"/>
      <c r="M125" s="99"/>
      <c r="N125" s="99"/>
      <c r="P125" s="200"/>
      <c r="Q125" s="306"/>
      <c r="R125" s="200"/>
      <c r="S125" s="200"/>
      <c r="T125" s="200"/>
      <c r="U125" s="99"/>
      <c r="V125" s="200"/>
      <c r="W125" s="306"/>
      <c r="X125" s="200"/>
      <c r="Y125" s="200"/>
      <c r="Z125" s="200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99"/>
      <c r="AL125" s="99"/>
      <c r="AM125" s="99"/>
      <c r="AN125" s="99"/>
      <c r="AO125" s="99"/>
      <c r="AP125" s="99"/>
    </row>
    <row r="126" spans="2:42" ht="15" customHeight="1" x14ac:dyDescent="0.25">
      <c r="B126" s="276"/>
      <c r="C126" s="96"/>
      <c r="D126" s="97"/>
      <c r="E126" s="98"/>
      <c r="F126" s="99"/>
      <c r="G126" s="99"/>
      <c r="H126" s="99"/>
      <c r="I126" s="197"/>
      <c r="J126" s="99"/>
      <c r="K126" s="99"/>
      <c r="L126" s="131"/>
      <c r="M126" s="99"/>
      <c r="N126" s="99"/>
      <c r="P126" s="306"/>
      <c r="Q126" s="200"/>
      <c r="R126" s="200"/>
      <c r="S126" s="200"/>
      <c r="T126" s="99"/>
      <c r="U126" s="200"/>
      <c r="V126" s="306"/>
      <c r="W126" s="200"/>
      <c r="X126" s="200"/>
      <c r="Y126" s="200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  <c r="AN126" s="99"/>
      <c r="AO126" s="99"/>
      <c r="AP126" s="99"/>
    </row>
    <row r="127" spans="2:42" ht="15" customHeight="1" x14ac:dyDescent="0.25">
      <c r="B127" s="276"/>
      <c r="C127" s="96"/>
      <c r="D127" s="97"/>
      <c r="E127" s="98"/>
      <c r="F127" s="99"/>
      <c r="G127" s="99"/>
      <c r="H127" s="99"/>
      <c r="I127" s="197"/>
      <c r="J127" s="99"/>
      <c r="K127" s="99"/>
      <c r="L127" s="131"/>
      <c r="M127" s="99"/>
      <c r="N127" s="99"/>
      <c r="P127" s="306"/>
      <c r="Q127" s="200"/>
      <c r="R127" s="200"/>
      <c r="S127" s="200"/>
      <c r="T127" s="99"/>
      <c r="U127" s="200"/>
      <c r="V127" s="306"/>
      <c r="W127" s="200"/>
      <c r="X127" s="200"/>
      <c r="Y127" s="200"/>
      <c r="Z127" s="99"/>
      <c r="AA127" s="99"/>
      <c r="AB127" s="99"/>
      <c r="AC127" s="99"/>
      <c r="AD127" s="99"/>
      <c r="AE127" s="99"/>
      <c r="AF127" s="99"/>
      <c r="AG127" s="99"/>
      <c r="AH127" s="99"/>
      <c r="AI127" s="99"/>
      <c r="AJ127" s="99"/>
      <c r="AK127" s="99"/>
      <c r="AL127" s="99"/>
      <c r="AM127" s="99"/>
      <c r="AN127" s="99"/>
      <c r="AO127" s="99"/>
      <c r="AP127" s="99"/>
    </row>
    <row r="128" spans="2:42" ht="15" customHeight="1" x14ac:dyDescent="0.25">
      <c r="B128" s="276"/>
      <c r="C128" s="96"/>
      <c r="D128" s="97"/>
      <c r="E128" s="98"/>
      <c r="F128" s="99"/>
      <c r="G128" s="99"/>
      <c r="H128" s="99"/>
      <c r="I128" s="197"/>
      <c r="J128" s="99"/>
      <c r="K128" s="99"/>
      <c r="L128" s="131"/>
      <c r="M128" s="99"/>
      <c r="N128" s="99"/>
      <c r="P128" s="306"/>
      <c r="Q128" s="200"/>
      <c r="R128" s="200"/>
      <c r="S128" s="200"/>
      <c r="T128" s="99"/>
      <c r="U128" s="200"/>
      <c r="V128" s="306"/>
      <c r="W128" s="200"/>
      <c r="X128" s="200"/>
      <c r="Y128" s="200"/>
      <c r="Z128" s="99"/>
      <c r="AA128" s="99"/>
      <c r="AB128" s="99"/>
      <c r="AC128" s="99"/>
      <c r="AD128" s="99"/>
      <c r="AE128" s="99"/>
      <c r="AF128" s="99"/>
      <c r="AG128" s="99"/>
      <c r="AH128" s="99"/>
      <c r="AI128" s="99"/>
      <c r="AJ128" s="99"/>
      <c r="AK128" s="99"/>
      <c r="AL128" s="99"/>
      <c r="AM128" s="99"/>
      <c r="AN128" s="99"/>
      <c r="AO128" s="99"/>
      <c r="AP128" s="99"/>
    </row>
    <row r="129" spans="2:42" ht="15" customHeight="1" x14ac:dyDescent="0.25">
      <c r="B129" s="276"/>
      <c r="C129" s="96"/>
      <c r="D129" s="97"/>
      <c r="E129" s="98"/>
      <c r="F129" s="99"/>
      <c r="G129" s="99"/>
      <c r="H129" s="99"/>
      <c r="I129" s="197"/>
      <c r="J129" s="99"/>
      <c r="K129" s="99"/>
      <c r="L129" s="131"/>
      <c r="M129" s="99"/>
      <c r="N129" s="99"/>
      <c r="P129" s="306"/>
      <c r="Q129" s="200"/>
      <c r="R129" s="200"/>
      <c r="S129" s="200"/>
      <c r="T129" s="99"/>
      <c r="U129" s="200"/>
      <c r="V129" s="306"/>
      <c r="W129" s="200"/>
      <c r="X129" s="200"/>
      <c r="Y129" s="200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99"/>
      <c r="AL129" s="99"/>
      <c r="AM129" s="99"/>
      <c r="AN129" s="99"/>
      <c r="AO129" s="99"/>
      <c r="AP129" s="99"/>
    </row>
    <row r="130" spans="2:42" ht="15" customHeight="1" x14ac:dyDescent="0.25">
      <c r="B130" s="276"/>
      <c r="C130" s="96"/>
      <c r="D130" s="97"/>
      <c r="E130" s="98"/>
      <c r="F130" s="99"/>
      <c r="G130" s="99"/>
      <c r="H130" s="99"/>
      <c r="I130" s="197"/>
      <c r="J130" s="99"/>
      <c r="K130" s="99"/>
      <c r="L130" s="131"/>
      <c r="M130" s="99"/>
      <c r="N130" s="99"/>
      <c r="P130" s="306"/>
      <c r="Q130" s="200"/>
      <c r="R130" s="200"/>
      <c r="S130" s="200"/>
      <c r="T130" s="99"/>
      <c r="U130" s="200"/>
      <c r="V130" s="306"/>
      <c r="W130" s="200"/>
      <c r="X130" s="200"/>
      <c r="Y130" s="200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  <c r="AN130" s="99"/>
      <c r="AO130" s="99"/>
      <c r="AP130" s="99"/>
    </row>
    <row r="131" spans="2:42" ht="15" customHeight="1" x14ac:dyDescent="0.25">
      <c r="B131" s="276"/>
      <c r="C131" s="96"/>
      <c r="D131" s="97"/>
      <c r="E131" s="98"/>
      <c r="F131" s="99"/>
      <c r="G131" s="99"/>
      <c r="H131" s="99"/>
      <c r="I131" s="197"/>
      <c r="J131" s="99"/>
      <c r="K131" s="99"/>
      <c r="L131" s="131"/>
      <c r="M131" s="99"/>
      <c r="N131" s="99"/>
      <c r="P131" s="306"/>
      <c r="Q131" s="200"/>
      <c r="R131" s="200"/>
      <c r="S131" s="200"/>
      <c r="T131" s="99"/>
      <c r="U131" s="200"/>
      <c r="V131" s="306"/>
      <c r="W131" s="200"/>
      <c r="X131" s="200"/>
      <c r="Y131" s="200"/>
      <c r="Z131" s="99"/>
      <c r="AA131" s="99"/>
      <c r="AB131" s="99"/>
      <c r="AC131" s="99"/>
      <c r="AD131" s="99"/>
      <c r="AE131" s="99"/>
      <c r="AF131" s="99"/>
      <c r="AG131" s="99"/>
      <c r="AH131" s="99"/>
      <c r="AI131" s="99"/>
      <c r="AJ131" s="99"/>
      <c r="AK131" s="99"/>
      <c r="AL131" s="99"/>
      <c r="AM131" s="99"/>
      <c r="AN131" s="99"/>
      <c r="AO131" s="99"/>
      <c r="AP131" s="99"/>
    </row>
    <row r="132" spans="2:42" ht="15" customHeight="1" x14ac:dyDescent="0.25">
      <c r="B132" s="276"/>
      <c r="C132" s="96"/>
      <c r="D132" s="97"/>
      <c r="E132" s="98"/>
      <c r="F132" s="99"/>
      <c r="G132" s="99"/>
      <c r="H132" s="99"/>
      <c r="I132" s="197"/>
      <c r="J132" s="99"/>
      <c r="K132" s="99"/>
      <c r="L132" s="131"/>
      <c r="M132" s="99"/>
      <c r="N132" s="99"/>
      <c r="P132" s="306"/>
      <c r="Q132" s="200"/>
      <c r="R132" s="200"/>
      <c r="S132" s="200"/>
      <c r="T132" s="99"/>
      <c r="U132" s="200"/>
      <c r="V132" s="306"/>
      <c r="W132" s="200"/>
      <c r="X132" s="200"/>
      <c r="Y132" s="200"/>
      <c r="Z132" s="99"/>
      <c r="AA132" s="99"/>
      <c r="AB132" s="99"/>
      <c r="AC132" s="99"/>
      <c r="AD132" s="99"/>
      <c r="AE132" s="99"/>
      <c r="AF132" s="99"/>
      <c r="AG132" s="99"/>
      <c r="AH132" s="99"/>
      <c r="AI132" s="99"/>
      <c r="AJ132" s="99"/>
      <c r="AK132" s="99"/>
      <c r="AL132" s="99"/>
      <c r="AM132" s="99"/>
      <c r="AN132" s="99"/>
      <c r="AO132" s="99"/>
      <c r="AP132" s="99"/>
    </row>
    <row r="133" spans="2:42" ht="15" customHeight="1" x14ac:dyDescent="0.25">
      <c r="B133" s="276"/>
      <c r="C133" s="96"/>
      <c r="D133" s="97"/>
      <c r="E133" s="98"/>
      <c r="F133" s="99"/>
      <c r="G133" s="99"/>
      <c r="H133" s="99"/>
      <c r="I133" s="197"/>
      <c r="J133" s="99"/>
      <c r="K133" s="99"/>
      <c r="L133" s="131"/>
      <c r="M133" s="99"/>
      <c r="N133" s="99"/>
      <c r="P133" s="306"/>
      <c r="Q133" s="200"/>
      <c r="R133" s="200"/>
      <c r="S133" s="200"/>
      <c r="T133" s="99"/>
      <c r="U133" s="200"/>
      <c r="V133" s="306"/>
      <c r="W133" s="200"/>
      <c r="X133" s="200"/>
      <c r="Y133" s="200"/>
      <c r="Z133" s="99"/>
      <c r="AA133" s="99"/>
      <c r="AB133" s="99"/>
      <c r="AC133" s="99"/>
      <c r="AD133" s="99"/>
      <c r="AE133" s="99"/>
      <c r="AF133" s="99"/>
      <c r="AG133" s="99"/>
      <c r="AH133" s="99"/>
      <c r="AI133" s="99"/>
      <c r="AJ133" s="99"/>
      <c r="AK133" s="99"/>
      <c r="AL133" s="99"/>
      <c r="AM133" s="99"/>
      <c r="AN133" s="99"/>
      <c r="AO133" s="99"/>
      <c r="AP133" s="99"/>
    </row>
    <row r="134" spans="2:42" ht="15" customHeight="1" x14ac:dyDescent="0.25">
      <c r="B134" s="276"/>
      <c r="C134" s="96"/>
      <c r="D134" s="97"/>
      <c r="E134" s="98"/>
      <c r="F134" s="99"/>
      <c r="G134" s="99"/>
      <c r="H134" s="99"/>
      <c r="I134" s="197"/>
      <c r="J134" s="99"/>
      <c r="K134" s="99"/>
      <c r="L134" s="131"/>
      <c r="M134" s="99"/>
      <c r="N134" s="99"/>
      <c r="P134" s="306"/>
      <c r="Q134" s="200"/>
      <c r="R134" s="200"/>
      <c r="S134" s="200"/>
      <c r="T134" s="99"/>
      <c r="U134" s="200"/>
      <c r="V134" s="306"/>
      <c r="W134" s="200"/>
      <c r="X134" s="200"/>
      <c r="Y134" s="200"/>
      <c r="Z134" s="99"/>
      <c r="AA134" s="99"/>
      <c r="AB134" s="99"/>
      <c r="AC134" s="99"/>
      <c r="AD134" s="99"/>
      <c r="AE134" s="99"/>
      <c r="AF134" s="99"/>
      <c r="AG134" s="99"/>
      <c r="AH134" s="99"/>
      <c r="AI134" s="99"/>
      <c r="AJ134" s="99"/>
      <c r="AK134" s="99"/>
      <c r="AL134" s="99"/>
      <c r="AM134" s="99"/>
      <c r="AN134" s="99"/>
      <c r="AO134" s="99"/>
      <c r="AP134" s="99"/>
    </row>
    <row r="135" spans="2:42" ht="15" customHeight="1" x14ac:dyDescent="0.25">
      <c r="B135" s="276"/>
      <c r="C135" s="96"/>
      <c r="D135" s="97"/>
      <c r="E135" s="98"/>
      <c r="F135" s="99"/>
      <c r="G135" s="99"/>
      <c r="H135" s="99"/>
      <c r="I135" s="197"/>
      <c r="J135" s="99"/>
      <c r="K135" s="99"/>
      <c r="L135" s="131"/>
      <c r="M135" s="99"/>
      <c r="N135" s="99"/>
      <c r="P135" s="306"/>
      <c r="Q135" s="200"/>
      <c r="R135" s="200"/>
      <c r="S135" s="200"/>
      <c r="T135" s="99"/>
      <c r="U135" s="200"/>
      <c r="V135" s="306"/>
      <c r="W135" s="200"/>
      <c r="X135" s="200"/>
      <c r="Y135" s="200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9"/>
      <c r="AN135" s="99"/>
      <c r="AO135" s="99"/>
      <c r="AP135" s="99"/>
    </row>
    <row r="136" spans="2:42" ht="15" customHeight="1" x14ac:dyDescent="0.25">
      <c r="B136" s="276"/>
      <c r="C136" s="96"/>
      <c r="D136" s="97"/>
      <c r="E136" s="98"/>
      <c r="F136" s="99"/>
      <c r="G136" s="99"/>
      <c r="H136" s="99"/>
      <c r="I136" s="197"/>
      <c r="J136" s="99"/>
      <c r="K136" s="99"/>
      <c r="L136" s="131"/>
      <c r="M136" s="99"/>
      <c r="N136" s="99"/>
      <c r="P136" s="306"/>
      <c r="Q136" s="200"/>
      <c r="R136" s="200"/>
      <c r="S136" s="200"/>
      <c r="T136" s="99"/>
      <c r="U136" s="200"/>
      <c r="V136" s="306"/>
      <c r="W136" s="200"/>
      <c r="X136" s="200"/>
      <c r="Y136" s="200"/>
      <c r="Z136" s="99"/>
      <c r="AA136" s="99"/>
      <c r="AB136" s="99"/>
      <c r="AC136" s="99"/>
      <c r="AD136" s="99"/>
      <c r="AE136" s="99"/>
      <c r="AF136" s="99"/>
      <c r="AG136" s="99"/>
      <c r="AH136" s="99"/>
      <c r="AI136" s="99"/>
      <c r="AJ136" s="99"/>
      <c r="AK136" s="99"/>
      <c r="AL136" s="99"/>
      <c r="AM136" s="99"/>
      <c r="AN136" s="99"/>
      <c r="AO136" s="99"/>
      <c r="AP136" s="99"/>
    </row>
    <row r="137" spans="2:42" ht="15" customHeight="1" x14ac:dyDescent="0.25">
      <c r="B137" s="276"/>
      <c r="C137" s="96"/>
      <c r="D137" s="97"/>
      <c r="E137" s="98"/>
      <c r="F137" s="99"/>
      <c r="G137" s="99"/>
      <c r="H137" s="99"/>
      <c r="I137" s="197"/>
      <c r="J137" s="99"/>
      <c r="K137" s="99"/>
      <c r="L137" s="131"/>
      <c r="M137" s="99"/>
      <c r="N137" s="99"/>
      <c r="P137" s="306"/>
      <c r="Q137" s="200"/>
      <c r="R137" s="200"/>
      <c r="S137" s="200"/>
      <c r="T137" s="99"/>
      <c r="U137" s="200"/>
      <c r="V137" s="306"/>
      <c r="W137" s="200"/>
      <c r="X137" s="200"/>
      <c r="Y137" s="200"/>
      <c r="Z137" s="99"/>
      <c r="AA137" s="99"/>
      <c r="AB137" s="99"/>
      <c r="AC137" s="99"/>
      <c r="AD137" s="99"/>
      <c r="AE137" s="99"/>
      <c r="AF137" s="99"/>
      <c r="AG137" s="99"/>
      <c r="AH137" s="99"/>
      <c r="AI137" s="99"/>
      <c r="AJ137" s="99"/>
      <c r="AK137" s="99"/>
      <c r="AL137" s="99"/>
      <c r="AM137" s="99"/>
      <c r="AN137" s="99"/>
      <c r="AO137" s="99"/>
      <c r="AP137" s="99"/>
    </row>
    <row r="138" spans="2:42" ht="15" customHeight="1" x14ac:dyDescent="0.25">
      <c r="B138" s="276"/>
      <c r="C138" s="96"/>
      <c r="D138" s="97"/>
      <c r="E138" s="98"/>
      <c r="F138" s="99"/>
      <c r="G138" s="99"/>
      <c r="H138" s="99"/>
      <c r="I138" s="197"/>
      <c r="J138" s="99"/>
      <c r="K138" s="99"/>
      <c r="L138" s="131"/>
      <c r="M138" s="99"/>
      <c r="N138" s="99"/>
      <c r="P138" s="306"/>
      <c r="Q138" s="200"/>
      <c r="R138" s="200"/>
      <c r="S138" s="200"/>
      <c r="T138" s="99"/>
      <c r="U138" s="200"/>
      <c r="V138" s="306"/>
      <c r="W138" s="200"/>
      <c r="X138" s="200"/>
      <c r="Y138" s="200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99"/>
      <c r="AL138" s="99"/>
      <c r="AM138" s="99"/>
      <c r="AN138" s="99"/>
      <c r="AO138" s="99"/>
      <c r="AP138" s="99"/>
    </row>
    <row r="139" spans="2:42" ht="15" customHeight="1" x14ac:dyDescent="0.25">
      <c r="B139" s="276"/>
      <c r="C139" s="96"/>
      <c r="D139" s="97"/>
      <c r="E139" s="98"/>
      <c r="F139" s="99"/>
      <c r="G139" s="99"/>
      <c r="H139" s="99"/>
      <c r="I139" s="197"/>
      <c r="J139" s="99"/>
      <c r="K139" s="99"/>
      <c r="L139" s="131"/>
      <c r="M139" s="99"/>
      <c r="N139" s="99"/>
      <c r="P139" s="306"/>
      <c r="Q139" s="200"/>
      <c r="R139" s="200"/>
      <c r="S139" s="200"/>
      <c r="T139" s="99"/>
      <c r="U139" s="200"/>
      <c r="V139" s="306"/>
      <c r="W139" s="200"/>
      <c r="X139" s="200"/>
      <c r="Y139" s="200"/>
      <c r="Z139" s="99"/>
      <c r="AA139" s="99"/>
      <c r="AB139" s="99"/>
      <c r="AC139" s="99"/>
      <c r="AD139" s="99"/>
      <c r="AE139" s="99"/>
      <c r="AF139" s="99"/>
      <c r="AG139" s="99"/>
      <c r="AH139" s="99"/>
      <c r="AI139" s="99"/>
      <c r="AJ139" s="99"/>
      <c r="AK139" s="99"/>
      <c r="AL139" s="99"/>
      <c r="AM139" s="99"/>
      <c r="AN139" s="99"/>
      <c r="AO139" s="99"/>
      <c r="AP139" s="99"/>
    </row>
    <row r="140" spans="2:42" ht="15" customHeight="1" x14ac:dyDescent="0.25">
      <c r="B140" s="276"/>
      <c r="C140" s="96"/>
      <c r="D140" s="97"/>
      <c r="E140" s="98"/>
      <c r="F140" s="99"/>
      <c r="G140" s="99"/>
      <c r="H140" s="99"/>
      <c r="I140" s="197"/>
      <c r="J140" s="99"/>
      <c r="K140" s="99"/>
      <c r="L140" s="131"/>
      <c r="M140" s="99"/>
      <c r="N140" s="99"/>
      <c r="P140" s="306"/>
      <c r="Q140" s="200"/>
      <c r="R140" s="200"/>
      <c r="S140" s="200"/>
      <c r="T140" s="99"/>
      <c r="U140" s="200"/>
      <c r="V140" s="306"/>
      <c r="W140" s="200"/>
      <c r="X140" s="200"/>
      <c r="Y140" s="200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99"/>
      <c r="AK140" s="99"/>
      <c r="AL140" s="99"/>
      <c r="AM140" s="99"/>
      <c r="AN140" s="99"/>
      <c r="AO140" s="99"/>
      <c r="AP140" s="99"/>
    </row>
    <row r="141" spans="2:42" ht="15" customHeight="1" x14ac:dyDescent="0.25">
      <c r="B141" s="276"/>
      <c r="C141" s="96"/>
      <c r="D141" s="97"/>
      <c r="E141" s="98"/>
      <c r="F141" s="99"/>
      <c r="G141" s="99"/>
      <c r="H141" s="99"/>
      <c r="I141" s="197"/>
      <c r="J141" s="99"/>
      <c r="K141" s="99"/>
      <c r="L141" s="131"/>
      <c r="M141" s="99"/>
      <c r="N141" s="99"/>
      <c r="P141" s="306"/>
      <c r="Q141" s="200"/>
      <c r="R141" s="200"/>
      <c r="S141" s="200"/>
      <c r="T141" s="99"/>
      <c r="U141" s="200"/>
      <c r="V141" s="306"/>
      <c r="W141" s="200"/>
      <c r="X141" s="200"/>
      <c r="Y141" s="200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99"/>
      <c r="AK141" s="99"/>
      <c r="AL141" s="99"/>
      <c r="AM141" s="99"/>
      <c r="AN141" s="99"/>
      <c r="AO141" s="99"/>
      <c r="AP141" s="99"/>
    </row>
    <row r="142" spans="2:42" ht="15" customHeight="1" x14ac:dyDescent="0.25">
      <c r="B142" s="276"/>
      <c r="C142" s="96"/>
      <c r="D142" s="97"/>
      <c r="E142" s="98"/>
      <c r="F142" s="99"/>
      <c r="G142" s="99"/>
      <c r="H142" s="99"/>
      <c r="I142" s="197"/>
      <c r="J142" s="99"/>
      <c r="K142" s="99"/>
      <c r="L142" s="131"/>
      <c r="M142" s="99"/>
      <c r="N142" s="99"/>
      <c r="P142" s="306"/>
      <c r="Q142" s="200"/>
      <c r="R142" s="200"/>
      <c r="S142" s="200"/>
      <c r="T142" s="99"/>
      <c r="U142" s="200"/>
      <c r="V142" s="306"/>
      <c r="W142" s="200"/>
      <c r="X142" s="200"/>
      <c r="Y142" s="200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99"/>
      <c r="AK142" s="99"/>
      <c r="AL142" s="99"/>
      <c r="AM142" s="99"/>
      <c r="AN142" s="99"/>
      <c r="AO142" s="99"/>
      <c r="AP142" s="99"/>
    </row>
    <row r="143" spans="2:42" ht="15" customHeight="1" x14ac:dyDescent="0.25">
      <c r="B143" s="276"/>
      <c r="C143" s="96"/>
      <c r="D143" s="97"/>
      <c r="E143" s="98"/>
      <c r="F143" s="99"/>
      <c r="G143" s="99"/>
      <c r="H143" s="99"/>
      <c r="I143" s="197"/>
      <c r="J143" s="99"/>
      <c r="K143" s="99"/>
      <c r="L143" s="131"/>
      <c r="M143" s="99"/>
      <c r="N143" s="99"/>
      <c r="P143" s="306"/>
      <c r="Q143" s="200"/>
      <c r="R143" s="200"/>
      <c r="S143" s="200"/>
      <c r="T143" s="99"/>
      <c r="U143" s="200"/>
      <c r="V143" s="306"/>
      <c r="W143" s="200"/>
      <c r="X143" s="200"/>
      <c r="Y143" s="200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99"/>
      <c r="AK143" s="99"/>
      <c r="AL143" s="99"/>
      <c r="AM143" s="99"/>
      <c r="AN143" s="99"/>
      <c r="AO143" s="99"/>
      <c r="AP143" s="99"/>
    </row>
    <row r="144" spans="2:42" ht="15" customHeight="1" x14ac:dyDescent="0.25">
      <c r="B144" s="276"/>
      <c r="C144" s="96"/>
      <c r="D144" s="97"/>
      <c r="E144" s="98"/>
      <c r="F144" s="99"/>
      <c r="G144" s="99"/>
      <c r="H144" s="99"/>
      <c r="I144" s="197"/>
      <c r="J144" s="99"/>
      <c r="K144" s="99"/>
      <c r="L144" s="131"/>
      <c r="M144" s="99"/>
      <c r="N144" s="99"/>
      <c r="P144" s="306"/>
      <c r="Q144" s="200"/>
      <c r="R144" s="200"/>
      <c r="S144" s="200"/>
      <c r="T144" s="99"/>
      <c r="U144" s="200"/>
      <c r="V144" s="306"/>
      <c r="W144" s="200"/>
      <c r="X144" s="200"/>
      <c r="Y144" s="200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  <c r="AN144" s="99"/>
      <c r="AO144" s="99"/>
      <c r="AP144" s="99"/>
    </row>
    <row r="145" spans="2:42" ht="15" customHeight="1" x14ac:dyDescent="0.25">
      <c r="B145" s="276"/>
      <c r="C145" s="96"/>
      <c r="D145" s="97"/>
      <c r="E145" s="98"/>
      <c r="F145" s="99"/>
      <c r="G145" s="99"/>
      <c r="H145" s="99"/>
      <c r="I145" s="197"/>
      <c r="J145" s="99"/>
      <c r="K145" s="99"/>
      <c r="L145" s="131"/>
      <c r="M145" s="99"/>
      <c r="N145" s="99"/>
      <c r="P145" s="306"/>
      <c r="Q145" s="200"/>
      <c r="R145" s="200"/>
      <c r="S145" s="200"/>
      <c r="T145" s="99"/>
      <c r="U145" s="200"/>
      <c r="V145" s="306"/>
      <c r="W145" s="200"/>
      <c r="X145" s="200"/>
      <c r="Y145" s="200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</row>
    <row r="146" spans="2:42" ht="15" customHeight="1" x14ac:dyDescent="0.25">
      <c r="B146" s="276"/>
      <c r="C146" s="96"/>
      <c r="D146" s="97"/>
      <c r="E146" s="98"/>
      <c r="F146" s="99"/>
      <c r="G146" s="99"/>
      <c r="H146" s="99"/>
      <c r="I146" s="197"/>
      <c r="J146" s="99"/>
      <c r="K146" s="99"/>
      <c r="L146" s="131"/>
      <c r="M146" s="99"/>
      <c r="N146" s="99"/>
      <c r="P146" s="306"/>
      <c r="Q146" s="200"/>
      <c r="R146" s="200"/>
      <c r="S146" s="200"/>
      <c r="T146" s="99"/>
      <c r="U146" s="200"/>
      <c r="V146" s="306"/>
      <c r="W146" s="200"/>
      <c r="X146" s="200"/>
      <c r="Y146" s="200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</row>
    <row r="147" spans="2:42" ht="15" customHeight="1" x14ac:dyDescent="0.25">
      <c r="B147" s="276"/>
      <c r="C147" s="96"/>
      <c r="D147" s="97"/>
      <c r="E147" s="98"/>
      <c r="F147" s="99"/>
      <c r="G147" s="99"/>
      <c r="H147" s="99"/>
      <c r="I147" s="197"/>
      <c r="J147" s="99"/>
      <c r="K147" s="99"/>
      <c r="L147" s="131"/>
      <c r="M147" s="99"/>
      <c r="N147" s="99"/>
      <c r="P147" s="306"/>
      <c r="Q147" s="200"/>
      <c r="R147" s="200"/>
      <c r="S147" s="200"/>
      <c r="T147" s="99"/>
      <c r="U147" s="200"/>
      <c r="V147" s="306"/>
      <c r="W147" s="200"/>
      <c r="X147" s="200"/>
      <c r="Y147" s="200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</row>
    <row r="148" spans="2:42" ht="15" customHeight="1" x14ac:dyDescent="0.25">
      <c r="B148" s="276"/>
      <c r="C148" s="96"/>
      <c r="D148" s="97"/>
      <c r="E148" s="98"/>
      <c r="F148" s="99"/>
      <c r="G148" s="99"/>
      <c r="H148" s="99"/>
      <c r="I148" s="197"/>
      <c r="J148" s="99"/>
      <c r="K148" s="99"/>
      <c r="L148" s="131"/>
      <c r="M148" s="99"/>
      <c r="N148" s="99"/>
      <c r="P148" s="306"/>
      <c r="Q148" s="200"/>
      <c r="R148" s="200"/>
      <c r="S148" s="200"/>
      <c r="T148" s="99"/>
      <c r="U148" s="200"/>
      <c r="V148" s="306"/>
      <c r="W148" s="200"/>
      <c r="X148" s="200"/>
      <c r="Y148" s="200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/>
      <c r="AM148" s="99"/>
      <c r="AN148" s="99"/>
      <c r="AO148" s="99"/>
      <c r="AP148" s="99"/>
    </row>
    <row r="149" spans="2:42" ht="15" customHeight="1" x14ac:dyDescent="0.25">
      <c r="B149" s="276"/>
      <c r="C149" s="96"/>
      <c r="D149" s="97"/>
      <c r="E149" s="98"/>
      <c r="F149" s="99"/>
      <c r="G149" s="99"/>
      <c r="H149" s="99"/>
      <c r="I149" s="197"/>
      <c r="J149" s="99"/>
      <c r="K149" s="99"/>
      <c r="L149" s="131"/>
      <c r="M149" s="99"/>
      <c r="N149" s="99"/>
      <c r="P149" s="306"/>
      <c r="Q149" s="200"/>
      <c r="R149" s="200"/>
      <c r="S149" s="200"/>
      <c r="T149" s="99"/>
      <c r="U149" s="200"/>
      <c r="V149" s="306"/>
      <c r="W149" s="200"/>
      <c r="X149" s="200"/>
      <c r="Y149" s="200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99"/>
      <c r="AP149" s="99"/>
    </row>
    <row r="150" spans="2:42" ht="15" customHeight="1" x14ac:dyDescent="0.25">
      <c r="B150" s="276"/>
      <c r="C150" s="96"/>
      <c r="D150" s="97"/>
      <c r="E150" s="98"/>
      <c r="F150" s="99"/>
      <c r="G150" s="99"/>
      <c r="H150" s="99"/>
      <c r="I150" s="197"/>
      <c r="J150" s="99"/>
      <c r="K150" s="99"/>
      <c r="L150" s="131"/>
      <c r="M150" s="99"/>
      <c r="N150" s="99"/>
      <c r="P150" s="306"/>
      <c r="Q150" s="200"/>
      <c r="R150" s="200"/>
      <c r="S150" s="200"/>
      <c r="T150" s="99"/>
      <c r="U150" s="200"/>
      <c r="V150" s="306"/>
      <c r="W150" s="200"/>
      <c r="X150" s="200"/>
      <c r="Y150" s="200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99"/>
      <c r="AK150" s="99"/>
      <c r="AL150" s="99"/>
      <c r="AM150" s="99"/>
      <c r="AN150" s="99"/>
      <c r="AO150" s="99"/>
      <c r="AP150" s="99"/>
    </row>
    <row r="151" spans="2:42" ht="15" customHeight="1" x14ac:dyDescent="0.25">
      <c r="B151" s="276"/>
      <c r="C151" s="96"/>
      <c r="D151" s="97"/>
      <c r="E151" s="98"/>
      <c r="F151" s="99"/>
      <c r="G151" s="99"/>
      <c r="H151" s="99"/>
      <c r="I151" s="197"/>
      <c r="J151" s="99"/>
      <c r="K151" s="99"/>
      <c r="L151" s="131"/>
      <c r="M151" s="99"/>
      <c r="N151" s="99"/>
      <c r="P151" s="306"/>
      <c r="Q151" s="200"/>
      <c r="R151" s="200"/>
      <c r="S151" s="200"/>
      <c r="T151" s="99"/>
      <c r="U151" s="200"/>
      <c r="V151" s="306"/>
      <c r="W151" s="200"/>
      <c r="X151" s="200"/>
      <c r="Y151" s="200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99"/>
      <c r="AK151" s="99"/>
      <c r="AL151" s="99"/>
      <c r="AM151" s="99"/>
      <c r="AN151" s="99"/>
      <c r="AO151" s="99"/>
      <c r="AP151" s="99"/>
    </row>
    <row r="152" spans="2:42" ht="15" customHeight="1" x14ac:dyDescent="0.25">
      <c r="B152" s="276"/>
      <c r="C152" s="96"/>
      <c r="D152" s="97"/>
      <c r="E152" s="98"/>
      <c r="F152" s="99"/>
      <c r="G152" s="99"/>
      <c r="H152" s="99"/>
      <c r="I152" s="197"/>
      <c r="J152" s="99"/>
      <c r="K152" s="99"/>
      <c r="L152" s="131"/>
      <c r="M152" s="99"/>
      <c r="N152" s="99"/>
      <c r="P152" s="306"/>
      <c r="Q152" s="200"/>
      <c r="R152" s="200"/>
      <c r="S152" s="200"/>
      <c r="T152" s="99"/>
      <c r="U152" s="200"/>
      <c r="V152" s="306"/>
      <c r="W152" s="200"/>
      <c r="X152" s="200"/>
      <c r="Y152" s="200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/>
      <c r="AP152" s="99"/>
    </row>
    <row r="153" spans="2:42" ht="15" customHeight="1" x14ac:dyDescent="0.25">
      <c r="B153" s="276"/>
      <c r="C153" s="96"/>
      <c r="D153" s="97"/>
      <c r="E153" s="98"/>
      <c r="F153" s="99"/>
      <c r="G153" s="99"/>
      <c r="H153" s="99"/>
      <c r="I153" s="197"/>
      <c r="J153" s="99"/>
      <c r="K153" s="99"/>
      <c r="L153" s="131"/>
      <c r="M153" s="99"/>
      <c r="N153" s="99"/>
      <c r="P153" s="306"/>
      <c r="Q153" s="200"/>
      <c r="R153" s="200"/>
      <c r="S153" s="200"/>
      <c r="T153" s="99"/>
      <c r="U153" s="200"/>
      <c r="V153" s="306"/>
      <c r="W153" s="200"/>
      <c r="X153" s="200"/>
      <c r="Y153" s="200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99"/>
      <c r="AP153" s="99"/>
    </row>
    <row r="154" spans="2:42" ht="15" customHeight="1" x14ac:dyDescent="0.25">
      <c r="B154" s="276"/>
      <c r="C154" s="96"/>
      <c r="D154" s="97"/>
      <c r="E154" s="98"/>
      <c r="F154" s="99"/>
      <c r="G154" s="99"/>
      <c r="H154" s="99"/>
      <c r="I154" s="197"/>
      <c r="J154" s="99"/>
      <c r="K154" s="99"/>
      <c r="L154" s="131"/>
      <c r="M154" s="99"/>
      <c r="N154" s="99"/>
      <c r="P154" s="306"/>
      <c r="Q154" s="200"/>
      <c r="R154" s="200"/>
      <c r="S154" s="200"/>
      <c r="T154" s="99"/>
      <c r="U154" s="200"/>
      <c r="V154" s="306"/>
      <c r="W154" s="200"/>
      <c r="X154" s="200"/>
      <c r="Y154" s="200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</row>
    <row r="155" spans="2:42" ht="15" customHeight="1" x14ac:dyDescent="0.25">
      <c r="B155" s="276"/>
      <c r="C155" s="96"/>
      <c r="D155" s="97"/>
      <c r="E155" s="98"/>
      <c r="F155" s="99"/>
      <c r="G155" s="99"/>
      <c r="H155" s="99"/>
      <c r="I155" s="197"/>
      <c r="J155" s="99"/>
      <c r="K155" s="99"/>
      <c r="L155" s="131"/>
      <c r="M155" s="99"/>
      <c r="N155" s="99"/>
      <c r="P155" s="306"/>
      <c r="Q155" s="200"/>
      <c r="R155" s="200"/>
      <c r="S155" s="200"/>
      <c r="T155" s="99"/>
      <c r="U155" s="200"/>
      <c r="V155" s="306"/>
      <c r="W155" s="200"/>
      <c r="X155" s="200"/>
      <c r="Y155" s="200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</row>
    <row r="156" spans="2:42" ht="15" customHeight="1" x14ac:dyDescent="0.25">
      <c r="B156" s="276"/>
      <c r="C156" s="96"/>
      <c r="D156" s="97"/>
      <c r="E156" s="98"/>
      <c r="F156" s="99"/>
      <c r="G156" s="99"/>
      <c r="H156" s="99"/>
      <c r="I156" s="197"/>
      <c r="J156" s="99"/>
      <c r="K156" s="99"/>
      <c r="L156" s="131"/>
      <c r="M156" s="99"/>
      <c r="N156" s="99"/>
      <c r="P156" s="306"/>
      <c r="Q156" s="200"/>
      <c r="R156" s="200"/>
      <c r="S156" s="200"/>
      <c r="T156" s="99"/>
      <c r="U156" s="200"/>
      <c r="V156" s="306"/>
      <c r="W156" s="200"/>
      <c r="X156" s="200"/>
      <c r="Y156" s="200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  <c r="AN156" s="99"/>
      <c r="AO156" s="99"/>
      <c r="AP156" s="99"/>
    </row>
    <row r="157" spans="2:42" ht="15" customHeight="1" x14ac:dyDescent="0.25">
      <c r="B157" s="276"/>
      <c r="C157" s="96"/>
      <c r="D157" s="97"/>
      <c r="E157" s="98"/>
      <c r="F157" s="99"/>
      <c r="G157" s="99"/>
      <c r="H157" s="99"/>
      <c r="I157" s="197"/>
      <c r="J157" s="99"/>
      <c r="K157" s="99"/>
      <c r="L157" s="131"/>
      <c r="M157" s="99"/>
      <c r="N157" s="99"/>
      <c r="P157" s="306"/>
      <c r="Q157" s="200"/>
      <c r="R157" s="200"/>
      <c r="S157" s="200"/>
      <c r="T157" s="99"/>
      <c r="U157" s="200"/>
      <c r="V157" s="306"/>
      <c r="W157" s="200"/>
      <c r="X157" s="200"/>
      <c r="Y157" s="200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99"/>
      <c r="AP157" s="99"/>
    </row>
    <row r="158" spans="2:42" ht="15" customHeight="1" x14ac:dyDescent="0.25">
      <c r="B158" s="276"/>
      <c r="C158" s="96"/>
      <c r="D158" s="97"/>
      <c r="E158" s="98"/>
      <c r="F158" s="99"/>
      <c r="G158" s="99"/>
      <c r="H158" s="99"/>
      <c r="I158" s="197"/>
      <c r="J158" s="99"/>
      <c r="K158" s="99"/>
      <c r="L158" s="131"/>
      <c r="M158" s="99"/>
      <c r="N158" s="99"/>
      <c r="P158" s="306"/>
      <c r="Q158" s="200"/>
      <c r="R158" s="200"/>
      <c r="S158" s="200"/>
      <c r="T158" s="99"/>
      <c r="U158" s="200"/>
      <c r="V158" s="306"/>
      <c r="W158" s="200"/>
      <c r="X158" s="200"/>
      <c r="Y158" s="200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99"/>
      <c r="AK158" s="99"/>
      <c r="AL158" s="99"/>
      <c r="AM158" s="99"/>
      <c r="AN158" s="99"/>
      <c r="AO158" s="99"/>
      <c r="AP158" s="99"/>
    </row>
    <row r="159" spans="2:42" ht="15" customHeight="1" x14ac:dyDescent="0.25">
      <c r="B159" s="276"/>
      <c r="C159" s="96"/>
      <c r="D159" s="97"/>
      <c r="E159" s="98"/>
      <c r="F159" s="99"/>
      <c r="G159" s="99"/>
      <c r="H159" s="99"/>
      <c r="I159" s="197"/>
      <c r="J159" s="99"/>
      <c r="K159" s="99"/>
      <c r="L159" s="131"/>
      <c r="M159" s="99"/>
      <c r="N159" s="99"/>
      <c r="P159" s="306"/>
      <c r="Q159" s="200"/>
      <c r="R159" s="200"/>
      <c r="S159" s="200"/>
      <c r="T159" s="99"/>
      <c r="U159" s="200"/>
      <c r="V159" s="306"/>
      <c r="W159" s="200"/>
      <c r="X159" s="200"/>
      <c r="Y159" s="200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</row>
    <row r="160" spans="2:42" ht="15" customHeight="1" x14ac:dyDescent="0.25">
      <c r="B160" s="276"/>
      <c r="C160" s="96"/>
      <c r="D160" s="97"/>
      <c r="E160" s="98"/>
      <c r="F160" s="99"/>
      <c r="G160" s="99"/>
      <c r="H160" s="99"/>
      <c r="I160" s="197"/>
      <c r="J160" s="99"/>
      <c r="K160" s="99"/>
      <c r="L160" s="131"/>
      <c r="M160" s="99"/>
      <c r="N160" s="99"/>
      <c r="P160" s="306"/>
      <c r="Q160" s="200"/>
      <c r="R160" s="200"/>
      <c r="S160" s="200"/>
      <c r="T160" s="99"/>
      <c r="U160" s="200"/>
      <c r="V160" s="306"/>
      <c r="W160" s="200"/>
      <c r="X160" s="200"/>
      <c r="Y160" s="200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/>
      <c r="AP160" s="99"/>
    </row>
    <row r="161" spans="2:42" ht="15" customHeight="1" x14ac:dyDescent="0.25">
      <c r="B161" s="276"/>
      <c r="C161" s="96"/>
      <c r="D161" s="97"/>
      <c r="E161" s="98"/>
      <c r="F161" s="99"/>
      <c r="G161" s="99"/>
      <c r="H161" s="99"/>
      <c r="I161" s="197"/>
      <c r="J161" s="99"/>
      <c r="K161" s="99"/>
      <c r="L161" s="131"/>
      <c r="M161" s="99"/>
      <c r="N161" s="99"/>
      <c r="P161" s="306"/>
      <c r="Q161" s="200"/>
      <c r="R161" s="200"/>
      <c r="S161" s="200"/>
      <c r="T161" s="99"/>
      <c r="U161" s="200"/>
      <c r="V161" s="306"/>
      <c r="W161" s="200"/>
      <c r="X161" s="200"/>
      <c r="Y161" s="200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  <c r="AN161" s="99"/>
      <c r="AO161" s="99"/>
      <c r="AP161" s="99"/>
    </row>
    <row r="162" spans="2:42" ht="15" customHeight="1" x14ac:dyDescent="0.25">
      <c r="B162" s="276"/>
      <c r="C162" s="96"/>
      <c r="D162" s="97"/>
      <c r="E162" s="98"/>
      <c r="F162" s="99"/>
      <c r="G162" s="99"/>
      <c r="H162" s="99"/>
      <c r="I162" s="197"/>
      <c r="J162" s="99"/>
      <c r="K162" s="99"/>
      <c r="L162" s="131"/>
      <c r="M162" s="99"/>
      <c r="N162" s="99"/>
      <c r="P162" s="306"/>
      <c r="Q162" s="200"/>
      <c r="R162" s="200"/>
      <c r="S162" s="200"/>
      <c r="T162" s="99"/>
      <c r="U162" s="200"/>
      <c r="V162" s="306"/>
      <c r="W162" s="200"/>
      <c r="X162" s="200"/>
      <c r="Y162" s="200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99"/>
      <c r="AP162" s="99"/>
    </row>
    <row r="163" spans="2:42" ht="15" customHeight="1" x14ac:dyDescent="0.25">
      <c r="B163" s="276"/>
      <c r="C163" s="96"/>
      <c r="D163" s="97"/>
      <c r="E163" s="98"/>
      <c r="F163" s="99"/>
      <c r="G163" s="99"/>
      <c r="H163" s="99"/>
      <c r="I163" s="197"/>
      <c r="J163" s="99"/>
      <c r="K163" s="99"/>
      <c r="L163" s="131"/>
      <c r="M163" s="99"/>
      <c r="N163" s="99"/>
      <c r="P163" s="306"/>
      <c r="Q163" s="200"/>
      <c r="R163" s="200"/>
      <c r="S163" s="200"/>
      <c r="T163" s="99"/>
      <c r="U163" s="200"/>
      <c r="V163" s="306"/>
      <c r="W163" s="200"/>
      <c r="X163" s="200"/>
      <c r="Y163" s="200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</row>
    <row r="164" spans="2:42" ht="15" customHeight="1" x14ac:dyDescent="0.25">
      <c r="B164" s="276"/>
      <c r="C164" s="96"/>
      <c r="D164" s="97"/>
      <c r="E164" s="98"/>
      <c r="F164" s="99"/>
      <c r="G164" s="99"/>
      <c r="H164" s="99"/>
      <c r="I164" s="197"/>
      <c r="J164" s="99"/>
      <c r="K164" s="99"/>
      <c r="L164" s="131"/>
      <c r="M164" s="99"/>
      <c r="N164" s="99"/>
      <c r="P164" s="306"/>
      <c r="Q164" s="200"/>
      <c r="R164" s="200"/>
      <c r="S164" s="200"/>
      <c r="T164" s="99"/>
      <c r="U164" s="200"/>
      <c r="V164" s="306"/>
      <c r="W164" s="200"/>
      <c r="X164" s="200"/>
      <c r="Y164" s="200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</row>
    <row r="165" spans="2:42" ht="15" customHeight="1" x14ac:dyDescent="0.25">
      <c r="B165" s="276"/>
      <c r="C165" s="96"/>
      <c r="D165" s="97"/>
      <c r="E165" s="98"/>
      <c r="F165" s="99"/>
      <c r="G165" s="99"/>
      <c r="H165" s="99"/>
      <c r="I165" s="197"/>
      <c r="J165" s="99"/>
      <c r="K165" s="99"/>
      <c r="L165" s="131"/>
      <c r="M165" s="99"/>
      <c r="N165" s="99"/>
      <c r="P165" s="306"/>
      <c r="Q165" s="200"/>
      <c r="R165" s="200"/>
      <c r="S165" s="200"/>
      <c r="T165" s="99"/>
      <c r="U165" s="200"/>
      <c r="V165" s="306"/>
      <c r="W165" s="200"/>
      <c r="X165" s="200"/>
      <c r="Y165" s="200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  <c r="AN165" s="99"/>
      <c r="AO165" s="99"/>
      <c r="AP165" s="99"/>
    </row>
    <row r="166" spans="2:42" ht="15" customHeight="1" x14ac:dyDescent="0.25">
      <c r="B166" s="276"/>
      <c r="C166" s="96"/>
      <c r="D166" s="97"/>
      <c r="E166" s="98"/>
      <c r="F166" s="99"/>
      <c r="G166" s="99"/>
      <c r="H166" s="99"/>
      <c r="I166" s="197"/>
      <c r="J166" s="99"/>
      <c r="K166" s="99"/>
      <c r="L166" s="131"/>
      <c r="M166" s="99"/>
      <c r="N166" s="99"/>
      <c r="P166" s="306"/>
      <c r="Q166" s="200"/>
      <c r="R166" s="200"/>
      <c r="S166" s="200"/>
      <c r="T166" s="99"/>
      <c r="U166" s="200"/>
      <c r="V166" s="306"/>
      <c r="W166" s="200"/>
      <c r="X166" s="200"/>
      <c r="Y166" s="200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  <c r="AN166" s="99"/>
      <c r="AO166" s="99"/>
      <c r="AP166" s="99"/>
    </row>
    <row r="167" spans="2:42" ht="15" customHeight="1" x14ac:dyDescent="0.25">
      <c r="B167" s="276"/>
      <c r="C167" s="96"/>
      <c r="D167" s="97"/>
      <c r="E167" s="98"/>
      <c r="F167" s="99"/>
      <c r="G167" s="99"/>
      <c r="H167" s="99"/>
      <c r="I167" s="197"/>
      <c r="J167" s="99"/>
      <c r="K167" s="99"/>
      <c r="L167" s="131"/>
      <c r="M167" s="99"/>
      <c r="N167" s="99"/>
      <c r="P167" s="306"/>
      <c r="Q167" s="200"/>
      <c r="R167" s="200"/>
      <c r="S167" s="200"/>
      <c r="T167" s="99"/>
      <c r="U167" s="200"/>
      <c r="V167" s="306"/>
      <c r="W167" s="200"/>
      <c r="X167" s="200"/>
      <c r="Y167" s="200"/>
      <c r="Z167" s="99"/>
      <c r="AA167" s="99"/>
      <c r="AB167" s="99"/>
      <c r="AC167" s="99"/>
      <c r="AD167" s="99"/>
      <c r="AE167" s="99"/>
      <c r="AF167" s="99"/>
      <c r="AG167" s="99"/>
      <c r="AH167" s="99"/>
      <c r="AI167" s="99"/>
      <c r="AJ167" s="99"/>
      <c r="AK167" s="99"/>
      <c r="AL167" s="99"/>
      <c r="AM167" s="99"/>
      <c r="AN167" s="99"/>
      <c r="AO167" s="99"/>
      <c r="AP167" s="99"/>
    </row>
    <row r="168" spans="2:42" ht="15" customHeight="1" x14ac:dyDescent="0.25">
      <c r="B168" s="276"/>
      <c r="C168" s="96"/>
      <c r="D168" s="97"/>
      <c r="E168" s="98"/>
      <c r="F168" s="99"/>
      <c r="G168" s="99"/>
      <c r="H168" s="99"/>
      <c r="I168" s="197"/>
      <c r="J168" s="99"/>
      <c r="K168" s="99"/>
      <c r="L168" s="131"/>
      <c r="M168" s="99"/>
      <c r="N168" s="99"/>
      <c r="P168" s="306"/>
      <c r="Q168" s="200"/>
      <c r="R168" s="200"/>
      <c r="S168" s="200"/>
      <c r="T168" s="99"/>
      <c r="U168" s="200"/>
      <c r="V168" s="306"/>
      <c r="W168" s="200"/>
      <c r="X168" s="200"/>
      <c r="Y168" s="200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99"/>
      <c r="AL168" s="99"/>
      <c r="AM168" s="99"/>
      <c r="AN168" s="99"/>
      <c r="AO168" s="99"/>
      <c r="AP168" s="99"/>
    </row>
    <row r="169" spans="2:42" ht="15" customHeight="1" x14ac:dyDescent="0.25">
      <c r="B169" s="276"/>
      <c r="C169" s="96"/>
      <c r="D169" s="97"/>
      <c r="E169" s="98"/>
      <c r="F169" s="99"/>
      <c r="G169" s="99"/>
      <c r="H169" s="99"/>
      <c r="I169" s="197"/>
      <c r="J169" s="99"/>
      <c r="K169" s="99"/>
      <c r="L169" s="131"/>
      <c r="M169" s="99"/>
      <c r="N169" s="99"/>
      <c r="P169" s="306"/>
      <c r="Q169" s="200"/>
      <c r="R169" s="200"/>
      <c r="S169" s="200"/>
      <c r="T169" s="99"/>
      <c r="U169" s="200"/>
      <c r="V169" s="306"/>
      <c r="W169" s="200"/>
      <c r="X169" s="200"/>
      <c r="Y169" s="200"/>
      <c r="Z169" s="99"/>
      <c r="AA169" s="99"/>
      <c r="AB169" s="99"/>
      <c r="AC169" s="99"/>
      <c r="AD169" s="99"/>
      <c r="AE169" s="99"/>
      <c r="AF169" s="99"/>
      <c r="AG169" s="99"/>
      <c r="AH169" s="99"/>
      <c r="AI169" s="99"/>
      <c r="AJ169" s="99"/>
      <c r="AK169" s="99"/>
      <c r="AL169" s="99"/>
      <c r="AM169" s="99"/>
      <c r="AN169" s="99"/>
      <c r="AO169" s="99"/>
      <c r="AP169" s="99"/>
    </row>
    <row r="170" spans="2:42" ht="15" customHeight="1" x14ac:dyDescent="0.25">
      <c r="B170" s="276"/>
      <c r="C170" s="96"/>
      <c r="D170" s="97"/>
      <c r="E170" s="98"/>
      <c r="F170" s="99"/>
      <c r="G170" s="99"/>
      <c r="H170" s="99"/>
      <c r="I170" s="197"/>
      <c r="J170" s="99"/>
      <c r="K170" s="99"/>
      <c r="L170" s="131"/>
      <c r="M170" s="99"/>
      <c r="N170" s="99"/>
      <c r="P170" s="306"/>
      <c r="Q170" s="200"/>
      <c r="R170" s="200"/>
      <c r="S170" s="200"/>
      <c r="T170" s="99"/>
      <c r="U170" s="200"/>
      <c r="V170" s="306"/>
      <c r="W170" s="200"/>
      <c r="X170" s="200"/>
      <c r="Y170" s="200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  <c r="AN170" s="99"/>
      <c r="AO170" s="99"/>
      <c r="AP170" s="99"/>
    </row>
    <row r="171" spans="2:42" ht="15" customHeight="1" x14ac:dyDescent="0.25">
      <c r="B171" s="276"/>
      <c r="C171" s="96"/>
      <c r="D171" s="97"/>
      <c r="E171" s="98"/>
      <c r="F171" s="99"/>
      <c r="G171" s="99"/>
      <c r="H171" s="99"/>
      <c r="I171" s="197"/>
      <c r="J171" s="99"/>
      <c r="K171" s="99"/>
      <c r="L171" s="131"/>
      <c r="M171" s="99"/>
      <c r="N171" s="99"/>
      <c r="P171" s="306"/>
      <c r="Q171" s="200"/>
      <c r="R171" s="200"/>
      <c r="S171" s="200"/>
      <c r="T171" s="99"/>
      <c r="U171" s="200"/>
      <c r="V171" s="306"/>
      <c r="W171" s="200"/>
      <c r="X171" s="200"/>
      <c r="Y171" s="200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  <c r="AN171" s="99"/>
      <c r="AO171" s="99"/>
      <c r="AP171" s="99"/>
    </row>
    <row r="172" spans="2:42" ht="15" customHeight="1" x14ac:dyDescent="0.25">
      <c r="B172" s="276"/>
      <c r="C172" s="96"/>
      <c r="D172" s="97"/>
      <c r="E172" s="98"/>
      <c r="F172" s="99"/>
      <c r="G172" s="99"/>
      <c r="H172" s="99"/>
      <c r="I172" s="197"/>
      <c r="J172" s="99"/>
      <c r="K172" s="99"/>
      <c r="L172" s="131"/>
      <c r="M172" s="99"/>
      <c r="N172" s="99"/>
      <c r="P172" s="306"/>
      <c r="Q172" s="200"/>
      <c r="R172" s="200"/>
      <c r="S172" s="200"/>
      <c r="T172" s="99"/>
      <c r="U172" s="200"/>
      <c r="V172" s="306"/>
      <c r="W172" s="200"/>
      <c r="X172" s="200"/>
      <c r="Y172" s="200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  <c r="AN172" s="99"/>
      <c r="AO172" s="99"/>
      <c r="AP172" s="99"/>
    </row>
    <row r="173" spans="2:42" ht="15" customHeight="1" x14ac:dyDescent="0.25">
      <c r="B173" s="276"/>
      <c r="C173" s="96"/>
      <c r="D173" s="97"/>
      <c r="E173" s="98"/>
      <c r="F173" s="99"/>
      <c r="G173" s="99"/>
      <c r="H173" s="99"/>
      <c r="I173" s="197"/>
      <c r="J173" s="99"/>
      <c r="K173" s="99"/>
      <c r="L173" s="131"/>
      <c r="M173" s="99"/>
      <c r="N173" s="99"/>
      <c r="P173" s="306"/>
      <c r="Q173" s="200"/>
      <c r="R173" s="200"/>
      <c r="S173" s="200"/>
      <c r="T173" s="99"/>
      <c r="U173" s="200"/>
      <c r="V173" s="306"/>
      <c r="W173" s="200"/>
      <c r="X173" s="200"/>
      <c r="Y173" s="200"/>
      <c r="Z173" s="99"/>
      <c r="AA173" s="99"/>
      <c r="AB173" s="99"/>
      <c r="AC173" s="99"/>
      <c r="AD173" s="99"/>
      <c r="AE173" s="99"/>
      <c r="AF173" s="99"/>
      <c r="AG173" s="99"/>
      <c r="AH173" s="99"/>
      <c r="AI173" s="99"/>
      <c r="AJ173" s="99"/>
      <c r="AK173" s="99"/>
      <c r="AL173" s="99"/>
      <c r="AM173" s="99"/>
      <c r="AN173" s="99"/>
      <c r="AO173" s="99"/>
      <c r="AP173" s="99"/>
    </row>
    <row r="174" spans="2:42" ht="15" customHeight="1" x14ac:dyDescent="0.25">
      <c r="B174" s="276"/>
      <c r="C174" s="96"/>
      <c r="D174" s="97"/>
      <c r="E174" s="98"/>
      <c r="F174" s="99"/>
      <c r="G174" s="99"/>
      <c r="H174" s="99"/>
      <c r="I174" s="197"/>
      <c r="J174" s="99"/>
      <c r="K174" s="99"/>
      <c r="L174" s="131"/>
      <c r="M174" s="99"/>
      <c r="N174" s="99"/>
      <c r="P174" s="306"/>
      <c r="Q174" s="200"/>
      <c r="R174" s="200"/>
      <c r="S174" s="200"/>
      <c r="T174" s="99"/>
      <c r="U174" s="200"/>
      <c r="V174" s="306"/>
      <c r="W174" s="200"/>
      <c r="X174" s="200"/>
      <c r="Y174" s="200"/>
      <c r="Z174" s="99"/>
      <c r="AA174" s="99"/>
      <c r="AB174" s="99"/>
      <c r="AC174" s="99"/>
      <c r="AD174" s="99"/>
      <c r="AE174" s="99"/>
      <c r="AF174" s="99"/>
      <c r="AG174" s="99"/>
      <c r="AH174" s="99"/>
      <c r="AI174" s="99"/>
      <c r="AJ174" s="99"/>
      <c r="AK174" s="99"/>
      <c r="AL174" s="99"/>
      <c r="AM174" s="99"/>
      <c r="AN174" s="99"/>
      <c r="AO174" s="99"/>
      <c r="AP174" s="99"/>
    </row>
    <row r="175" spans="2:42" ht="15" customHeight="1" x14ac:dyDescent="0.25">
      <c r="B175" s="276"/>
      <c r="C175" s="96"/>
      <c r="D175" s="97"/>
      <c r="E175" s="98"/>
      <c r="F175" s="99"/>
      <c r="G175" s="99"/>
      <c r="H175" s="99"/>
      <c r="I175" s="197"/>
      <c r="J175" s="99"/>
      <c r="K175" s="99"/>
      <c r="L175" s="131"/>
      <c r="M175" s="99"/>
      <c r="N175" s="99"/>
      <c r="P175" s="306"/>
      <c r="Q175" s="200"/>
      <c r="R175" s="200"/>
      <c r="S175" s="200"/>
      <c r="T175" s="99"/>
      <c r="U175" s="200"/>
      <c r="V175" s="306"/>
      <c r="W175" s="200"/>
      <c r="X175" s="200"/>
      <c r="Y175" s="200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  <c r="AN175" s="99"/>
      <c r="AO175" s="99"/>
      <c r="AP175" s="99"/>
    </row>
    <row r="176" spans="2:42" ht="15" customHeight="1" x14ac:dyDescent="0.25">
      <c r="B176" s="276"/>
      <c r="C176" s="96"/>
      <c r="D176" s="97"/>
      <c r="E176" s="98"/>
      <c r="F176" s="99"/>
      <c r="G176" s="99"/>
      <c r="H176" s="99"/>
      <c r="I176" s="197"/>
      <c r="J176" s="99"/>
      <c r="K176" s="99"/>
      <c r="L176" s="131"/>
      <c r="M176" s="99"/>
      <c r="N176" s="99"/>
      <c r="P176" s="306"/>
      <c r="Q176" s="200"/>
      <c r="R176" s="200"/>
      <c r="S176" s="200"/>
      <c r="T176" s="99"/>
      <c r="U176" s="200"/>
      <c r="V176" s="306"/>
      <c r="W176" s="200"/>
      <c r="X176" s="200"/>
      <c r="Y176" s="200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  <c r="AN176" s="99"/>
      <c r="AO176" s="99"/>
      <c r="AP176" s="99"/>
    </row>
    <row r="177" spans="2:42" ht="15" customHeight="1" x14ac:dyDescent="0.25">
      <c r="B177" s="276"/>
      <c r="C177" s="96"/>
      <c r="D177" s="97"/>
      <c r="E177" s="98"/>
      <c r="F177" s="99"/>
      <c r="G177" s="99"/>
      <c r="H177" s="99"/>
      <c r="I177" s="197"/>
      <c r="J177" s="99"/>
      <c r="K177" s="99"/>
      <c r="L177" s="131"/>
      <c r="M177" s="99"/>
      <c r="N177" s="99"/>
      <c r="P177" s="306"/>
      <c r="Q177" s="200"/>
      <c r="R177" s="200"/>
      <c r="S177" s="200"/>
      <c r="T177" s="99"/>
      <c r="U177" s="200"/>
      <c r="V177" s="306"/>
      <c r="W177" s="200"/>
      <c r="X177" s="200"/>
      <c r="Y177" s="200"/>
      <c r="Z177" s="99"/>
      <c r="AA177" s="99"/>
      <c r="AB177" s="99"/>
      <c r="AC177" s="99"/>
      <c r="AD177" s="99"/>
      <c r="AE177" s="99"/>
      <c r="AF177" s="99"/>
      <c r="AG177" s="99"/>
      <c r="AH177" s="99"/>
      <c r="AI177" s="99"/>
      <c r="AJ177" s="99"/>
      <c r="AK177" s="99"/>
      <c r="AL177" s="99"/>
      <c r="AM177" s="99"/>
      <c r="AN177" s="99"/>
      <c r="AO177" s="99"/>
      <c r="AP177" s="99"/>
    </row>
    <row r="178" spans="2:42" ht="15" customHeight="1" x14ac:dyDescent="0.25">
      <c r="B178" s="276"/>
      <c r="C178" s="96"/>
      <c r="D178" s="97"/>
      <c r="E178" s="98"/>
      <c r="F178" s="99"/>
      <c r="G178" s="99"/>
      <c r="H178" s="99"/>
      <c r="I178" s="197"/>
      <c r="J178" s="99"/>
      <c r="K178" s="99"/>
      <c r="L178" s="131"/>
      <c r="M178" s="99"/>
      <c r="N178" s="99"/>
      <c r="P178" s="306"/>
      <c r="Q178" s="200"/>
      <c r="R178" s="200"/>
      <c r="S178" s="200"/>
      <c r="T178" s="99"/>
      <c r="U178" s="200"/>
      <c r="V178" s="306"/>
      <c r="W178" s="200"/>
      <c r="X178" s="200"/>
      <c r="Y178" s="200"/>
      <c r="Z178" s="99"/>
      <c r="AA178" s="99"/>
      <c r="AB178" s="99"/>
      <c r="AC178" s="99"/>
      <c r="AD178" s="99"/>
      <c r="AE178" s="99"/>
      <c r="AF178" s="99"/>
      <c r="AG178" s="99"/>
      <c r="AH178" s="99"/>
      <c r="AI178" s="99"/>
      <c r="AJ178" s="99"/>
      <c r="AK178" s="99"/>
      <c r="AL178" s="99"/>
      <c r="AM178" s="99"/>
      <c r="AN178" s="99"/>
      <c r="AO178" s="99"/>
      <c r="AP178" s="99"/>
    </row>
    <row r="179" spans="2:42" ht="15" customHeight="1" x14ac:dyDescent="0.25">
      <c r="B179" s="276"/>
      <c r="C179" s="96"/>
      <c r="D179" s="97"/>
      <c r="E179" s="98"/>
      <c r="F179" s="99"/>
      <c r="G179" s="99"/>
      <c r="H179" s="99"/>
      <c r="I179" s="197"/>
      <c r="J179" s="99"/>
      <c r="K179" s="99"/>
      <c r="L179" s="131"/>
      <c r="M179" s="99"/>
      <c r="N179" s="99"/>
      <c r="P179" s="306"/>
      <c r="Q179" s="200"/>
      <c r="R179" s="200"/>
      <c r="S179" s="200"/>
      <c r="T179" s="99"/>
      <c r="U179" s="200"/>
      <c r="V179" s="306"/>
      <c r="W179" s="200"/>
      <c r="X179" s="200"/>
      <c r="Y179" s="200"/>
      <c r="Z179" s="99"/>
      <c r="AA179" s="99"/>
      <c r="AB179" s="99"/>
      <c r="AC179" s="99"/>
      <c r="AD179" s="99"/>
      <c r="AE179" s="99"/>
      <c r="AF179" s="99"/>
      <c r="AG179" s="99"/>
      <c r="AH179" s="99"/>
      <c r="AI179" s="99"/>
      <c r="AJ179" s="99"/>
      <c r="AK179" s="99"/>
      <c r="AL179" s="99"/>
      <c r="AM179" s="99"/>
      <c r="AN179" s="99"/>
      <c r="AO179" s="99"/>
      <c r="AP179" s="99"/>
    </row>
    <row r="180" spans="2:42" ht="15" customHeight="1" x14ac:dyDescent="0.25">
      <c r="B180" s="276"/>
      <c r="C180" s="96"/>
      <c r="D180" s="97"/>
      <c r="E180" s="98"/>
      <c r="F180" s="99"/>
      <c r="G180" s="99"/>
      <c r="H180" s="99"/>
      <c r="I180" s="197"/>
      <c r="J180" s="99"/>
      <c r="K180" s="99"/>
      <c r="L180" s="131"/>
      <c r="M180" s="99"/>
      <c r="N180" s="99"/>
      <c r="P180" s="306"/>
      <c r="Q180" s="200"/>
      <c r="R180" s="200"/>
      <c r="S180" s="200"/>
      <c r="T180" s="99"/>
      <c r="U180" s="200"/>
      <c r="V180" s="306"/>
      <c r="W180" s="200"/>
      <c r="X180" s="200"/>
      <c r="Y180" s="200"/>
      <c r="Z180" s="99"/>
      <c r="AA180" s="99"/>
      <c r="AB180" s="99"/>
      <c r="AC180" s="99"/>
      <c r="AD180" s="99"/>
      <c r="AE180" s="99"/>
      <c r="AF180" s="99"/>
      <c r="AG180" s="99"/>
      <c r="AH180" s="99"/>
      <c r="AI180" s="99"/>
      <c r="AJ180" s="99"/>
      <c r="AK180" s="99"/>
      <c r="AL180" s="99"/>
      <c r="AM180" s="99"/>
      <c r="AN180" s="99"/>
      <c r="AO180" s="99"/>
      <c r="AP180" s="99"/>
    </row>
    <row r="181" spans="2:42" ht="15" customHeight="1" x14ac:dyDescent="0.25">
      <c r="B181" s="276"/>
      <c r="C181" s="96"/>
      <c r="D181" s="97"/>
      <c r="E181" s="98"/>
      <c r="F181" s="99"/>
      <c r="G181" s="99"/>
      <c r="H181" s="99"/>
      <c r="I181" s="197"/>
      <c r="J181" s="99"/>
      <c r="K181" s="99"/>
      <c r="L181" s="131"/>
      <c r="M181" s="99"/>
      <c r="N181" s="99"/>
      <c r="P181" s="306"/>
      <c r="Q181" s="200"/>
      <c r="R181" s="200"/>
      <c r="S181" s="200"/>
      <c r="T181" s="99"/>
      <c r="U181" s="200"/>
      <c r="V181" s="306"/>
      <c r="W181" s="200"/>
      <c r="X181" s="200"/>
      <c r="Y181" s="200"/>
      <c r="Z181" s="99"/>
      <c r="AA181" s="99"/>
      <c r="AB181" s="99"/>
      <c r="AC181" s="99"/>
      <c r="AD181" s="99"/>
      <c r="AE181" s="99"/>
      <c r="AF181" s="99"/>
      <c r="AG181" s="99"/>
      <c r="AH181" s="99"/>
      <c r="AI181" s="99"/>
      <c r="AJ181" s="99"/>
      <c r="AK181" s="99"/>
      <c r="AL181" s="99"/>
      <c r="AM181" s="99"/>
      <c r="AN181" s="99"/>
      <c r="AO181" s="99"/>
      <c r="AP181" s="99"/>
    </row>
    <row r="182" spans="2:42" ht="15" customHeight="1" x14ac:dyDescent="0.25">
      <c r="B182" s="276"/>
      <c r="C182" s="96"/>
      <c r="D182" s="97"/>
      <c r="E182" s="98"/>
      <c r="F182" s="99"/>
      <c r="G182" s="99"/>
      <c r="H182" s="99"/>
      <c r="I182" s="197"/>
      <c r="J182" s="99"/>
      <c r="K182" s="99"/>
      <c r="L182" s="131"/>
      <c r="M182" s="99"/>
      <c r="N182" s="99"/>
      <c r="P182" s="306"/>
      <c r="Q182" s="200"/>
      <c r="R182" s="200"/>
      <c r="S182" s="200"/>
      <c r="T182" s="99"/>
      <c r="U182" s="200"/>
      <c r="V182" s="306"/>
      <c r="W182" s="200"/>
      <c r="X182" s="200"/>
      <c r="Y182" s="200"/>
      <c r="Z182" s="99"/>
      <c r="AA182" s="99"/>
      <c r="AB182" s="99"/>
      <c r="AC182" s="99"/>
      <c r="AD182" s="99"/>
      <c r="AE182" s="99"/>
      <c r="AF182" s="99"/>
      <c r="AG182" s="99"/>
      <c r="AH182" s="99"/>
      <c r="AI182" s="99"/>
      <c r="AJ182" s="99"/>
      <c r="AK182" s="99"/>
      <c r="AL182" s="99"/>
      <c r="AM182" s="99"/>
      <c r="AN182" s="99"/>
      <c r="AO182" s="99"/>
      <c r="AP182" s="99"/>
    </row>
    <row r="183" spans="2:42" ht="15" customHeight="1" x14ac:dyDescent="0.25">
      <c r="B183" s="276"/>
      <c r="C183" s="96"/>
      <c r="D183" s="97"/>
      <c r="E183" s="98"/>
      <c r="F183" s="99"/>
      <c r="G183" s="99"/>
      <c r="H183" s="99"/>
      <c r="I183" s="197"/>
      <c r="J183" s="99"/>
      <c r="K183" s="99"/>
      <c r="L183" s="131"/>
      <c r="M183" s="99"/>
      <c r="N183" s="99"/>
      <c r="P183" s="306"/>
      <c r="Q183" s="200"/>
      <c r="R183" s="200"/>
      <c r="S183" s="200"/>
      <c r="T183" s="99"/>
      <c r="U183" s="200"/>
      <c r="V183" s="306"/>
      <c r="W183" s="200"/>
      <c r="X183" s="200"/>
      <c r="Y183" s="200"/>
      <c r="Z183" s="99"/>
      <c r="AA183" s="99"/>
      <c r="AB183" s="99"/>
      <c r="AC183" s="99"/>
      <c r="AD183" s="99"/>
      <c r="AE183" s="99"/>
      <c r="AF183" s="99"/>
      <c r="AG183" s="99"/>
      <c r="AH183" s="99"/>
      <c r="AI183" s="99"/>
      <c r="AJ183" s="99"/>
      <c r="AK183" s="99"/>
      <c r="AL183" s="99"/>
      <c r="AM183" s="99"/>
      <c r="AN183" s="99"/>
      <c r="AO183" s="99"/>
      <c r="AP183" s="99"/>
    </row>
    <row r="184" spans="2:42" ht="15" customHeight="1" x14ac:dyDescent="0.25">
      <c r="B184" s="276"/>
      <c r="C184" s="96"/>
      <c r="D184" s="97"/>
      <c r="E184" s="98"/>
      <c r="F184" s="99"/>
      <c r="G184" s="99"/>
      <c r="H184" s="99"/>
      <c r="I184" s="197"/>
      <c r="J184" s="99"/>
      <c r="K184" s="99"/>
      <c r="L184" s="131"/>
      <c r="M184" s="99"/>
      <c r="N184" s="99"/>
      <c r="P184" s="306"/>
      <c r="Q184" s="200"/>
      <c r="R184" s="200"/>
      <c r="S184" s="200"/>
      <c r="T184" s="99"/>
      <c r="U184" s="200"/>
      <c r="V184" s="306"/>
      <c r="W184" s="200"/>
      <c r="X184" s="200"/>
      <c r="Y184" s="200"/>
      <c r="Z184" s="99"/>
      <c r="AA184" s="99"/>
      <c r="AB184" s="99"/>
      <c r="AC184" s="99"/>
      <c r="AD184" s="99"/>
      <c r="AE184" s="99"/>
      <c r="AF184" s="99"/>
      <c r="AG184" s="99"/>
      <c r="AH184" s="99"/>
      <c r="AI184" s="99"/>
      <c r="AJ184" s="99"/>
      <c r="AK184" s="99"/>
      <c r="AL184" s="99"/>
      <c r="AM184" s="99"/>
      <c r="AN184" s="99"/>
      <c r="AO184" s="99"/>
      <c r="AP184" s="99"/>
    </row>
    <row r="185" spans="2:42" ht="15" customHeight="1" x14ac:dyDescent="0.25">
      <c r="B185" s="276"/>
      <c r="C185" s="96"/>
      <c r="D185" s="97"/>
      <c r="E185" s="98"/>
      <c r="F185" s="99"/>
      <c r="G185" s="99"/>
      <c r="H185" s="99"/>
      <c r="I185" s="197"/>
      <c r="J185" s="99"/>
      <c r="K185" s="99"/>
      <c r="L185" s="131"/>
      <c r="M185" s="99"/>
      <c r="N185" s="99"/>
      <c r="P185" s="306"/>
      <c r="Q185" s="200"/>
      <c r="R185" s="200"/>
      <c r="S185" s="200"/>
      <c r="T185" s="99"/>
      <c r="U185" s="200"/>
      <c r="V185" s="306"/>
      <c r="W185" s="200"/>
      <c r="X185" s="200"/>
      <c r="Y185" s="200"/>
      <c r="Z185" s="99"/>
      <c r="AA185" s="99"/>
      <c r="AB185" s="99"/>
      <c r="AC185" s="99"/>
      <c r="AD185" s="99"/>
      <c r="AE185" s="99"/>
      <c r="AF185" s="99"/>
      <c r="AG185" s="99"/>
      <c r="AH185" s="99"/>
      <c r="AI185" s="99"/>
      <c r="AJ185" s="99"/>
      <c r="AK185" s="99"/>
      <c r="AL185" s="99"/>
      <c r="AM185" s="99"/>
      <c r="AN185" s="99"/>
      <c r="AO185" s="99"/>
      <c r="AP185" s="99"/>
    </row>
    <row r="186" spans="2:42" ht="15" customHeight="1" x14ac:dyDescent="0.25">
      <c r="B186" s="276"/>
      <c r="C186" s="96"/>
      <c r="D186" s="97"/>
      <c r="E186" s="98"/>
      <c r="F186" s="99"/>
      <c r="G186" s="99"/>
      <c r="H186" s="99"/>
      <c r="I186" s="197"/>
      <c r="J186" s="99"/>
      <c r="K186" s="99"/>
      <c r="L186" s="131"/>
      <c r="M186" s="99"/>
      <c r="N186" s="99"/>
      <c r="P186" s="306"/>
      <c r="Q186" s="200"/>
      <c r="R186" s="200"/>
      <c r="S186" s="200"/>
      <c r="T186" s="99"/>
      <c r="U186" s="200"/>
      <c r="V186" s="306"/>
      <c r="W186" s="200"/>
      <c r="X186" s="200"/>
      <c r="Y186" s="200"/>
      <c r="Z186" s="99"/>
      <c r="AA186" s="99"/>
      <c r="AB186" s="99"/>
      <c r="AC186" s="99"/>
      <c r="AD186" s="99"/>
      <c r="AE186" s="99"/>
      <c r="AF186" s="99"/>
      <c r="AG186" s="99"/>
      <c r="AH186" s="99"/>
      <c r="AI186" s="99"/>
      <c r="AJ186" s="99"/>
      <c r="AK186" s="99"/>
      <c r="AL186" s="99"/>
      <c r="AM186" s="99"/>
      <c r="AN186" s="99"/>
      <c r="AO186" s="99"/>
      <c r="AP186" s="99"/>
    </row>
    <row r="187" spans="2:42" ht="15" customHeight="1" x14ac:dyDescent="0.25">
      <c r="B187" s="276"/>
      <c r="C187" s="96"/>
      <c r="D187" s="97"/>
      <c r="E187" s="98"/>
      <c r="F187" s="99"/>
      <c r="G187" s="99"/>
      <c r="H187" s="99"/>
      <c r="I187" s="197"/>
      <c r="J187" s="99"/>
      <c r="K187" s="99"/>
      <c r="L187" s="131"/>
      <c r="M187" s="99"/>
      <c r="N187" s="99"/>
      <c r="P187" s="306"/>
      <c r="Q187" s="200"/>
      <c r="R187" s="200"/>
      <c r="S187" s="200"/>
      <c r="T187" s="99"/>
      <c r="U187" s="200"/>
      <c r="V187" s="306"/>
      <c r="W187" s="200"/>
      <c r="X187" s="200"/>
      <c r="Y187" s="200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  <c r="AN187" s="99"/>
      <c r="AO187" s="99"/>
      <c r="AP187" s="99"/>
    </row>
    <row r="188" spans="2:42" ht="15" customHeight="1" x14ac:dyDescent="0.25">
      <c r="B188" s="276"/>
      <c r="C188" s="96"/>
      <c r="D188" s="97"/>
      <c r="E188" s="98"/>
      <c r="F188" s="99"/>
      <c r="G188" s="99"/>
      <c r="H188" s="99"/>
      <c r="I188" s="197"/>
      <c r="J188" s="99"/>
      <c r="K188" s="99"/>
      <c r="L188" s="131"/>
      <c r="M188" s="99"/>
      <c r="N188" s="99"/>
      <c r="P188" s="306"/>
      <c r="Q188" s="200"/>
      <c r="R188" s="200"/>
      <c r="S188" s="200"/>
      <c r="T188" s="99"/>
      <c r="U188" s="200"/>
      <c r="V188" s="306"/>
      <c r="W188" s="200"/>
      <c r="X188" s="200"/>
      <c r="Y188" s="200"/>
      <c r="Z188" s="99"/>
      <c r="AA188" s="99"/>
      <c r="AB188" s="99"/>
      <c r="AC188" s="99"/>
      <c r="AD188" s="99"/>
      <c r="AE188" s="99"/>
      <c r="AF188" s="99"/>
      <c r="AG188" s="99"/>
      <c r="AH188" s="99"/>
      <c r="AI188" s="99"/>
      <c r="AJ188" s="99"/>
      <c r="AK188" s="99"/>
      <c r="AL188" s="99"/>
      <c r="AM188" s="99"/>
      <c r="AN188" s="99"/>
      <c r="AO188" s="99"/>
      <c r="AP188" s="99"/>
    </row>
    <row r="189" spans="2:42" ht="15" customHeight="1" x14ac:dyDescent="0.25">
      <c r="B189" s="276"/>
      <c r="C189" s="96"/>
      <c r="D189" s="97"/>
      <c r="E189" s="98"/>
      <c r="F189" s="99"/>
      <c r="G189" s="99"/>
      <c r="H189" s="99"/>
      <c r="I189" s="197"/>
      <c r="J189" s="99"/>
      <c r="K189" s="99"/>
      <c r="L189" s="131"/>
      <c r="M189" s="99"/>
      <c r="N189" s="99"/>
      <c r="P189" s="306"/>
      <c r="Q189" s="200"/>
      <c r="R189" s="200"/>
      <c r="S189" s="200"/>
      <c r="T189" s="99"/>
      <c r="U189" s="200"/>
      <c r="V189" s="306"/>
      <c r="W189" s="200"/>
      <c r="X189" s="200"/>
      <c r="Y189" s="200"/>
      <c r="Z189" s="99"/>
      <c r="AA189" s="99"/>
      <c r="AB189" s="99"/>
      <c r="AC189" s="99"/>
      <c r="AD189" s="99"/>
      <c r="AE189" s="99"/>
      <c r="AF189" s="99"/>
      <c r="AG189" s="99"/>
      <c r="AH189" s="99"/>
      <c r="AI189" s="99"/>
      <c r="AJ189" s="99"/>
      <c r="AK189" s="99"/>
      <c r="AL189" s="99"/>
      <c r="AM189" s="99"/>
      <c r="AN189" s="99"/>
      <c r="AO189" s="99"/>
      <c r="AP189" s="99"/>
    </row>
    <row r="190" spans="2:42" ht="15" customHeight="1" x14ac:dyDescent="0.25">
      <c r="B190" s="276"/>
      <c r="C190" s="96"/>
      <c r="D190" s="97"/>
      <c r="E190" s="98"/>
      <c r="F190" s="99"/>
      <c r="G190" s="99"/>
      <c r="H190" s="99"/>
      <c r="I190" s="197"/>
      <c r="J190" s="99"/>
      <c r="K190" s="99"/>
      <c r="L190" s="131"/>
      <c r="M190" s="99"/>
      <c r="N190" s="99"/>
      <c r="P190" s="306"/>
      <c r="Q190" s="200"/>
      <c r="R190" s="200"/>
      <c r="S190" s="200"/>
      <c r="T190" s="99"/>
      <c r="U190" s="200"/>
      <c r="V190" s="306"/>
      <c r="W190" s="200"/>
      <c r="X190" s="200"/>
      <c r="Y190" s="200"/>
      <c r="Z190" s="99"/>
      <c r="AA190" s="99"/>
      <c r="AB190" s="99"/>
      <c r="AC190" s="99"/>
      <c r="AD190" s="99"/>
      <c r="AE190" s="99"/>
      <c r="AF190" s="99"/>
      <c r="AG190" s="99"/>
      <c r="AH190" s="99"/>
      <c r="AI190" s="99"/>
      <c r="AJ190" s="99"/>
      <c r="AK190" s="99"/>
      <c r="AL190" s="99"/>
      <c r="AM190" s="99"/>
      <c r="AN190" s="99"/>
      <c r="AO190" s="99"/>
      <c r="AP190" s="99"/>
    </row>
    <row r="191" spans="2:42" ht="15" customHeight="1" x14ac:dyDescent="0.25">
      <c r="B191" s="276"/>
      <c r="C191" s="96"/>
      <c r="D191" s="97"/>
      <c r="E191" s="98"/>
      <c r="F191" s="99"/>
      <c r="G191" s="99"/>
      <c r="H191" s="99"/>
      <c r="I191" s="197"/>
      <c r="J191" s="99"/>
      <c r="K191" s="99"/>
      <c r="L191" s="131"/>
      <c r="M191" s="99"/>
      <c r="N191" s="99"/>
      <c r="P191" s="306"/>
      <c r="Q191" s="200"/>
      <c r="R191" s="200"/>
      <c r="S191" s="200"/>
      <c r="T191" s="99"/>
      <c r="U191" s="200"/>
      <c r="V191" s="306"/>
      <c r="W191" s="200"/>
      <c r="X191" s="200"/>
      <c r="Y191" s="200"/>
      <c r="Z191" s="99"/>
      <c r="AA191" s="99"/>
      <c r="AB191" s="99"/>
      <c r="AC191" s="99"/>
      <c r="AD191" s="99"/>
      <c r="AE191" s="99"/>
      <c r="AF191" s="99"/>
      <c r="AG191" s="99"/>
      <c r="AH191" s="99"/>
      <c r="AI191" s="99"/>
      <c r="AJ191" s="99"/>
      <c r="AK191" s="99"/>
      <c r="AL191" s="99"/>
      <c r="AM191" s="99"/>
      <c r="AN191" s="99"/>
      <c r="AO191" s="99"/>
      <c r="AP191" s="99"/>
    </row>
    <row r="192" spans="2:42" ht="15" customHeight="1" x14ac:dyDescent="0.25">
      <c r="B192" s="276"/>
      <c r="C192" s="96"/>
      <c r="D192" s="97"/>
      <c r="E192" s="98"/>
      <c r="F192" s="99"/>
      <c r="G192" s="99"/>
      <c r="H192" s="99"/>
      <c r="I192" s="197"/>
      <c r="J192" s="99"/>
      <c r="K192" s="99"/>
      <c r="L192" s="131"/>
      <c r="M192" s="99"/>
      <c r="N192" s="99"/>
      <c r="P192" s="306"/>
      <c r="Q192" s="200"/>
      <c r="R192" s="200"/>
      <c r="S192" s="200"/>
      <c r="T192" s="99"/>
      <c r="U192" s="200"/>
      <c r="V192" s="306"/>
      <c r="W192" s="200"/>
      <c r="X192" s="200"/>
      <c r="Y192" s="200"/>
      <c r="Z192" s="99"/>
      <c r="AA192" s="99"/>
      <c r="AB192" s="99"/>
      <c r="AC192" s="99"/>
      <c r="AD192" s="99"/>
      <c r="AE192" s="99"/>
      <c r="AF192" s="99"/>
      <c r="AG192" s="99"/>
      <c r="AH192" s="99"/>
      <c r="AI192" s="99"/>
      <c r="AJ192" s="99"/>
      <c r="AK192" s="99"/>
      <c r="AL192" s="99"/>
      <c r="AM192" s="99"/>
      <c r="AN192" s="99"/>
      <c r="AO192" s="99"/>
      <c r="AP192" s="99"/>
    </row>
    <row r="193" spans="2:42" ht="15" customHeight="1" x14ac:dyDescent="0.25">
      <c r="B193" s="276"/>
      <c r="C193" s="96"/>
      <c r="D193" s="97"/>
      <c r="E193" s="98"/>
      <c r="F193" s="99"/>
      <c r="G193" s="99"/>
      <c r="H193" s="99"/>
      <c r="I193" s="197"/>
      <c r="J193" s="99"/>
      <c r="K193" s="99"/>
      <c r="L193" s="131"/>
      <c r="M193" s="99"/>
      <c r="N193" s="99"/>
      <c r="P193" s="306"/>
      <c r="Q193" s="200"/>
      <c r="R193" s="200"/>
      <c r="S193" s="200"/>
      <c r="T193" s="99"/>
      <c r="U193" s="200"/>
      <c r="V193" s="306"/>
      <c r="W193" s="200"/>
      <c r="X193" s="200"/>
      <c r="Y193" s="200"/>
      <c r="Z193" s="99"/>
      <c r="AA193" s="99"/>
      <c r="AB193" s="99"/>
      <c r="AC193" s="99"/>
      <c r="AD193" s="99"/>
      <c r="AE193" s="99"/>
      <c r="AF193" s="99"/>
      <c r="AG193" s="99"/>
      <c r="AH193" s="99"/>
      <c r="AI193" s="99"/>
      <c r="AJ193" s="99"/>
      <c r="AK193" s="99"/>
      <c r="AL193" s="99"/>
      <c r="AM193" s="99"/>
      <c r="AN193" s="99"/>
      <c r="AO193" s="99"/>
      <c r="AP193" s="99"/>
    </row>
    <row r="194" spans="2:42" ht="15" customHeight="1" x14ac:dyDescent="0.25">
      <c r="B194" s="276"/>
      <c r="C194" s="96"/>
      <c r="D194" s="97"/>
      <c r="E194" s="98"/>
      <c r="F194" s="99"/>
      <c r="G194" s="99"/>
      <c r="H194" s="99"/>
      <c r="I194" s="197"/>
      <c r="J194" s="99"/>
      <c r="K194" s="99"/>
      <c r="L194" s="131"/>
      <c r="M194" s="99"/>
      <c r="N194" s="99"/>
      <c r="P194" s="306"/>
      <c r="Q194" s="200"/>
      <c r="R194" s="200"/>
      <c r="S194" s="200"/>
      <c r="T194" s="99"/>
      <c r="U194" s="200"/>
      <c r="V194" s="306"/>
      <c r="W194" s="200"/>
      <c r="X194" s="200"/>
      <c r="Y194" s="200"/>
      <c r="Z194" s="99"/>
      <c r="AA194" s="99"/>
      <c r="AB194" s="99"/>
      <c r="AC194" s="99"/>
      <c r="AD194" s="99"/>
      <c r="AE194" s="99"/>
      <c r="AF194" s="99"/>
      <c r="AG194" s="99"/>
      <c r="AH194" s="99"/>
      <c r="AI194" s="99"/>
      <c r="AJ194" s="99"/>
      <c r="AK194" s="99"/>
      <c r="AL194" s="99"/>
      <c r="AM194" s="99"/>
      <c r="AN194" s="99"/>
      <c r="AO194" s="99"/>
      <c r="AP194" s="99"/>
    </row>
    <row r="195" spans="2:42" ht="15" customHeight="1" x14ac:dyDescent="0.25">
      <c r="B195" s="276"/>
      <c r="C195" s="96"/>
      <c r="D195" s="97"/>
      <c r="E195" s="98"/>
      <c r="F195" s="99"/>
      <c r="G195" s="99"/>
      <c r="H195" s="99"/>
      <c r="I195" s="197"/>
      <c r="J195" s="99"/>
      <c r="K195" s="99"/>
      <c r="L195" s="131"/>
      <c r="M195" s="99"/>
      <c r="N195" s="99"/>
      <c r="P195" s="306"/>
      <c r="Q195" s="200"/>
      <c r="R195" s="200"/>
      <c r="S195" s="200"/>
      <c r="T195" s="99"/>
      <c r="U195" s="200"/>
      <c r="V195" s="306"/>
      <c r="W195" s="200"/>
      <c r="X195" s="200"/>
      <c r="Y195" s="200"/>
      <c r="Z195" s="99"/>
      <c r="AA195" s="99"/>
      <c r="AB195" s="99"/>
      <c r="AC195" s="99"/>
      <c r="AD195" s="99"/>
      <c r="AE195" s="99"/>
      <c r="AF195" s="99"/>
      <c r="AG195" s="99"/>
      <c r="AH195" s="99"/>
      <c r="AI195" s="99"/>
      <c r="AJ195" s="99"/>
      <c r="AK195" s="99"/>
      <c r="AL195" s="99"/>
      <c r="AM195" s="99"/>
      <c r="AN195" s="99"/>
      <c r="AO195" s="99"/>
      <c r="AP195" s="99"/>
    </row>
    <row r="196" spans="2:42" ht="15" customHeight="1" x14ac:dyDescent="0.25">
      <c r="B196" s="276"/>
      <c r="C196" s="96"/>
      <c r="D196" s="97"/>
      <c r="E196" s="98"/>
      <c r="F196" s="99"/>
      <c r="G196" s="99"/>
      <c r="H196" s="99"/>
      <c r="I196" s="197"/>
      <c r="J196" s="99"/>
      <c r="K196" s="99"/>
      <c r="L196" s="131"/>
      <c r="M196" s="99"/>
      <c r="N196" s="99"/>
      <c r="P196" s="306"/>
      <c r="Q196" s="200"/>
      <c r="R196" s="200"/>
      <c r="S196" s="200"/>
      <c r="T196" s="99"/>
      <c r="U196" s="200"/>
      <c r="V196" s="306"/>
      <c r="W196" s="200"/>
      <c r="X196" s="200"/>
      <c r="Y196" s="200"/>
      <c r="Z196" s="99"/>
      <c r="AA196" s="99"/>
      <c r="AB196" s="99"/>
      <c r="AC196" s="99"/>
      <c r="AD196" s="99"/>
      <c r="AE196" s="99"/>
      <c r="AF196" s="99"/>
      <c r="AG196" s="99"/>
      <c r="AH196" s="99"/>
      <c r="AI196" s="99"/>
      <c r="AJ196" s="99"/>
      <c r="AK196" s="99"/>
      <c r="AL196" s="99"/>
      <c r="AM196" s="99"/>
      <c r="AN196" s="99"/>
      <c r="AO196" s="99"/>
      <c r="AP196" s="99"/>
    </row>
    <row r="197" spans="2:42" ht="15" customHeight="1" x14ac:dyDescent="0.25">
      <c r="B197" s="276"/>
      <c r="C197" s="96"/>
      <c r="D197" s="97"/>
      <c r="E197" s="98"/>
      <c r="F197" s="99"/>
      <c r="G197" s="99"/>
      <c r="H197" s="99"/>
      <c r="I197" s="197"/>
      <c r="J197" s="99"/>
      <c r="K197" s="99"/>
      <c r="L197" s="131"/>
      <c r="M197" s="99"/>
      <c r="N197" s="99"/>
      <c r="P197" s="306"/>
      <c r="Q197" s="200"/>
      <c r="R197" s="200"/>
      <c r="S197" s="200"/>
      <c r="T197" s="99"/>
      <c r="U197" s="200"/>
      <c r="V197" s="306"/>
      <c r="W197" s="200"/>
      <c r="X197" s="200"/>
      <c r="Y197" s="200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  <c r="AJ197" s="99"/>
      <c r="AK197" s="99"/>
      <c r="AL197" s="99"/>
      <c r="AM197" s="99"/>
      <c r="AN197" s="99"/>
      <c r="AO197" s="99"/>
      <c r="AP197" s="99"/>
    </row>
    <row r="198" spans="2:42" ht="15" customHeight="1" x14ac:dyDescent="0.25">
      <c r="B198" s="276"/>
      <c r="C198" s="96"/>
      <c r="D198" s="97"/>
      <c r="E198" s="98"/>
      <c r="F198" s="99"/>
      <c r="G198" s="99"/>
      <c r="H198" s="99"/>
      <c r="I198" s="197"/>
      <c r="J198" s="99"/>
      <c r="K198" s="99"/>
      <c r="L198" s="131"/>
      <c r="M198" s="99"/>
      <c r="N198" s="99"/>
      <c r="T198" s="99"/>
      <c r="U198" s="200"/>
      <c r="V198" s="306"/>
      <c r="W198" s="200"/>
      <c r="X198" s="200"/>
      <c r="Y198" s="200"/>
      <c r="Z198" s="99"/>
      <c r="AA198" s="99"/>
      <c r="AB198" s="99"/>
      <c r="AC198" s="99"/>
      <c r="AD198" s="99"/>
      <c r="AE198" s="99"/>
      <c r="AF198" s="99"/>
      <c r="AG198" s="99"/>
      <c r="AH198" s="99"/>
      <c r="AI198" s="99"/>
      <c r="AJ198" s="99"/>
      <c r="AK198" s="99"/>
      <c r="AL198" s="99"/>
      <c r="AM198" s="99"/>
      <c r="AN198" s="99"/>
      <c r="AO198" s="99"/>
      <c r="AP198" s="99"/>
    </row>
    <row r="199" spans="2:42" ht="15" customHeight="1" x14ac:dyDescent="0.25">
      <c r="B199" s="276"/>
      <c r="C199" s="96"/>
      <c r="D199" s="97"/>
      <c r="E199" s="98"/>
      <c r="F199" s="99"/>
      <c r="G199" s="99"/>
      <c r="H199" s="99"/>
      <c r="I199" s="197"/>
      <c r="J199" s="99"/>
      <c r="K199" s="99"/>
      <c r="L199" s="131"/>
      <c r="M199" s="99"/>
      <c r="N199" s="99"/>
      <c r="T199" s="99"/>
      <c r="U199" s="200"/>
      <c r="V199" s="306"/>
      <c r="W199" s="200"/>
      <c r="X199" s="200"/>
      <c r="Y199" s="200"/>
      <c r="Z199" s="99"/>
      <c r="AA199" s="99"/>
      <c r="AB199" s="99"/>
      <c r="AC199" s="99"/>
      <c r="AD199" s="99"/>
      <c r="AE199" s="99"/>
      <c r="AF199" s="99"/>
      <c r="AG199" s="99"/>
      <c r="AH199" s="99"/>
      <c r="AI199" s="99"/>
      <c r="AJ199" s="99"/>
      <c r="AK199" s="99"/>
      <c r="AL199" s="99"/>
      <c r="AM199" s="99"/>
      <c r="AN199" s="99"/>
      <c r="AO199" s="99"/>
      <c r="AP199" s="99"/>
    </row>
    <row r="200" spans="2:42" ht="15" customHeight="1" x14ac:dyDescent="0.25">
      <c r="B200" s="276"/>
      <c r="C200" s="96"/>
      <c r="D200" s="97"/>
      <c r="E200" s="98"/>
      <c r="F200" s="99"/>
      <c r="G200" s="99"/>
      <c r="H200" s="99"/>
      <c r="I200" s="197"/>
      <c r="J200" s="99"/>
      <c r="K200" s="99"/>
      <c r="L200" s="131"/>
      <c r="M200" s="99"/>
      <c r="N200" s="99"/>
      <c r="T200" s="99"/>
      <c r="U200" s="200"/>
      <c r="V200" s="306"/>
      <c r="W200" s="200"/>
      <c r="X200" s="200"/>
      <c r="Y200" s="200"/>
      <c r="Z200" s="99"/>
      <c r="AA200" s="99"/>
      <c r="AB200" s="99"/>
      <c r="AC200" s="99"/>
      <c r="AD200" s="99"/>
      <c r="AE200" s="99"/>
      <c r="AF200" s="99"/>
      <c r="AG200" s="99"/>
      <c r="AH200" s="99"/>
      <c r="AI200" s="99"/>
      <c r="AJ200" s="99"/>
      <c r="AK200" s="99"/>
      <c r="AL200" s="99"/>
      <c r="AM200" s="99"/>
      <c r="AN200" s="99"/>
      <c r="AO200" s="99"/>
      <c r="AP200" s="99"/>
    </row>
    <row r="201" spans="2:42" ht="15" customHeight="1" x14ac:dyDescent="0.25">
      <c r="B201" s="276"/>
      <c r="C201" s="96"/>
      <c r="D201" s="97"/>
      <c r="E201" s="98"/>
      <c r="F201" s="99"/>
      <c r="G201" s="99"/>
      <c r="H201" s="99"/>
      <c r="I201" s="197"/>
      <c r="J201" s="99"/>
      <c r="K201" s="99"/>
      <c r="L201" s="131"/>
      <c r="M201" s="99"/>
      <c r="N201" s="99"/>
      <c r="T201" s="99"/>
      <c r="U201" s="200"/>
      <c r="V201" s="306"/>
      <c r="W201" s="200"/>
      <c r="X201" s="200"/>
      <c r="Y201" s="200"/>
      <c r="Z201" s="99"/>
      <c r="AA201" s="99"/>
      <c r="AB201" s="99"/>
      <c r="AC201" s="99"/>
      <c r="AD201" s="99"/>
      <c r="AE201" s="99"/>
      <c r="AF201" s="99"/>
      <c r="AG201" s="99"/>
      <c r="AH201" s="99"/>
      <c r="AI201" s="99"/>
      <c r="AJ201" s="99"/>
      <c r="AK201" s="99"/>
      <c r="AL201" s="99"/>
      <c r="AM201" s="99"/>
      <c r="AN201" s="99"/>
      <c r="AO201" s="99"/>
      <c r="AP201" s="99"/>
    </row>
    <row r="202" spans="2:42" ht="15" customHeight="1" x14ac:dyDescent="0.25">
      <c r="B202" s="276"/>
      <c r="C202" s="96"/>
      <c r="D202" s="97"/>
      <c r="E202" s="98"/>
      <c r="F202" s="99"/>
      <c r="G202" s="99"/>
      <c r="H202" s="99"/>
      <c r="I202" s="197"/>
      <c r="J202" s="99"/>
      <c r="K202" s="99"/>
      <c r="L202" s="131"/>
      <c r="M202" s="99"/>
      <c r="N202" s="99"/>
      <c r="T202" s="99"/>
      <c r="U202" s="200"/>
      <c r="V202" s="306"/>
      <c r="W202" s="200"/>
      <c r="X202" s="200"/>
      <c r="Y202" s="200"/>
      <c r="Z202" s="99"/>
      <c r="AA202" s="99"/>
      <c r="AB202" s="99"/>
      <c r="AC202" s="99"/>
      <c r="AD202" s="99"/>
      <c r="AE202" s="99"/>
      <c r="AF202" s="99"/>
      <c r="AG202" s="99"/>
      <c r="AH202" s="99"/>
      <c r="AI202" s="99"/>
      <c r="AJ202" s="99"/>
      <c r="AK202" s="99"/>
      <c r="AL202" s="99"/>
      <c r="AM202" s="99"/>
      <c r="AN202" s="99"/>
      <c r="AO202" s="99"/>
      <c r="AP202" s="99"/>
    </row>
    <row r="203" spans="2:42" ht="15" customHeight="1" x14ac:dyDescent="0.25">
      <c r="B203" s="276"/>
      <c r="C203" s="96"/>
      <c r="D203" s="97"/>
      <c r="E203" s="98"/>
      <c r="F203" s="99"/>
      <c r="G203" s="99"/>
      <c r="H203" s="99"/>
      <c r="I203" s="197"/>
      <c r="J203" s="99"/>
      <c r="K203" s="99"/>
      <c r="L203" s="131"/>
      <c r="M203" s="99"/>
      <c r="N203" s="99"/>
      <c r="T203" s="99"/>
      <c r="U203" s="200"/>
      <c r="V203" s="306"/>
      <c r="W203" s="200"/>
      <c r="X203" s="200"/>
      <c r="Y203" s="200"/>
      <c r="Z203" s="99"/>
      <c r="AA203" s="99"/>
      <c r="AB203" s="99"/>
      <c r="AC203" s="99"/>
      <c r="AD203" s="99"/>
      <c r="AE203" s="99"/>
      <c r="AF203" s="99"/>
      <c r="AG203" s="99"/>
      <c r="AH203" s="99"/>
      <c r="AI203" s="99"/>
      <c r="AJ203" s="99"/>
      <c r="AK203" s="99"/>
      <c r="AL203" s="99"/>
      <c r="AM203" s="99"/>
      <c r="AN203" s="99"/>
      <c r="AO203" s="99"/>
      <c r="AP203" s="99"/>
    </row>
    <row r="204" spans="2:42" ht="15" customHeight="1" x14ac:dyDescent="0.25">
      <c r="B204" s="276"/>
      <c r="C204" s="96"/>
      <c r="D204" s="97"/>
      <c r="E204" s="98"/>
      <c r="F204" s="99"/>
      <c r="G204" s="99"/>
      <c r="H204" s="99"/>
      <c r="I204" s="197"/>
      <c r="J204" s="99"/>
      <c r="K204" s="99"/>
      <c r="L204" s="131"/>
      <c r="M204" s="99"/>
      <c r="N204" s="99"/>
      <c r="T204" s="99"/>
      <c r="U204" s="200"/>
      <c r="V204" s="306"/>
      <c r="W204" s="200"/>
      <c r="X204" s="200"/>
      <c r="Y204" s="200"/>
      <c r="Z204" s="99"/>
      <c r="AA204" s="99"/>
      <c r="AB204" s="99"/>
      <c r="AC204" s="99"/>
      <c r="AD204" s="99"/>
      <c r="AE204" s="99"/>
      <c r="AF204" s="99"/>
      <c r="AG204" s="99"/>
      <c r="AH204" s="99"/>
      <c r="AI204" s="99"/>
      <c r="AJ204" s="99"/>
      <c r="AK204" s="99"/>
      <c r="AL204" s="99"/>
      <c r="AM204" s="99"/>
      <c r="AN204" s="99"/>
      <c r="AO204" s="99"/>
      <c r="AP204" s="99"/>
    </row>
    <row r="205" spans="2:42" ht="15" customHeight="1" x14ac:dyDescent="0.25">
      <c r="B205" s="276"/>
      <c r="C205" s="96"/>
      <c r="D205" s="97"/>
      <c r="E205" s="98"/>
      <c r="F205" s="99"/>
      <c r="G205" s="99"/>
      <c r="H205" s="99"/>
      <c r="I205" s="197"/>
      <c r="J205" s="99"/>
      <c r="K205" s="99"/>
      <c r="L205" s="131"/>
      <c r="M205" s="99"/>
      <c r="N205" s="99"/>
      <c r="T205" s="99"/>
      <c r="U205" s="200"/>
      <c r="V205" s="306"/>
      <c r="W205" s="200"/>
      <c r="X205" s="200"/>
      <c r="Y205" s="200"/>
      <c r="Z205" s="99"/>
      <c r="AA205" s="99"/>
      <c r="AB205" s="99"/>
      <c r="AC205" s="99"/>
      <c r="AD205" s="99"/>
      <c r="AE205" s="99"/>
      <c r="AF205" s="99"/>
      <c r="AG205" s="99"/>
      <c r="AH205" s="99"/>
      <c r="AI205" s="99"/>
      <c r="AJ205" s="99"/>
      <c r="AK205" s="99"/>
      <c r="AL205" s="99"/>
      <c r="AM205" s="99"/>
      <c r="AN205" s="99"/>
      <c r="AO205" s="99"/>
      <c r="AP205" s="99"/>
    </row>
    <row r="206" spans="2:42" ht="15" customHeight="1" x14ac:dyDescent="0.25">
      <c r="B206" s="276"/>
      <c r="C206" s="96"/>
      <c r="D206" s="97"/>
      <c r="E206" s="98"/>
      <c r="F206" s="99"/>
      <c r="G206" s="99"/>
      <c r="H206" s="99"/>
      <c r="I206" s="197"/>
      <c r="J206" s="99"/>
      <c r="K206" s="99"/>
      <c r="L206" s="131"/>
      <c r="M206" s="99"/>
      <c r="N206" s="99"/>
      <c r="T206" s="99"/>
      <c r="U206" s="200"/>
      <c r="V206" s="306"/>
      <c r="W206" s="200"/>
      <c r="X206" s="200"/>
      <c r="Y206" s="200"/>
      <c r="Z206" s="99"/>
      <c r="AA206" s="99"/>
      <c r="AB206" s="99"/>
      <c r="AC206" s="99"/>
      <c r="AD206" s="99"/>
      <c r="AE206" s="99"/>
      <c r="AF206" s="99"/>
      <c r="AG206" s="99"/>
      <c r="AH206" s="99"/>
      <c r="AI206" s="99"/>
      <c r="AJ206" s="99"/>
      <c r="AK206" s="99"/>
      <c r="AL206" s="99"/>
      <c r="AM206" s="99"/>
      <c r="AN206" s="99"/>
      <c r="AO206" s="99"/>
      <c r="AP206" s="99"/>
    </row>
    <row r="207" spans="2:42" ht="15" customHeight="1" x14ac:dyDescent="0.25">
      <c r="B207" s="276"/>
      <c r="C207" s="96"/>
      <c r="D207" s="97"/>
      <c r="E207" s="98"/>
      <c r="F207" s="99"/>
      <c r="G207" s="99"/>
      <c r="H207" s="99"/>
      <c r="I207" s="197"/>
      <c r="J207" s="99"/>
      <c r="K207" s="99"/>
      <c r="L207" s="131"/>
      <c r="M207" s="99"/>
      <c r="N207" s="99"/>
      <c r="T207" s="99"/>
      <c r="W207" s="200"/>
      <c r="X207" s="200"/>
      <c r="Y207" s="200"/>
      <c r="Z207" s="99"/>
      <c r="AA207" s="99"/>
      <c r="AB207" s="99"/>
      <c r="AC207" s="99"/>
      <c r="AD207" s="99"/>
      <c r="AE207" s="99"/>
      <c r="AF207" s="99"/>
      <c r="AG207" s="99"/>
      <c r="AH207" s="99"/>
      <c r="AI207" s="99"/>
      <c r="AJ207" s="99"/>
      <c r="AK207" s="99"/>
      <c r="AL207" s="99"/>
      <c r="AM207" s="99"/>
      <c r="AN207" s="99"/>
      <c r="AO207" s="99"/>
      <c r="AP207" s="99"/>
    </row>
    <row r="208" spans="2:42" ht="15" customHeight="1" x14ac:dyDescent="0.25">
      <c r="B208" s="276"/>
      <c r="C208" s="96"/>
      <c r="D208" s="97"/>
      <c r="E208" s="98"/>
      <c r="F208" s="99"/>
      <c r="G208" s="99"/>
      <c r="H208" s="99"/>
      <c r="I208" s="197"/>
      <c r="J208" s="99"/>
      <c r="K208" s="99"/>
      <c r="L208" s="131"/>
      <c r="M208" s="99"/>
      <c r="N208" s="99"/>
      <c r="T208" s="99"/>
      <c r="W208" s="200"/>
      <c r="X208" s="200"/>
      <c r="Y208" s="200"/>
      <c r="Z208" s="99"/>
      <c r="AA208" s="99"/>
      <c r="AB208" s="99"/>
      <c r="AC208" s="99"/>
      <c r="AD208" s="99"/>
      <c r="AE208" s="99"/>
      <c r="AF208" s="99"/>
      <c r="AG208" s="99"/>
      <c r="AH208" s="99"/>
      <c r="AI208" s="99"/>
      <c r="AJ208" s="99"/>
      <c r="AK208" s="99"/>
      <c r="AL208" s="99"/>
      <c r="AM208" s="99"/>
      <c r="AN208" s="99"/>
      <c r="AO208" s="99"/>
      <c r="AP208" s="99"/>
    </row>
    <row r="209" spans="2:42" ht="15" customHeight="1" x14ac:dyDescent="0.25">
      <c r="B209" s="276"/>
      <c r="C209" s="96"/>
      <c r="D209" s="97"/>
      <c r="E209" s="98"/>
      <c r="F209" s="99"/>
      <c r="G209" s="99"/>
      <c r="H209" s="99"/>
      <c r="I209" s="197"/>
      <c r="M209" s="99"/>
      <c r="N209" s="99"/>
      <c r="T209" s="99"/>
      <c r="W209" s="200"/>
      <c r="X209" s="200"/>
      <c r="Y209" s="200"/>
      <c r="Z209" s="99"/>
      <c r="AA209" s="99"/>
      <c r="AB209" s="99"/>
      <c r="AC209" s="99"/>
      <c r="AD209" s="99"/>
      <c r="AE209" s="99"/>
      <c r="AF209" s="99"/>
      <c r="AG209" s="99"/>
      <c r="AH209" s="99"/>
      <c r="AI209" s="99"/>
      <c r="AJ209" s="99"/>
      <c r="AK209" s="99"/>
      <c r="AL209" s="99"/>
      <c r="AM209" s="99"/>
      <c r="AN209" s="99"/>
      <c r="AO209" s="99"/>
      <c r="AP209" s="99"/>
    </row>
    <row r="210" spans="2:42" ht="15" customHeight="1" x14ac:dyDescent="0.25">
      <c r="B210" s="276"/>
      <c r="C210" s="96"/>
      <c r="D210" s="97"/>
      <c r="E210" s="98"/>
      <c r="F210" s="99"/>
      <c r="N210" s="99"/>
      <c r="T210" s="99"/>
      <c r="W210" s="200"/>
      <c r="X210" s="200"/>
      <c r="Y210" s="200"/>
      <c r="Z210" s="99"/>
      <c r="AA210" s="99"/>
      <c r="AB210" s="99"/>
      <c r="AC210" s="99"/>
      <c r="AD210" s="99"/>
      <c r="AE210" s="99"/>
      <c r="AF210" s="99"/>
      <c r="AG210" s="99"/>
      <c r="AH210" s="99"/>
      <c r="AI210" s="99"/>
      <c r="AJ210" s="99"/>
      <c r="AK210" s="99"/>
      <c r="AL210" s="99"/>
      <c r="AM210" s="99"/>
      <c r="AN210" s="99"/>
      <c r="AO210" s="99"/>
      <c r="AP210" s="99"/>
    </row>
    <row r="211" spans="2:42" ht="15" customHeight="1" x14ac:dyDescent="0.25">
      <c r="B211" s="276"/>
      <c r="C211" s="96"/>
      <c r="D211" s="97"/>
      <c r="E211" s="98"/>
      <c r="F211" s="99"/>
      <c r="N211" s="99"/>
      <c r="T211" s="99"/>
      <c r="W211" s="200"/>
      <c r="X211" s="200"/>
      <c r="Y211" s="200"/>
      <c r="Z211" s="99"/>
      <c r="AA211" s="99"/>
      <c r="AB211" s="99"/>
      <c r="AC211" s="99"/>
      <c r="AD211" s="99"/>
      <c r="AE211" s="99"/>
      <c r="AF211" s="99"/>
      <c r="AG211" s="99"/>
      <c r="AH211" s="99"/>
      <c r="AI211" s="99"/>
      <c r="AJ211" s="99"/>
      <c r="AK211" s="99"/>
      <c r="AL211" s="99"/>
      <c r="AM211" s="99"/>
      <c r="AN211" s="99"/>
      <c r="AO211" s="99"/>
      <c r="AP211" s="99"/>
    </row>
    <row r="212" spans="2:42" ht="15" customHeight="1" x14ac:dyDescent="0.25">
      <c r="B212" s="276"/>
      <c r="C212" s="96"/>
      <c r="D212" s="97"/>
      <c r="E212" s="98"/>
      <c r="F212" s="99"/>
      <c r="T212" s="99"/>
      <c r="W212" s="200"/>
      <c r="X212" s="200"/>
      <c r="Y212" s="200"/>
      <c r="Z212" s="99"/>
      <c r="AA212" s="99"/>
      <c r="AB212" s="99"/>
      <c r="AC212" s="99"/>
      <c r="AD212" s="99"/>
      <c r="AE212" s="99"/>
      <c r="AF212" s="99"/>
      <c r="AG212" s="99"/>
      <c r="AH212" s="99"/>
      <c r="AI212" s="99"/>
      <c r="AJ212" s="99"/>
      <c r="AK212" s="99"/>
      <c r="AL212" s="99"/>
      <c r="AM212" s="99"/>
      <c r="AN212" s="99"/>
      <c r="AO212" s="99"/>
      <c r="AP212" s="99"/>
    </row>
    <row r="213" spans="2:42" ht="15" customHeight="1" x14ac:dyDescent="0.25">
      <c r="W213" s="200"/>
      <c r="X213" s="200"/>
      <c r="Y213" s="200"/>
      <c r="Z213" s="99"/>
      <c r="AA213" s="99"/>
      <c r="AB213" s="99"/>
      <c r="AC213" s="99"/>
      <c r="AD213" s="99"/>
      <c r="AE213" s="99"/>
      <c r="AF213" s="99"/>
      <c r="AG213" s="99"/>
      <c r="AH213" s="99"/>
      <c r="AI213" s="99"/>
      <c r="AJ213" s="99"/>
      <c r="AK213" s="99"/>
      <c r="AL213" s="99"/>
      <c r="AM213" s="99"/>
      <c r="AN213" s="99"/>
      <c r="AO213" s="99"/>
      <c r="AP213" s="99"/>
    </row>
    <row r="214" spans="2:42" ht="15" customHeight="1" x14ac:dyDescent="0.25">
      <c r="W214" s="200"/>
      <c r="X214" s="200"/>
      <c r="Y214" s="200"/>
      <c r="Z214" s="99"/>
      <c r="AA214" s="99"/>
      <c r="AB214" s="99"/>
      <c r="AC214" s="99"/>
      <c r="AD214" s="99"/>
      <c r="AE214" s="99"/>
      <c r="AF214" s="99"/>
      <c r="AG214" s="99"/>
      <c r="AH214" s="99"/>
      <c r="AI214" s="99"/>
      <c r="AJ214" s="99"/>
      <c r="AK214" s="99"/>
      <c r="AL214" s="99"/>
      <c r="AM214" s="99"/>
      <c r="AN214" s="99"/>
      <c r="AO214" s="99"/>
      <c r="AP214" s="99"/>
    </row>
    <row r="215" spans="2:42" ht="15" customHeight="1" x14ac:dyDescent="0.25">
      <c r="W215" s="200"/>
      <c r="X215" s="200"/>
      <c r="Y215" s="200"/>
      <c r="Z215" s="99"/>
      <c r="AA215" s="99"/>
      <c r="AB215" s="99"/>
      <c r="AC215" s="99"/>
      <c r="AD215" s="99"/>
      <c r="AE215" s="99"/>
      <c r="AF215" s="99"/>
      <c r="AG215" s="99"/>
      <c r="AH215" s="99"/>
      <c r="AI215" s="99"/>
      <c r="AJ215" s="99"/>
      <c r="AK215" s="99"/>
      <c r="AL215" s="99"/>
      <c r="AM215" s="99"/>
      <c r="AN215" s="99"/>
      <c r="AO215" s="99"/>
      <c r="AP215" s="99"/>
    </row>
    <row r="216" spans="2:42" ht="15" customHeight="1" x14ac:dyDescent="0.25">
      <c r="W216" s="200"/>
      <c r="X216" s="200"/>
      <c r="Y216" s="200"/>
      <c r="Z216" s="99"/>
      <c r="AA216" s="99"/>
      <c r="AB216" s="99"/>
      <c r="AC216" s="99"/>
      <c r="AD216" s="99"/>
      <c r="AE216" s="99"/>
      <c r="AF216" s="99"/>
      <c r="AG216" s="99"/>
      <c r="AH216" s="99"/>
      <c r="AI216" s="99"/>
      <c r="AJ216" s="99"/>
      <c r="AK216" s="99"/>
      <c r="AL216" s="99"/>
      <c r="AM216" s="99"/>
      <c r="AN216" s="99"/>
      <c r="AO216" s="99"/>
      <c r="AP216" s="99"/>
    </row>
    <row r="217" spans="2:42" ht="15" customHeight="1" x14ac:dyDescent="0.25">
      <c r="W217" s="200"/>
      <c r="X217" s="200"/>
      <c r="Y217" s="200"/>
      <c r="Z217" s="99"/>
      <c r="AA217" s="99"/>
      <c r="AB217" s="99"/>
      <c r="AC217" s="99"/>
      <c r="AD217" s="99"/>
      <c r="AE217" s="99"/>
      <c r="AF217" s="99"/>
      <c r="AG217" s="99"/>
      <c r="AH217" s="99"/>
      <c r="AI217" s="99"/>
      <c r="AJ217" s="99"/>
      <c r="AK217" s="99"/>
      <c r="AL217" s="99"/>
      <c r="AM217" s="99"/>
      <c r="AN217" s="99"/>
      <c r="AO217" s="99"/>
      <c r="AP217" s="99"/>
    </row>
    <row r="218" spans="2:42" ht="15" customHeight="1" x14ac:dyDescent="0.25">
      <c r="W218" s="200"/>
      <c r="X218" s="200"/>
      <c r="Y218" s="200"/>
      <c r="Z218" s="99"/>
      <c r="AA218" s="99"/>
      <c r="AB218" s="99"/>
      <c r="AC218" s="99"/>
      <c r="AD218" s="99"/>
      <c r="AE218" s="99"/>
      <c r="AF218" s="99"/>
      <c r="AG218" s="99"/>
      <c r="AH218" s="99"/>
      <c r="AI218" s="99"/>
      <c r="AJ218" s="99"/>
      <c r="AK218" s="99"/>
      <c r="AL218" s="99"/>
      <c r="AM218" s="99"/>
      <c r="AN218" s="99"/>
      <c r="AO218" s="99"/>
      <c r="AP218" s="99"/>
    </row>
    <row r="219" spans="2:42" ht="15" customHeight="1" x14ac:dyDescent="0.25">
      <c r="W219" s="200"/>
      <c r="X219" s="200"/>
      <c r="Y219" s="200"/>
      <c r="Z219" s="99"/>
      <c r="AA219" s="99"/>
      <c r="AB219" s="99"/>
      <c r="AC219" s="99"/>
      <c r="AD219" s="99"/>
      <c r="AE219" s="99"/>
      <c r="AF219" s="99"/>
      <c r="AG219" s="99"/>
      <c r="AH219" s="99"/>
      <c r="AI219" s="99"/>
      <c r="AJ219" s="99"/>
      <c r="AK219" s="99"/>
      <c r="AL219" s="99"/>
      <c r="AM219" s="99"/>
      <c r="AN219" s="99"/>
      <c r="AO219" s="99"/>
      <c r="AP219" s="99"/>
    </row>
    <row r="220" spans="2:42" ht="15" customHeight="1" x14ac:dyDescent="0.25">
      <c r="W220" s="200"/>
      <c r="X220" s="200"/>
      <c r="Y220" s="200"/>
      <c r="Z220" s="99"/>
      <c r="AA220" s="99"/>
      <c r="AB220" s="99"/>
      <c r="AC220" s="99"/>
      <c r="AD220" s="99"/>
      <c r="AE220" s="99"/>
      <c r="AF220" s="99"/>
      <c r="AG220" s="99"/>
      <c r="AH220" s="99"/>
      <c r="AI220" s="99"/>
      <c r="AJ220" s="99"/>
      <c r="AK220" s="99"/>
      <c r="AL220" s="99"/>
      <c r="AM220" s="99"/>
      <c r="AN220" s="99"/>
      <c r="AO220" s="99"/>
      <c r="AP220" s="99"/>
    </row>
    <row r="221" spans="2:42" ht="15" customHeight="1" x14ac:dyDescent="0.25">
      <c r="W221" s="200"/>
      <c r="X221" s="200"/>
      <c r="Y221" s="200"/>
      <c r="Z221" s="99"/>
      <c r="AA221" s="99"/>
      <c r="AB221" s="99"/>
      <c r="AC221" s="99"/>
      <c r="AD221" s="99"/>
      <c r="AE221" s="99"/>
      <c r="AF221" s="99"/>
      <c r="AG221" s="99"/>
      <c r="AH221" s="99"/>
      <c r="AI221" s="99"/>
      <c r="AJ221" s="99"/>
      <c r="AK221" s="99"/>
      <c r="AL221" s="99"/>
      <c r="AM221" s="99"/>
      <c r="AN221" s="99"/>
      <c r="AO221" s="99"/>
      <c r="AP221" s="99"/>
    </row>
    <row r="222" spans="2:42" ht="15" customHeight="1" x14ac:dyDescent="0.25">
      <c r="W222" s="200"/>
      <c r="X222" s="200"/>
      <c r="Y222" s="200"/>
      <c r="Z222" s="99"/>
      <c r="AA222" s="99"/>
      <c r="AB222" s="99"/>
      <c r="AC222" s="99"/>
      <c r="AD222" s="99"/>
      <c r="AE222" s="99"/>
      <c r="AF222" s="99"/>
      <c r="AG222" s="99"/>
      <c r="AH222" s="99"/>
      <c r="AI222" s="99"/>
      <c r="AJ222" s="99"/>
      <c r="AK222" s="99"/>
      <c r="AL222" s="99"/>
      <c r="AM222" s="99"/>
      <c r="AN222" s="99"/>
      <c r="AO222" s="99"/>
      <c r="AP222" s="99"/>
    </row>
    <row r="223" spans="2:42" ht="15" customHeight="1" x14ac:dyDescent="0.25">
      <c r="W223" s="200"/>
      <c r="X223" s="200"/>
      <c r="Y223" s="200"/>
      <c r="Z223" s="99"/>
      <c r="AA223" s="99"/>
      <c r="AB223" s="99"/>
      <c r="AC223" s="99"/>
      <c r="AD223" s="99"/>
      <c r="AE223" s="99"/>
      <c r="AF223" s="99"/>
      <c r="AG223" s="99"/>
      <c r="AH223" s="99"/>
      <c r="AI223" s="99"/>
      <c r="AJ223" s="99"/>
      <c r="AK223" s="99"/>
      <c r="AL223" s="99"/>
      <c r="AM223" s="99"/>
      <c r="AN223" s="99"/>
      <c r="AO223" s="99"/>
      <c r="AP223" s="99"/>
    </row>
    <row r="224" spans="2:42" ht="15" customHeight="1" x14ac:dyDescent="0.25">
      <c r="W224" s="200"/>
      <c r="X224" s="200"/>
      <c r="Y224" s="200"/>
      <c r="Z224" s="99"/>
      <c r="AA224" s="99"/>
      <c r="AB224" s="99"/>
      <c r="AC224" s="99"/>
      <c r="AD224" s="99"/>
      <c r="AE224" s="99"/>
      <c r="AF224" s="99"/>
      <c r="AG224" s="99"/>
      <c r="AH224" s="99"/>
      <c r="AI224" s="99"/>
      <c r="AJ224" s="99"/>
      <c r="AK224" s="99"/>
      <c r="AL224" s="99"/>
      <c r="AM224" s="99"/>
      <c r="AN224" s="99"/>
      <c r="AO224" s="99"/>
      <c r="AP224" s="99"/>
    </row>
    <row r="225" spans="23:42" ht="15" customHeight="1" x14ac:dyDescent="0.25">
      <c r="W225" s="200"/>
      <c r="X225" s="200"/>
      <c r="Y225" s="200"/>
      <c r="Z225" s="99"/>
      <c r="AA225" s="99"/>
      <c r="AB225" s="99"/>
      <c r="AC225" s="99"/>
      <c r="AD225" s="99"/>
      <c r="AE225" s="99"/>
      <c r="AF225" s="99"/>
      <c r="AG225" s="99"/>
      <c r="AH225" s="99"/>
      <c r="AI225" s="99"/>
      <c r="AJ225" s="99"/>
      <c r="AK225" s="99"/>
      <c r="AL225" s="99"/>
      <c r="AM225" s="99"/>
      <c r="AN225" s="99"/>
      <c r="AO225" s="99"/>
      <c r="AP225" s="99"/>
    </row>
    <row r="226" spans="23:42" ht="15" customHeight="1" x14ac:dyDescent="0.25">
      <c r="W226" s="200"/>
      <c r="X226" s="200"/>
      <c r="Y226" s="200"/>
      <c r="Z226" s="99"/>
      <c r="AA226" s="99"/>
      <c r="AB226" s="99"/>
      <c r="AC226" s="99"/>
      <c r="AD226" s="99"/>
      <c r="AE226" s="99"/>
      <c r="AF226" s="99"/>
      <c r="AG226" s="99"/>
      <c r="AH226" s="99"/>
      <c r="AI226" s="99"/>
      <c r="AJ226" s="99"/>
      <c r="AK226" s="99"/>
      <c r="AL226" s="99"/>
      <c r="AM226" s="99"/>
      <c r="AN226" s="99"/>
      <c r="AO226" s="99"/>
      <c r="AP226" s="99"/>
    </row>
    <row r="227" spans="23:42" ht="15" customHeight="1" x14ac:dyDescent="0.25">
      <c r="W227" s="200"/>
      <c r="X227" s="200"/>
      <c r="Y227" s="200"/>
      <c r="Z227" s="99"/>
      <c r="AA227" s="99"/>
      <c r="AB227" s="99"/>
      <c r="AC227" s="99"/>
      <c r="AD227" s="99"/>
      <c r="AE227" s="99"/>
      <c r="AF227" s="99"/>
      <c r="AG227" s="99"/>
      <c r="AH227" s="99"/>
      <c r="AI227" s="99"/>
      <c r="AJ227" s="99"/>
      <c r="AK227" s="99"/>
      <c r="AL227" s="99"/>
      <c r="AM227" s="99"/>
      <c r="AN227" s="99"/>
      <c r="AO227" s="99"/>
      <c r="AP227" s="99"/>
    </row>
    <row r="228" spans="23:42" ht="15" customHeight="1" x14ac:dyDescent="0.25">
      <c r="W228" s="200"/>
      <c r="X228" s="200"/>
      <c r="Y228" s="200"/>
      <c r="Z228" s="99"/>
      <c r="AA228" s="99"/>
      <c r="AB228" s="99"/>
      <c r="AC228" s="99"/>
      <c r="AD228" s="99"/>
      <c r="AE228" s="99"/>
      <c r="AF228" s="99"/>
      <c r="AG228" s="99"/>
      <c r="AH228" s="99"/>
      <c r="AI228" s="99"/>
      <c r="AJ228" s="99"/>
      <c r="AK228" s="99"/>
      <c r="AL228" s="99"/>
      <c r="AM228" s="99"/>
      <c r="AN228" s="99"/>
      <c r="AO228" s="99"/>
      <c r="AP228" s="99"/>
    </row>
    <row r="229" spans="23:42" ht="15" customHeight="1" x14ac:dyDescent="0.25">
      <c r="W229" s="200"/>
      <c r="X229" s="200"/>
      <c r="Y229" s="200"/>
      <c r="Z229" s="99"/>
      <c r="AA229" s="99"/>
      <c r="AB229" s="99"/>
      <c r="AC229" s="99"/>
      <c r="AD229" s="99"/>
      <c r="AE229" s="99"/>
      <c r="AF229" s="99"/>
      <c r="AG229" s="99"/>
      <c r="AH229" s="99"/>
      <c r="AI229" s="99"/>
      <c r="AJ229" s="99"/>
      <c r="AK229" s="99"/>
      <c r="AL229" s="99"/>
      <c r="AM229" s="99"/>
      <c r="AN229" s="99"/>
      <c r="AO229" s="99"/>
      <c r="AP229" s="99"/>
    </row>
    <row r="230" spans="23:42" ht="15" customHeight="1" x14ac:dyDescent="0.25">
      <c r="W230" s="200"/>
      <c r="X230" s="200"/>
      <c r="Y230" s="200"/>
      <c r="Z230" s="99"/>
      <c r="AA230" s="99"/>
      <c r="AB230" s="99"/>
      <c r="AC230" s="99"/>
      <c r="AD230" s="99"/>
      <c r="AE230" s="99"/>
      <c r="AF230" s="99"/>
      <c r="AG230" s="99"/>
      <c r="AH230" s="99"/>
      <c r="AI230" s="99"/>
      <c r="AJ230" s="99"/>
      <c r="AK230" s="99"/>
      <c r="AL230" s="99"/>
      <c r="AM230" s="99"/>
      <c r="AN230" s="99"/>
      <c r="AO230" s="99"/>
      <c r="AP230" s="99"/>
    </row>
    <row r="231" spans="23:42" ht="15" customHeight="1" x14ac:dyDescent="0.25">
      <c r="W231" s="200"/>
      <c r="X231" s="200"/>
      <c r="Y231" s="200"/>
      <c r="Z231" s="99"/>
      <c r="AA231" s="99"/>
      <c r="AB231" s="99"/>
      <c r="AC231" s="99"/>
      <c r="AD231" s="99"/>
      <c r="AE231" s="99"/>
      <c r="AF231" s="99"/>
      <c r="AG231" s="99"/>
      <c r="AH231" s="99"/>
      <c r="AI231" s="99"/>
      <c r="AJ231" s="99"/>
      <c r="AK231" s="99"/>
      <c r="AL231" s="99"/>
      <c r="AM231" s="99"/>
      <c r="AN231" s="99"/>
      <c r="AO231" s="99"/>
      <c r="AP231" s="99"/>
    </row>
    <row r="232" spans="23:42" ht="15" customHeight="1" x14ac:dyDescent="0.25">
      <c r="W232" s="200"/>
      <c r="X232" s="200"/>
      <c r="Y232" s="200"/>
      <c r="Z232" s="99"/>
      <c r="AA232" s="99"/>
      <c r="AB232" s="99"/>
      <c r="AC232" s="99"/>
      <c r="AD232" s="99"/>
      <c r="AE232" s="99"/>
      <c r="AF232" s="99"/>
      <c r="AG232" s="99"/>
      <c r="AH232" s="99"/>
      <c r="AI232" s="99"/>
      <c r="AJ232" s="99"/>
      <c r="AK232" s="99"/>
      <c r="AL232" s="99"/>
      <c r="AM232" s="99"/>
      <c r="AN232" s="99"/>
      <c r="AO232" s="99"/>
      <c r="AP232" s="99"/>
    </row>
    <row r="233" spans="23:42" ht="15" customHeight="1" x14ac:dyDescent="0.25">
      <c r="W233" s="200"/>
      <c r="X233" s="200"/>
      <c r="Y233" s="200"/>
      <c r="Z233" s="99"/>
      <c r="AA233" s="99"/>
      <c r="AB233" s="99"/>
      <c r="AC233" s="99"/>
      <c r="AD233" s="99"/>
      <c r="AE233" s="99"/>
      <c r="AF233" s="99"/>
      <c r="AG233" s="99"/>
      <c r="AH233" s="99"/>
      <c r="AI233" s="99"/>
      <c r="AJ233" s="99"/>
      <c r="AK233" s="99"/>
      <c r="AL233" s="99"/>
      <c r="AM233" s="99"/>
      <c r="AN233" s="99"/>
      <c r="AO233" s="99"/>
      <c r="AP233" s="99"/>
    </row>
    <row r="234" spans="23:42" ht="15" customHeight="1" x14ac:dyDescent="0.25">
      <c r="W234" s="200"/>
      <c r="X234" s="200"/>
      <c r="Y234" s="200"/>
      <c r="Z234" s="99"/>
      <c r="AA234" s="99"/>
      <c r="AB234" s="99"/>
      <c r="AC234" s="99"/>
      <c r="AD234" s="99"/>
      <c r="AE234" s="99"/>
      <c r="AF234" s="99"/>
      <c r="AG234" s="99"/>
      <c r="AH234" s="99"/>
      <c r="AI234" s="99"/>
      <c r="AJ234" s="99"/>
      <c r="AK234" s="99"/>
      <c r="AL234" s="99"/>
      <c r="AM234" s="99"/>
      <c r="AN234" s="99"/>
      <c r="AO234" s="99"/>
      <c r="AP234" s="99"/>
    </row>
    <row r="235" spans="23:42" ht="15" customHeight="1" x14ac:dyDescent="0.25">
      <c r="W235" s="200"/>
      <c r="X235" s="200"/>
      <c r="Y235" s="200"/>
      <c r="Z235" s="99"/>
      <c r="AA235" s="99"/>
      <c r="AB235" s="99"/>
      <c r="AC235" s="99"/>
      <c r="AD235" s="99"/>
      <c r="AE235" s="99"/>
      <c r="AF235" s="99"/>
      <c r="AG235" s="99"/>
      <c r="AH235" s="99"/>
      <c r="AI235" s="99"/>
      <c r="AJ235" s="99"/>
      <c r="AK235" s="99"/>
      <c r="AL235" s="99"/>
      <c r="AM235" s="99"/>
      <c r="AN235" s="99"/>
      <c r="AO235" s="99"/>
      <c r="AP235" s="99"/>
    </row>
    <row r="236" spans="23:42" ht="15" customHeight="1" x14ac:dyDescent="0.25">
      <c r="W236" s="200"/>
      <c r="X236" s="200"/>
      <c r="Y236" s="200"/>
      <c r="Z236" s="99"/>
      <c r="AA236" s="99"/>
      <c r="AB236" s="99"/>
      <c r="AC236" s="99"/>
      <c r="AD236" s="99"/>
      <c r="AE236" s="99"/>
      <c r="AF236" s="99"/>
      <c r="AG236" s="99"/>
      <c r="AH236" s="99"/>
      <c r="AI236" s="99"/>
      <c r="AJ236" s="99"/>
      <c r="AK236" s="99"/>
      <c r="AL236" s="99"/>
      <c r="AM236" s="99"/>
      <c r="AN236" s="99"/>
      <c r="AO236" s="99"/>
      <c r="AP236" s="99"/>
    </row>
    <row r="237" spans="23:42" ht="15" customHeight="1" x14ac:dyDescent="0.25">
      <c r="W237" s="200"/>
      <c r="X237" s="200"/>
      <c r="Y237" s="200"/>
      <c r="Z237" s="99"/>
      <c r="AA237" s="99"/>
      <c r="AB237" s="99"/>
      <c r="AC237" s="99"/>
      <c r="AD237" s="99"/>
      <c r="AE237" s="99"/>
      <c r="AF237" s="99"/>
      <c r="AG237" s="99"/>
      <c r="AH237" s="99"/>
      <c r="AI237" s="99"/>
      <c r="AJ237" s="99"/>
      <c r="AK237" s="99"/>
      <c r="AL237" s="99"/>
      <c r="AM237" s="99"/>
      <c r="AN237" s="99"/>
      <c r="AO237" s="99"/>
      <c r="AP237" s="99"/>
    </row>
    <row r="238" spans="23:42" ht="15" customHeight="1" x14ac:dyDescent="0.25">
      <c r="W238" s="200"/>
      <c r="X238" s="200"/>
      <c r="Y238" s="200"/>
      <c r="Z238" s="99"/>
      <c r="AA238" s="99"/>
      <c r="AB238" s="99"/>
      <c r="AC238" s="99"/>
      <c r="AD238" s="99"/>
      <c r="AE238" s="99"/>
      <c r="AF238" s="99"/>
      <c r="AG238" s="99"/>
      <c r="AH238" s="99"/>
      <c r="AI238" s="99"/>
      <c r="AJ238" s="99"/>
      <c r="AK238" s="99"/>
      <c r="AL238" s="99"/>
      <c r="AM238" s="99"/>
      <c r="AN238" s="99"/>
      <c r="AO238" s="99"/>
      <c r="AP238" s="99"/>
    </row>
    <row r="239" spans="23:42" ht="15" customHeight="1" x14ac:dyDescent="0.25">
      <c r="Z239" s="99"/>
      <c r="AA239" s="99"/>
      <c r="AB239" s="99"/>
      <c r="AC239" s="99"/>
      <c r="AD239" s="99"/>
      <c r="AE239" s="99"/>
      <c r="AF239" s="99"/>
      <c r="AG239" s="99"/>
      <c r="AH239" s="99"/>
      <c r="AI239" s="99"/>
      <c r="AJ239" s="99"/>
      <c r="AK239" s="99"/>
      <c r="AL239" s="99"/>
      <c r="AM239" s="99"/>
      <c r="AN239" s="99"/>
      <c r="AO239" s="99"/>
      <c r="AP239" s="99"/>
    </row>
    <row r="240" spans="23:42" ht="15" customHeight="1" x14ac:dyDescent="0.25">
      <c r="Z240" s="99"/>
      <c r="AA240" s="99"/>
      <c r="AB240" s="99"/>
      <c r="AC240" s="99"/>
      <c r="AD240" s="99"/>
      <c r="AE240" s="99"/>
      <c r="AF240" s="99"/>
      <c r="AG240" s="99"/>
      <c r="AH240" s="99"/>
      <c r="AI240" s="99"/>
      <c r="AJ240" s="99"/>
      <c r="AK240" s="99"/>
      <c r="AL240" s="99"/>
      <c r="AM240" s="99"/>
      <c r="AN240" s="99"/>
      <c r="AO240" s="99"/>
      <c r="AP240" s="99"/>
    </row>
    <row r="241" spans="26:42" ht="15" customHeight="1" x14ac:dyDescent="0.25">
      <c r="Z241" s="99"/>
      <c r="AA241" s="99"/>
      <c r="AB241" s="99"/>
      <c r="AC241" s="99"/>
      <c r="AD241" s="99"/>
      <c r="AE241" s="99"/>
      <c r="AF241" s="99"/>
      <c r="AG241" s="99"/>
      <c r="AH241" s="99"/>
      <c r="AI241" s="99"/>
      <c r="AJ241" s="99"/>
      <c r="AK241" s="99"/>
      <c r="AL241" s="99"/>
      <c r="AM241" s="99"/>
      <c r="AN241" s="99"/>
      <c r="AO241" s="99"/>
      <c r="AP241" s="99"/>
    </row>
    <row r="242" spans="26:42" ht="15" customHeight="1" x14ac:dyDescent="0.25">
      <c r="Z242" s="99"/>
      <c r="AA242" s="99"/>
      <c r="AB242" s="99"/>
      <c r="AC242" s="99"/>
      <c r="AD242" s="99"/>
      <c r="AE242" s="99"/>
      <c r="AF242" s="99"/>
      <c r="AG242" s="99"/>
      <c r="AH242" s="99"/>
      <c r="AI242" s="99"/>
      <c r="AJ242" s="99"/>
      <c r="AK242" s="99"/>
      <c r="AL242" s="99"/>
      <c r="AM242" s="99"/>
      <c r="AN242" s="99"/>
      <c r="AO242" s="99"/>
      <c r="AP242" s="99"/>
    </row>
    <row r="243" spans="26:42" ht="15" customHeight="1" x14ac:dyDescent="0.25">
      <c r="Z243" s="99"/>
      <c r="AA243" s="99"/>
      <c r="AB243" s="99"/>
      <c r="AC243" s="99"/>
      <c r="AD243" s="99"/>
      <c r="AE243" s="99"/>
      <c r="AF243" s="99"/>
      <c r="AG243" s="99"/>
      <c r="AH243" s="99"/>
      <c r="AI243" s="99"/>
      <c r="AJ243" s="99"/>
      <c r="AK243" s="99"/>
      <c r="AL243" s="99"/>
      <c r="AM243" s="99"/>
      <c r="AN243" s="99"/>
      <c r="AO243" s="99"/>
      <c r="AP243" s="99"/>
    </row>
    <row r="244" spans="26:42" ht="15" customHeight="1" x14ac:dyDescent="0.25">
      <c r="Z244" s="99"/>
      <c r="AA244" s="99"/>
      <c r="AB244" s="99"/>
      <c r="AC244" s="99"/>
      <c r="AD244" s="99"/>
      <c r="AE244" s="99"/>
      <c r="AF244" s="99"/>
      <c r="AG244" s="99"/>
      <c r="AH244" s="99"/>
      <c r="AI244" s="99"/>
      <c r="AJ244" s="99"/>
      <c r="AK244" s="99"/>
      <c r="AL244" s="99"/>
      <c r="AM244" s="99"/>
      <c r="AN244" s="99"/>
      <c r="AO244" s="99"/>
      <c r="AP244" s="99"/>
    </row>
  </sheetData>
  <sheetProtection selectLockedCells="1"/>
  <pageMargins left="0.7" right="0.7" top="0.75" bottom="0.75" header="0.3" footer="0.3"/>
  <pageSetup paperSize="9" orientation="portrait" horizontalDpi="0" verticalDpi="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53FE4C4B-68E1-4AE1-B88B-B0C87520F4C6}">
          <x14:formula1>
            <xm:f>Listes!$A$2:$A$21</xm:f>
          </x14:formula1>
          <xm:sqref>K5</xm:sqref>
        </x14:dataValidation>
        <x14:dataValidation type="list" allowBlank="1" showInputMessage="1" showErrorMessage="1" xr:uid="{1B4C73CF-53E3-4C2E-A39A-B48E6F8A4296}">
          <x14:formula1>
            <xm:f>Listes!$H$1:$H$2</xm:f>
          </x14:formula1>
          <xm:sqref>E18:E19</xm:sqref>
        </x14:dataValidation>
        <x14:dataValidation type="list" allowBlank="1" showInputMessage="1" showErrorMessage="1" xr:uid="{D80F2CD3-A21E-4548-9C92-E33EF5D1A792}">
          <x14:formula1>
            <xm:f>Listes!$G$1:$G$2</xm:f>
          </x14:formula1>
          <xm:sqref>C4 Q9 Q13 Q17 Q21 Q24</xm:sqref>
        </x14:dataValidation>
        <x14:dataValidation type="list" allowBlank="1" showInputMessage="1" showErrorMessage="1" xr:uid="{CAE9FED3-0AD1-43CD-981B-2EDA87762805}">
          <x14:formula1>
            <xm:f>Listes!$F$1:$F$10</xm:f>
          </x14:formula1>
          <xm:sqref>C8</xm:sqref>
        </x14:dataValidation>
        <x14:dataValidation type="list" allowBlank="1" showInputMessage="1" showErrorMessage="1" xr:uid="{0ACDB4F0-3ABE-4EC7-9B7A-5C8C052D38E5}">
          <x14:formula1>
            <xm:f>Listes!$J$1:$J$8</xm:f>
          </x14:formula1>
          <xm:sqref>C15:C16</xm:sqref>
        </x14:dataValidation>
        <x14:dataValidation type="list" allowBlank="1" showInputMessage="1" showErrorMessage="1" xr:uid="{8D2B338B-FE6F-4AD1-A184-0A266E3295EA}">
          <x14:formula1>
            <xm:f>Listes!$F$1:$F$11</xm:f>
          </x14:formula1>
          <xm:sqref>C6</xm:sqref>
        </x14:dataValidation>
        <x14:dataValidation type="list" allowBlank="1" showInputMessage="1" showErrorMessage="1" xr:uid="{D79CAC48-7DA3-4AA6-8EC7-0CE0967AD6FE}">
          <x14:formula1>
            <xm:f>images!$A$7:$H$7</xm:f>
          </x14:formula1>
          <xm:sqref>C10</xm:sqref>
        </x14:dataValidation>
        <x14:dataValidation type="list" allowBlank="1" showInputMessage="1" showErrorMessage="1" xr:uid="{1750C855-6920-4A62-A64F-27EE6A0C366D}">
          <x14:formula1>
            <xm:f>Listes!$F$1:$F$9</xm:f>
          </x14:formula1>
          <xm:sqref>E15:E16</xm:sqref>
        </x14:dataValidation>
        <x14:dataValidation type="list" allowBlank="1" showInputMessage="1" showErrorMessage="1" xr:uid="{34730C2F-A43E-491D-93C3-B04851E77C16}">
          <x14:formula1>
            <xm:f>Listes!$C$2:$C$19</xm:f>
          </x14:formula1>
          <xm:sqref>K3 K7</xm:sqref>
        </x14:dataValidation>
        <x14:dataValidation type="list" allowBlank="1" showInputMessage="1" showErrorMessage="1" xr:uid="{A98DF852-E5BA-47CE-BBCB-556AABEEF087}">
          <x14:formula1>
            <xm:f>Listes!$E$2:$E$20</xm:f>
          </x14:formula1>
          <xm:sqref>M3 M7</xm:sqref>
        </x14:dataValidation>
        <x14:dataValidation type="list" allowBlank="1" showInputMessage="1" showErrorMessage="1" xr:uid="{7040E607-5935-4714-BAC8-20C97A0B19B9}">
          <x14:formula1>
            <xm:f>Listes!$L$2:$L$3</xm:f>
          </x14:formula1>
          <xm:sqref>C12</xm:sqref>
        </x14:dataValidation>
        <x14:dataValidation type="list" allowBlank="1" showInputMessage="1" showErrorMessage="1" xr:uid="{2D61AC02-9A8A-4B17-80AF-5BCECADFA10C}">
          <x14:formula1>
            <xm:f>Listes!$A$2:$A$26</xm:f>
          </x14:formula1>
          <xm:sqref>K8 K4</xm:sqref>
        </x14:dataValidation>
        <x14:dataValidation type="list" allowBlank="1" showInputMessage="1" showErrorMessage="1" xr:uid="{ED8BA929-4BBE-4009-9917-F971EA3C333C}">
          <x14:formula1>
            <xm:f>Listes!$O$2:$O$5</xm:f>
          </x14:formula1>
          <xm:sqref>M4 M8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8ACF-0AB8-4D46-88A9-B118247D4567}">
  <sheetPr codeName="Feuil2"/>
  <dimension ref="A1:BE60"/>
  <sheetViews>
    <sheetView showGridLines="0" tabSelected="1" topLeftCell="A7" zoomScale="85" zoomScaleNormal="85" zoomScalePageLayoutView="50" workbookViewId="0">
      <selection activeCell="Q20" sqref="Q20"/>
    </sheetView>
  </sheetViews>
  <sheetFormatPr baseColWidth="10" defaultColWidth="6.42578125" defaultRowHeight="30" customHeight="1" x14ac:dyDescent="0.5"/>
  <cols>
    <col min="1" max="1" width="12.5703125" style="25" customWidth="1"/>
    <col min="2" max="2" width="11" style="25" customWidth="1"/>
    <col min="3" max="3" width="11" style="26" customWidth="1"/>
    <col min="4" max="6" width="11" style="25" customWidth="1"/>
    <col min="7" max="7" width="13.85546875" style="25" customWidth="1"/>
    <col min="8" max="8" width="6.42578125" style="25" customWidth="1"/>
    <col min="9" max="9" width="12.42578125" style="25" customWidth="1"/>
    <col min="10" max="10" width="15.42578125" style="25" customWidth="1"/>
    <col min="11" max="11" width="6.42578125" style="25"/>
    <col min="12" max="12" width="6.42578125" style="60" customWidth="1"/>
    <col min="13" max="13" width="16.28515625" style="61" customWidth="1"/>
    <col min="14" max="14" width="8.7109375" style="62" customWidth="1"/>
    <col min="15" max="16" width="5.7109375" style="25" customWidth="1"/>
    <col min="17" max="17" width="7.140625" style="25" customWidth="1"/>
    <col min="18" max="18" width="8.42578125" style="25" customWidth="1"/>
    <col min="19" max="19" width="7.85546875" style="25" customWidth="1"/>
    <col min="20" max="24" width="11" style="25" customWidth="1"/>
    <col min="25" max="25" width="16.7109375" style="25" customWidth="1"/>
    <col min="26" max="26" width="6.42578125" style="25"/>
    <col min="27" max="27" width="11.42578125" style="25" customWidth="1"/>
    <col min="28" max="28" width="3.5703125" style="25" customWidth="1"/>
    <col min="29" max="29" width="14.7109375" style="25" customWidth="1"/>
    <col min="30" max="16384" width="6.42578125" style="25"/>
  </cols>
  <sheetData>
    <row r="1" spans="1:57" ht="30" customHeight="1" thickBot="1" x14ac:dyDescent="0.55000000000000004">
      <c r="A1" s="110"/>
      <c r="B1" s="110"/>
      <c r="C1" s="112"/>
      <c r="D1" s="452" t="s">
        <v>21</v>
      </c>
      <c r="E1" s="453"/>
      <c r="F1" s="110"/>
      <c r="G1" s="110"/>
      <c r="H1" s="110"/>
      <c r="I1" s="110"/>
      <c r="J1" s="110"/>
      <c r="K1" s="110"/>
      <c r="L1" s="114"/>
      <c r="M1" s="115"/>
      <c r="N1" s="116"/>
      <c r="O1" s="110"/>
      <c r="P1" s="110"/>
      <c r="Q1" s="110"/>
      <c r="R1" s="110"/>
      <c r="S1" s="110"/>
      <c r="T1" s="110"/>
      <c r="U1" s="112"/>
      <c r="V1" s="473" t="s">
        <v>39</v>
      </c>
      <c r="W1" s="473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</row>
    <row r="2" spans="1:57" ht="30" customHeight="1" thickTop="1" x14ac:dyDescent="0.5">
      <c r="A2" s="110"/>
      <c r="B2" s="111"/>
      <c r="C2" s="112"/>
      <c r="D2" s="460" t="s">
        <v>30</v>
      </c>
      <c r="E2" s="461"/>
      <c r="F2" s="113"/>
      <c r="G2" s="110"/>
      <c r="H2" s="110"/>
      <c r="I2" s="110"/>
      <c r="J2" s="110"/>
      <c r="K2" s="110"/>
      <c r="L2" s="114"/>
      <c r="M2" s="115"/>
      <c r="N2" s="116"/>
      <c r="O2" s="110"/>
      <c r="P2" s="117"/>
      <c r="Q2" s="110"/>
      <c r="R2" s="110"/>
      <c r="S2" s="110"/>
      <c r="T2" s="347"/>
      <c r="U2" s="112"/>
      <c r="V2" s="460" t="s">
        <v>30</v>
      </c>
      <c r="W2" s="47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</row>
    <row r="3" spans="1:57" ht="30" customHeight="1" thickBot="1" x14ac:dyDescent="0.55000000000000004">
      <c r="A3" s="110"/>
      <c r="B3" s="454"/>
      <c r="C3" s="454"/>
      <c r="D3" s="462"/>
      <c r="E3" s="463"/>
      <c r="F3" s="118"/>
      <c r="G3" s="110"/>
      <c r="H3" s="110"/>
      <c r="I3" s="110"/>
      <c r="J3" s="110"/>
      <c r="K3" s="110"/>
      <c r="L3" s="114"/>
      <c r="M3" s="115"/>
      <c r="N3" s="116"/>
      <c r="O3" s="110"/>
      <c r="P3" s="110"/>
      <c r="Q3" s="110"/>
      <c r="R3" s="110"/>
      <c r="S3" s="110"/>
      <c r="T3" s="454"/>
      <c r="U3" s="455"/>
      <c r="V3" s="471"/>
      <c r="W3" s="472"/>
      <c r="X3" s="118"/>
      <c r="Y3" s="132"/>
      <c r="Z3" s="110"/>
      <c r="AA3" s="110"/>
      <c r="AB3" s="110"/>
      <c r="AC3" s="110"/>
      <c r="AD3" s="117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</row>
    <row r="4" spans="1:57" s="26" customFormat="1" ht="30" customHeight="1" thickTop="1" thickBot="1" x14ac:dyDescent="0.4">
      <c r="A4" s="112"/>
      <c r="B4" s="456"/>
      <c r="C4" s="457"/>
      <c r="D4" s="44">
        <f>'Détail du travail'!C3</f>
        <v>216</v>
      </c>
      <c r="E4" s="43">
        <f>'Détail du travail'!E3</f>
        <v>303</v>
      </c>
      <c r="F4" s="33" t="s">
        <v>29</v>
      </c>
      <c r="G4" s="119" t="s">
        <v>28</v>
      </c>
      <c r="H4" s="112"/>
      <c r="I4" s="112"/>
      <c r="J4" s="120"/>
      <c r="K4" s="386" t="s">
        <v>217</v>
      </c>
      <c r="L4" s="144">
        <f>'Détail du travail'!C19+'Détail du travail'!C18</f>
        <v>120</v>
      </c>
      <c r="M4" s="112"/>
      <c r="N4" s="126"/>
      <c r="O4" s="112"/>
      <c r="P4" s="122"/>
      <c r="Q4" s="122"/>
      <c r="R4" s="112"/>
      <c r="S4" s="112"/>
      <c r="T4" s="456"/>
      <c r="U4" s="457"/>
      <c r="V4" s="44">
        <f>'Détail du travail'!C3</f>
        <v>216</v>
      </c>
      <c r="W4" s="43">
        <f>'Détail du travail'!E3</f>
        <v>303</v>
      </c>
      <c r="X4" s="33" t="s">
        <v>29</v>
      </c>
      <c r="Y4" s="119" t="s">
        <v>28</v>
      </c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</row>
    <row r="5" spans="1:57" ht="30" customHeight="1" thickTop="1" thickBot="1" x14ac:dyDescent="0.4">
      <c r="A5" s="110"/>
      <c r="B5" s="458" t="s">
        <v>27</v>
      </c>
      <c r="C5" s="63">
        <f>D10-D11</f>
        <v>441</v>
      </c>
      <c r="D5" s="32">
        <f>QUOTIENT(C5,D4)</f>
        <v>2</v>
      </c>
      <c r="E5" s="31">
        <f>QUOTIENT(C5,E4)</f>
        <v>1</v>
      </c>
      <c r="F5" s="30">
        <f>D6*E5</f>
        <v>2</v>
      </c>
      <c r="G5" s="123">
        <f>D4*E4*F5</f>
        <v>130896</v>
      </c>
      <c r="H5" s="110"/>
      <c r="I5" s="110"/>
      <c r="J5" s="120"/>
      <c r="K5" s="386" t="s">
        <v>216</v>
      </c>
      <c r="L5" s="144">
        <f>H6</f>
        <v>4</v>
      </c>
      <c r="M5" s="115"/>
      <c r="N5" s="124"/>
      <c r="O5" s="110"/>
      <c r="P5" s="122"/>
      <c r="Q5" s="122"/>
      <c r="R5" s="110"/>
      <c r="S5" s="110"/>
      <c r="T5" s="458" t="s">
        <v>27</v>
      </c>
      <c r="U5" s="63">
        <f>V10-V11</f>
        <v>621</v>
      </c>
      <c r="V5" s="32">
        <f>QUOTIENT(U5,V4)</f>
        <v>2</v>
      </c>
      <c r="W5" s="31">
        <f>QUOTIENT(U5,W4)</f>
        <v>2</v>
      </c>
      <c r="X5" s="30">
        <f>V6*W5</f>
        <v>8</v>
      </c>
      <c r="Y5" s="123">
        <f>V4*W4*X5</f>
        <v>523584</v>
      </c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10"/>
      <c r="BC5" s="110"/>
      <c r="BD5" s="110"/>
      <c r="BE5" s="110"/>
    </row>
    <row r="6" spans="1:57" ht="30" customHeight="1" thickBot="1" x14ac:dyDescent="0.4">
      <c r="A6" s="110"/>
      <c r="B6" s="459"/>
      <c r="C6" s="42">
        <f>F10</f>
        <v>640</v>
      </c>
      <c r="D6" s="29">
        <f>QUOTIENT(C6,D4)</f>
        <v>2</v>
      </c>
      <c r="E6" s="28">
        <f>QUOTIENT(C6,E4)</f>
        <v>2</v>
      </c>
      <c r="F6" s="27">
        <f>D5*E6</f>
        <v>4</v>
      </c>
      <c r="G6" s="123">
        <f>D4*E4*F6</f>
        <v>261792</v>
      </c>
      <c r="H6" s="142">
        <f>MAX(F5:F6)</f>
        <v>4</v>
      </c>
      <c r="I6" s="143" t="s">
        <v>26</v>
      </c>
      <c r="J6" s="122"/>
      <c r="K6" s="386" t="s">
        <v>215</v>
      </c>
      <c r="L6" s="144">
        <f>'Détail du travail'!C19/4</f>
        <v>30</v>
      </c>
      <c r="M6" s="115"/>
      <c r="N6" s="124"/>
      <c r="O6" s="110"/>
      <c r="P6" s="122"/>
      <c r="Q6" s="122"/>
      <c r="R6" s="110"/>
      <c r="S6" s="110"/>
      <c r="T6" s="459"/>
      <c r="U6" s="42">
        <f>X10</f>
        <v>880</v>
      </c>
      <c r="V6" s="29">
        <f>QUOTIENT(U6,V4)</f>
        <v>4</v>
      </c>
      <c r="W6" s="28">
        <f>QUOTIENT(U6,W4)</f>
        <v>2</v>
      </c>
      <c r="X6" s="27">
        <f>V5*W6</f>
        <v>4</v>
      </c>
      <c r="Y6" s="123">
        <f>V4*W4*X6</f>
        <v>261792</v>
      </c>
      <c r="Z6" s="142">
        <f>MAX(X5:X6)</f>
        <v>8</v>
      </c>
      <c r="AA6" s="143" t="s">
        <v>26</v>
      </c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</row>
    <row r="7" spans="1:57" ht="30" customHeight="1" thickTop="1" thickBot="1" x14ac:dyDescent="0.4">
      <c r="A7" s="110"/>
      <c r="B7" s="111"/>
      <c r="C7" s="112"/>
      <c r="D7" s="111"/>
      <c r="E7" s="111"/>
      <c r="F7" s="111"/>
      <c r="G7" s="124"/>
      <c r="H7" s="125"/>
      <c r="I7" s="125"/>
      <c r="J7" s="122"/>
      <c r="K7" s="386" t="s">
        <v>218</v>
      </c>
      <c r="L7" s="144">
        <f>IF('Détail du travail'!C18=0, 0, 1)</f>
        <v>0</v>
      </c>
      <c r="M7" s="115"/>
      <c r="N7" s="124"/>
      <c r="O7" s="110"/>
      <c r="P7" s="122"/>
      <c r="Q7" s="122"/>
      <c r="R7" s="110"/>
      <c r="S7" s="110"/>
      <c r="T7" s="111"/>
      <c r="U7" s="112"/>
      <c r="V7" s="111"/>
      <c r="W7" s="111"/>
      <c r="X7" s="111"/>
      <c r="Y7" s="124"/>
      <c r="Z7" s="125"/>
      <c r="AA7" s="125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</row>
    <row r="8" spans="1:57" s="26" customFormat="1" ht="30" customHeight="1" thickBot="1" x14ac:dyDescent="0.4">
      <c r="A8" s="112"/>
      <c r="B8" s="468" t="s">
        <v>25</v>
      </c>
      <c r="C8" s="469"/>
      <c r="D8" s="287">
        <v>640</v>
      </c>
      <c r="E8" s="288" t="s">
        <v>13</v>
      </c>
      <c r="F8" s="289">
        <f>'Détail du travail'!E3</f>
        <v>303</v>
      </c>
      <c r="G8" s="126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27"/>
      <c r="S8" s="112"/>
      <c r="T8" s="468" t="s">
        <v>25</v>
      </c>
      <c r="U8" s="469"/>
      <c r="V8" s="287">
        <f>'Détail du travail'!C3</f>
        <v>216</v>
      </c>
      <c r="W8" s="288" t="s">
        <v>13</v>
      </c>
      <c r="X8" s="289">
        <f>'Détail du travail'!E3</f>
        <v>303</v>
      </c>
      <c r="Y8" s="126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</row>
    <row r="9" spans="1:57" s="26" customFormat="1" ht="30" customHeight="1" thickTop="1" x14ac:dyDescent="0.4">
      <c r="A9" s="112"/>
      <c r="B9" s="466" t="s">
        <v>24</v>
      </c>
      <c r="C9" s="467"/>
      <c r="D9" s="290">
        <f>'Détail du travail'!C6</f>
        <v>3</v>
      </c>
      <c r="E9" s="291"/>
      <c r="F9" s="292"/>
      <c r="G9" s="126"/>
      <c r="H9" s="112"/>
      <c r="I9" s="128"/>
      <c r="J9" s="135"/>
      <c r="K9" s="136"/>
      <c r="L9" s="137" t="s">
        <v>224</v>
      </c>
      <c r="M9" s="154">
        <f>IF('Détail du travail'!C4="oui",L6,0)</f>
        <v>0</v>
      </c>
      <c r="N9" s="155"/>
      <c r="O9" s="155"/>
      <c r="P9" s="155"/>
      <c r="Q9" s="155"/>
      <c r="R9" s="112"/>
      <c r="S9" s="112"/>
      <c r="T9" s="466" t="s">
        <v>24</v>
      </c>
      <c r="U9" s="467"/>
      <c r="V9" s="290">
        <f>'Détail du travail'!C6</f>
        <v>3</v>
      </c>
      <c r="W9" s="291"/>
      <c r="X9" s="292"/>
      <c r="Y9" s="126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</row>
    <row r="10" spans="1:57" s="26" customFormat="1" ht="30" customHeight="1" x14ac:dyDescent="0.35">
      <c r="A10" s="112"/>
      <c r="B10" s="466" t="s">
        <v>23</v>
      </c>
      <c r="C10" s="467"/>
      <c r="D10" s="293">
        <f>'Détail du travail'!K3</f>
        <v>450</v>
      </c>
      <c r="E10" s="294" t="s">
        <v>13</v>
      </c>
      <c r="F10" s="295">
        <f>'Détail du travail'!M3</f>
        <v>640</v>
      </c>
      <c r="G10" s="123">
        <f>D10*F10</f>
        <v>288000</v>
      </c>
      <c r="H10" s="112"/>
      <c r="I10" s="112"/>
      <c r="J10" s="153"/>
      <c r="K10" s="133"/>
      <c r="L10" s="133" t="s">
        <v>160</v>
      </c>
      <c r="M10" s="267">
        <f>IF('Détail du travail'!E19="R°V°",(M9/Z6),(M9/Z6)*2)</f>
        <v>0</v>
      </c>
      <c r="N10" s="268" t="s">
        <v>2</v>
      </c>
      <c r="O10" s="157">
        <f>ROUNDDOWN(M10,0)</f>
        <v>0</v>
      </c>
      <c r="P10" s="268" t="s">
        <v>1</v>
      </c>
      <c r="Q10" s="192">
        <f>IF('Détail du travail'!C4="oui",R13+R15,0)</f>
        <v>0</v>
      </c>
      <c r="R10" s="127" t="s">
        <v>61</v>
      </c>
      <c r="S10" s="112"/>
      <c r="T10" s="466" t="s">
        <v>23</v>
      </c>
      <c r="U10" s="467"/>
      <c r="V10" s="293">
        <f>'Détail du travail'!K7</f>
        <v>630</v>
      </c>
      <c r="W10" s="294" t="s">
        <v>13</v>
      </c>
      <c r="X10" s="295">
        <f>'Détail du travail'!M7</f>
        <v>880</v>
      </c>
      <c r="Y10" s="123">
        <f>V10*X10</f>
        <v>554400</v>
      </c>
      <c r="Z10" s="126"/>
      <c r="AA10" s="126"/>
      <c r="AB10" s="126"/>
      <c r="AC10" s="126"/>
      <c r="AD10" s="126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</row>
    <row r="11" spans="1:57" s="26" customFormat="1" ht="30" customHeight="1" thickBot="1" x14ac:dyDescent="0.4">
      <c r="A11" s="112"/>
      <c r="B11" s="464" t="s">
        <v>22</v>
      </c>
      <c r="C11" s="465"/>
      <c r="D11" s="296">
        <f>'Détail du travail'!C13</f>
        <v>9</v>
      </c>
      <c r="E11" s="297"/>
      <c r="F11" s="298"/>
      <c r="G11" s="112"/>
      <c r="H11" s="112"/>
      <c r="I11" s="112"/>
      <c r="J11" s="138"/>
      <c r="K11" s="134"/>
      <c r="L11" s="419" t="s">
        <v>179</v>
      </c>
      <c r="M11" s="156">
        <f>IF('Détail du travail'!E19="R°V°",Z6*O10,(Z6*O10)/2)</f>
        <v>0</v>
      </c>
      <c r="N11" s="158"/>
      <c r="O11" s="155"/>
      <c r="P11" s="159"/>
      <c r="Q11" s="159"/>
      <c r="R11" s="112"/>
      <c r="S11" s="112"/>
      <c r="T11" s="450" t="s">
        <v>22</v>
      </c>
      <c r="U11" s="451"/>
      <c r="V11" s="296">
        <f>'Détail du travail'!C13</f>
        <v>9</v>
      </c>
      <c r="W11" s="297"/>
      <c r="X11" s="298"/>
      <c r="Y11" s="112"/>
      <c r="Z11" s="126"/>
      <c r="AA11" s="126"/>
      <c r="AB11" s="126"/>
      <c r="AC11" s="126"/>
      <c r="AD11" s="126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</row>
    <row r="12" spans="1:57" ht="30" customHeight="1" thickBot="1" x14ac:dyDescent="0.4">
      <c r="A12" s="110"/>
      <c r="B12" s="110"/>
      <c r="C12" s="112"/>
      <c r="D12" s="110"/>
      <c r="E12" s="110"/>
      <c r="F12" s="110"/>
      <c r="G12" s="110"/>
      <c r="H12" s="110"/>
      <c r="I12" s="110"/>
      <c r="J12" s="141"/>
      <c r="K12" s="139"/>
      <c r="L12" s="140" t="s">
        <v>60</v>
      </c>
      <c r="M12" s="397">
        <f>M9-M11</f>
        <v>0</v>
      </c>
      <c r="N12" s="158"/>
      <c r="O12" s="158"/>
      <c r="P12" s="160"/>
      <c r="Q12" s="161"/>
      <c r="R12" s="150"/>
      <c r="S12" s="110"/>
      <c r="T12" s="110"/>
      <c r="U12" s="110"/>
      <c r="V12" s="110"/>
      <c r="W12" s="110"/>
      <c r="X12" s="110"/>
      <c r="Y12" s="110"/>
      <c r="Z12" s="124"/>
      <c r="AA12" s="124"/>
      <c r="AB12" s="124"/>
      <c r="AC12" s="124"/>
      <c r="AD12" s="124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</row>
    <row r="13" spans="1:57" ht="30" customHeight="1" thickTop="1" thickBot="1" x14ac:dyDescent="0.45">
      <c r="A13" s="110"/>
      <c r="B13" s="110"/>
      <c r="C13" s="112"/>
      <c r="D13" s="129">
        <f>F10</f>
        <v>640</v>
      </c>
      <c r="E13" s="129"/>
      <c r="F13" s="129"/>
      <c r="G13" s="129"/>
      <c r="H13" s="129"/>
      <c r="I13" s="129"/>
      <c r="J13" s="122"/>
      <c r="K13" s="122"/>
      <c r="L13" s="196" t="s">
        <v>193</v>
      </c>
      <c r="M13" s="398">
        <f>IFERROR(ROUNDDOWN(Z6/Q13,0),0)</f>
        <v>0</v>
      </c>
      <c r="N13" s="121" t="s">
        <v>2</v>
      </c>
      <c r="O13" s="331">
        <f>M13</f>
        <v>0</v>
      </c>
      <c r="P13" s="283" t="s">
        <v>139</v>
      </c>
      <c r="Q13" s="284">
        <f>IF(ISODD(M12)=TRUE,M12-1,M12)</f>
        <v>0</v>
      </c>
      <c r="R13" s="284">
        <f>IF(O13=0,0,1)</f>
        <v>0</v>
      </c>
      <c r="S13" s="110"/>
      <c r="T13" s="129"/>
      <c r="U13" s="129"/>
      <c r="V13" s="129">
        <f>X10</f>
        <v>880</v>
      </c>
      <c r="W13" s="110"/>
      <c r="X13" s="110"/>
      <c r="Y13" s="110"/>
      <c r="Z13" s="124"/>
      <c r="AA13" s="124"/>
      <c r="AB13" s="124"/>
      <c r="AC13" s="124"/>
      <c r="AD13" s="124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</row>
    <row r="14" spans="1:57" ht="30" customHeight="1" thickTop="1" thickBot="1" x14ac:dyDescent="0.55000000000000004">
      <c r="A14" s="110"/>
      <c r="B14" s="110"/>
      <c r="C14" s="112"/>
      <c r="D14" s="110"/>
      <c r="E14" s="110"/>
      <c r="F14" s="110"/>
      <c r="G14" s="110"/>
      <c r="H14" s="110"/>
      <c r="I14" s="110"/>
      <c r="J14" s="110"/>
      <c r="K14" s="110"/>
      <c r="L14" s="114"/>
      <c r="M14" s="115"/>
      <c r="N14" s="116"/>
      <c r="O14" s="420" t="s">
        <v>223</v>
      </c>
      <c r="P14" s="110"/>
      <c r="Q14" s="418" t="s">
        <v>56</v>
      </c>
      <c r="R14" s="158" t="s">
        <v>1</v>
      </c>
      <c r="S14" s="110"/>
      <c r="T14" s="110"/>
      <c r="U14" s="110"/>
      <c r="V14" s="110"/>
      <c r="W14" s="110"/>
      <c r="X14" s="110"/>
      <c r="Y14" s="110"/>
      <c r="Z14" s="124"/>
      <c r="AA14" s="124"/>
      <c r="AB14" s="124"/>
      <c r="AC14" s="124"/>
      <c r="AD14" s="124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  <c r="AZ14" s="110"/>
      <c r="BA14" s="110"/>
      <c r="BB14" s="110"/>
      <c r="BC14" s="110"/>
      <c r="BD14" s="110"/>
      <c r="BE14" s="110"/>
    </row>
    <row r="15" spans="1:57" ht="30" customHeight="1" thickTop="1" thickBot="1" x14ac:dyDescent="0.55000000000000004">
      <c r="A15" s="110"/>
      <c r="B15" s="110"/>
      <c r="C15" s="112"/>
      <c r="D15" s="110"/>
      <c r="E15" s="110"/>
      <c r="F15" s="110"/>
      <c r="G15" s="110"/>
      <c r="H15" s="110"/>
      <c r="I15" s="110"/>
      <c r="J15" s="110"/>
      <c r="K15" s="110"/>
      <c r="L15" s="196" t="s">
        <v>194</v>
      </c>
      <c r="M15" s="398">
        <f>IFERROR(Z6/O15,0)</f>
        <v>0</v>
      </c>
      <c r="N15" s="116" t="s">
        <v>2</v>
      </c>
      <c r="O15" s="331">
        <f>IFERROR(ROUNDDOWN(M12-Q13,0),0)</f>
        <v>0</v>
      </c>
      <c r="P15" s="283" t="s">
        <v>139</v>
      </c>
      <c r="Q15" s="284">
        <f>M15</f>
        <v>0</v>
      </c>
      <c r="R15" s="284">
        <f>IF(O15=0,0,1)</f>
        <v>0</v>
      </c>
      <c r="S15" s="110"/>
      <c r="T15" s="110"/>
      <c r="U15" s="110"/>
      <c r="V15" s="110"/>
      <c r="W15" s="110"/>
      <c r="X15" s="110"/>
      <c r="Y15" s="110"/>
      <c r="Z15" s="124"/>
      <c r="AA15" s="124"/>
      <c r="AB15" s="124"/>
      <c r="AC15" s="124"/>
      <c r="AD15" s="124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  <c r="AZ15" s="110"/>
      <c r="BA15" s="110"/>
      <c r="BB15" s="110"/>
      <c r="BC15" s="110"/>
      <c r="BD15" s="110"/>
      <c r="BE15" s="110"/>
    </row>
    <row r="16" spans="1:57" ht="30" customHeight="1" thickTop="1" thickBot="1" x14ac:dyDescent="0.55000000000000004">
      <c r="A16" s="110"/>
      <c r="B16" s="110"/>
      <c r="C16" s="112"/>
      <c r="D16" s="110"/>
      <c r="E16" s="110"/>
      <c r="F16" s="110"/>
      <c r="G16" s="110"/>
      <c r="H16" s="110"/>
      <c r="I16" s="110"/>
      <c r="J16" s="110"/>
      <c r="K16" s="110"/>
      <c r="L16" s="114"/>
      <c r="M16" s="115"/>
      <c r="N16" s="116"/>
      <c r="O16" s="420" t="s">
        <v>223</v>
      </c>
      <c r="P16" s="110"/>
      <c r="Q16" s="418" t="s">
        <v>56</v>
      </c>
      <c r="R16" s="110"/>
      <c r="S16" s="110"/>
      <c r="T16" s="110"/>
      <c r="U16" s="110"/>
      <c r="V16" s="110"/>
      <c r="W16" s="110"/>
      <c r="X16" s="110"/>
      <c r="Y16" s="110"/>
      <c r="Z16" s="124"/>
      <c r="AA16" s="124"/>
      <c r="AB16" s="124"/>
      <c r="AC16" s="124"/>
      <c r="AD16" s="124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0"/>
      <c r="AX16" s="110"/>
      <c r="AY16" s="110"/>
      <c r="AZ16" s="110"/>
      <c r="BA16" s="110"/>
      <c r="BB16" s="110"/>
      <c r="BC16" s="110"/>
      <c r="BD16" s="110"/>
      <c r="BE16" s="110"/>
    </row>
    <row r="17" spans="1:57" ht="30" customHeight="1" thickTop="1" x14ac:dyDescent="0.4">
      <c r="A17" s="110"/>
      <c r="B17" s="110"/>
      <c r="C17" s="112"/>
      <c r="D17" s="110"/>
      <c r="E17" s="110"/>
      <c r="F17" s="110"/>
      <c r="G17" s="72">
        <f>D10</f>
        <v>450</v>
      </c>
      <c r="H17" s="110"/>
      <c r="I17" s="110"/>
      <c r="J17" s="387"/>
      <c r="K17" s="388"/>
      <c r="L17" s="389" t="s">
        <v>162</v>
      </c>
      <c r="M17" s="390">
        <f>IF('Détail du travail'!C4="non",'Détail du travail'!C19,0)</f>
        <v>120</v>
      </c>
      <c r="N17" s="162"/>
      <c r="O17" s="155"/>
      <c r="P17" s="163"/>
      <c r="Q17" s="155"/>
      <c r="R17" s="110"/>
      <c r="S17" s="130"/>
      <c r="T17" s="110"/>
      <c r="U17" s="110"/>
      <c r="V17" s="110"/>
      <c r="W17" s="110"/>
      <c r="X17" s="110"/>
      <c r="Y17" s="72">
        <f>V10</f>
        <v>630</v>
      </c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</row>
    <row r="18" spans="1:57" ht="30" customHeight="1" thickBot="1" x14ac:dyDescent="0.4">
      <c r="A18" s="110"/>
      <c r="B18" s="110"/>
      <c r="C18" s="112"/>
      <c r="D18" s="110"/>
      <c r="E18" s="110"/>
      <c r="F18" s="110"/>
      <c r="G18" s="110"/>
      <c r="H18" s="110"/>
      <c r="I18" s="110"/>
      <c r="J18" s="424"/>
      <c r="K18" s="425"/>
      <c r="L18" s="391" t="s">
        <v>138</v>
      </c>
      <c r="M18" s="426">
        <f>M17/Z6</f>
        <v>15</v>
      </c>
      <c r="N18" s="269" t="s">
        <v>2</v>
      </c>
      <c r="O18" s="157">
        <f>ROUNDDOWN((M18),0)</f>
        <v>15</v>
      </c>
      <c r="P18" s="164" t="s">
        <v>1</v>
      </c>
      <c r="Q18" s="333">
        <f>IF('Détail du travail'!C4="oui",0,R21+R23)</f>
        <v>0</v>
      </c>
      <c r="R18" s="127" t="s">
        <v>61</v>
      </c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</row>
    <row r="19" spans="1:57" ht="30" customHeight="1" thickTop="1" thickBot="1" x14ac:dyDescent="0.4">
      <c r="A19" s="110"/>
      <c r="B19" s="110"/>
      <c r="C19" s="112"/>
      <c r="D19" s="110"/>
      <c r="E19" s="110"/>
      <c r="F19" s="110"/>
      <c r="G19" s="110"/>
      <c r="H19" s="110"/>
      <c r="I19" s="110"/>
      <c r="J19" s="122"/>
      <c r="K19" s="122"/>
      <c r="L19" s="196"/>
      <c r="M19" s="423">
        <f>O18</f>
        <v>15</v>
      </c>
      <c r="N19" s="121" t="s">
        <v>2</v>
      </c>
      <c r="O19" s="393">
        <f>IFERROR((Z6/Q19),0)</f>
        <v>8</v>
      </c>
      <c r="P19" s="394" t="s">
        <v>139</v>
      </c>
      <c r="Q19" s="395">
        <f>IFERROR(ROUNDDOWN((M19/Z6),0),0)</f>
        <v>1</v>
      </c>
      <c r="R19" s="396">
        <f>O18</f>
        <v>15</v>
      </c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110"/>
      <c r="BE19" s="110"/>
    </row>
    <row r="20" spans="1:57" ht="30" customHeight="1" thickTop="1" thickBot="1" x14ac:dyDescent="0.45">
      <c r="A20" s="110"/>
      <c r="B20" s="110"/>
      <c r="C20" s="112"/>
      <c r="D20" s="110"/>
      <c r="E20" s="110"/>
      <c r="F20" s="110"/>
      <c r="G20" s="110"/>
      <c r="H20" s="110"/>
      <c r="I20" s="110"/>
      <c r="J20" s="427"/>
      <c r="K20" s="428"/>
      <c r="L20" s="429" t="s">
        <v>140</v>
      </c>
      <c r="M20" s="430">
        <f>M17-((O19*Q19)*R19)</f>
        <v>0</v>
      </c>
      <c r="N20" s="446" t="s">
        <v>56</v>
      </c>
      <c r="O20" s="418" t="s">
        <v>223</v>
      </c>
      <c r="P20" s="110"/>
      <c r="Q20" s="418" t="s">
        <v>56</v>
      </c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  <c r="AO20" s="110"/>
      <c r="AP20" s="110"/>
      <c r="AQ20" s="110"/>
      <c r="AR20" s="110"/>
      <c r="AS20" s="110"/>
      <c r="AT20" s="110"/>
      <c r="AU20" s="110"/>
      <c r="AV20" s="110"/>
      <c r="AW20" s="110"/>
      <c r="AX20" s="110"/>
      <c r="AY20" s="110"/>
      <c r="AZ20" s="110"/>
      <c r="BA20" s="110"/>
      <c r="BB20" s="110"/>
      <c r="BC20" s="110"/>
      <c r="BD20" s="110"/>
      <c r="BE20" s="110"/>
    </row>
    <row r="21" spans="1:57" ht="30" customHeight="1" thickTop="1" thickBot="1" x14ac:dyDescent="0.4">
      <c r="A21" s="110"/>
      <c r="B21" s="110"/>
      <c r="C21" s="112"/>
      <c r="D21" s="110"/>
      <c r="E21" s="110"/>
      <c r="F21" s="110"/>
      <c r="G21" s="110"/>
      <c r="H21" s="110"/>
      <c r="I21" s="110"/>
      <c r="J21" s="122"/>
      <c r="K21" s="122"/>
      <c r="L21" s="196"/>
      <c r="M21" s="392">
        <f>IFERROR(MOD(Z6,M20),0)</f>
        <v>0</v>
      </c>
      <c r="N21" s="121" t="s">
        <v>2</v>
      </c>
      <c r="O21" s="393">
        <f>M21</f>
        <v>0</v>
      </c>
      <c r="P21" s="394" t="s">
        <v>139</v>
      </c>
      <c r="Q21" s="395">
        <f>IFERROR(ROUNDDOWN((Z6/M21),0),0)</f>
        <v>0</v>
      </c>
      <c r="R21" s="396">
        <f>IF(M21=0,0,1)</f>
        <v>0</v>
      </c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</row>
    <row r="22" spans="1:57" ht="30" customHeight="1" thickTop="1" thickBot="1" x14ac:dyDescent="0.45">
      <c r="A22" s="110"/>
      <c r="B22" s="100" t="s">
        <v>85</v>
      </c>
      <c r="C22" s="108">
        <f>IF(F5&gt;=F6,E5,D5)</f>
        <v>2</v>
      </c>
      <c r="D22" s="100" t="s">
        <v>84</v>
      </c>
      <c r="E22" s="108">
        <f>IF(F6&gt;=F5,E6,D6)</f>
        <v>2</v>
      </c>
      <c r="F22" s="110"/>
      <c r="G22" s="110"/>
      <c r="H22" s="110"/>
      <c r="I22" s="110"/>
      <c r="J22" s="110"/>
      <c r="K22" s="110"/>
      <c r="L22" s="429" t="s">
        <v>140</v>
      </c>
      <c r="M22" s="430">
        <f>M20-M21</f>
        <v>0</v>
      </c>
      <c r="N22" s="446" t="s">
        <v>56</v>
      </c>
      <c r="O22" s="418" t="s">
        <v>223</v>
      </c>
      <c r="P22" s="110"/>
      <c r="Q22" s="418" t="s">
        <v>56</v>
      </c>
      <c r="R22" s="158" t="s">
        <v>1</v>
      </c>
      <c r="S22" s="110"/>
      <c r="T22" s="100" t="s">
        <v>85</v>
      </c>
      <c r="U22" s="108">
        <f>IF(X5&gt;=X6,W5,V5)</f>
        <v>2</v>
      </c>
      <c r="V22" s="100" t="s">
        <v>84</v>
      </c>
      <c r="W22" s="108">
        <f>IF(X6&gt;=X5,W6,V6)</f>
        <v>4</v>
      </c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  <c r="AO22" s="110"/>
      <c r="AP22" s="110"/>
      <c r="AQ22" s="110"/>
      <c r="AR22" s="110"/>
      <c r="AS22" s="110"/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110"/>
      <c r="BE22" s="110"/>
    </row>
    <row r="23" spans="1:57" ht="30" customHeight="1" thickTop="1" thickBot="1" x14ac:dyDescent="0.55000000000000004">
      <c r="A23" s="110"/>
      <c r="B23" s="110"/>
      <c r="C23" s="112"/>
      <c r="D23" s="110"/>
      <c r="E23" s="110"/>
      <c r="F23" s="110"/>
      <c r="G23" s="110"/>
      <c r="H23" s="110"/>
      <c r="I23" s="110"/>
      <c r="J23" s="110"/>
      <c r="K23" s="110"/>
      <c r="L23" s="114"/>
      <c r="M23" s="392">
        <f>IFERROR((M20-O21),0)</f>
        <v>0</v>
      </c>
      <c r="N23" s="116" t="s">
        <v>2</v>
      </c>
      <c r="O23" s="393">
        <f>IFERROR(Z6/Q23,0)</f>
        <v>0</v>
      </c>
      <c r="P23" s="394" t="s">
        <v>139</v>
      </c>
      <c r="Q23" s="395">
        <f>IFERROR(ROUNDDOWN((Z6/M23),0),0)</f>
        <v>0</v>
      </c>
      <c r="R23" s="396">
        <f>IF(O23=0,0,1)</f>
        <v>0</v>
      </c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0"/>
      <c r="BE23" s="110"/>
    </row>
    <row r="24" spans="1:57" ht="30" customHeight="1" thickTop="1" x14ac:dyDescent="0.5">
      <c r="A24" s="110"/>
      <c r="B24" s="110"/>
      <c r="C24" s="112"/>
      <c r="D24" s="121"/>
      <c r="E24" s="120" t="s">
        <v>103</v>
      </c>
      <c r="F24" s="144">
        <f>H6</f>
        <v>4</v>
      </c>
      <c r="G24" s="110"/>
      <c r="H24" s="110"/>
      <c r="I24" s="110"/>
      <c r="J24" s="110"/>
      <c r="K24" s="110"/>
      <c r="L24" s="114"/>
      <c r="M24" s="115"/>
      <c r="N24" s="116"/>
      <c r="O24" s="418" t="s">
        <v>223</v>
      </c>
      <c r="P24" s="110"/>
      <c r="Q24" s="418" t="s">
        <v>56</v>
      </c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10"/>
      <c r="AP24" s="110"/>
      <c r="AQ24" s="110"/>
      <c r="AR24" s="110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0"/>
      <c r="BE24" s="110"/>
    </row>
    <row r="25" spans="1:57" ht="30" customHeight="1" x14ac:dyDescent="0.5">
      <c r="A25" s="110"/>
      <c r="B25" s="110"/>
      <c r="C25" s="112"/>
      <c r="D25" s="131"/>
      <c r="E25" s="110"/>
      <c r="F25" s="110"/>
      <c r="G25" s="110"/>
      <c r="H25" s="110"/>
      <c r="I25" s="110"/>
      <c r="J25" s="110"/>
      <c r="K25" s="110"/>
      <c r="L25" s="114"/>
      <c r="M25" s="115"/>
      <c r="N25" s="116"/>
      <c r="O25" s="431"/>
      <c r="P25" s="486"/>
      <c r="Q25" s="487"/>
      <c r="R25" s="110"/>
      <c r="S25" s="110"/>
      <c r="T25" s="110"/>
      <c r="U25" s="281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</row>
    <row r="26" spans="1:57" ht="30" customHeight="1" x14ac:dyDescent="0.5">
      <c r="A26" s="110"/>
      <c r="B26" s="110"/>
      <c r="C26" s="112"/>
      <c r="D26" s="110"/>
      <c r="E26" s="110"/>
      <c r="F26" s="110"/>
      <c r="G26" s="110"/>
      <c r="H26" s="110"/>
      <c r="I26" s="110"/>
      <c r="J26" s="110"/>
      <c r="K26" s="110"/>
      <c r="L26" s="114"/>
      <c r="M26" s="345"/>
      <c r="N26" s="116"/>
      <c r="O26" s="420"/>
      <c r="P26" s="110"/>
      <c r="Q26" s="418"/>
      <c r="R26" s="110"/>
      <c r="S26" s="110"/>
      <c r="T26" s="110"/>
      <c r="U26" s="281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</row>
    <row r="27" spans="1:57" ht="30" customHeight="1" x14ac:dyDescent="0.35">
      <c r="A27" s="110"/>
      <c r="B27" s="110"/>
      <c r="C27" s="112"/>
      <c r="D27" s="110"/>
      <c r="E27" s="110"/>
      <c r="F27" s="110"/>
      <c r="G27" s="110"/>
      <c r="H27" s="110"/>
      <c r="I27" s="110"/>
      <c r="J27" s="436"/>
      <c r="K27" s="436"/>
      <c r="L27" s="429"/>
      <c r="M27" s="444"/>
      <c r="N27" s="432"/>
      <c r="O27" s="433"/>
      <c r="P27" s="434"/>
      <c r="Q27" s="433"/>
      <c r="R27" s="427"/>
      <c r="S27" s="110"/>
      <c r="T27" s="110"/>
      <c r="U27" s="110"/>
      <c r="V27" s="110"/>
      <c r="W27" s="345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</row>
    <row r="28" spans="1:57" ht="30" customHeight="1" x14ac:dyDescent="0.35">
      <c r="A28" s="110"/>
      <c r="B28" s="110"/>
      <c r="C28" s="112"/>
      <c r="D28" s="110"/>
      <c r="E28" s="110"/>
      <c r="F28" s="110"/>
      <c r="G28" s="110"/>
      <c r="H28" s="110"/>
      <c r="I28" s="110"/>
      <c r="J28" s="438"/>
      <c r="K28" s="436"/>
      <c r="L28" s="429"/>
      <c r="M28" s="444"/>
      <c r="N28" s="445"/>
      <c r="O28" s="444"/>
      <c r="P28" s="444"/>
      <c r="Q28" s="345"/>
      <c r="R28" s="435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10"/>
      <c r="AP28" s="110"/>
      <c r="AQ28" s="110"/>
      <c r="AR28" s="110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</row>
    <row r="29" spans="1:57" ht="30" customHeight="1" x14ac:dyDescent="0.35">
      <c r="A29" s="110"/>
      <c r="B29" s="110"/>
      <c r="C29" s="112"/>
      <c r="D29" s="110"/>
      <c r="E29" s="110"/>
      <c r="F29" s="110"/>
      <c r="G29" s="110"/>
      <c r="H29" s="110"/>
      <c r="I29" s="110"/>
      <c r="J29" s="436"/>
      <c r="K29" s="436"/>
      <c r="L29" s="437"/>
      <c r="M29" s="345"/>
      <c r="N29" s="438"/>
      <c r="O29" s="345"/>
      <c r="P29" s="444"/>
      <c r="Q29" s="345"/>
      <c r="R29" s="345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</row>
    <row r="30" spans="1:57" ht="30" customHeight="1" x14ac:dyDescent="0.5">
      <c r="A30" s="110"/>
      <c r="B30" s="110"/>
      <c r="C30" s="112"/>
      <c r="D30" s="110"/>
      <c r="E30" s="110"/>
      <c r="F30" s="110"/>
      <c r="G30" s="110"/>
      <c r="H30" s="110"/>
      <c r="I30" s="110"/>
      <c r="J30" s="427"/>
      <c r="K30" s="428"/>
      <c r="L30" s="429"/>
      <c r="M30" s="345"/>
      <c r="N30" s="439"/>
      <c r="O30" s="440"/>
      <c r="P30" s="427"/>
      <c r="Q30" s="441"/>
      <c r="R30" s="427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110"/>
      <c r="AS30" s="110"/>
      <c r="AT30" s="110"/>
      <c r="AU30" s="110"/>
      <c r="AV30" s="110"/>
      <c r="AW30" s="110"/>
      <c r="AX30" s="110"/>
      <c r="AY30" s="110"/>
      <c r="AZ30" s="110"/>
      <c r="BA30" s="110"/>
      <c r="BB30" s="110"/>
      <c r="BC30" s="110"/>
      <c r="BD30" s="110"/>
      <c r="BE30" s="110"/>
    </row>
    <row r="31" spans="1:57" ht="30" customHeight="1" x14ac:dyDescent="0.35">
      <c r="A31" s="110"/>
      <c r="B31" s="110"/>
      <c r="C31" s="112"/>
      <c r="D31" s="110"/>
      <c r="E31" s="110"/>
      <c r="F31" s="110"/>
      <c r="G31" s="110"/>
      <c r="H31" s="110"/>
      <c r="I31" s="110"/>
      <c r="J31" s="436"/>
      <c r="K31" s="436"/>
      <c r="L31" s="437"/>
      <c r="M31" s="345"/>
      <c r="N31" s="438"/>
      <c r="O31" s="345"/>
      <c r="P31" s="444"/>
      <c r="Q31" s="345"/>
      <c r="R31" s="345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10"/>
      <c r="AP31" s="110"/>
      <c r="AQ31" s="110"/>
      <c r="AR31" s="110"/>
      <c r="AS31" s="110"/>
      <c r="AT31" s="110"/>
      <c r="AU31" s="110"/>
      <c r="AV31" s="110"/>
      <c r="AW31" s="110"/>
      <c r="AX31" s="110"/>
      <c r="AY31" s="110"/>
      <c r="AZ31" s="110"/>
      <c r="BA31" s="110"/>
      <c r="BB31" s="110"/>
      <c r="BC31" s="110"/>
      <c r="BD31" s="110"/>
      <c r="BE31" s="110"/>
    </row>
    <row r="32" spans="1:57" ht="30" customHeight="1" x14ac:dyDescent="0.5">
      <c r="A32" s="110"/>
      <c r="B32" s="110"/>
      <c r="C32" s="112"/>
      <c r="D32" s="110"/>
      <c r="E32" s="110"/>
      <c r="F32" s="110"/>
      <c r="G32" s="110"/>
      <c r="H32" s="110"/>
      <c r="I32" s="110"/>
      <c r="J32" s="427"/>
      <c r="K32" s="427"/>
      <c r="L32" s="442"/>
      <c r="M32" s="443"/>
      <c r="N32" s="439"/>
      <c r="O32" s="440"/>
      <c r="P32" s="427"/>
      <c r="Q32" s="441"/>
      <c r="R32" s="444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</row>
    <row r="33" spans="1:37" ht="30" customHeight="1" x14ac:dyDescent="0.5">
      <c r="A33" s="110"/>
      <c r="B33" s="110"/>
      <c r="C33" s="112"/>
      <c r="D33" s="110"/>
      <c r="E33" s="110"/>
      <c r="F33" s="110"/>
      <c r="G33" s="110"/>
      <c r="H33" s="110"/>
      <c r="I33" s="110"/>
      <c r="J33" s="427"/>
      <c r="K33" s="427"/>
      <c r="L33" s="437"/>
      <c r="M33" s="345"/>
      <c r="N33" s="439"/>
      <c r="O33" s="345"/>
      <c r="P33" s="444"/>
      <c r="Q33" s="345"/>
      <c r="R33" s="345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</row>
    <row r="34" spans="1:37" ht="30" customHeight="1" x14ac:dyDescent="0.5">
      <c r="A34" s="110"/>
      <c r="B34" s="110"/>
      <c r="C34" s="112"/>
      <c r="D34" s="110"/>
      <c r="E34" s="110"/>
      <c r="F34" s="110"/>
      <c r="G34" s="110"/>
      <c r="H34" s="110"/>
      <c r="I34" s="110"/>
      <c r="J34" s="427"/>
      <c r="K34" s="427"/>
      <c r="L34" s="442"/>
      <c r="M34" s="443"/>
      <c r="N34" s="439"/>
      <c r="O34" s="440"/>
      <c r="P34" s="427"/>
      <c r="Q34" s="441"/>
      <c r="R34" s="427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</row>
    <row r="35" spans="1:37" ht="30" customHeight="1" x14ac:dyDescent="0.5">
      <c r="A35" s="110"/>
      <c r="B35" s="110"/>
      <c r="C35" s="112"/>
      <c r="D35" s="110"/>
      <c r="E35" s="110"/>
      <c r="F35" s="110"/>
      <c r="G35" s="110"/>
      <c r="H35" s="110"/>
      <c r="I35" s="110"/>
      <c r="J35" s="110"/>
      <c r="K35" s="110"/>
      <c r="L35" s="114"/>
      <c r="M35" s="115"/>
      <c r="N35" s="116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</row>
    <row r="36" spans="1:37" ht="30" customHeight="1" x14ac:dyDescent="0.5">
      <c r="A36" s="110"/>
      <c r="B36" s="110"/>
      <c r="C36" s="112"/>
      <c r="D36" s="110"/>
      <c r="E36" s="110"/>
      <c r="F36" s="110"/>
      <c r="G36" s="110"/>
      <c r="H36" s="110"/>
      <c r="I36" s="110"/>
      <c r="J36" s="110"/>
      <c r="K36" s="110"/>
      <c r="L36" s="114"/>
      <c r="M36" s="115"/>
      <c r="N36" s="116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</row>
    <row r="37" spans="1:37" ht="30" customHeight="1" x14ac:dyDescent="0.5">
      <c r="A37" s="110"/>
      <c r="B37" s="110"/>
      <c r="C37" s="112"/>
      <c r="D37" s="110"/>
      <c r="E37" s="110"/>
      <c r="F37" s="110"/>
      <c r="G37" s="110"/>
      <c r="H37" s="110"/>
      <c r="I37" s="110"/>
      <c r="J37" s="110"/>
      <c r="K37" s="110"/>
      <c r="L37" s="114"/>
      <c r="M37" s="115"/>
      <c r="N37" s="116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</row>
    <row r="38" spans="1:37" ht="30" customHeight="1" x14ac:dyDescent="0.5">
      <c r="A38" s="110"/>
      <c r="B38" s="110"/>
      <c r="C38" s="112"/>
      <c r="D38" s="110"/>
      <c r="E38" s="110"/>
      <c r="F38" s="110"/>
      <c r="G38" s="110"/>
      <c r="H38" s="110"/>
      <c r="I38" s="110"/>
      <c r="J38" s="110"/>
      <c r="K38" s="110"/>
      <c r="L38" s="114"/>
      <c r="M38" s="115"/>
      <c r="N38" s="116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</row>
    <row r="39" spans="1:37" ht="30" customHeight="1" x14ac:dyDescent="0.5">
      <c r="A39" s="110"/>
      <c r="B39" s="110"/>
      <c r="C39" s="112"/>
      <c r="D39" s="110"/>
      <c r="E39" s="110"/>
      <c r="F39" s="110"/>
      <c r="G39" s="110"/>
      <c r="H39" s="110"/>
      <c r="I39" s="110"/>
      <c r="J39" s="110"/>
      <c r="K39" s="110"/>
      <c r="L39" s="114"/>
      <c r="M39" s="115"/>
      <c r="N39" s="116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</row>
    <row r="40" spans="1:37" ht="30" customHeight="1" x14ac:dyDescent="0.5">
      <c r="A40" s="110"/>
      <c r="B40" s="110"/>
      <c r="C40" s="112"/>
      <c r="D40" s="110"/>
      <c r="E40" s="110"/>
      <c r="F40" s="110"/>
      <c r="G40" s="110"/>
      <c r="H40" s="110"/>
      <c r="I40" s="110"/>
      <c r="J40" s="110"/>
      <c r="K40" s="110"/>
      <c r="L40" s="114"/>
      <c r="M40" s="115"/>
      <c r="N40" s="116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</row>
    <row r="41" spans="1:37" ht="30" customHeight="1" x14ac:dyDescent="0.5">
      <c r="A41" s="110"/>
      <c r="B41" s="110"/>
      <c r="C41" s="112"/>
      <c r="D41" s="110"/>
      <c r="E41" s="110"/>
      <c r="F41" s="110"/>
      <c r="G41" s="110"/>
      <c r="H41" s="110"/>
      <c r="I41" s="110"/>
      <c r="J41" s="110"/>
      <c r="K41" s="110"/>
      <c r="L41" s="114"/>
      <c r="M41" s="115"/>
      <c r="N41" s="116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</row>
    <row r="42" spans="1:37" ht="30" customHeight="1" x14ac:dyDescent="0.5">
      <c r="A42" s="110"/>
      <c r="B42" s="110"/>
      <c r="C42" s="112"/>
      <c r="D42" s="110"/>
      <c r="E42" s="110"/>
      <c r="F42" s="110"/>
      <c r="G42" s="110"/>
      <c r="H42" s="110"/>
      <c r="I42" s="110"/>
      <c r="J42" s="110"/>
      <c r="K42" s="110"/>
      <c r="L42" s="114"/>
      <c r="M42" s="115"/>
      <c r="N42" s="116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</row>
    <row r="43" spans="1:37" ht="30" customHeight="1" x14ac:dyDescent="0.5">
      <c r="A43" s="110"/>
      <c r="B43" s="110"/>
      <c r="C43" s="112"/>
      <c r="D43" s="110"/>
      <c r="E43" s="110"/>
      <c r="F43" s="110"/>
      <c r="G43" s="110"/>
      <c r="H43" s="110"/>
      <c r="I43" s="110"/>
      <c r="J43" s="110"/>
      <c r="K43" s="110"/>
      <c r="L43" s="114"/>
      <c r="M43" s="115"/>
      <c r="N43" s="116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</row>
    <row r="44" spans="1:37" ht="30" customHeight="1" x14ac:dyDescent="0.5">
      <c r="A44" s="110"/>
      <c r="B44" s="110"/>
      <c r="C44" s="112"/>
      <c r="D44" s="110"/>
      <c r="E44" s="110"/>
      <c r="F44" s="110"/>
      <c r="G44" s="110"/>
      <c r="H44" s="110"/>
      <c r="I44" s="110"/>
      <c r="J44" s="110"/>
      <c r="K44" s="110"/>
      <c r="L44" s="114"/>
      <c r="M44" s="115"/>
      <c r="N44" s="116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</row>
    <row r="45" spans="1:37" ht="30" customHeight="1" x14ac:dyDescent="0.5">
      <c r="A45" s="110"/>
      <c r="B45" s="110"/>
      <c r="C45" s="112"/>
      <c r="D45" s="110"/>
      <c r="E45" s="110"/>
      <c r="F45" s="110"/>
      <c r="G45" s="110"/>
      <c r="H45" s="110"/>
      <c r="I45" s="110"/>
      <c r="J45" s="110"/>
      <c r="K45" s="110"/>
      <c r="L45" s="114"/>
      <c r="M45" s="115"/>
      <c r="N45" s="116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</row>
    <row r="46" spans="1:37" ht="30" customHeight="1" x14ac:dyDescent="0.5">
      <c r="A46" s="110"/>
      <c r="B46" s="110"/>
      <c r="C46" s="112"/>
      <c r="D46" s="110"/>
      <c r="E46" s="110"/>
      <c r="F46" s="110"/>
      <c r="G46" s="110"/>
      <c r="H46" s="110"/>
      <c r="I46" s="110"/>
      <c r="J46" s="110"/>
      <c r="K46" s="110"/>
      <c r="L46" s="114"/>
      <c r="M46" s="115"/>
      <c r="N46" s="116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</row>
    <row r="47" spans="1:37" ht="30" customHeight="1" x14ac:dyDescent="0.5">
      <c r="A47" s="110"/>
      <c r="B47" s="110"/>
      <c r="C47" s="112"/>
      <c r="D47" s="110"/>
      <c r="E47" s="110"/>
      <c r="F47" s="110"/>
      <c r="G47" s="110"/>
      <c r="H47" s="110"/>
      <c r="I47" s="110"/>
      <c r="J47" s="110"/>
      <c r="K47" s="110"/>
      <c r="L47" s="114"/>
      <c r="M47" s="115"/>
      <c r="N47" s="116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</row>
    <row r="48" spans="1:37" ht="30" customHeight="1" x14ac:dyDescent="0.5">
      <c r="A48" s="110"/>
      <c r="B48" s="110"/>
      <c r="C48" s="112"/>
      <c r="D48" s="110"/>
      <c r="E48" s="110"/>
      <c r="F48" s="110"/>
      <c r="G48" s="110"/>
      <c r="H48" s="110"/>
      <c r="I48" s="110"/>
      <c r="J48" s="110"/>
      <c r="K48" s="110"/>
      <c r="L48" s="114"/>
      <c r="M48" s="115"/>
      <c r="N48" s="116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</row>
    <row r="49" spans="1:37" ht="30" customHeight="1" x14ac:dyDescent="0.5">
      <c r="A49" s="110"/>
      <c r="B49" s="110"/>
      <c r="C49" s="112"/>
      <c r="D49" s="110"/>
      <c r="E49" s="110"/>
      <c r="F49" s="110"/>
      <c r="G49" s="110"/>
      <c r="H49" s="110"/>
      <c r="I49" s="110"/>
      <c r="J49" s="110"/>
      <c r="K49" s="110"/>
      <c r="L49" s="114"/>
      <c r="M49" s="115"/>
      <c r="N49" s="116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</row>
    <row r="50" spans="1:37" ht="30" customHeight="1" x14ac:dyDescent="0.5">
      <c r="A50" s="110"/>
      <c r="B50" s="110"/>
      <c r="C50" s="112"/>
      <c r="D50" s="110"/>
      <c r="E50" s="110"/>
      <c r="F50" s="110"/>
      <c r="G50" s="110"/>
      <c r="H50" s="110"/>
      <c r="I50" s="110"/>
      <c r="J50" s="110"/>
      <c r="K50" s="110"/>
      <c r="L50" s="114"/>
      <c r="M50" s="115"/>
      <c r="N50" s="116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</row>
    <row r="51" spans="1:37" ht="30" customHeight="1" x14ac:dyDescent="0.5">
      <c r="A51" s="110"/>
      <c r="B51" s="110"/>
      <c r="C51" s="112"/>
      <c r="D51" s="110"/>
      <c r="E51" s="110"/>
      <c r="F51" s="110"/>
      <c r="G51" s="110"/>
      <c r="H51" s="110"/>
      <c r="I51" s="110"/>
      <c r="J51" s="110"/>
      <c r="K51" s="110"/>
      <c r="L51" s="114"/>
      <c r="M51" s="115"/>
      <c r="N51" s="116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</row>
    <row r="52" spans="1:37" ht="30" customHeight="1" x14ac:dyDescent="0.5">
      <c r="A52" s="110"/>
      <c r="B52" s="110"/>
      <c r="C52" s="112"/>
      <c r="D52" s="110"/>
      <c r="E52" s="110"/>
      <c r="F52" s="110"/>
      <c r="G52" s="110"/>
      <c r="H52" s="110"/>
      <c r="I52" s="110"/>
      <c r="J52" s="110"/>
      <c r="K52" s="110"/>
      <c r="L52" s="114"/>
      <c r="M52" s="115"/>
      <c r="N52" s="116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</row>
    <row r="53" spans="1:37" ht="30" customHeight="1" x14ac:dyDescent="0.5">
      <c r="A53" s="110"/>
      <c r="B53" s="110"/>
      <c r="C53" s="112"/>
      <c r="D53" s="110"/>
      <c r="E53" s="110"/>
      <c r="F53" s="110"/>
      <c r="G53" s="110"/>
      <c r="H53" s="110"/>
      <c r="I53" s="110"/>
      <c r="J53" s="110"/>
      <c r="K53" s="110"/>
      <c r="L53" s="114"/>
      <c r="M53" s="115"/>
      <c r="N53" s="116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</row>
    <row r="54" spans="1:37" ht="30" customHeight="1" x14ac:dyDescent="0.5">
      <c r="A54" s="110"/>
      <c r="B54" s="110"/>
      <c r="C54" s="112"/>
      <c r="D54" s="110"/>
      <c r="E54" s="110"/>
      <c r="F54" s="110"/>
      <c r="G54" s="110"/>
      <c r="H54" s="110"/>
      <c r="I54" s="110"/>
      <c r="J54" s="110"/>
      <c r="K54" s="110"/>
      <c r="L54" s="114"/>
      <c r="M54" s="115"/>
      <c r="N54" s="116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</row>
    <row r="55" spans="1:37" ht="30" customHeight="1" x14ac:dyDescent="0.5">
      <c r="A55" s="110"/>
      <c r="B55" s="110"/>
      <c r="C55" s="112"/>
      <c r="D55" s="110"/>
      <c r="E55" s="110"/>
      <c r="F55" s="110"/>
      <c r="G55" s="110"/>
      <c r="H55" s="110"/>
      <c r="I55" s="110"/>
      <c r="J55" s="110"/>
      <c r="K55" s="110"/>
      <c r="L55" s="114"/>
      <c r="M55" s="115"/>
      <c r="N55" s="116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</row>
    <row r="56" spans="1:37" ht="30" customHeight="1" x14ac:dyDescent="0.5">
      <c r="A56" s="110"/>
      <c r="B56" s="110"/>
      <c r="C56" s="112"/>
      <c r="D56" s="110"/>
      <c r="E56" s="110"/>
      <c r="F56" s="110"/>
      <c r="G56" s="110"/>
      <c r="H56" s="110"/>
      <c r="I56" s="110"/>
      <c r="J56" s="110"/>
      <c r="K56" s="110"/>
      <c r="L56" s="114"/>
      <c r="M56" s="115"/>
      <c r="N56" s="116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</row>
    <row r="57" spans="1:37" ht="30" customHeight="1" x14ac:dyDescent="0.5">
      <c r="D57" s="110"/>
      <c r="E57" s="110"/>
      <c r="F57" s="110"/>
      <c r="G57" s="110"/>
      <c r="H57" s="110"/>
      <c r="I57" s="110"/>
      <c r="J57" s="110"/>
      <c r="K57" s="110"/>
      <c r="L57" s="114"/>
      <c r="M57" s="115"/>
      <c r="N57" s="116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</row>
    <row r="58" spans="1:37" ht="30" customHeight="1" x14ac:dyDescent="0.5">
      <c r="D58" s="110"/>
      <c r="E58" s="110"/>
      <c r="F58" s="110"/>
      <c r="G58" s="110"/>
      <c r="H58" s="110"/>
      <c r="I58" s="110"/>
      <c r="J58" s="110"/>
      <c r="K58" s="110"/>
      <c r="L58" s="114"/>
      <c r="M58" s="115"/>
      <c r="N58" s="116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</row>
    <row r="59" spans="1:37" ht="30" customHeight="1" x14ac:dyDescent="0.5">
      <c r="D59" s="110"/>
      <c r="E59" s="110"/>
      <c r="F59" s="110"/>
      <c r="G59" s="110"/>
      <c r="H59" s="110"/>
      <c r="I59" s="110"/>
      <c r="J59" s="110"/>
      <c r="K59" s="110"/>
      <c r="L59" s="114"/>
      <c r="M59" s="115"/>
      <c r="N59" s="116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</row>
    <row r="60" spans="1:37" ht="30" customHeight="1" x14ac:dyDescent="0.5">
      <c r="D60" s="110"/>
      <c r="E60" s="110"/>
      <c r="F60" s="110"/>
      <c r="G60" s="110"/>
      <c r="H60" s="110"/>
      <c r="I60" s="110"/>
      <c r="N60" s="116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</row>
  </sheetData>
  <sheetProtection selectLockedCells="1"/>
  <mergeCells count="16">
    <mergeCell ref="V2:W3"/>
    <mergeCell ref="V1:W1"/>
    <mergeCell ref="T8:U8"/>
    <mergeCell ref="T9:U9"/>
    <mergeCell ref="T10:U10"/>
    <mergeCell ref="T11:U11"/>
    <mergeCell ref="D1:E1"/>
    <mergeCell ref="T3:U4"/>
    <mergeCell ref="T5:T6"/>
    <mergeCell ref="B5:B6"/>
    <mergeCell ref="B3:C4"/>
    <mergeCell ref="D2:E3"/>
    <mergeCell ref="B11:C11"/>
    <mergeCell ref="B10:C10"/>
    <mergeCell ref="B8:C8"/>
    <mergeCell ref="B9:C9"/>
  </mergeCells>
  <pageMargins left="0.75" right="0.75" top="1" bottom="1" header="0.5" footer="0.5"/>
  <pageSetup paperSize="9" orientation="portrait" horizontalDpi="4294967292" verticalDpi="4294967292" r:id="rId1"/>
  <colBreaks count="1" manualBreakCount="1">
    <brk id="2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4B873-1ED2-4A5C-97E2-F1CABED932E0}">
  <sheetPr codeName="Feuil3"/>
  <dimension ref="A1:X256"/>
  <sheetViews>
    <sheetView showGridLines="0" topLeftCell="A34" workbookViewId="0">
      <selection activeCell="C19" sqref="C19"/>
    </sheetView>
  </sheetViews>
  <sheetFormatPr baseColWidth="10" defaultRowHeight="15" customHeight="1" x14ac:dyDescent="0.25"/>
  <cols>
    <col min="1" max="3" width="11.42578125" style="80"/>
    <col min="4" max="4" width="4.42578125" style="165" customWidth="1"/>
    <col min="5" max="5" width="11.42578125" style="23"/>
    <col min="6" max="6" width="2.85546875" style="80" customWidth="1"/>
    <col min="7" max="7" width="11.42578125" style="80" customWidth="1"/>
    <col min="8" max="8" width="14" style="200" customWidth="1"/>
    <col min="9" max="9" width="12.42578125" style="200" bestFit="1" customWidth="1"/>
    <col min="10" max="10" width="11.42578125" style="200"/>
    <col min="11" max="16" width="11.42578125" style="80"/>
    <col min="17" max="17" width="15.28515625" style="200" customWidth="1"/>
    <col min="18" max="24" width="11.42578125" style="200"/>
    <col min="25" max="16384" width="11.42578125" style="80"/>
  </cols>
  <sheetData>
    <row r="1" spans="1:16" s="200" customFormat="1" ht="15" customHeight="1" thickBot="1" x14ac:dyDescent="0.3">
      <c r="B1" s="300"/>
      <c r="C1" s="301"/>
      <c r="D1" s="99"/>
      <c r="E1" s="99"/>
      <c r="F1" s="99"/>
      <c r="G1" s="302"/>
      <c r="H1" s="99"/>
      <c r="I1" s="99"/>
      <c r="J1" s="300"/>
    </row>
    <row r="2" spans="1:16" ht="15" customHeight="1" thickBot="1" x14ac:dyDescent="0.3">
      <c r="A2" s="200"/>
      <c r="B2" s="300"/>
      <c r="C2" s="477" t="s">
        <v>21</v>
      </c>
      <c r="D2" s="478"/>
      <c r="E2" s="478"/>
      <c r="F2" s="479"/>
      <c r="G2" s="302"/>
      <c r="H2" s="99"/>
      <c r="I2" s="99"/>
      <c r="J2" s="99"/>
      <c r="K2" s="303"/>
      <c r="L2" s="474" t="s">
        <v>152</v>
      </c>
      <c r="M2" s="475"/>
      <c r="N2" s="475"/>
      <c r="O2" s="476"/>
      <c r="P2" s="304"/>
    </row>
    <row r="3" spans="1:16" s="200" customFormat="1" ht="15" customHeight="1" x14ac:dyDescent="0.25">
      <c r="B3" s="300"/>
      <c r="C3" s="301"/>
      <c r="D3" s="99"/>
      <c r="E3" s="99"/>
      <c r="F3" s="99"/>
      <c r="G3" s="302"/>
      <c r="H3" s="99"/>
      <c r="I3" s="99"/>
      <c r="J3" s="99"/>
      <c r="K3" s="303"/>
      <c r="L3" s="305"/>
      <c r="M3" s="306"/>
      <c r="N3" s="102"/>
      <c r="P3" s="304"/>
    </row>
    <row r="4" spans="1:16" ht="15" customHeight="1" x14ac:dyDescent="0.25">
      <c r="A4" s="200"/>
      <c r="B4" s="36" t="s">
        <v>4</v>
      </c>
      <c r="C4" s="52"/>
      <c r="D4" s="12"/>
      <c r="E4" s="16" t="s">
        <v>0</v>
      </c>
      <c r="F4" s="12"/>
      <c r="G4" s="47"/>
      <c r="H4" s="99"/>
      <c r="I4" s="99"/>
      <c r="J4" s="99"/>
      <c r="K4" s="36" t="s">
        <v>4</v>
      </c>
      <c r="L4" s="82"/>
      <c r="M4" s="83"/>
      <c r="N4" s="90" t="s">
        <v>0</v>
      </c>
      <c r="O4" s="87"/>
      <c r="P4" s="166"/>
    </row>
    <row r="5" spans="1:16" ht="15" customHeight="1" x14ac:dyDescent="0.25">
      <c r="A5" s="200"/>
      <c r="B5" s="8"/>
      <c r="C5" s="53">
        <f>IF('Détail du travail'!C18=0, 0,'Détail du travail'!C5)</f>
        <v>0</v>
      </c>
      <c r="D5" s="7" t="s">
        <v>1</v>
      </c>
      <c r="E5" s="19" t="str">
        <f>'Détail du travail'!Q18</f>
        <v>0,50%</v>
      </c>
      <c r="F5" s="7" t="s">
        <v>2</v>
      </c>
      <c r="G5" s="45">
        <f>C5*E5+SUM(C5,E5)</f>
        <v>0</v>
      </c>
      <c r="H5" s="99"/>
      <c r="I5" s="99"/>
      <c r="J5" s="99"/>
      <c r="K5" s="8"/>
      <c r="L5" s="167">
        <f>'Détail du travail'!C5</f>
        <v>10000</v>
      </c>
      <c r="M5" s="168" t="s">
        <v>1</v>
      </c>
      <c r="N5" s="169" t="str">
        <f>'Détail du travail'!Q18</f>
        <v>0,50%</v>
      </c>
      <c r="O5" s="170" t="s">
        <v>2</v>
      </c>
      <c r="P5" s="171">
        <f>L5*N5+SUM(L5,N5)</f>
        <v>10050</v>
      </c>
    </row>
    <row r="6" spans="1:16" ht="15" customHeight="1" x14ac:dyDescent="0.25">
      <c r="A6" s="200"/>
      <c r="B6" s="3"/>
      <c r="C6" s="51"/>
      <c r="D6" s="4"/>
      <c r="E6" s="9" t="s">
        <v>3</v>
      </c>
      <c r="F6" s="4" t="s">
        <v>2</v>
      </c>
      <c r="G6" s="46">
        <f>ROUNDUP(G5,0)</f>
        <v>0</v>
      </c>
      <c r="H6" s="99"/>
      <c r="I6" s="99"/>
      <c r="J6" s="99"/>
      <c r="K6" s="81"/>
      <c r="L6" s="84"/>
      <c r="M6" s="172"/>
      <c r="N6" s="89" t="s">
        <v>3</v>
      </c>
      <c r="O6" s="85" t="s">
        <v>2</v>
      </c>
      <c r="P6" s="173">
        <f>ROUNDUP(P5,0)</f>
        <v>10050</v>
      </c>
    </row>
    <row r="7" spans="1:16" ht="15" customHeight="1" x14ac:dyDescent="0.25">
      <c r="A7" s="200"/>
      <c r="B7" s="1"/>
      <c r="C7" s="52"/>
      <c r="D7" s="12"/>
      <c r="E7" s="17" t="s">
        <v>10</v>
      </c>
      <c r="F7" s="12"/>
      <c r="G7" s="47"/>
      <c r="H7" s="99"/>
      <c r="I7" s="99"/>
      <c r="J7" s="99"/>
      <c r="K7" s="81"/>
      <c r="L7" s="175"/>
      <c r="M7" s="176"/>
      <c r="N7" s="90" t="s">
        <v>10</v>
      </c>
      <c r="O7" s="87"/>
      <c r="P7" s="166"/>
    </row>
    <row r="8" spans="1:16" ht="15" customHeight="1" x14ac:dyDescent="0.25">
      <c r="A8" s="200"/>
      <c r="B8" s="1"/>
      <c r="C8" s="54"/>
      <c r="D8" s="2" t="s">
        <v>1</v>
      </c>
      <c r="E8" s="2" t="str">
        <f>'Détail du travail'!Q19</f>
        <v>2</v>
      </c>
      <c r="F8" s="2" t="s">
        <v>2</v>
      </c>
      <c r="G8" s="48">
        <f>SUM(G6,E8)</f>
        <v>0</v>
      </c>
      <c r="H8" s="99"/>
      <c r="I8" s="99"/>
      <c r="J8" s="99"/>
      <c r="K8" s="174"/>
      <c r="L8" s="175">
        <f>P6</f>
        <v>10050</v>
      </c>
      <c r="M8" s="176" t="s">
        <v>1</v>
      </c>
      <c r="N8" s="177" t="str">
        <f>'Détail du travail'!Q19</f>
        <v>2</v>
      </c>
      <c r="O8" s="178" t="s">
        <v>2</v>
      </c>
      <c r="P8" s="86">
        <f>SUM(L8,N8)</f>
        <v>10050</v>
      </c>
    </row>
    <row r="9" spans="1:16" ht="15" customHeight="1" x14ac:dyDescent="0.25">
      <c r="A9" s="200"/>
      <c r="B9" s="314"/>
      <c r="C9" s="310"/>
      <c r="D9" s="109"/>
      <c r="E9" s="109"/>
      <c r="F9" s="109"/>
      <c r="G9" s="315"/>
      <c r="H9" s="99"/>
      <c r="I9" s="99"/>
      <c r="J9" s="99"/>
      <c r="K9" s="316"/>
      <c r="L9" s="311"/>
      <c r="M9" s="312"/>
      <c r="N9" s="313"/>
      <c r="O9" s="249"/>
      <c r="P9" s="317"/>
    </row>
    <row r="10" spans="1:16" s="200" customFormat="1" ht="15" customHeight="1" x14ac:dyDescent="0.25">
      <c r="B10" s="14" t="s">
        <v>5</v>
      </c>
      <c r="C10" s="53"/>
      <c r="D10" s="7"/>
      <c r="E10" s="15" t="s">
        <v>0</v>
      </c>
      <c r="F10" s="7"/>
      <c r="G10" s="49"/>
      <c r="H10" s="99"/>
      <c r="I10" s="99"/>
      <c r="J10" s="99"/>
      <c r="K10" s="14" t="s">
        <v>19</v>
      </c>
      <c r="L10" s="167"/>
      <c r="M10" s="168"/>
      <c r="N10" s="91" t="s">
        <v>0</v>
      </c>
      <c r="O10" s="170"/>
      <c r="P10" s="179"/>
    </row>
    <row r="11" spans="1:16" ht="15" customHeight="1" x14ac:dyDescent="0.25">
      <c r="A11" s="200"/>
      <c r="B11" s="3"/>
      <c r="C11" s="52">
        <f>G8</f>
        <v>0</v>
      </c>
      <c r="D11" s="12" t="s">
        <v>1</v>
      </c>
      <c r="E11" s="20">
        <f>'Détail du travail'!Q10</f>
        <v>0</v>
      </c>
      <c r="F11" s="12" t="s">
        <v>2</v>
      </c>
      <c r="G11" s="45">
        <f>C11*E11+SUM(C11,E11)</f>
        <v>0</v>
      </c>
      <c r="H11" s="99"/>
      <c r="I11" s="99"/>
      <c r="J11" s="99"/>
      <c r="K11" s="81"/>
      <c r="L11" s="82">
        <f>IF(P8=0, 0,P8)</f>
        <v>10050</v>
      </c>
      <c r="M11" s="83" t="s">
        <v>1</v>
      </c>
      <c r="N11" s="180">
        <f>'Détail du travail'!Q14</f>
        <v>0</v>
      </c>
      <c r="O11" s="87" t="s">
        <v>2</v>
      </c>
      <c r="P11" s="181">
        <f>L11*N11+SUM(L11,N11)</f>
        <v>10050</v>
      </c>
    </row>
    <row r="12" spans="1:16" ht="15" customHeight="1" x14ac:dyDescent="0.25">
      <c r="A12" s="200"/>
      <c r="B12" s="3"/>
      <c r="C12" s="51"/>
      <c r="D12" s="4"/>
      <c r="E12" s="324" t="s">
        <v>3</v>
      </c>
      <c r="F12" s="4" t="s">
        <v>2</v>
      </c>
      <c r="G12" s="46">
        <f>ROUNDUP(G11,0)</f>
        <v>0</v>
      </c>
      <c r="H12" s="99"/>
      <c r="I12" s="99"/>
      <c r="J12" s="99"/>
      <c r="K12" s="8"/>
      <c r="L12" s="84"/>
      <c r="M12" s="172"/>
      <c r="N12" s="89" t="s">
        <v>3</v>
      </c>
      <c r="O12" s="85" t="s">
        <v>2</v>
      </c>
      <c r="P12" s="173">
        <f>ROUNDUP(P11,0)</f>
        <v>10050</v>
      </c>
    </row>
    <row r="13" spans="1:16" ht="15" customHeight="1" x14ac:dyDescent="0.25">
      <c r="A13" s="200"/>
      <c r="B13" s="3"/>
      <c r="C13" s="54"/>
      <c r="D13" s="2"/>
      <c r="E13" s="17" t="s">
        <v>10</v>
      </c>
      <c r="F13" s="12"/>
      <c r="G13" s="47"/>
      <c r="H13" s="99"/>
      <c r="I13" s="99"/>
      <c r="J13" s="99"/>
      <c r="K13" s="81"/>
      <c r="L13" s="175"/>
      <c r="M13" s="176"/>
      <c r="N13" s="90" t="s">
        <v>10</v>
      </c>
      <c r="O13" s="87"/>
      <c r="P13" s="166"/>
    </row>
    <row r="14" spans="1:16" ht="15" customHeight="1" x14ac:dyDescent="0.25">
      <c r="A14" s="200"/>
      <c r="B14" s="3"/>
      <c r="C14" s="51">
        <f>G11</f>
        <v>0</v>
      </c>
      <c r="D14" s="4" t="s">
        <v>1</v>
      </c>
      <c r="E14" s="4">
        <f>'Détail du travail'!Q11*'Détail du travail'!T10</f>
        <v>0</v>
      </c>
      <c r="F14" s="4" t="s">
        <v>2</v>
      </c>
      <c r="G14" s="55">
        <f>C14+E14</f>
        <v>0</v>
      </c>
      <c r="H14" s="99"/>
      <c r="I14" s="99"/>
      <c r="J14" s="99"/>
      <c r="K14" s="81"/>
      <c r="L14" s="84">
        <f>P11</f>
        <v>10050</v>
      </c>
      <c r="M14" s="172" t="s">
        <v>1</v>
      </c>
      <c r="N14" s="182">
        <f>'Détail du travail'!T105</f>
        <v>0</v>
      </c>
      <c r="O14" s="85" t="s">
        <v>2</v>
      </c>
      <c r="P14" s="183">
        <f>L14+N14</f>
        <v>10050</v>
      </c>
    </row>
    <row r="15" spans="1:16" ht="15" customHeight="1" x14ac:dyDescent="0.25">
      <c r="A15" s="200"/>
      <c r="B15" s="1"/>
      <c r="C15" s="54"/>
      <c r="D15" s="2"/>
      <c r="E15" s="10" t="s">
        <v>3</v>
      </c>
      <c r="F15" s="2" t="s">
        <v>2</v>
      </c>
      <c r="G15" s="48">
        <f>ROUNDUP(G14,0)</f>
        <v>0</v>
      </c>
      <c r="H15" s="99"/>
      <c r="I15" s="99"/>
      <c r="J15" s="99"/>
      <c r="K15" s="174"/>
      <c r="L15" s="175"/>
      <c r="M15" s="176"/>
      <c r="N15" s="184" t="s">
        <v>3</v>
      </c>
      <c r="O15" s="178" t="s">
        <v>2</v>
      </c>
      <c r="P15" s="86">
        <f>ROUNDUP(P14,0)</f>
        <v>10050</v>
      </c>
    </row>
    <row r="16" spans="1:16" ht="15" customHeight="1" x14ac:dyDescent="0.25">
      <c r="A16" s="200"/>
      <c r="B16" s="300"/>
      <c r="C16" s="301"/>
      <c r="D16" s="99"/>
      <c r="E16" s="99"/>
      <c r="F16" s="99"/>
      <c r="G16" s="302"/>
      <c r="H16" s="99"/>
      <c r="I16" s="99"/>
      <c r="J16" s="99"/>
      <c r="K16" s="303"/>
      <c r="L16" s="305"/>
      <c r="M16" s="306"/>
      <c r="N16" s="102"/>
      <c r="O16" s="200"/>
      <c r="P16" s="304"/>
    </row>
    <row r="17" spans="1:16" ht="15" customHeight="1" x14ac:dyDescent="0.25">
      <c r="A17" s="200"/>
      <c r="B17" s="14" t="s">
        <v>11</v>
      </c>
      <c r="C17" s="53"/>
      <c r="D17" s="7"/>
      <c r="E17" s="15" t="s">
        <v>0</v>
      </c>
      <c r="F17" s="7"/>
      <c r="G17" s="49"/>
      <c r="H17" s="99"/>
      <c r="I17" s="99"/>
      <c r="J17" s="99"/>
      <c r="K17" s="14" t="s">
        <v>5</v>
      </c>
      <c r="L17" s="167"/>
      <c r="M17" s="168"/>
      <c r="N17" s="91" t="s">
        <v>0</v>
      </c>
      <c r="O17" s="170"/>
      <c r="P17" s="179"/>
    </row>
    <row r="18" spans="1:16" s="200" customFormat="1" ht="15" customHeight="1" x14ac:dyDescent="0.25">
      <c r="B18" s="6" t="s">
        <v>31</v>
      </c>
      <c r="C18" s="52">
        <f>IFERROR((G14/'produits en croix'!L5),0)</f>
        <v>0</v>
      </c>
      <c r="D18" s="12" t="s">
        <v>1</v>
      </c>
      <c r="E18" s="20">
        <f>IF(C18=0, 0,'Détail du travail'!Q2)</f>
        <v>0</v>
      </c>
      <c r="F18" s="12" t="s">
        <v>2</v>
      </c>
      <c r="G18" s="45">
        <f>C18*E18+SUM(C18,E18)</f>
        <v>0</v>
      </c>
      <c r="H18" s="99"/>
      <c r="I18" s="99"/>
      <c r="J18" s="99"/>
      <c r="K18" s="81"/>
      <c r="L18" s="82">
        <f>P8</f>
        <v>10050</v>
      </c>
      <c r="M18" s="83" t="s">
        <v>1</v>
      </c>
      <c r="N18" s="180">
        <f>'Détail du travail'!Q10</f>
        <v>0</v>
      </c>
      <c r="O18" s="87" t="s">
        <v>2</v>
      </c>
      <c r="P18" s="171">
        <f>L18*N18+SUM(L18,N18)</f>
        <v>10050</v>
      </c>
    </row>
    <row r="19" spans="1:16" ht="15" customHeight="1" x14ac:dyDescent="0.25">
      <c r="A19" s="200"/>
      <c r="B19" s="3"/>
      <c r="C19" s="51"/>
      <c r="D19" s="4"/>
      <c r="E19" s="9" t="s">
        <v>3</v>
      </c>
      <c r="F19" s="4" t="s">
        <v>2</v>
      </c>
      <c r="G19" s="46">
        <f>ROUNDUP(G18,0)</f>
        <v>0</v>
      </c>
      <c r="H19" s="99"/>
      <c r="I19" s="99"/>
      <c r="J19" s="99"/>
      <c r="K19" s="81"/>
      <c r="L19" s="84"/>
      <c r="M19" s="172"/>
      <c r="N19" s="89" t="s">
        <v>3</v>
      </c>
      <c r="O19" s="85" t="s">
        <v>2</v>
      </c>
      <c r="P19" s="173">
        <f>ROUNDUP(P18,0)</f>
        <v>10050</v>
      </c>
    </row>
    <row r="20" spans="1:16" ht="15" customHeight="1" x14ac:dyDescent="0.25">
      <c r="A20" s="200"/>
      <c r="B20" s="3"/>
      <c r="C20" s="54"/>
      <c r="D20" s="2"/>
      <c r="E20" s="17" t="s">
        <v>10</v>
      </c>
      <c r="F20" s="12"/>
      <c r="G20" s="47"/>
      <c r="H20" s="99"/>
      <c r="I20" s="99"/>
      <c r="J20" s="99"/>
      <c r="K20" s="81"/>
      <c r="L20" s="175"/>
      <c r="M20" s="176"/>
      <c r="N20" s="90" t="s">
        <v>10</v>
      </c>
      <c r="O20" s="87"/>
      <c r="P20" s="166"/>
    </row>
    <row r="21" spans="1:16" ht="15" customHeight="1" x14ac:dyDescent="0.25">
      <c r="A21" s="200"/>
      <c r="B21" s="3"/>
      <c r="C21" s="52">
        <f>G19</f>
        <v>0</v>
      </c>
      <c r="D21" s="12" t="s">
        <v>1</v>
      </c>
      <c r="E21" s="12">
        <f>IF(C18=0, 0,'Détail du travail'!Q3)</f>
        <v>0</v>
      </c>
      <c r="F21" s="12" t="s">
        <v>2</v>
      </c>
      <c r="G21" s="45">
        <f>C21+E21</f>
        <v>0</v>
      </c>
      <c r="H21" s="99"/>
      <c r="I21" s="99"/>
      <c r="J21" s="99"/>
      <c r="K21" s="81"/>
      <c r="L21" s="84">
        <f>P18</f>
        <v>10050</v>
      </c>
      <c r="M21" s="172" t="s">
        <v>1</v>
      </c>
      <c r="N21" s="92">
        <f>'Détail du travail'!Q11*'Détail du travail'!T11</f>
        <v>0</v>
      </c>
      <c r="O21" s="85" t="s">
        <v>2</v>
      </c>
      <c r="P21" s="183">
        <f>L21+N21</f>
        <v>10050</v>
      </c>
    </row>
    <row r="22" spans="1:16" ht="15" customHeight="1" x14ac:dyDescent="0.25">
      <c r="A22" s="200"/>
      <c r="B22" s="3"/>
      <c r="C22" s="51"/>
      <c r="D22" s="4"/>
      <c r="E22" s="324" t="s">
        <v>3</v>
      </c>
      <c r="F22" s="4" t="s">
        <v>2</v>
      </c>
      <c r="G22" s="46">
        <f>ROUNDUP(G21,0)</f>
        <v>0</v>
      </c>
      <c r="H22" s="99"/>
      <c r="I22" s="99"/>
      <c r="J22" s="99"/>
      <c r="K22" s="174"/>
      <c r="L22" s="175"/>
      <c r="M22" s="176"/>
      <c r="N22" s="184" t="s">
        <v>3</v>
      </c>
      <c r="O22" s="178" t="s">
        <v>2</v>
      </c>
      <c r="P22" s="86">
        <f>ROUNDUP(P21,0)</f>
        <v>10050</v>
      </c>
    </row>
    <row r="23" spans="1:16" ht="15" customHeight="1" x14ac:dyDescent="0.25">
      <c r="A23" s="200"/>
      <c r="B23" s="1"/>
      <c r="C23" s="54"/>
      <c r="D23" s="2"/>
      <c r="E23" s="15" t="s">
        <v>0</v>
      </c>
      <c r="F23" s="12"/>
      <c r="G23" s="47"/>
      <c r="H23" s="99"/>
      <c r="I23" s="99"/>
      <c r="J23" s="99"/>
      <c r="K23" s="303"/>
      <c r="L23" s="305"/>
      <c r="M23" s="306"/>
      <c r="N23" s="102"/>
      <c r="O23" s="200"/>
      <c r="P23" s="304"/>
    </row>
    <row r="24" spans="1:16" ht="15" customHeight="1" x14ac:dyDescent="0.25">
      <c r="A24" s="200"/>
      <c r="B24" s="11" t="s">
        <v>32</v>
      </c>
      <c r="C24" s="52">
        <f>IF('Détail du travail'!E19="R°V°",G21,0)</f>
        <v>0</v>
      </c>
      <c r="D24" s="12" t="s">
        <v>1</v>
      </c>
      <c r="E24" s="20">
        <f>IF(C24=0,0,'Détail du travail'!Q2)</f>
        <v>0</v>
      </c>
      <c r="F24" s="12" t="s">
        <v>2</v>
      </c>
      <c r="G24" s="45">
        <f>C24*E24+SUM(C24,E24)</f>
        <v>0</v>
      </c>
      <c r="H24" s="99"/>
      <c r="I24" s="99"/>
      <c r="J24" s="99"/>
      <c r="K24" s="14" t="s">
        <v>225</v>
      </c>
      <c r="L24" s="167"/>
      <c r="M24" s="168"/>
      <c r="N24" s="91" t="s">
        <v>0</v>
      </c>
      <c r="O24" s="170"/>
      <c r="P24" s="179"/>
    </row>
    <row r="25" spans="1:16" ht="15" customHeight="1" x14ac:dyDescent="0.25">
      <c r="A25" s="200"/>
      <c r="B25" s="3"/>
      <c r="C25" s="51"/>
      <c r="D25" s="4"/>
      <c r="E25" s="9" t="s">
        <v>3</v>
      </c>
      <c r="F25" s="4" t="s">
        <v>2</v>
      </c>
      <c r="G25" s="46">
        <f>ROUNDUP(G24,0)</f>
        <v>0</v>
      </c>
      <c r="H25" s="99"/>
      <c r="I25" s="99"/>
      <c r="J25" s="99"/>
      <c r="K25" s="185" t="s">
        <v>31</v>
      </c>
      <c r="L25" s="82">
        <f>IFERROR(IF('Détail du travail'!K13+'Détail du travail'!K18=0,0,P22/'produits en croix'!Z6),0)</f>
        <v>1256.25</v>
      </c>
      <c r="M25" s="83" t="s">
        <v>1</v>
      </c>
      <c r="N25" s="180" t="str">
        <f>IF('Détail du travail'!K13+'Détail du travail'!K18=0, 0,'Détail du travail'!Q2)</f>
        <v>3%</v>
      </c>
      <c r="O25" s="87" t="s">
        <v>2</v>
      </c>
      <c r="P25" s="171">
        <f>L25*N25+SUM(L25,N25)</f>
        <v>1293.9375</v>
      </c>
    </row>
    <row r="26" spans="1:16" ht="15" customHeight="1" x14ac:dyDescent="0.25">
      <c r="A26" s="200"/>
      <c r="B26" s="3"/>
      <c r="C26" s="54"/>
      <c r="D26" s="2"/>
      <c r="E26" s="17" t="s">
        <v>10</v>
      </c>
      <c r="F26" s="12"/>
      <c r="G26" s="47"/>
      <c r="H26" s="99"/>
      <c r="I26" s="99"/>
      <c r="J26" s="99"/>
      <c r="K26" s="81"/>
      <c r="L26" s="84"/>
      <c r="M26" s="172"/>
      <c r="N26" s="89" t="s">
        <v>3</v>
      </c>
      <c r="O26" s="85" t="s">
        <v>2</v>
      </c>
      <c r="P26" s="173">
        <f>ROUNDUP(P25,0)</f>
        <v>1294</v>
      </c>
    </row>
    <row r="27" spans="1:16" ht="15" customHeight="1" x14ac:dyDescent="0.25">
      <c r="A27" s="200"/>
      <c r="B27" s="3"/>
      <c r="C27" s="52">
        <f>G25</f>
        <v>0</v>
      </c>
      <c r="D27" s="12" t="s">
        <v>1</v>
      </c>
      <c r="E27" s="12">
        <f>IF('Détail du travail'!E18="R°V°",0,0)</f>
        <v>0</v>
      </c>
      <c r="F27" s="12" t="s">
        <v>2</v>
      </c>
      <c r="G27" s="45">
        <f>C27+E27</f>
        <v>0</v>
      </c>
      <c r="H27" s="99"/>
      <c r="I27" s="99"/>
      <c r="J27" s="99"/>
      <c r="K27" s="81"/>
      <c r="L27" s="175"/>
      <c r="M27" s="176"/>
      <c r="N27" s="90" t="s">
        <v>10</v>
      </c>
      <c r="O27" s="87"/>
      <c r="P27" s="166"/>
    </row>
    <row r="28" spans="1:16" ht="15" customHeight="1" x14ac:dyDescent="0.25">
      <c r="A28" s="200"/>
      <c r="B28" s="3"/>
      <c r="C28" s="51"/>
      <c r="D28" s="4"/>
      <c r="E28" s="9" t="s">
        <v>3</v>
      </c>
      <c r="F28" s="4" t="s">
        <v>2</v>
      </c>
      <c r="G28" s="48">
        <f>ROUNDUP(G27,0)</f>
        <v>0</v>
      </c>
      <c r="H28" s="99"/>
      <c r="I28" s="99"/>
      <c r="J28" s="99"/>
      <c r="K28" s="81"/>
      <c r="L28" s="82">
        <f>P26</f>
        <v>1294</v>
      </c>
      <c r="M28" s="83" t="s">
        <v>1</v>
      </c>
      <c r="N28" s="186" t="str">
        <f>IF('produits en croix'!O10+'produits en croix'!O18=0, 0,'Détail du travail'!Q3)</f>
        <v>200</v>
      </c>
      <c r="O28" s="87" t="s">
        <v>2</v>
      </c>
      <c r="P28" s="171">
        <f>L28+N28</f>
        <v>1494</v>
      </c>
    </row>
    <row r="29" spans="1:16" ht="15" customHeight="1" x14ac:dyDescent="0.25">
      <c r="A29" s="200"/>
      <c r="B29" s="326" t="s">
        <v>6</v>
      </c>
      <c r="C29" s="54"/>
      <c r="D29" s="2"/>
      <c r="E29" s="13"/>
      <c r="F29" s="12" t="s">
        <v>2</v>
      </c>
      <c r="G29" s="50">
        <f>IF('Détail du travail'!E18="R°V°",G28*'Détail du travail'!M2,G28)</f>
        <v>0</v>
      </c>
      <c r="H29" s="99"/>
      <c r="I29" s="99"/>
      <c r="J29" s="99"/>
      <c r="K29" s="81"/>
      <c r="L29" s="84"/>
      <c r="M29" s="172"/>
      <c r="N29" s="89" t="s">
        <v>3</v>
      </c>
      <c r="O29" s="85" t="s">
        <v>2</v>
      </c>
      <c r="P29" s="173">
        <f>ROUNDUP(P28,0)</f>
        <v>1494</v>
      </c>
    </row>
    <row r="30" spans="1:16" ht="15" customHeight="1" x14ac:dyDescent="0.25">
      <c r="A30" s="200"/>
      <c r="B30" s="300"/>
      <c r="C30" s="301"/>
      <c r="D30" s="99"/>
      <c r="E30" s="99"/>
      <c r="F30" s="99"/>
      <c r="G30" s="302"/>
      <c r="H30" s="99"/>
      <c r="I30" s="99"/>
      <c r="J30" s="99"/>
      <c r="K30" s="174"/>
      <c r="L30" s="175"/>
      <c r="M30" s="176"/>
      <c r="N30" s="91" t="s">
        <v>0</v>
      </c>
      <c r="O30" s="87"/>
      <c r="P30" s="166"/>
    </row>
    <row r="31" spans="1:16" ht="15" customHeight="1" x14ac:dyDescent="0.25">
      <c r="A31" s="200"/>
      <c r="B31" s="300"/>
      <c r="C31" s="301"/>
      <c r="D31" s="99"/>
      <c r="E31" s="99"/>
      <c r="F31" s="99"/>
      <c r="G31" s="302"/>
      <c r="H31" s="318">
        <f>G28</f>
        <v>0</v>
      </c>
      <c r="I31" s="98" t="s">
        <v>81</v>
      </c>
      <c r="K31" s="187" t="s">
        <v>32</v>
      </c>
      <c r="L31" s="82">
        <f>IF('Détail du travail'!E19="R°V°",P29,0)</f>
        <v>0</v>
      </c>
      <c r="M31" s="83" t="s">
        <v>1</v>
      </c>
      <c r="N31" s="180">
        <f>IF('Détail du travail'!E19="R°V°",N25,0)</f>
        <v>0</v>
      </c>
      <c r="O31" s="87" t="s">
        <v>2</v>
      </c>
      <c r="P31" s="171">
        <f>L31*N31+SUM(L31,N31)</f>
        <v>0</v>
      </c>
    </row>
    <row r="32" spans="1:16" ht="15" customHeight="1" x14ac:dyDescent="0.25">
      <c r="A32" s="200"/>
      <c r="B32" s="22" t="s">
        <v>9</v>
      </c>
      <c r="C32" s="53"/>
      <c r="D32" s="7"/>
      <c r="E32" s="18" t="s">
        <v>8</v>
      </c>
      <c r="F32" s="7"/>
      <c r="G32" s="49"/>
      <c r="H32" s="318">
        <f>G29</f>
        <v>0</v>
      </c>
      <c r="I32" s="98" t="s">
        <v>82</v>
      </c>
      <c r="K32" s="81"/>
      <c r="L32" s="84"/>
      <c r="M32" s="172"/>
      <c r="N32" s="89" t="s">
        <v>3</v>
      </c>
      <c r="O32" s="85" t="s">
        <v>2</v>
      </c>
      <c r="P32" s="173">
        <f>ROUNDUP(P31,0)</f>
        <v>0</v>
      </c>
    </row>
    <row r="33" spans="1:18" ht="15" customHeight="1" x14ac:dyDescent="0.25">
      <c r="A33" s="200"/>
      <c r="B33" s="3"/>
      <c r="C33" s="56">
        <f>G28</f>
        <v>0</v>
      </c>
      <c r="D33" s="12" t="s">
        <v>7</v>
      </c>
      <c r="E33" s="21">
        <f>'Détail du travail'!C21</f>
        <v>250</v>
      </c>
      <c r="F33" s="12" t="s">
        <v>2</v>
      </c>
      <c r="G33" s="45">
        <f>C33/E33</f>
        <v>0</v>
      </c>
      <c r="H33" s="99"/>
      <c r="I33" s="99"/>
      <c r="J33" s="99"/>
      <c r="K33" s="81"/>
      <c r="L33" s="175"/>
      <c r="M33" s="176"/>
      <c r="N33" s="90" t="s">
        <v>10</v>
      </c>
      <c r="O33" s="87"/>
      <c r="P33" s="166"/>
    </row>
    <row r="34" spans="1:18" ht="15" customHeight="1" x14ac:dyDescent="0.25">
      <c r="A34" s="200"/>
      <c r="B34" s="1"/>
      <c r="C34" s="54"/>
      <c r="D34" s="2"/>
      <c r="E34" s="5" t="s">
        <v>3</v>
      </c>
      <c r="F34" s="2" t="s">
        <v>2</v>
      </c>
      <c r="G34" s="48">
        <f>ROUNDUP(G33,0)</f>
        <v>0</v>
      </c>
      <c r="H34" s="99"/>
      <c r="I34" s="99"/>
      <c r="J34" s="99"/>
      <c r="K34" s="81"/>
      <c r="L34" s="82">
        <f>P32</f>
        <v>0</v>
      </c>
      <c r="M34" s="83" t="s">
        <v>1</v>
      </c>
      <c r="N34" s="186">
        <f>IF('Détail du travail'!E19="R°V°",N28,0)</f>
        <v>0</v>
      </c>
      <c r="O34" s="87" t="s">
        <v>2</v>
      </c>
      <c r="P34" s="171">
        <f>L34+N34</f>
        <v>0</v>
      </c>
    </row>
    <row r="35" spans="1:18" ht="15" customHeight="1" x14ac:dyDescent="0.25">
      <c r="A35" s="200"/>
      <c r="B35" s="200"/>
      <c r="C35" s="200"/>
      <c r="D35" s="306"/>
      <c r="E35" s="102"/>
      <c r="F35" s="200"/>
      <c r="G35" s="200"/>
      <c r="H35" s="99"/>
      <c r="I35" s="99"/>
      <c r="J35" s="99"/>
      <c r="K35" s="81"/>
      <c r="L35" s="84"/>
      <c r="M35" s="172"/>
      <c r="N35" s="89" t="s">
        <v>3</v>
      </c>
      <c r="O35" s="85" t="s">
        <v>2</v>
      </c>
      <c r="P35" s="86">
        <f>ROUNDUP(P34,0)</f>
        <v>0</v>
      </c>
    </row>
    <row r="36" spans="1:18" ht="15" customHeight="1" x14ac:dyDescent="0.25">
      <c r="A36" s="200"/>
      <c r="B36" s="200"/>
      <c r="C36" s="200"/>
      <c r="D36" s="306"/>
      <c r="E36" s="102"/>
      <c r="F36" s="200"/>
      <c r="G36" s="200"/>
      <c r="H36" s="99"/>
      <c r="I36" s="99"/>
      <c r="J36" s="99"/>
      <c r="K36" s="325" t="s">
        <v>12</v>
      </c>
      <c r="L36" s="84">
        <f>P35</f>
        <v>0</v>
      </c>
      <c r="M36" s="172" t="s">
        <v>13</v>
      </c>
      <c r="N36" s="448">
        <f>IF('Détail du travail'!C4="oui",'Détail du travail'!K13,'Détail du travail'!K18)</f>
        <v>15</v>
      </c>
      <c r="O36" s="188" t="s">
        <v>2</v>
      </c>
      <c r="P36" s="190">
        <f>IF(N36=0,L36,L36*N36)</f>
        <v>0</v>
      </c>
    </row>
    <row r="37" spans="1:18" ht="15" customHeight="1" x14ac:dyDescent="0.25">
      <c r="A37" s="200"/>
      <c r="B37" s="200"/>
      <c r="C37" s="200"/>
      <c r="D37" s="306"/>
      <c r="E37" s="102"/>
      <c r="F37" s="200"/>
      <c r="G37" s="200"/>
      <c r="H37" s="99"/>
      <c r="I37" s="99"/>
      <c r="J37" s="99"/>
      <c r="K37" s="327" t="s">
        <v>6</v>
      </c>
      <c r="L37" s="82"/>
      <c r="M37" s="83"/>
      <c r="N37" s="186"/>
      <c r="O37" s="87" t="s">
        <v>2</v>
      </c>
      <c r="P37" s="88">
        <f>IF('Détail du travail'!E19="R°V°",P36*2,P36)</f>
        <v>0</v>
      </c>
    </row>
    <row r="38" spans="1:18" ht="15" customHeight="1" x14ac:dyDescent="0.25">
      <c r="A38" s="200"/>
      <c r="B38" s="200"/>
      <c r="C38" s="200"/>
      <c r="D38" s="306"/>
      <c r="E38" s="102"/>
      <c r="F38" s="200"/>
      <c r="G38" s="200"/>
      <c r="H38" s="99"/>
      <c r="I38" s="99"/>
      <c r="J38" s="99"/>
      <c r="K38" s="320"/>
      <c r="L38" s="307"/>
      <c r="M38" s="308"/>
      <c r="N38" s="319"/>
      <c r="O38" s="309"/>
      <c r="P38" s="321"/>
    </row>
    <row r="39" spans="1:18" ht="15" customHeight="1" x14ac:dyDescent="0.25">
      <c r="A39" s="200"/>
      <c r="B39" s="200"/>
      <c r="C39" s="200"/>
      <c r="D39" s="306"/>
      <c r="E39" s="102"/>
      <c r="F39" s="200"/>
      <c r="G39" s="200"/>
      <c r="K39" s="14" t="s">
        <v>226</v>
      </c>
      <c r="L39" s="167"/>
      <c r="M39" s="168"/>
      <c r="N39" s="91" t="s">
        <v>0</v>
      </c>
      <c r="O39" s="170"/>
      <c r="P39" s="179"/>
    </row>
    <row r="40" spans="1:18" ht="15" customHeight="1" x14ac:dyDescent="0.25">
      <c r="A40" s="200"/>
      <c r="B40" s="200"/>
      <c r="C40" s="200"/>
      <c r="D40" s="306"/>
      <c r="E40" s="102"/>
      <c r="F40" s="200"/>
      <c r="G40" s="200"/>
      <c r="K40" s="185" t="s">
        <v>31</v>
      </c>
      <c r="L40" s="82">
        <f>IF('Détail du travail'!K22=0, 0, 'Détail du travail'!C5/'Détail du travail'!K22)</f>
        <v>0</v>
      </c>
      <c r="M40" s="83" t="s">
        <v>1</v>
      </c>
      <c r="N40" s="180">
        <f>IF(L40=0, 0,'Détail du travail'!Q2)</f>
        <v>0</v>
      </c>
      <c r="O40" s="87" t="s">
        <v>2</v>
      </c>
      <c r="P40" s="171">
        <f>L40*N40+SUM(L40,N40)</f>
        <v>0</v>
      </c>
    </row>
    <row r="41" spans="1:18" ht="15" customHeight="1" x14ac:dyDescent="0.25">
      <c r="A41" s="200"/>
      <c r="B41" s="200"/>
      <c r="C41" s="200"/>
      <c r="D41" s="306"/>
      <c r="E41" s="102"/>
      <c r="F41" s="200"/>
      <c r="G41" s="200"/>
      <c r="K41" s="81"/>
      <c r="L41" s="84"/>
      <c r="M41" s="172"/>
      <c r="N41" s="89" t="s">
        <v>3</v>
      </c>
      <c r="O41" s="85" t="s">
        <v>2</v>
      </c>
      <c r="P41" s="173">
        <f>ROUNDUP(P40,0)</f>
        <v>0</v>
      </c>
    </row>
    <row r="42" spans="1:18" ht="15" customHeight="1" x14ac:dyDescent="0.25">
      <c r="A42" s="200"/>
      <c r="B42" s="200"/>
      <c r="C42" s="200"/>
      <c r="D42" s="306"/>
      <c r="E42" s="102"/>
      <c r="F42" s="200"/>
      <c r="G42" s="200"/>
      <c r="K42" s="81"/>
      <c r="L42" s="175"/>
      <c r="M42" s="176"/>
      <c r="N42" s="90" t="s">
        <v>10</v>
      </c>
      <c r="O42" s="87"/>
      <c r="P42" s="166"/>
    </row>
    <row r="43" spans="1:18" s="200" customFormat="1" ht="15" customHeight="1" x14ac:dyDescent="0.25">
      <c r="D43" s="306"/>
      <c r="E43" s="102"/>
      <c r="K43" s="81"/>
      <c r="L43" s="82">
        <f>P41</f>
        <v>0</v>
      </c>
      <c r="M43" s="83" t="s">
        <v>1</v>
      </c>
      <c r="N43" s="186">
        <f>IF(L40=0, 0,'Détail du travail'!Q3)</f>
        <v>0</v>
      </c>
      <c r="O43" s="87" t="s">
        <v>2</v>
      </c>
      <c r="P43" s="171">
        <f>L43+N43</f>
        <v>0</v>
      </c>
    </row>
    <row r="44" spans="1:18" ht="15" customHeight="1" x14ac:dyDescent="0.25">
      <c r="A44" s="200"/>
      <c r="B44" s="200"/>
      <c r="C44" s="200"/>
      <c r="D44" s="306"/>
      <c r="E44" s="102"/>
      <c r="F44" s="200"/>
      <c r="G44" s="200"/>
      <c r="K44" s="81"/>
      <c r="L44" s="84"/>
      <c r="M44" s="172"/>
      <c r="N44" s="93" t="s">
        <v>3</v>
      </c>
      <c r="O44" s="85" t="s">
        <v>2</v>
      </c>
      <c r="P44" s="173">
        <f>ROUNDUP(P43,0)</f>
        <v>0</v>
      </c>
    </row>
    <row r="45" spans="1:18" ht="15" customHeight="1" x14ac:dyDescent="0.25">
      <c r="A45" s="200"/>
      <c r="B45" s="200"/>
      <c r="C45" s="200"/>
      <c r="D45" s="306"/>
      <c r="E45" s="102"/>
      <c r="F45" s="200"/>
      <c r="G45" s="200"/>
      <c r="K45" s="174"/>
      <c r="L45" s="175"/>
      <c r="M45" s="176"/>
      <c r="N45" s="91" t="s">
        <v>0</v>
      </c>
      <c r="O45" s="87"/>
      <c r="P45" s="166"/>
      <c r="R45" s="322"/>
    </row>
    <row r="46" spans="1:18" ht="15" customHeight="1" x14ac:dyDescent="0.25">
      <c r="A46" s="200"/>
      <c r="B46" s="200"/>
      <c r="C46" s="200"/>
      <c r="D46" s="306"/>
      <c r="E46" s="102"/>
      <c r="F46" s="200"/>
      <c r="G46" s="200"/>
      <c r="K46" s="187" t="s">
        <v>32</v>
      </c>
      <c r="L46" s="82">
        <f>P44</f>
        <v>0</v>
      </c>
      <c r="M46" s="83" t="s">
        <v>1</v>
      </c>
      <c r="N46" s="180">
        <f>IF('Détail du travail'!E19="R°V°",N40,0)</f>
        <v>0</v>
      </c>
      <c r="O46" s="87" t="s">
        <v>2</v>
      </c>
      <c r="P46" s="171">
        <f>L46*N46+SUM(L46,N46)</f>
        <v>0</v>
      </c>
    </row>
    <row r="47" spans="1:18" ht="15" customHeight="1" x14ac:dyDescent="0.25">
      <c r="A47" s="200"/>
      <c r="B47" s="200"/>
      <c r="C47" s="200"/>
      <c r="D47" s="306"/>
      <c r="E47" s="102"/>
      <c r="F47" s="200"/>
      <c r="G47" s="200"/>
      <c r="K47" s="81"/>
      <c r="L47" s="84"/>
      <c r="M47" s="172"/>
      <c r="N47" s="93" t="s">
        <v>3</v>
      </c>
      <c r="O47" s="85" t="s">
        <v>2</v>
      </c>
      <c r="P47" s="173">
        <f>ROUNDUP(P46,0)</f>
        <v>0</v>
      </c>
    </row>
    <row r="48" spans="1:18" ht="15" customHeight="1" x14ac:dyDescent="0.25">
      <c r="A48" s="200"/>
      <c r="B48" s="200"/>
      <c r="C48" s="200"/>
      <c r="D48" s="306"/>
      <c r="E48" s="102"/>
      <c r="F48" s="200"/>
      <c r="G48" s="200"/>
      <c r="K48" s="81"/>
      <c r="L48" s="175"/>
      <c r="M48" s="176"/>
      <c r="N48" s="90" t="s">
        <v>10</v>
      </c>
      <c r="O48" s="87"/>
      <c r="P48" s="166"/>
    </row>
    <row r="49" spans="1:18" ht="15" customHeight="1" x14ac:dyDescent="0.25">
      <c r="A49" s="200"/>
      <c r="B49" s="200"/>
      <c r="C49" s="200"/>
      <c r="D49" s="306"/>
      <c r="E49" s="102"/>
      <c r="F49" s="200"/>
      <c r="G49" s="200"/>
      <c r="K49" s="81"/>
      <c r="L49" s="82">
        <f>P47</f>
        <v>0</v>
      </c>
      <c r="M49" s="83" t="s">
        <v>1</v>
      </c>
      <c r="N49" s="186">
        <f>IF('Détail du travail'!E19="R°V°",N43,0)</f>
        <v>0</v>
      </c>
      <c r="O49" s="87" t="s">
        <v>2</v>
      </c>
      <c r="P49" s="171">
        <f>L49+N49</f>
        <v>0</v>
      </c>
    </row>
    <row r="50" spans="1:18" ht="15" customHeight="1" x14ac:dyDescent="0.25">
      <c r="A50" s="200"/>
      <c r="B50" s="200"/>
      <c r="C50" s="200"/>
      <c r="D50" s="306"/>
      <c r="E50" s="102"/>
      <c r="F50" s="200"/>
      <c r="G50" s="200"/>
      <c r="K50" s="81"/>
      <c r="L50" s="84"/>
      <c r="M50" s="172"/>
      <c r="N50" s="93" t="s">
        <v>3</v>
      </c>
      <c r="O50" s="85" t="s">
        <v>2</v>
      </c>
      <c r="P50" s="173">
        <f>ROUNDUP(P49,0)</f>
        <v>0</v>
      </c>
    </row>
    <row r="51" spans="1:18" ht="15" customHeight="1" x14ac:dyDescent="0.25">
      <c r="A51" s="200"/>
      <c r="B51" s="200"/>
      <c r="C51" s="200"/>
      <c r="D51" s="306"/>
      <c r="E51" s="102"/>
      <c r="F51" s="200"/>
      <c r="G51" s="200"/>
      <c r="K51" s="323" t="s">
        <v>12</v>
      </c>
      <c r="L51" s="175">
        <f>P50</f>
        <v>0</v>
      </c>
      <c r="M51" s="176" t="s">
        <v>13</v>
      </c>
      <c r="N51" s="447">
        <f>IF('Détail du travail'!C4="oui",'produits en croix'!R13,'produits en croix'!R21)</f>
        <v>0</v>
      </c>
      <c r="O51" s="189" t="s">
        <v>2</v>
      </c>
      <c r="P51" s="190">
        <f>IF(L40=0,0,P50)</f>
        <v>0</v>
      </c>
    </row>
    <row r="52" spans="1:18" ht="15" customHeight="1" x14ac:dyDescent="0.25">
      <c r="A52" s="200"/>
      <c r="B52" s="200"/>
      <c r="C52" s="200"/>
      <c r="D52" s="306"/>
      <c r="E52" s="102"/>
      <c r="F52" s="200"/>
      <c r="G52" s="200"/>
      <c r="K52" s="327" t="s">
        <v>6</v>
      </c>
      <c r="L52" s="82"/>
      <c r="M52" s="83"/>
      <c r="N52" s="186"/>
      <c r="O52" s="87" t="s">
        <v>2</v>
      </c>
      <c r="P52" s="88">
        <f>IF('Détail du travail'!E19="R°V°",P51*2,P51)</f>
        <v>0</v>
      </c>
    </row>
    <row r="53" spans="1:18" ht="15" customHeight="1" x14ac:dyDescent="0.25">
      <c r="A53" s="200"/>
      <c r="B53" s="200"/>
      <c r="C53" s="200"/>
      <c r="D53" s="306"/>
      <c r="E53" s="102"/>
      <c r="F53" s="200"/>
      <c r="G53" s="200"/>
      <c r="K53" s="320"/>
      <c r="L53" s="307"/>
      <c r="M53" s="308"/>
      <c r="N53" s="319"/>
      <c r="O53" s="309"/>
      <c r="P53" s="321"/>
    </row>
    <row r="54" spans="1:18" ht="15" customHeight="1" x14ac:dyDescent="0.25">
      <c r="A54" s="200"/>
      <c r="B54" s="200"/>
      <c r="C54" s="200"/>
      <c r="D54" s="306"/>
      <c r="E54" s="102"/>
      <c r="F54" s="200"/>
      <c r="G54" s="200"/>
      <c r="K54" s="14" t="s">
        <v>227</v>
      </c>
      <c r="L54" s="167"/>
      <c r="M54" s="168"/>
      <c r="N54" s="91" t="s">
        <v>0</v>
      </c>
      <c r="O54" s="170"/>
      <c r="P54" s="179"/>
    </row>
    <row r="55" spans="1:18" ht="15" customHeight="1" x14ac:dyDescent="0.25">
      <c r="A55" s="200"/>
      <c r="B55" s="200"/>
      <c r="C55" s="200"/>
      <c r="D55" s="306"/>
      <c r="E55" s="102"/>
      <c r="F55" s="200"/>
      <c r="G55" s="200"/>
      <c r="K55" s="185" t="s">
        <v>31</v>
      </c>
      <c r="L55" s="82">
        <f>IF('Détail du travail'!K24=0, 0,'Détail du travail'!C5/'Détail du travail'!K24)</f>
        <v>0</v>
      </c>
      <c r="M55" s="83" t="s">
        <v>1</v>
      </c>
      <c r="N55" s="180">
        <f>IF(L55=0, 0,'Détail du travail'!Q2)</f>
        <v>0</v>
      </c>
      <c r="O55" s="87" t="s">
        <v>2</v>
      </c>
      <c r="P55" s="171">
        <f>L55*N55+SUM(L55,N55)</f>
        <v>0</v>
      </c>
      <c r="Q55" s="318">
        <f>P36+P51+P66</f>
        <v>0</v>
      </c>
      <c r="R55" s="102" t="s">
        <v>81</v>
      </c>
    </row>
    <row r="56" spans="1:18" ht="15" customHeight="1" x14ac:dyDescent="0.25">
      <c r="A56" s="200"/>
      <c r="B56" s="200"/>
      <c r="C56" s="200"/>
      <c r="D56" s="306"/>
      <c r="E56" s="102"/>
      <c r="F56" s="200"/>
      <c r="G56" s="200"/>
      <c r="K56" s="81"/>
      <c r="L56" s="84"/>
      <c r="M56" s="172"/>
      <c r="N56" s="89" t="s">
        <v>3</v>
      </c>
      <c r="O56" s="85" t="s">
        <v>2</v>
      </c>
      <c r="P56" s="173">
        <f>ROUNDUP(P55,0)</f>
        <v>0</v>
      </c>
      <c r="Q56" s="318">
        <f>P37+P52+P67</f>
        <v>0</v>
      </c>
      <c r="R56" s="102" t="s">
        <v>82</v>
      </c>
    </row>
    <row r="57" spans="1:18" ht="15" customHeight="1" x14ac:dyDescent="0.25">
      <c r="A57" s="200"/>
      <c r="B57" s="200"/>
      <c r="C57" s="200"/>
      <c r="D57" s="306"/>
      <c r="E57" s="102"/>
      <c r="F57" s="200"/>
      <c r="G57" s="200"/>
      <c r="K57" s="81"/>
      <c r="L57" s="175"/>
      <c r="M57" s="176"/>
      <c r="N57" s="90" t="s">
        <v>10</v>
      </c>
      <c r="O57" s="87"/>
      <c r="P57" s="166"/>
      <c r="Q57" s="322"/>
    </row>
    <row r="58" spans="1:18" ht="15" customHeight="1" x14ac:dyDescent="0.25">
      <c r="A58" s="200"/>
      <c r="B58" s="200"/>
      <c r="C58" s="200"/>
      <c r="D58" s="306"/>
      <c r="E58" s="102"/>
      <c r="F58" s="200"/>
      <c r="G58" s="200"/>
      <c r="K58" s="81"/>
      <c r="L58" s="82">
        <f>P56</f>
        <v>0</v>
      </c>
      <c r="M58" s="83" t="s">
        <v>1</v>
      </c>
      <c r="N58" s="186">
        <f>IF(L55=0, 0,'Détail du travail'!Q3)</f>
        <v>0</v>
      </c>
      <c r="O58" s="87" t="s">
        <v>2</v>
      </c>
      <c r="P58" s="171">
        <f>L58+N58</f>
        <v>0</v>
      </c>
    </row>
    <row r="59" spans="1:18" ht="15" customHeight="1" x14ac:dyDescent="0.25">
      <c r="A59" s="200"/>
      <c r="B59" s="200"/>
      <c r="C59" s="200"/>
      <c r="D59" s="306"/>
      <c r="E59" s="102"/>
      <c r="F59" s="200"/>
      <c r="G59" s="200"/>
      <c r="K59" s="81"/>
      <c r="L59" s="84"/>
      <c r="M59" s="172"/>
      <c r="N59" s="93" t="s">
        <v>3</v>
      </c>
      <c r="O59" s="85" t="s">
        <v>2</v>
      </c>
      <c r="P59" s="173">
        <f>ROUNDUP(P58,0)</f>
        <v>0</v>
      </c>
    </row>
    <row r="60" spans="1:18" s="200" customFormat="1" ht="15" customHeight="1" x14ac:dyDescent="0.25">
      <c r="D60" s="306"/>
      <c r="E60" s="102"/>
      <c r="K60" s="174"/>
      <c r="L60" s="175"/>
      <c r="M60" s="176"/>
      <c r="N60" s="91" t="s">
        <v>0</v>
      </c>
      <c r="O60" s="87"/>
      <c r="P60" s="166"/>
    </row>
    <row r="61" spans="1:18" ht="15" customHeight="1" x14ac:dyDescent="0.25">
      <c r="A61" s="200"/>
      <c r="B61" s="200"/>
      <c r="C61" s="200"/>
      <c r="D61" s="306"/>
      <c r="E61" s="102"/>
      <c r="F61" s="200"/>
      <c r="G61" s="200"/>
      <c r="K61" s="187" t="s">
        <v>32</v>
      </c>
      <c r="L61" s="82">
        <f>P59</f>
        <v>0</v>
      </c>
      <c r="M61" s="83" t="s">
        <v>1</v>
      </c>
      <c r="N61" s="180">
        <f>IF('Détail du travail'!E19="R°V°",N55,0)</f>
        <v>0</v>
      </c>
      <c r="O61" s="87" t="s">
        <v>2</v>
      </c>
      <c r="P61" s="171">
        <f>L61*N61+SUM(L61,N61)</f>
        <v>0</v>
      </c>
    </row>
    <row r="62" spans="1:18" ht="15" customHeight="1" x14ac:dyDescent="0.25">
      <c r="A62" s="200"/>
      <c r="B62" s="200"/>
      <c r="C62" s="200"/>
      <c r="D62" s="306"/>
      <c r="E62" s="102"/>
      <c r="F62" s="200"/>
      <c r="G62" s="200"/>
      <c r="K62" s="81"/>
      <c r="L62" s="84"/>
      <c r="M62" s="172"/>
      <c r="N62" s="93" t="s">
        <v>3</v>
      </c>
      <c r="O62" s="85" t="s">
        <v>2</v>
      </c>
      <c r="P62" s="173">
        <f>ROUNDUP(P61,0)</f>
        <v>0</v>
      </c>
    </row>
    <row r="63" spans="1:18" ht="15" customHeight="1" x14ac:dyDescent="0.25">
      <c r="A63" s="200"/>
      <c r="B63" s="200"/>
      <c r="C63" s="200"/>
      <c r="D63" s="306"/>
      <c r="E63" s="102"/>
      <c r="F63" s="200"/>
      <c r="G63" s="200"/>
      <c r="K63" s="81"/>
      <c r="L63" s="175"/>
      <c r="M63" s="176"/>
      <c r="N63" s="90" t="s">
        <v>10</v>
      </c>
      <c r="O63" s="87"/>
      <c r="P63" s="166"/>
    </row>
    <row r="64" spans="1:18" ht="15" customHeight="1" x14ac:dyDescent="0.25">
      <c r="A64" s="200"/>
      <c r="B64" s="200"/>
      <c r="C64" s="200"/>
      <c r="D64" s="306"/>
      <c r="E64" s="102"/>
      <c r="F64" s="200"/>
      <c r="G64" s="200"/>
      <c r="K64" s="81"/>
      <c r="L64" s="82">
        <f>P62</f>
        <v>0</v>
      </c>
      <c r="M64" s="83" t="s">
        <v>1</v>
      </c>
      <c r="N64" s="186">
        <f>IF('Détail du travail'!E19="R°V°",N58,0)</f>
        <v>0</v>
      </c>
      <c r="O64" s="87" t="s">
        <v>2</v>
      </c>
      <c r="P64" s="171">
        <f>L64+N64</f>
        <v>0</v>
      </c>
    </row>
    <row r="65" spans="1:16" ht="15" customHeight="1" x14ac:dyDescent="0.25">
      <c r="A65" s="200"/>
      <c r="B65" s="200"/>
      <c r="C65" s="200"/>
      <c r="D65" s="306"/>
      <c r="E65" s="102"/>
      <c r="F65" s="200"/>
      <c r="G65" s="200"/>
      <c r="K65" s="81"/>
      <c r="L65" s="84"/>
      <c r="M65" s="172"/>
      <c r="N65" s="93" t="s">
        <v>3</v>
      </c>
      <c r="O65" s="85" t="s">
        <v>2</v>
      </c>
      <c r="P65" s="173">
        <f>ROUNDUP(P64,0)</f>
        <v>0</v>
      </c>
    </row>
    <row r="66" spans="1:16" ht="15" customHeight="1" x14ac:dyDescent="0.25">
      <c r="A66" s="200"/>
      <c r="B66" s="200"/>
      <c r="C66" s="200"/>
      <c r="D66" s="306"/>
      <c r="E66" s="102"/>
      <c r="F66" s="200"/>
      <c r="G66" s="200"/>
      <c r="K66" s="323" t="s">
        <v>12</v>
      </c>
      <c r="L66" s="175">
        <f>P65</f>
        <v>0</v>
      </c>
      <c r="M66" s="176" t="s">
        <v>13</v>
      </c>
      <c r="N66" s="447">
        <f>IF('Détail du travail'!C4="oui",'produits en croix'!R15,'produits en croix'!R23)</f>
        <v>0</v>
      </c>
      <c r="O66" s="189" t="s">
        <v>2</v>
      </c>
      <c r="P66" s="190">
        <f>IF(L55=0,0,P65)</f>
        <v>0</v>
      </c>
    </row>
    <row r="67" spans="1:16" ht="15" customHeight="1" x14ac:dyDescent="0.25">
      <c r="A67" s="200"/>
      <c r="B67" s="200"/>
      <c r="C67" s="200"/>
      <c r="D67" s="306"/>
      <c r="E67" s="102"/>
      <c r="F67" s="200"/>
      <c r="G67" s="200"/>
      <c r="K67" s="327" t="s">
        <v>6</v>
      </c>
      <c r="L67" s="82"/>
      <c r="M67" s="83"/>
      <c r="N67" s="186"/>
      <c r="O67" s="87" t="s">
        <v>2</v>
      </c>
      <c r="P67" s="88">
        <f>IF('Détail du travail'!E19="R°V°",P66*2,P66)</f>
        <v>0</v>
      </c>
    </row>
    <row r="68" spans="1:16" ht="15" customHeight="1" x14ac:dyDescent="0.25">
      <c r="A68" s="200"/>
      <c r="B68" s="200"/>
      <c r="C68" s="200"/>
      <c r="D68" s="306"/>
      <c r="E68" s="102"/>
      <c r="F68" s="200"/>
      <c r="G68" s="200"/>
      <c r="K68" s="200"/>
      <c r="L68" s="200"/>
      <c r="M68" s="200"/>
      <c r="N68" s="200"/>
      <c r="O68" s="200"/>
      <c r="P68" s="200"/>
    </row>
    <row r="69" spans="1:16" ht="15" customHeight="1" x14ac:dyDescent="0.25">
      <c r="A69" s="200"/>
      <c r="B69" s="200"/>
      <c r="C69" s="200"/>
      <c r="D69" s="306"/>
      <c r="E69" s="102"/>
      <c r="F69" s="200"/>
      <c r="G69" s="200"/>
      <c r="K69" s="22" t="s">
        <v>9</v>
      </c>
      <c r="L69" s="167"/>
      <c r="M69" s="168"/>
      <c r="N69" s="94" t="s">
        <v>8</v>
      </c>
      <c r="O69" s="170"/>
      <c r="P69" s="179"/>
    </row>
    <row r="70" spans="1:16" ht="15" customHeight="1" x14ac:dyDescent="0.25">
      <c r="A70" s="200"/>
      <c r="B70" s="200"/>
      <c r="C70" s="200"/>
      <c r="D70" s="306"/>
      <c r="E70" s="102"/>
      <c r="F70" s="200"/>
      <c r="G70" s="200"/>
      <c r="K70" s="81"/>
      <c r="L70" s="191">
        <f>P51+P36</f>
        <v>0</v>
      </c>
      <c r="M70" s="83" t="s">
        <v>7</v>
      </c>
      <c r="N70" s="186">
        <f>'Détail du travail'!C21</f>
        <v>250</v>
      </c>
      <c r="O70" s="87" t="s">
        <v>2</v>
      </c>
      <c r="P70" s="171">
        <f>L70/N70</f>
        <v>0</v>
      </c>
    </row>
    <row r="71" spans="1:16" ht="15" customHeight="1" x14ac:dyDescent="0.25">
      <c r="A71" s="200"/>
      <c r="B71" s="200"/>
      <c r="C71" s="200"/>
      <c r="D71" s="306"/>
      <c r="E71" s="102"/>
      <c r="F71" s="200"/>
      <c r="G71" s="200"/>
      <c r="K71" s="174"/>
      <c r="L71" s="175"/>
      <c r="M71" s="176"/>
      <c r="N71" s="177" t="s">
        <v>3</v>
      </c>
      <c r="O71" s="178" t="s">
        <v>2</v>
      </c>
      <c r="P71" s="86">
        <f>ROUNDUP(P70,0)</f>
        <v>0</v>
      </c>
    </row>
    <row r="72" spans="1:16" ht="15" customHeight="1" x14ac:dyDescent="0.25">
      <c r="A72" s="200"/>
      <c r="B72" s="200"/>
      <c r="C72" s="200"/>
      <c r="D72" s="306"/>
      <c r="E72" s="102"/>
      <c r="F72" s="200"/>
      <c r="G72" s="200"/>
      <c r="K72" s="200"/>
      <c r="L72" s="200"/>
      <c r="M72" s="200"/>
      <c r="N72" s="200"/>
      <c r="O72" s="200"/>
      <c r="P72" s="200"/>
    </row>
    <row r="73" spans="1:16" ht="15" customHeight="1" x14ac:dyDescent="0.25">
      <c r="A73" s="200"/>
      <c r="B73" s="200"/>
      <c r="C73" s="200"/>
      <c r="D73" s="306"/>
      <c r="E73" s="102"/>
      <c r="F73" s="200"/>
      <c r="G73" s="200"/>
      <c r="K73" s="200"/>
      <c r="L73" s="200"/>
      <c r="M73" s="200"/>
      <c r="N73" s="200"/>
      <c r="O73" s="200"/>
      <c r="P73" s="200"/>
    </row>
    <row r="74" spans="1:16" ht="15" customHeight="1" x14ac:dyDescent="0.25">
      <c r="A74" s="200"/>
      <c r="B74" s="200"/>
      <c r="C74" s="200"/>
      <c r="D74" s="306"/>
      <c r="E74" s="102"/>
      <c r="F74" s="200"/>
      <c r="G74" s="200"/>
      <c r="K74" s="200"/>
      <c r="L74" s="200"/>
      <c r="M74" s="200"/>
      <c r="N74" s="200"/>
      <c r="O74" s="200"/>
      <c r="P74" s="200"/>
    </row>
    <row r="75" spans="1:16" ht="15" customHeight="1" x14ac:dyDescent="0.25">
      <c r="A75" s="200"/>
      <c r="B75" s="200"/>
      <c r="C75" s="200"/>
      <c r="D75" s="306"/>
      <c r="E75" s="102"/>
      <c r="F75" s="200"/>
      <c r="G75" s="200"/>
      <c r="K75" s="200"/>
      <c r="L75" s="200"/>
      <c r="M75" s="200"/>
      <c r="N75" s="200"/>
      <c r="O75" s="200"/>
      <c r="P75" s="200"/>
    </row>
    <row r="76" spans="1:16" ht="15" customHeight="1" x14ac:dyDescent="0.25">
      <c r="A76" s="200"/>
      <c r="B76" s="200"/>
      <c r="C76" s="200"/>
      <c r="D76" s="306"/>
      <c r="E76" s="102"/>
      <c r="F76" s="200"/>
      <c r="G76" s="200"/>
      <c r="K76" s="200"/>
      <c r="L76" s="200"/>
      <c r="M76" s="200"/>
      <c r="N76" s="200"/>
      <c r="O76" s="200"/>
      <c r="P76" s="200"/>
    </row>
    <row r="77" spans="1:16" ht="15" customHeight="1" x14ac:dyDescent="0.25">
      <c r="A77" s="200"/>
      <c r="B77" s="200"/>
      <c r="C77" s="200"/>
      <c r="D77" s="306"/>
      <c r="E77" s="102"/>
      <c r="F77" s="200"/>
      <c r="G77" s="200"/>
      <c r="K77" s="200"/>
      <c r="L77" s="200"/>
      <c r="M77" s="200"/>
      <c r="N77" s="200"/>
      <c r="O77" s="200"/>
      <c r="P77" s="200"/>
    </row>
    <row r="78" spans="1:16" ht="15" customHeight="1" x14ac:dyDescent="0.25">
      <c r="A78" s="200"/>
      <c r="B78" s="200"/>
      <c r="C78" s="200"/>
      <c r="D78" s="306"/>
      <c r="E78" s="102"/>
      <c r="F78" s="200"/>
      <c r="G78" s="200"/>
      <c r="K78" s="200"/>
      <c r="L78" s="200"/>
      <c r="M78" s="200"/>
      <c r="N78" s="200"/>
      <c r="O78" s="200"/>
      <c r="P78" s="200"/>
    </row>
    <row r="79" spans="1:16" ht="15" customHeight="1" x14ac:dyDescent="0.25">
      <c r="A79" s="200"/>
      <c r="B79" s="200"/>
      <c r="C79" s="200"/>
      <c r="D79" s="306"/>
      <c r="E79" s="102"/>
      <c r="F79" s="200"/>
      <c r="G79" s="200"/>
      <c r="K79" s="200"/>
      <c r="L79" s="200"/>
      <c r="M79" s="200"/>
      <c r="N79" s="200"/>
      <c r="O79" s="200"/>
      <c r="P79" s="200"/>
    </row>
    <row r="80" spans="1:16" ht="15" customHeight="1" x14ac:dyDescent="0.25">
      <c r="A80" s="200"/>
      <c r="B80" s="200"/>
      <c r="C80" s="200"/>
      <c r="D80" s="306"/>
      <c r="E80" s="102"/>
      <c r="F80" s="200"/>
      <c r="G80" s="200"/>
      <c r="K80" s="200"/>
      <c r="L80" s="200"/>
      <c r="M80" s="200"/>
      <c r="N80" s="200"/>
      <c r="O80" s="200"/>
      <c r="P80" s="200"/>
    </row>
    <row r="81" spans="1:16" ht="15" customHeight="1" x14ac:dyDescent="0.25">
      <c r="A81" s="200"/>
      <c r="B81" s="200"/>
      <c r="C81" s="200"/>
      <c r="D81" s="306"/>
      <c r="E81" s="102"/>
      <c r="F81" s="200"/>
      <c r="G81" s="200"/>
      <c r="K81" s="200"/>
      <c r="L81" s="200"/>
      <c r="M81" s="200"/>
      <c r="N81" s="200"/>
      <c r="O81" s="200"/>
      <c r="P81" s="200"/>
    </row>
    <row r="82" spans="1:16" ht="15" customHeight="1" x14ac:dyDescent="0.25">
      <c r="A82" s="200"/>
      <c r="B82" s="200"/>
      <c r="C82" s="200"/>
      <c r="D82" s="306"/>
      <c r="E82" s="102"/>
      <c r="F82" s="200"/>
      <c r="G82" s="200"/>
      <c r="K82" s="200"/>
      <c r="L82" s="200"/>
      <c r="M82" s="200"/>
      <c r="N82" s="200"/>
      <c r="O82" s="200"/>
      <c r="P82" s="200"/>
    </row>
    <row r="83" spans="1:16" ht="15" customHeight="1" x14ac:dyDescent="0.25">
      <c r="A83" s="200"/>
      <c r="B83" s="200"/>
      <c r="C83" s="200"/>
      <c r="D83" s="306"/>
      <c r="E83" s="102"/>
      <c r="F83" s="200"/>
      <c r="G83" s="200"/>
      <c r="K83" s="200"/>
      <c r="L83" s="200"/>
      <c r="M83" s="200"/>
      <c r="N83" s="200"/>
      <c r="O83" s="200"/>
      <c r="P83" s="200"/>
    </row>
    <row r="84" spans="1:16" ht="15" customHeight="1" x14ac:dyDescent="0.25">
      <c r="A84" s="200"/>
      <c r="B84" s="200"/>
      <c r="C84" s="200"/>
      <c r="D84" s="306"/>
      <c r="E84" s="102"/>
      <c r="F84" s="200"/>
      <c r="G84" s="200"/>
      <c r="K84" s="200"/>
      <c r="L84" s="200"/>
      <c r="M84" s="200"/>
      <c r="N84" s="200"/>
      <c r="O84" s="200"/>
      <c r="P84" s="200"/>
    </row>
    <row r="85" spans="1:16" ht="15" customHeight="1" x14ac:dyDescent="0.25">
      <c r="A85" s="200"/>
      <c r="B85" s="200"/>
      <c r="C85" s="200"/>
      <c r="D85" s="306"/>
      <c r="E85" s="102"/>
      <c r="F85" s="200"/>
      <c r="G85" s="200"/>
      <c r="K85" s="200"/>
      <c r="L85" s="200"/>
      <c r="M85" s="200"/>
      <c r="N85" s="200"/>
      <c r="O85" s="200"/>
      <c r="P85" s="200"/>
    </row>
    <row r="86" spans="1:16" ht="15" customHeight="1" x14ac:dyDescent="0.25">
      <c r="A86" s="200"/>
      <c r="B86" s="200"/>
      <c r="C86" s="200"/>
      <c r="D86" s="306"/>
      <c r="E86" s="102"/>
      <c r="F86" s="200"/>
      <c r="G86" s="200"/>
      <c r="K86" s="200"/>
      <c r="L86" s="200"/>
      <c r="M86" s="200"/>
      <c r="N86" s="200"/>
      <c r="O86" s="200"/>
      <c r="P86" s="200"/>
    </row>
    <row r="87" spans="1:16" ht="15" customHeight="1" x14ac:dyDescent="0.25">
      <c r="A87" s="200"/>
      <c r="B87" s="200"/>
      <c r="C87" s="200"/>
      <c r="D87" s="306"/>
      <c r="E87" s="102"/>
      <c r="F87" s="200"/>
      <c r="G87" s="200"/>
      <c r="K87" s="200"/>
      <c r="L87" s="200"/>
      <c r="M87" s="200"/>
      <c r="N87" s="200"/>
      <c r="O87" s="200"/>
      <c r="P87" s="200"/>
    </row>
    <row r="88" spans="1:16" ht="15" customHeight="1" x14ac:dyDescent="0.25">
      <c r="A88" s="200"/>
      <c r="B88" s="200"/>
      <c r="C88" s="200"/>
      <c r="D88" s="306"/>
      <c r="E88" s="102"/>
      <c r="F88" s="200"/>
      <c r="G88" s="200"/>
      <c r="K88" s="200"/>
      <c r="L88" s="200"/>
      <c r="M88" s="200"/>
      <c r="N88" s="200"/>
      <c r="O88" s="200"/>
      <c r="P88" s="200"/>
    </row>
    <row r="89" spans="1:16" ht="15" customHeight="1" x14ac:dyDescent="0.25">
      <c r="A89" s="200"/>
      <c r="B89" s="200"/>
      <c r="C89" s="200"/>
      <c r="D89" s="306"/>
      <c r="E89" s="102"/>
      <c r="F89" s="200"/>
      <c r="G89" s="200"/>
      <c r="K89" s="200"/>
      <c r="L89" s="200"/>
      <c r="M89" s="200"/>
      <c r="N89" s="200"/>
      <c r="O89" s="200"/>
      <c r="P89" s="200"/>
    </row>
    <row r="90" spans="1:16" ht="15" customHeight="1" x14ac:dyDescent="0.25">
      <c r="A90" s="200"/>
      <c r="B90" s="200"/>
      <c r="C90" s="200"/>
      <c r="D90" s="306"/>
      <c r="E90" s="102"/>
      <c r="F90" s="200"/>
      <c r="G90" s="200"/>
      <c r="K90" s="200"/>
      <c r="L90" s="200"/>
      <c r="M90" s="200"/>
      <c r="N90" s="200"/>
      <c r="O90" s="200"/>
      <c r="P90" s="200"/>
    </row>
    <row r="91" spans="1:16" ht="15" customHeight="1" x14ac:dyDescent="0.25">
      <c r="A91" s="200"/>
      <c r="B91" s="200"/>
      <c r="C91" s="200"/>
      <c r="D91" s="306"/>
      <c r="E91" s="102"/>
      <c r="F91" s="200"/>
      <c r="G91" s="200"/>
      <c r="K91" s="200"/>
      <c r="L91" s="200"/>
      <c r="M91" s="200"/>
      <c r="N91" s="200"/>
      <c r="O91" s="200"/>
      <c r="P91" s="200"/>
    </row>
    <row r="92" spans="1:16" ht="15" customHeight="1" x14ac:dyDescent="0.25">
      <c r="A92" s="200"/>
      <c r="B92" s="200"/>
      <c r="C92" s="200"/>
      <c r="D92" s="306"/>
      <c r="E92" s="102"/>
      <c r="F92" s="200"/>
      <c r="G92" s="200"/>
      <c r="K92" s="200"/>
      <c r="L92" s="200"/>
      <c r="M92" s="200"/>
      <c r="N92" s="200"/>
      <c r="O92" s="200"/>
      <c r="P92" s="200"/>
    </row>
    <row r="93" spans="1:16" ht="15" customHeight="1" x14ac:dyDescent="0.25">
      <c r="A93" s="200"/>
      <c r="B93" s="200"/>
      <c r="C93" s="200"/>
      <c r="D93" s="306"/>
      <c r="E93" s="102"/>
      <c r="F93" s="200"/>
      <c r="G93" s="200"/>
      <c r="K93" s="200"/>
      <c r="L93" s="200"/>
      <c r="M93" s="200"/>
      <c r="N93" s="200"/>
      <c r="O93" s="200"/>
      <c r="P93" s="200"/>
    </row>
    <row r="94" spans="1:16" ht="15" customHeight="1" x14ac:dyDescent="0.25">
      <c r="A94" s="200"/>
      <c r="B94" s="200"/>
      <c r="C94" s="200"/>
      <c r="D94" s="306"/>
      <c r="E94" s="102"/>
      <c r="F94" s="200"/>
      <c r="G94" s="200"/>
      <c r="K94" s="200"/>
      <c r="L94" s="200"/>
      <c r="M94" s="200"/>
      <c r="N94" s="200"/>
      <c r="O94" s="200"/>
      <c r="P94" s="200"/>
    </row>
    <row r="95" spans="1:16" ht="15" customHeight="1" x14ac:dyDescent="0.25">
      <c r="A95" s="200"/>
      <c r="B95" s="200"/>
      <c r="C95" s="200"/>
      <c r="D95" s="306"/>
      <c r="E95" s="102"/>
      <c r="F95" s="200"/>
      <c r="G95" s="200"/>
      <c r="K95" s="200"/>
      <c r="L95" s="200"/>
      <c r="M95" s="200"/>
      <c r="N95" s="200"/>
      <c r="O95" s="200"/>
      <c r="P95" s="200"/>
    </row>
    <row r="96" spans="1:16" ht="15" customHeight="1" x14ac:dyDescent="0.25">
      <c r="A96" s="200"/>
      <c r="B96" s="200"/>
      <c r="C96" s="200"/>
      <c r="D96" s="306"/>
      <c r="E96" s="102"/>
      <c r="F96" s="200"/>
      <c r="G96" s="200"/>
      <c r="K96" s="200"/>
      <c r="L96" s="200"/>
      <c r="M96" s="200"/>
      <c r="N96" s="200"/>
      <c r="O96" s="200"/>
      <c r="P96" s="200"/>
    </row>
    <row r="97" spans="1:16" ht="15" customHeight="1" x14ac:dyDescent="0.25">
      <c r="A97" s="200"/>
      <c r="B97" s="200"/>
      <c r="C97" s="200"/>
      <c r="D97" s="306"/>
      <c r="E97" s="102"/>
      <c r="F97" s="200"/>
      <c r="G97" s="200"/>
      <c r="K97" s="200"/>
      <c r="L97" s="200"/>
      <c r="M97" s="200"/>
      <c r="N97" s="200"/>
      <c r="O97" s="200"/>
      <c r="P97" s="200"/>
    </row>
    <row r="98" spans="1:16" ht="15" customHeight="1" x14ac:dyDescent="0.25">
      <c r="A98" s="200"/>
      <c r="B98" s="200"/>
      <c r="C98" s="200"/>
      <c r="D98" s="306"/>
      <c r="E98" s="102"/>
      <c r="F98" s="200"/>
      <c r="G98" s="200"/>
      <c r="K98" s="200"/>
      <c r="L98" s="200"/>
      <c r="M98" s="200"/>
      <c r="N98" s="200"/>
      <c r="O98" s="200"/>
      <c r="P98" s="200"/>
    </row>
    <row r="99" spans="1:16" ht="15" customHeight="1" x14ac:dyDescent="0.25">
      <c r="A99" s="200"/>
      <c r="B99" s="200"/>
      <c r="C99" s="200"/>
      <c r="D99" s="306"/>
      <c r="E99" s="102"/>
      <c r="F99" s="200"/>
      <c r="G99" s="200"/>
      <c r="K99" s="200"/>
      <c r="L99" s="200"/>
      <c r="M99" s="200"/>
      <c r="N99" s="200"/>
      <c r="O99" s="200"/>
      <c r="P99" s="200"/>
    </row>
    <row r="100" spans="1:16" ht="15" customHeight="1" x14ac:dyDescent="0.25">
      <c r="A100" s="200"/>
      <c r="B100" s="200"/>
      <c r="C100" s="200"/>
      <c r="D100" s="306"/>
      <c r="E100" s="102"/>
      <c r="F100" s="200"/>
      <c r="G100" s="200"/>
      <c r="K100" s="200"/>
      <c r="L100" s="200"/>
      <c r="M100" s="200"/>
      <c r="N100" s="200"/>
      <c r="O100" s="200"/>
      <c r="P100" s="200"/>
    </row>
    <row r="101" spans="1:16" ht="15" customHeight="1" x14ac:dyDescent="0.25">
      <c r="A101" s="200"/>
      <c r="B101" s="200"/>
      <c r="C101" s="200"/>
      <c r="D101" s="306"/>
      <c r="E101" s="102"/>
      <c r="F101" s="200"/>
      <c r="G101" s="200"/>
      <c r="K101" s="200"/>
      <c r="L101" s="200"/>
      <c r="M101" s="200"/>
      <c r="N101" s="200"/>
      <c r="O101" s="200"/>
      <c r="P101" s="200"/>
    </row>
    <row r="102" spans="1:16" ht="15" customHeight="1" x14ac:dyDescent="0.25">
      <c r="A102" s="200"/>
      <c r="B102" s="200"/>
      <c r="C102" s="200"/>
      <c r="D102" s="306"/>
      <c r="E102" s="102"/>
      <c r="F102" s="200"/>
      <c r="G102" s="200"/>
      <c r="K102" s="200"/>
      <c r="L102" s="200"/>
      <c r="M102" s="200"/>
      <c r="N102" s="200"/>
      <c r="O102" s="200"/>
      <c r="P102" s="200"/>
    </row>
    <row r="103" spans="1:16" ht="15" customHeight="1" x14ac:dyDescent="0.25">
      <c r="A103" s="200"/>
      <c r="B103" s="200"/>
      <c r="C103" s="200"/>
      <c r="D103" s="306"/>
      <c r="E103" s="102"/>
      <c r="F103" s="200"/>
      <c r="G103" s="200"/>
      <c r="K103" s="200"/>
      <c r="L103" s="200"/>
      <c r="M103" s="200"/>
      <c r="N103" s="200"/>
      <c r="O103" s="200"/>
      <c r="P103" s="200"/>
    </row>
    <row r="104" spans="1:16" ht="15" customHeight="1" x14ac:dyDescent="0.25">
      <c r="A104" s="200"/>
      <c r="B104" s="200"/>
      <c r="C104" s="200"/>
      <c r="D104" s="306"/>
      <c r="E104" s="102"/>
      <c r="F104" s="200"/>
      <c r="G104" s="200"/>
      <c r="K104" s="200"/>
      <c r="L104" s="200"/>
      <c r="M104" s="200"/>
      <c r="N104" s="200"/>
      <c r="O104" s="200"/>
      <c r="P104" s="200"/>
    </row>
    <row r="105" spans="1:16" ht="15" customHeight="1" x14ac:dyDescent="0.25">
      <c r="A105" s="200"/>
      <c r="B105" s="200"/>
      <c r="C105" s="200"/>
      <c r="D105" s="306"/>
      <c r="E105" s="102"/>
      <c r="F105" s="200"/>
      <c r="G105" s="200"/>
      <c r="K105" s="200"/>
      <c r="L105" s="200"/>
      <c r="M105" s="200"/>
      <c r="N105" s="200"/>
      <c r="O105" s="200"/>
      <c r="P105" s="200"/>
    </row>
    <row r="106" spans="1:16" ht="15" customHeight="1" x14ac:dyDescent="0.25">
      <c r="A106" s="200"/>
      <c r="B106" s="200"/>
      <c r="C106" s="200"/>
      <c r="D106" s="306"/>
      <c r="E106" s="102"/>
      <c r="F106" s="200"/>
      <c r="G106" s="200"/>
      <c r="K106" s="200"/>
      <c r="L106" s="200"/>
      <c r="M106" s="200"/>
      <c r="N106" s="200"/>
      <c r="O106" s="200"/>
      <c r="P106" s="200"/>
    </row>
    <row r="107" spans="1:16" ht="15" customHeight="1" x14ac:dyDescent="0.25">
      <c r="A107" s="200"/>
      <c r="B107" s="200"/>
      <c r="C107" s="200"/>
      <c r="D107" s="306"/>
      <c r="E107" s="102"/>
      <c r="F107" s="200"/>
      <c r="G107" s="200"/>
      <c r="K107" s="200"/>
      <c r="L107" s="200"/>
      <c r="M107" s="200"/>
      <c r="N107" s="200"/>
      <c r="O107" s="200"/>
      <c r="P107" s="200"/>
    </row>
    <row r="108" spans="1:16" ht="15" customHeight="1" x14ac:dyDescent="0.25">
      <c r="A108" s="200"/>
      <c r="B108" s="200"/>
      <c r="C108" s="200"/>
      <c r="D108" s="306"/>
      <c r="E108" s="102"/>
      <c r="F108" s="200"/>
      <c r="G108" s="200"/>
      <c r="K108" s="200"/>
      <c r="L108" s="200"/>
      <c r="M108" s="200"/>
      <c r="N108" s="200"/>
      <c r="O108" s="200"/>
      <c r="P108" s="200"/>
    </row>
    <row r="109" spans="1:16" ht="15" customHeight="1" x14ac:dyDescent="0.25">
      <c r="A109" s="200"/>
      <c r="B109" s="200"/>
      <c r="C109" s="200"/>
      <c r="D109" s="306"/>
      <c r="E109" s="102"/>
      <c r="F109" s="200"/>
      <c r="G109" s="200"/>
      <c r="K109" s="200"/>
      <c r="L109" s="200"/>
      <c r="M109" s="200"/>
      <c r="N109" s="200"/>
      <c r="O109" s="200"/>
      <c r="P109" s="200"/>
    </row>
    <row r="110" spans="1:16" ht="15" customHeight="1" x14ac:dyDescent="0.25">
      <c r="A110" s="200"/>
      <c r="B110" s="200"/>
      <c r="C110" s="200"/>
      <c r="D110" s="306"/>
      <c r="E110" s="102"/>
      <c r="F110" s="200"/>
      <c r="G110" s="200"/>
      <c r="K110" s="200"/>
      <c r="L110" s="200"/>
      <c r="M110" s="200"/>
      <c r="N110" s="200"/>
      <c r="O110" s="200"/>
      <c r="P110" s="200"/>
    </row>
    <row r="111" spans="1:16" ht="15" customHeight="1" x14ac:dyDescent="0.25">
      <c r="A111" s="200"/>
      <c r="B111" s="200"/>
      <c r="C111" s="200"/>
      <c r="D111" s="306"/>
      <c r="E111" s="102"/>
      <c r="F111" s="200"/>
      <c r="G111" s="200"/>
      <c r="K111" s="200"/>
      <c r="L111" s="200"/>
      <c r="M111" s="200"/>
      <c r="N111" s="200"/>
      <c r="O111" s="200"/>
      <c r="P111" s="200"/>
    </row>
    <row r="112" spans="1:16" ht="15" customHeight="1" x14ac:dyDescent="0.25">
      <c r="A112" s="200"/>
      <c r="B112" s="200"/>
      <c r="C112" s="200"/>
      <c r="D112" s="306"/>
      <c r="E112" s="102"/>
      <c r="F112" s="200"/>
      <c r="G112" s="200"/>
      <c r="K112" s="200"/>
      <c r="L112" s="200"/>
      <c r="M112" s="200"/>
      <c r="N112" s="200"/>
      <c r="O112" s="200"/>
      <c r="P112" s="200"/>
    </row>
    <row r="113" spans="1:16" ht="15" customHeight="1" x14ac:dyDescent="0.25">
      <c r="A113" s="200"/>
      <c r="B113" s="200"/>
      <c r="C113" s="200"/>
      <c r="D113" s="306"/>
      <c r="E113" s="102"/>
      <c r="F113" s="200"/>
      <c r="G113" s="200"/>
      <c r="K113" s="200"/>
      <c r="L113" s="200"/>
      <c r="M113" s="200"/>
      <c r="N113" s="200"/>
      <c r="O113" s="200"/>
      <c r="P113" s="200"/>
    </row>
    <row r="114" spans="1:16" ht="15" customHeight="1" x14ac:dyDescent="0.25">
      <c r="A114" s="200"/>
      <c r="B114" s="200"/>
      <c r="C114" s="200"/>
      <c r="D114" s="306"/>
      <c r="E114" s="102"/>
      <c r="F114" s="200"/>
      <c r="G114" s="200"/>
      <c r="K114" s="200"/>
      <c r="L114" s="200"/>
      <c r="M114" s="200"/>
      <c r="N114" s="200"/>
      <c r="O114" s="200"/>
      <c r="P114" s="200"/>
    </row>
    <row r="115" spans="1:16" ht="15" customHeight="1" x14ac:dyDescent="0.25">
      <c r="A115" s="200"/>
      <c r="B115" s="200"/>
      <c r="C115" s="200"/>
      <c r="D115" s="306"/>
      <c r="E115" s="102"/>
      <c r="F115" s="200"/>
      <c r="G115" s="200"/>
      <c r="K115" s="200"/>
      <c r="L115" s="200"/>
      <c r="M115" s="200"/>
      <c r="N115" s="200"/>
      <c r="O115" s="200"/>
      <c r="P115" s="200"/>
    </row>
    <row r="116" spans="1:16" ht="15" customHeight="1" x14ac:dyDescent="0.25">
      <c r="A116" s="200"/>
      <c r="B116" s="200"/>
      <c r="C116" s="200"/>
      <c r="D116" s="306"/>
      <c r="E116" s="102"/>
      <c r="F116" s="200"/>
      <c r="G116" s="200"/>
      <c r="K116" s="200"/>
      <c r="L116" s="200"/>
      <c r="M116" s="200"/>
      <c r="N116" s="200"/>
      <c r="O116" s="200"/>
      <c r="P116" s="200"/>
    </row>
    <row r="117" spans="1:16" ht="15" customHeight="1" x14ac:dyDescent="0.25">
      <c r="A117" s="200"/>
      <c r="B117" s="200"/>
      <c r="C117" s="200"/>
      <c r="D117" s="306"/>
      <c r="E117" s="102"/>
      <c r="F117" s="200"/>
      <c r="G117" s="200"/>
      <c r="K117" s="200"/>
      <c r="L117" s="200"/>
      <c r="M117" s="200"/>
      <c r="N117" s="200"/>
      <c r="O117" s="200"/>
      <c r="P117" s="200"/>
    </row>
    <row r="118" spans="1:16" ht="15" customHeight="1" x14ac:dyDescent="0.25">
      <c r="A118" s="200"/>
      <c r="B118" s="200"/>
      <c r="C118" s="200"/>
      <c r="D118" s="306"/>
      <c r="E118" s="102"/>
      <c r="F118" s="200"/>
      <c r="G118" s="200"/>
      <c r="K118" s="200"/>
      <c r="L118" s="200"/>
      <c r="M118" s="200"/>
      <c r="N118" s="200"/>
      <c r="O118" s="200"/>
      <c r="P118" s="200"/>
    </row>
    <row r="119" spans="1:16" ht="15" customHeight="1" x14ac:dyDescent="0.25">
      <c r="A119" s="200"/>
      <c r="B119" s="200"/>
      <c r="C119" s="200"/>
      <c r="D119" s="306"/>
      <c r="E119" s="102"/>
      <c r="F119" s="200"/>
      <c r="G119" s="200"/>
      <c r="K119" s="200"/>
      <c r="L119" s="200"/>
      <c r="M119" s="200"/>
      <c r="N119" s="200"/>
      <c r="O119" s="200"/>
      <c r="P119" s="200"/>
    </row>
    <row r="120" spans="1:16" ht="15" customHeight="1" x14ac:dyDescent="0.25">
      <c r="A120" s="200"/>
      <c r="B120" s="200"/>
      <c r="C120" s="200"/>
      <c r="D120" s="306"/>
      <c r="E120" s="102"/>
      <c r="F120" s="200"/>
      <c r="G120" s="200"/>
      <c r="K120" s="200"/>
      <c r="L120" s="200"/>
      <c r="M120" s="200"/>
      <c r="N120" s="200"/>
      <c r="O120" s="200"/>
      <c r="P120" s="200"/>
    </row>
    <row r="121" spans="1:16" ht="15" customHeight="1" x14ac:dyDescent="0.25">
      <c r="A121" s="200"/>
      <c r="B121" s="200"/>
      <c r="C121" s="200"/>
      <c r="D121" s="306"/>
      <c r="E121" s="102"/>
      <c r="F121" s="200"/>
      <c r="G121" s="200"/>
      <c r="K121" s="200"/>
      <c r="L121" s="200"/>
      <c r="M121" s="200"/>
      <c r="N121" s="200"/>
      <c r="O121" s="200"/>
      <c r="P121" s="200"/>
    </row>
    <row r="122" spans="1:16" ht="15" customHeight="1" x14ac:dyDescent="0.25">
      <c r="A122" s="200"/>
      <c r="B122" s="200"/>
      <c r="C122" s="200"/>
      <c r="D122" s="306"/>
      <c r="E122" s="102"/>
      <c r="F122" s="200"/>
      <c r="G122" s="200"/>
      <c r="K122" s="200"/>
      <c r="L122" s="200"/>
      <c r="M122" s="200"/>
      <c r="N122" s="200"/>
      <c r="O122" s="200"/>
      <c r="P122" s="200"/>
    </row>
    <row r="123" spans="1:16" ht="15" customHeight="1" x14ac:dyDescent="0.25">
      <c r="A123" s="200"/>
      <c r="B123" s="200"/>
      <c r="C123" s="200"/>
      <c r="D123" s="306"/>
      <c r="E123" s="102"/>
      <c r="F123" s="200"/>
      <c r="G123" s="200"/>
      <c r="K123" s="200"/>
      <c r="L123" s="200"/>
      <c r="M123" s="200"/>
      <c r="N123" s="200"/>
      <c r="O123" s="200"/>
      <c r="P123" s="200"/>
    </row>
    <row r="124" spans="1:16" ht="15" customHeight="1" x14ac:dyDescent="0.25">
      <c r="A124" s="200"/>
      <c r="B124" s="200"/>
      <c r="C124" s="200"/>
      <c r="D124" s="306"/>
      <c r="E124" s="102"/>
      <c r="F124" s="200"/>
      <c r="G124" s="200"/>
      <c r="K124" s="200"/>
      <c r="L124" s="200"/>
      <c r="M124" s="200"/>
      <c r="N124" s="200"/>
      <c r="O124" s="200"/>
      <c r="P124" s="200"/>
    </row>
    <row r="125" spans="1:16" ht="15" customHeight="1" x14ac:dyDescent="0.25">
      <c r="A125" s="200"/>
      <c r="B125" s="200"/>
      <c r="C125" s="200"/>
      <c r="D125" s="306"/>
      <c r="E125" s="102"/>
      <c r="F125" s="200"/>
      <c r="G125" s="200"/>
      <c r="K125" s="200"/>
      <c r="L125" s="200"/>
      <c r="M125" s="200"/>
      <c r="N125" s="200"/>
      <c r="O125" s="200"/>
      <c r="P125" s="200"/>
    </row>
    <row r="126" spans="1:16" ht="15" customHeight="1" x14ac:dyDescent="0.25">
      <c r="A126" s="200"/>
      <c r="B126" s="200"/>
      <c r="C126" s="200"/>
      <c r="D126" s="306"/>
      <c r="E126" s="102"/>
      <c r="F126" s="200"/>
      <c r="G126" s="200"/>
      <c r="K126" s="200"/>
      <c r="L126" s="200"/>
      <c r="M126" s="200"/>
      <c r="N126" s="200"/>
      <c r="O126" s="200"/>
      <c r="P126" s="200"/>
    </row>
    <row r="127" spans="1:16" ht="15" customHeight="1" x14ac:dyDescent="0.25">
      <c r="A127" s="200"/>
      <c r="B127" s="200"/>
      <c r="C127" s="200"/>
      <c r="D127" s="306"/>
      <c r="E127" s="102"/>
      <c r="F127" s="200"/>
      <c r="G127" s="200"/>
      <c r="K127" s="200"/>
      <c r="L127" s="200"/>
      <c r="M127" s="200"/>
      <c r="N127" s="200"/>
      <c r="O127" s="200"/>
      <c r="P127" s="200"/>
    </row>
    <row r="128" spans="1:16" ht="15" customHeight="1" x14ac:dyDescent="0.25">
      <c r="A128" s="200"/>
      <c r="B128" s="200"/>
      <c r="C128" s="200"/>
      <c r="D128" s="306"/>
      <c r="E128" s="102"/>
      <c r="F128" s="200"/>
      <c r="G128" s="200"/>
      <c r="K128" s="200"/>
      <c r="L128" s="200"/>
      <c r="M128" s="200"/>
      <c r="N128" s="200"/>
      <c r="O128" s="200"/>
      <c r="P128" s="200"/>
    </row>
    <row r="129" spans="1:16" ht="15" customHeight="1" x14ac:dyDescent="0.25">
      <c r="A129" s="200"/>
      <c r="B129" s="200"/>
      <c r="C129" s="200"/>
      <c r="D129" s="306"/>
      <c r="E129" s="102"/>
      <c r="F129" s="200"/>
      <c r="G129" s="200"/>
      <c r="K129" s="200"/>
      <c r="L129" s="200"/>
      <c r="M129" s="200"/>
      <c r="N129" s="200"/>
      <c r="O129" s="200"/>
      <c r="P129" s="200"/>
    </row>
    <row r="130" spans="1:16" ht="15" customHeight="1" x14ac:dyDescent="0.25">
      <c r="A130" s="200"/>
      <c r="B130" s="200"/>
      <c r="C130" s="200"/>
      <c r="D130" s="306"/>
      <c r="E130" s="102"/>
      <c r="F130" s="200"/>
      <c r="G130" s="200"/>
      <c r="K130" s="200"/>
      <c r="L130" s="200"/>
      <c r="M130" s="200"/>
      <c r="N130" s="200"/>
      <c r="O130" s="200"/>
      <c r="P130" s="200"/>
    </row>
    <row r="131" spans="1:16" ht="15" customHeight="1" x14ac:dyDescent="0.25">
      <c r="A131" s="200"/>
      <c r="B131" s="200"/>
      <c r="C131" s="200"/>
      <c r="D131" s="306"/>
      <c r="E131" s="102"/>
      <c r="F131" s="200"/>
      <c r="G131" s="200"/>
      <c r="K131" s="200"/>
      <c r="L131" s="200"/>
      <c r="M131" s="200"/>
      <c r="N131" s="200"/>
      <c r="O131" s="200"/>
      <c r="P131" s="200"/>
    </row>
    <row r="132" spans="1:16" ht="15" customHeight="1" x14ac:dyDescent="0.25">
      <c r="A132" s="200"/>
      <c r="B132" s="200"/>
      <c r="C132" s="200"/>
      <c r="D132" s="306"/>
      <c r="E132" s="102"/>
      <c r="F132" s="200"/>
      <c r="G132" s="200"/>
      <c r="K132" s="200"/>
      <c r="L132" s="200"/>
      <c r="M132" s="200"/>
      <c r="N132" s="200"/>
      <c r="O132" s="200"/>
      <c r="P132" s="200"/>
    </row>
    <row r="133" spans="1:16" ht="15" customHeight="1" x14ac:dyDescent="0.25">
      <c r="A133" s="200"/>
      <c r="B133" s="200"/>
      <c r="C133" s="200"/>
      <c r="D133" s="306"/>
      <c r="E133" s="102"/>
      <c r="F133" s="200"/>
      <c r="G133" s="200"/>
      <c r="K133" s="200"/>
      <c r="L133" s="200"/>
      <c r="M133" s="200"/>
      <c r="N133" s="200"/>
      <c r="O133" s="200"/>
      <c r="P133" s="200"/>
    </row>
    <row r="134" spans="1:16" ht="15" customHeight="1" x14ac:dyDescent="0.25">
      <c r="A134" s="200"/>
      <c r="B134" s="200"/>
      <c r="C134" s="200"/>
      <c r="D134" s="306"/>
      <c r="E134" s="102"/>
      <c r="F134" s="200"/>
      <c r="G134" s="200"/>
      <c r="K134" s="200"/>
      <c r="L134" s="200"/>
      <c r="M134" s="200"/>
      <c r="N134" s="200"/>
      <c r="O134" s="200"/>
      <c r="P134" s="200"/>
    </row>
    <row r="135" spans="1:16" ht="15" customHeight="1" x14ac:dyDescent="0.25">
      <c r="A135" s="200"/>
      <c r="B135" s="200"/>
      <c r="C135" s="200"/>
      <c r="D135" s="306"/>
      <c r="E135" s="102"/>
      <c r="F135" s="200"/>
      <c r="G135" s="200"/>
      <c r="K135" s="200"/>
      <c r="L135" s="200"/>
      <c r="M135" s="200"/>
      <c r="N135" s="200"/>
      <c r="O135" s="200"/>
      <c r="P135" s="200"/>
    </row>
    <row r="136" spans="1:16" ht="15" customHeight="1" x14ac:dyDescent="0.25">
      <c r="A136" s="200"/>
      <c r="B136" s="200"/>
      <c r="C136" s="200"/>
      <c r="D136" s="306"/>
      <c r="E136" s="102"/>
      <c r="F136" s="200"/>
      <c r="G136" s="200"/>
      <c r="K136" s="200"/>
      <c r="L136" s="200"/>
      <c r="M136" s="200"/>
      <c r="N136" s="200"/>
      <c r="O136" s="200"/>
      <c r="P136" s="200"/>
    </row>
    <row r="137" spans="1:16" ht="15" customHeight="1" x14ac:dyDescent="0.25">
      <c r="A137" s="200"/>
      <c r="B137" s="200"/>
      <c r="C137" s="200"/>
      <c r="D137" s="306"/>
      <c r="E137" s="102"/>
      <c r="F137" s="200"/>
      <c r="G137" s="200"/>
      <c r="K137" s="200"/>
      <c r="L137" s="200"/>
      <c r="M137" s="200"/>
      <c r="N137" s="200"/>
      <c r="O137" s="200"/>
      <c r="P137" s="200"/>
    </row>
    <row r="138" spans="1:16" ht="15" customHeight="1" x14ac:dyDescent="0.25">
      <c r="A138" s="200"/>
      <c r="B138" s="200"/>
      <c r="C138" s="200"/>
      <c r="D138" s="306"/>
      <c r="E138" s="102"/>
      <c r="F138" s="200"/>
      <c r="G138" s="200"/>
      <c r="K138" s="200"/>
      <c r="L138" s="200"/>
      <c r="M138" s="200"/>
      <c r="N138" s="200"/>
      <c r="O138" s="200"/>
      <c r="P138" s="200"/>
    </row>
    <row r="139" spans="1:16" ht="15" customHeight="1" x14ac:dyDescent="0.25">
      <c r="A139" s="200"/>
      <c r="B139" s="200"/>
      <c r="C139" s="200"/>
      <c r="D139" s="306"/>
      <c r="E139" s="102"/>
      <c r="F139" s="200"/>
      <c r="G139" s="200"/>
      <c r="K139" s="200"/>
      <c r="L139" s="200"/>
      <c r="M139" s="200"/>
      <c r="N139" s="200"/>
      <c r="O139" s="200"/>
      <c r="P139" s="200"/>
    </row>
    <row r="140" spans="1:16" ht="15" customHeight="1" x14ac:dyDescent="0.25">
      <c r="A140" s="200"/>
      <c r="B140" s="200"/>
      <c r="C140" s="200"/>
      <c r="D140" s="306"/>
      <c r="E140" s="102"/>
      <c r="F140" s="200"/>
      <c r="G140" s="200"/>
      <c r="K140" s="200"/>
      <c r="L140" s="200"/>
      <c r="M140" s="200"/>
      <c r="N140" s="200"/>
      <c r="O140" s="200"/>
      <c r="P140" s="200"/>
    </row>
    <row r="141" spans="1:16" ht="15" customHeight="1" x14ac:dyDescent="0.25">
      <c r="A141" s="200"/>
      <c r="B141" s="200"/>
      <c r="C141" s="200"/>
      <c r="D141" s="306"/>
      <c r="E141" s="102"/>
      <c r="F141" s="200"/>
      <c r="G141" s="200"/>
      <c r="K141" s="200"/>
      <c r="L141" s="200"/>
      <c r="M141" s="200"/>
      <c r="N141" s="200"/>
      <c r="O141" s="200"/>
      <c r="P141" s="200"/>
    </row>
    <row r="142" spans="1:16" ht="15" customHeight="1" x14ac:dyDescent="0.25">
      <c r="A142" s="200"/>
      <c r="B142" s="200"/>
      <c r="C142" s="200"/>
      <c r="D142" s="306"/>
      <c r="E142" s="102"/>
      <c r="F142" s="200"/>
      <c r="G142" s="200"/>
      <c r="K142" s="200"/>
      <c r="L142" s="200"/>
      <c r="M142" s="200"/>
      <c r="N142" s="200"/>
      <c r="O142" s="200"/>
      <c r="P142" s="200"/>
    </row>
    <row r="143" spans="1:16" ht="15" customHeight="1" x14ac:dyDescent="0.25">
      <c r="A143" s="200"/>
      <c r="B143" s="200"/>
      <c r="C143" s="200"/>
      <c r="D143" s="306"/>
      <c r="E143" s="102"/>
      <c r="F143" s="200"/>
      <c r="G143" s="200"/>
      <c r="K143" s="200"/>
      <c r="L143" s="200"/>
      <c r="M143" s="200"/>
      <c r="N143" s="200"/>
      <c r="O143" s="200"/>
      <c r="P143" s="200"/>
    </row>
    <row r="144" spans="1:16" ht="15" customHeight="1" x14ac:dyDescent="0.25">
      <c r="A144" s="200"/>
      <c r="B144" s="200"/>
      <c r="C144" s="200"/>
      <c r="D144" s="306"/>
      <c r="E144" s="102"/>
      <c r="F144" s="200"/>
      <c r="G144" s="200"/>
      <c r="K144" s="200"/>
      <c r="L144" s="200"/>
      <c r="M144" s="200"/>
      <c r="N144" s="200"/>
      <c r="O144" s="200"/>
      <c r="P144" s="200"/>
    </row>
    <row r="145" spans="1:16" ht="15" customHeight="1" x14ac:dyDescent="0.25">
      <c r="A145" s="200"/>
      <c r="B145" s="200"/>
      <c r="C145" s="200"/>
      <c r="D145" s="306"/>
      <c r="E145" s="102"/>
      <c r="F145" s="200"/>
      <c r="G145" s="200"/>
      <c r="K145" s="200"/>
      <c r="L145" s="200"/>
      <c r="M145" s="200"/>
      <c r="N145" s="200"/>
      <c r="O145" s="200"/>
      <c r="P145" s="200"/>
    </row>
    <row r="146" spans="1:16" ht="15" customHeight="1" x14ac:dyDescent="0.25">
      <c r="A146" s="200"/>
      <c r="B146" s="200"/>
      <c r="C146" s="200"/>
      <c r="D146" s="306"/>
      <c r="E146" s="102"/>
      <c r="F146" s="200"/>
      <c r="G146" s="200"/>
      <c r="K146" s="200"/>
      <c r="L146" s="200"/>
      <c r="M146" s="200"/>
      <c r="N146" s="200"/>
      <c r="O146" s="200"/>
      <c r="P146" s="200"/>
    </row>
    <row r="147" spans="1:16" ht="15" customHeight="1" x14ac:dyDescent="0.25">
      <c r="A147" s="200"/>
      <c r="B147" s="200"/>
      <c r="C147" s="200"/>
      <c r="D147" s="306"/>
      <c r="E147" s="102"/>
      <c r="F147" s="200"/>
      <c r="G147" s="200"/>
      <c r="K147" s="200"/>
      <c r="L147" s="200"/>
      <c r="M147" s="200"/>
      <c r="N147" s="200"/>
      <c r="O147" s="200"/>
      <c r="P147" s="200"/>
    </row>
    <row r="148" spans="1:16" ht="15" customHeight="1" x14ac:dyDescent="0.25">
      <c r="A148" s="200"/>
      <c r="B148" s="200"/>
      <c r="C148" s="200"/>
      <c r="D148" s="306"/>
      <c r="E148" s="102"/>
      <c r="F148" s="200"/>
      <c r="G148" s="200"/>
      <c r="K148" s="200"/>
      <c r="L148" s="200"/>
      <c r="M148" s="200"/>
      <c r="N148" s="200"/>
      <c r="O148" s="200"/>
      <c r="P148" s="200"/>
    </row>
    <row r="149" spans="1:16" ht="15" customHeight="1" x14ac:dyDescent="0.25">
      <c r="A149" s="200"/>
      <c r="B149" s="200"/>
      <c r="C149" s="200"/>
      <c r="D149" s="306"/>
      <c r="E149" s="102"/>
      <c r="F149" s="200"/>
      <c r="G149" s="200"/>
      <c r="K149" s="200"/>
      <c r="L149" s="200"/>
      <c r="M149" s="200"/>
      <c r="N149" s="200"/>
      <c r="O149" s="200"/>
      <c r="P149" s="200"/>
    </row>
    <row r="150" spans="1:16" ht="15" customHeight="1" x14ac:dyDescent="0.25">
      <c r="A150" s="200"/>
      <c r="B150" s="200"/>
      <c r="C150" s="200"/>
      <c r="D150" s="306"/>
      <c r="E150" s="102"/>
      <c r="F150" s="200"/>
      <c r="G150" s="200"/>
      <c r="K150" s="200"/>
      <c r="L150" s="200"/>
      <c r="M150" s="200"/>
      <c r="N150" s="200"/>
      <c r="O150" s="200"/>
      <c r="P150" s="200"/>
    </row>
    <row r="151" spans="1:16" ht="15" customHeight="1" x14ac:dyDescent="0.25">
      <c r="A151" s="200"/>
      <c r="B151" s="200"/>
      <c r="C151" s="200"/>
      <c r="D151" s="306"/>
      <c r="E151" s="102"/>
      <c r="F151" s="200"/>
      <c r="G151" s="200"/>
      <c r="K151" s="200"/>
      <c r="L151" s="200"/>
      <c r="M151" s="200"/>
      <c r="N151" s="200"/>
      <c r="O151" s="200"/>
      <c r="P151" s="200"/>
    </row>
    <row r="152" spans="1:16" ht="15" customHeight="1" x14ac:dyDescent="0.25">
      <c r="A152" s="200"/>
      <c r="B152" s="200"/>
      <c r="C152" s="200"/>
      <c r="D152" s="306"/>
      <c r="E152" s="102"/>
      <c r="F152" s="200"/>
      <c r="G152" s="200"/>
      <c r="K152" s="200"/>
      <c r="L152" s="200"/>
      <c r="M152" s="200"/>
      <c r="N152" s="200"/>
      <c r="O152" s="200"/>
      <c r="P152" s="200"/>
    </row>
    <row r="153" spans="1:16" ht="15" customHeight="1" x14ac:dyDescent="0.25">
      <c r="A153" s="200"/>
      <c r="B153" s="200"/>
      <c r="C153" s="200"/>
      <c r="D153" s="306"/>
      <c r="E153" s="102"/>
      <c r="F153" s="200"/>
      <c r="G153" s="200"/>
      <c r="K153" s="200"/>
      <c r="L153" s="200"/>
      <c r="M153" s="200"/>
      <c r="N153" s="200"/>
      <c r="O153" s="200"/>
      <c r="P153" s="200"/>
    </row>
    <row r="154" spans="1:16" ht="15" customHeight="1" x14ac:dyDescent="0.25">
      <c r="A154" s="200"/>
      <c r="B154" s="200"/>
      <c r="C154" s="200"/>
      <c r="D154" s="306"/>
      <c r="E154" s="102"/>
      <c r="F154" s="200"/>
      <c r="G154" s="200"/>
      <c r="K154" s="200"/>
      <c r="L154" s="200"/>
      <c r="M154" s="200"/>
      <c r="N154" s="200"/>
      <c r="O154" s="200"/>
      <c r="P154" s="200"/>
    </row>
    <row r="155" spans="1:16" ht="15" customHeight="1" x14ac:dyDescent="0.25">
      <c r="A155" s="200"/>
      <c r="B155" s="200"/>
      <c r="C155" s="200"/>
      <c r="D155" s="306"/>
      <c r="E155" s="102"/>
      <c r="F155" s="200"/>
      <c r="G155" s="200"/>
      <c r="K155" s="200"/>
      <c r="L155" s="200"/>
      <c r="M155" s="200"/>
      <c r="N155" s="200"/>
      <c r="O155" s="200"/>
      <c r="P155" s="200"/>
    </row>
    <row r="156" spans="1:16" ht="15" customHeight="1" x14ac:dyDescent="0.25">
      <c r="A156" s="200"/>
      <c r="B156" s="200"/>
      <c r="C156" s="200"/>
      <c r="D156" s="306"/>
      <c r="E156" s="102"/>
      <c r="F156" s="200"/>
      <c r="G156" s="200"/>
      <c r="K156" s="200"/>
      <c r="L156" s="200"/>
      <c r="M156" s="200"/>
      <c r="N156" s="200"/>
      <c r="O156" s="200"/>
      <c r="P156" s="200"/>
    </row>
    <row r="157" spans="1:16" ht="15" customHeight="1" x14ac:dyDescent="0.25">
      <c r="A157" s="200"/>
      <c r="B157" s="200"/>
      <c r="C157" s="200"/>
      <c r="D157" s="306"/>
      <c r="E157" s="102"/>
      <c r="F157" s="200"/>
      <c r="G157" s="200"/>
      <c r="K157" s="200"/>
      <c r="L157" s="200"/>
      <c r="M157" s="200"/>
      <c r="N157" s="200"/>
      <c r="O157" s="200"/>
      <c r="P157" s="200"/>
    </row>
    <row r="158" spans="1:16" ht="15" customHeight="1" x14ac:dyDescent="0.25">
      <c r="A158" s="200"/>
      <c r="B158" s="200"/>
      <c r="C158" s="200"/>
      <c r="D158" s="306"/>
      <c r="E158" s="102"/>
      <c r="F158" s="200"/>
      <c r="G158" s="200"/>
      <c r="K158" s="200"/>
      <c r="L158" s="200"/>
      <c r="M158" s="200"/>
      <c r="N158" s="200"/>
      <c r="O158" s="200"/>
      <c r="P158" s="200"/>
    </row>
    <row r="159" spans="1:16" ht="15" customHeight="1" x14ac:dyDescent="0.25">
      <c r="A159" s="200"/>
      <c r="B159" s="200"/>
      <c r="C159" s="200"/>
      <c r="D159" s="306"/>
      <c r="E159" s="102"/>
      <c r="F159" s="200"/>
      <c r="G159" s="200"/>
      <c r="K159" s="200"/>
      <c r="L159" s="200"/>
      <c r="M159" s="200"/>
      <c r="N159" s="200"/>
      <c r="O159" s="200"/>
      <c r="P159" s="200"/>
    </row>
    <row r="160" spans="1:16" ht="15" customHeight="1" x14ac:dyDescent="0.25">
      <c r="A160" s="200"/>
      <c r="B160" s="200"/>
      <c r="C160" s="200"/>
      <c r="D160" s="306"/>
      <c r="E160" s="102"/>
      <c r="F160" s="200"/>
      <c r="G160" s="200"/>
      <c r="K160" s="200"/>
      <c r="L160" s="200"/>
      <c r="M160" s="200"/>
      <c r="N160" s="200"/>
      <c r="O160" s="200"/>
      <c r="P160" s="200"/>
    </row>
    <row r="161" spans="1:16" ht="15" customHeight="1" x14ac:dyDescent="0.25">
      <c r="A161" s="200"/>
      <c r="B161" s="200"/>
      <c r="C161" s="200"/>
      <c r="D161" s="306"/>
      <c r="E161" s="102"/>
      <c r="F161" s="200"/>
      <c r="G161" s="200"/>
      <c r="K161" s="200"/>
      <c r="L161" s="200"/>
      <c r="M161" s="200"/>
      <c r="N161" s="200"/>
      <c r="O161" s="200"/>
      <c r="P161" s="200"/>
    </row>
    <row r="162" spans="1:16" ht="15" customHeight="1" x14ac:dyDescent="0.25">
      <c r="A162" s="200"/>
      <c r="B162" s="200"/>
      <c r="C162" s="200"/>
      <c r="D162" s="306"/>
      <c r="E162" s="102"/>
      <c r="F162" s="200"/>
      <c r="G162" s="200"/>
      <c r="K162" s="200"/>
      <c r="L162" s="200"/>
      <c r="M162" s="200"/>
      <c r="N162" s="200"/>
      <c r="O162" s="200"/>
      <c r="P162" s="200"/>
    </row>
    <row r="163" spans="1:16" ht="15" customHeight="1" x14ac:dyDescent="0.25">
      <c r="A163" s="200"/>
      <c r="B163" s="200"/>
      <c r="C163" s="200"/>
      <c r="D163" s="306"/>
      <c r="E163" s="102"/>
      <c r="F163" s="200"/>
      <c r="G163" s="200"/>
      <c r="K163" s="200"/>
      <c r="L163" s="200"/>
      <c r="M163" s="200"/>
      <c r="N163" s="200"/>
      <c r="O163" s="200"/>
      <c r="P163" s="200"/>
    </row>
    <row r="164" spans="1:16" ht="15" customHeight="1" x14ac:dyDescent="0.25">
      <c r="A164" s="200"/>
      <c r="B164" s="200"/>
      <c r="C164" s="200"/>
      <c r="D164" s="306"/>
      <c r="E164" s="102"/>
      <c r="F164" s="200"/>
      <c r="G164" s="200"/>
      <c r="K164" s="200"/>
      <c r="L164" s="200"/>
      <c r="M164" s="200"/>
      <c r="N164" s="200"/>
      <c r="O164" s="200"/>
      <c r="P164" s="200"/>
    </row>
    <row r="165" spans="1:16" ht="15" customHeight="1" x14ac:dyDescent="0.25">
      <c r="A165" s="200"/>
      <c r="B165" s="200"/>
      <c r="C165" s="200"/>
      <c r="D165" s="306"/>
      <c r="E165" s="102"/>
      <c r="F165" s="200"/>
      <c r="G165" s="200"/>
      <c r="K165" s="200"/>
      <c r="L165" s="200"/>
      <c r="M165" s="200"/>
      <c r="N165" s="200"/>
      <c r="O165" s="200"/>
      <c r="P165" s="200"/>
    </row>
    <row r="166" spans="1:16" ht="15" customHeight="1" x14ac:dyDescent="0.25">
      <c r="A166" s="200"/>
      <c r="B166" s="200"/>
      <c r="C166" s="200"/>
      <c r="D166" s="306"/>
      <c r="E166" s="102"/>
      <c r="F166" s="200"/>
      <c r="G166" s="200"/>
      <c r="K166" s="200"/>
      <c r="L166" s="200"/>
      <c r="M166" s="200"/>
      <c r="N166" s="200"/>
      <c r="O166" s="200"/>
      <c r="P166" s="200"/>
    </row>
    <row r="167" spans="1:16" ht="15" customHeight="1" x14ac:dyDescent="0.25">
      <c r="A167" s="200"/>
      <c r="B167" s="200"/>
      <c r="C167" s="200"/>
      <c r="D167" s="306"/>
      <c r="E167" s="102"/>
      <c r="F167" s="200"/>
      <c r="G167" s="200"/>
      <c r="K167" s="200"/>
      <c r="L167" s="200"/>
      <c r="M167" s="200"/>
      <c r="N167" s="200"/>
      <c r="O167" s="200"/>
      <c r="P167" s="200"/>
    </row>
    <row r="168" spans="1:16" ht="15" customHeight="1" x14ac:dyDescent="0.25">
      <c r="A168" s="200"/>
      <c r="B168" s="200"/>
      <c r="C168" s="200"/>
      <c r="D168" s="306"/>
      <c r="E168" s="102"/>
      <c r="F168" s="200"/>
      <c r="G168" s="200"/>
      <c r="K168" s="200"/>
      <c r="L168" s="200"/>
      <c r="M168" s="200"/>
      <c r="N168" s="200"/>
      <c r="O168" s="200"/>
      <c r="P168" s="200"/>
    </row>
    <row r="169" spans="1:16" ht="15" customHeight="1" x14ac:dyDescent="0.25">
      <c r="A169" s="200"/>
      <c r="B169" s="200"/>
      <c r="C169" s="200"/>
      <c r="D169" s="306"/>
      <c r="E169" s="102"/>
      <c r="F169" s="200"/>
      <c r="G169" s="200"/>
      <c r="K169" s="200"/>
      <c r="L169" s="200"/>
      <c r="M169" s="200"/>
      <c r="N169" s="200"/>
      <c r="O169" s="200"/>
      <c r="P169" s="200"/>
    </row>
    <row r="170" spans="1:16" ht="15" customHeight="1" x14ac:dyDescent="0.25">
      <c r="A170" s="200"/>
      <c r="B170" s="200"/>
      <c r="C170" s="200"/>
      <c r="D170" s="306"/>
      <c r="E170" s="102"/>
      <c r="F170" s="200"/>
      <c r="G170" s="200"/>
      <c r="K170" s="200"/>
      <c r="L170" s="200"/>
      <c r="M170" s="200"/>
      <c r="N170" s="200"/>
      <c r="O170" s="200"/>
      <c r="P170" s="200"/>
    </row>
    <row r="171" spans="1:16" ht="15" customHeight="1" x14ac:dyDescent="0.25">
      <c r="A171" s="200"/>
      <c r="B171" s="200"/>
      <c r="C171" s="200"/>
      <c r="D171" s="306"/>
      <c r="E171" s="102"/>
      <c r="F171" s="200"/>
      <c r="G171" s="200"/>
      <c r="K171" s="200"/>
      <c r="L171" s="200"/>
      <c r="M171" s="200"/>
      <c r="N171" s="200"/>
      <c r="O171" s="200"/>
      <c r="P171" s="200"/>
    </row>
    <row r="172" spans="1:16" ht="15" customHeight="1" x14ac:dyDescent="0.25">
      <c r="A172" s="200"/>
      <c r="B172" s="200"/>
      <c r="C172" s="200"/>
      <c r="D172" s="306"/>
      <c r="E172" s="102"/>
      <c r="F172" s="200"/>
      <c r="G172" s="200"/>
      <c r="K172" s="200"/>
      <c r="L172" s="200"/>
      <c r="M172" s="200"/>
      <c r="N172" s="200"/>
      <c r="O172" s="200"/>
      <c r="P172" s="200"/>
    </row>
    <row r="173" spans="1:16" ht="15" customHeight="1" x14ac:dyDescent="0.25">
      <c r="A173" s="200"/>
      <c r="B173" s="200"/>
      <c r="C173" s="200"/>
      <c r="D173" s="306"/>
      <c r="E173" s="102"/>
      <c r="F173" s="200"/>
      <c r="G173" s="200"/>
      <c r="K173" s="200"/>
      <c r="L173" s="200"/>
      <c r="M173" s="200"/>
      <c r="N173" s="200"/>
      <c r="O173" s="200"/>
      <c r="P173" s="200"/>
    </row>
    <row r="174" spans="1:16" ht="15" customHeight="1" x14ac:dyDescent="0.25">
      <c r="A174" s="200"/>
      <c r="B174" s="200"/>
      <c r="C174" s="200"/>
      <c r="D174" s="306"/>
      <c r="E174" s="102"/>
      <c r="F174" s="200"/>
      <c r="G174" s="200"/>
      <c r="K174" s="200"/>
      <c r="L174" s="200"/>
      <c r="M174" s="200"/>
      <c r="N174" s="200"/>
      <c r="O174" s="200"/>
      <c r="P174" s="200"/>
    </row>
    <row r="175" spans="1:16" ht="15" customHeight="1" x14ac:dyDescent="0.25">
      <c r="A175" s="200"/>
      <c r="B175" s="200"/>
      <c r="C175" s="200"/>
      <c r="D175" s="306"/>
      <c r="E175" s="102"/>
      <c r="F175" s="200"/>
      <c r="G175" s="200"/>
      <c r="K175" s="200"/>
      <c r="L175" s="200"/>
      <c r="M175" s="200"/>
      <c r="N175" s="200"/>
      <c r="O175" s="200"/>
      <c r="P175" s="200"/>
    </row>
    <row r="176" spans="1:16" ht="15" customHeight="1" x14ac:dyDescent="0.25">
      <c r="A176" s="200"/>
      <c r="B176" s="200"/>
      <c r="C176" s="200"/>
      <c r="D176" s="306"/>
      <c r="E176" s="102"/>
      <c r="F176" s="200"/>
      <c r="G176" s="200"/>
      <c r="K176" s="200"/>
      <c r="L176" s="200"/>
      <c r="M176" s="200"/>
      <c r="N176" s="200"/>
      <c r="O176" s="200"/>
      <c r="P176" s="200"/>
    </row>
    <row r="177" spans="1:16" ht="15" customHeight="1" x14ac:dyDescent="0.25">
      <c r="A177" s="200"/>
      <c r="B177" s="200"/>
      <c r="C177" s="200"/>
      <c r="D177" s="306"/>
      <c r="E177" s="102"/>
      <c r="F177" s="200"/>
      <c r="G177" s="200"/>
      <c r="K177" s="200"/>
      <c r="L177" s="200"/>
      <c r="M177" s="200"/>
      <c r="N177" s="200"/>
      <c r="O177" s="200"/>
      <c r="P177" s="200"/>
    </row>
    <row r="178" spans="1:16" ht="15" customHeight="1" x14ac:dyDescent="0.25">
      <c r="A178" s="200"/>
      <c r="B178" s="200"/>
      <c r="C178" s="200"/>
      <c r="D178" s="306"/>
      <c r="E178" s="102"/>
      <c r="F178" s="200"/>
      <c r="G178" s="200"/>
      <c r="K178" s="200"/>
      <c r="L178" s="200"/>
      <c r="M178" s="200"/>
      <c r="N178" s="200"/>
      <c r="O178" s="200"/>
      <c r="P178" s="200"/>
    </row>
    <row r="179" spans="1:16" ht="15" customHeight="1" x14ac:dyDescent="0.25">
      <c r="A179" s="200"/>
      <c r="B179" s="200"/>
      <c r="C179" s="200"/>
      <c r="D179" s="306"/>
      <c r="E179" s="102"/>
      <c r="F179" s="200"/>
      <c r="G179" s="200"/>
      <c r="K179" s="200"/>
      <c r="L179" s="200"/>
      <c r="M179" s="200"/>
      <c r="N179" s="200"/>
      <c r="O179" s="200"/>
      <c r="P179" s="200"/>
    </row>
    <row r="180" spans="1:16" ht="15" customHeight="1" x14ac:dyDescent="0.25">
      <c r="A180" s="200"/>
      <c r="B180" s="200"/>
      <c r="C180" s="200"/>
      <c r="D180" s="306"/>
      <c r="E180" s="102"/>
      <c r="F180" s="200"/>
      <c r="G180" s="200"/>
      <c r="K180" s="200"/>
      <c r="L180" s="200"/>
      <c r="M180" s="200"/>
      <c r="N180" s="200"/>
      <c r="O180" s="200"/>
      <c r="P180" s="200"/>
    </row>
    <row r="181" spans="1:16" ht="15" customHeight="1" x14ac:dyDescent="0.25">
      <c r="A181" s="200"/>
      <c r="B181" s="200"/>
      <c r="C181" s="200"/>
      <c r="D181" s="306"/>
      <c r="E181" s="102"/>
      <c r="F181" s="200"/>
      <c r="G181" s="200"/>
      <c r="K181" s="200"/>
      <c r="L181" s="200"/>
      <c r="M181" s="200"/>
      <c r="N181" s="200"/>
      <c r="O181" s="200"/>
      <c r="P181" s="200"/>
    </row>
    <row r="182" spans="1:16" ht="15" customHeight="1" x14ac:dyDescent="0.25">
      <c r="A182" s="200"/>
      <c r="B182" s="200"/>
      <c r="C182" s="200"/>
      <c r="D182" s="306"/>
      <c r="E182" s="102"/>
      <c r="F182" s="200"/>
      <c r="G182" s="200"/>
      <c r="K182" s="200"/>
      <c r="L182" s="200"/>
      <c r="M182" s="200"/>
      <c r="N182" s="200"/>
      <c r="O182" s="200"/>
      <c r="P182" s="200"/>
    </row>
    <row r="183" spans="1:16" ht="15" customHeight="1" x14ac:dyDescent="0.25">
      <c r="A183" s="200"/>
      <c r="B183" s="200"/>
      <c r="C183" s="200"/>
      <c r="D183" s="306"/>
      <c r="E183" s="102"/>
      <c r="F183" s="200"/>
      <c r="G183" s="200"/>
      <c r="K183" s="200"/>
      <c r="L183" s="200"/>
      <c r="M183" s="200"/>
      <c r="N183" s="200"/>
      <c r="O183" s="200"/>
      <c r="P183" s="200"/>
    </row>
    <row r="184" spans="1:16" ht="15" customHeight="1" x14ac:dyDescent="0.25">
      <c r="A184" s="200"/>
      <c r="B184" s="200"/>
      <c r="C184" s="200"/>
      <c r="D184" s="306"/>
      <c r="E184" s="102"/>
      <c r="F184" s="200"/>
      <c r="G184" s="200"/>
      <c r="K184" s="200"/>
      <c r="L184" s="200"/>
      <c r="M184" s="200"/>
      <c r="N184" s="200"/>
      <c r="O184" s="200"/>
      <c r="P184" s="200"/>
    </row>
    <row r="185" spans="1:16" ht="15" customHeight="1" x14ac:dyDescent="0.25">
      <c r="A185" s="200"/>
      <c r="B185" s="200"/>
      <c r="C185" s="200"/>
      <c r="D185" s="306"/>
      <c r="E185" s="102"/>
      <c r="F185" s="200"/>
      <c r="G185" s="200"/>
      <c r="K185" s="200"/>
      <c r="L185" s="200"/>
      <c r="M185" s="200"/>
      <c r="N185" s="200"/>
      <c r="O185" s="200"/>
      <c r="P185" s="200"/>
    </row>
    <row r="186" spans="1:16" ht="15" customHeight="1" x14ac:dyDescent="0.25">
      <c r="A186" s="200"/>
      <c r="B186" s="200"/>
      <c r="C186" s="200"/>
      <c r="D186" s="306"/>
      <c r="E186" s="102"/>
      <c r="F186" s="200"/>
      <c r="G186" s="200"/>
      <c r="K186" s="200"/>
      <c r="L186" s="200"/>
      <c r="M186" s="200"/>
      <c r="N186" s="200"/>
      <c r="O186" s="200"/>
      <c r="P186" s="200"/>
    </row>
    <row r="187" spans="1:16" ht="15" customHeight="1" x14ac:dyDescent="0.25">
      <c r="A187" s="200"/>
      <c r="B187" s="200"/>
      <c r="C187" s="200"/>
      <c r="D187" s="306"/>
      <c r="E187" s="102"/>
      <c r="F187" s="200"/>
      <c r="G187" s="200"/>
      <c r="K187" s="200"/>
      <c r="L187" s="200"/>
      <c r="M187" s="200"/>
      <c r="N187" s="200"/>
      <c r="O187" s="200"/>
      <c r="P187" s="200"/>
    </row>
    <row r="188" spans="1:16" ht="15" customHeight="1" x14ac:dyDescent="0.25">
      <c r="A188" s="200"/>
      <c r="B188" s="200"/>
      <c r="C188" s="200"/>
      <c r="D188" s="306"/>
      <c r="E188" s="102"/>
      <c r="F188" s="200"/>
      <c r="G188" s="200"/>
      <c r="K188" s="200"/>
      <c r="L188" s="200"/>
      <c r="M188" s="200"/>
      <c r="N188" s="200"/>
      <c r="O188" s="200"/>
      <c r="P188" s="200"/>
    </row>
    <row r="189" spans="1:16" ht="15" customHeight="1" x14ac:dyDescent="0.25">
      <c r="A189" s="200"/>
      <c r="B189" s="200"/>
      <c r="C189" s="200"/>
      <c r="D189" s="306"/>
      <c r="E189" s="102"/>
      <c r="F189" s="200"/>
      <c r="G189" s="200"/>
      <c r="K189" s="200"/>
      <c r="L189" s="200"/>
      <c r="M189" s="200"/>
      <c r="N189" s="200"/>
      <c r="O189" s="200"/>
      <c r="P189" s="200"/>
    </row>
    <row r="190" spans="1:16" ht="15" customHeight="1" x14ac:dyDescent="0.25">
      <c r="A190" s="200"/>
      <c r="B190" s="200"/>
      <c r="C190" s="200"/>
      <c r="D190" s="306"/>
      <c r="E190" s="102"/>
      <c r="F190" s="200"/>
      <c r="G190" s="200"/>
      <c r="K190" s="200"/>
      <c r="L190" s="200"/>
      <c r="M190" s="200"/>
      <c r="N190" s="200"/>
      <c r="O190" s="200"/>
      <c r="P190" s="200"/>
    </row>
    <row r="191" spans="1:16" ht="15" customHeight="1" x14ac:dyDescent="0.25">
      <c r="A191" s="200"/>
      <c r="B191" s="200"/>
      <c r="C191" s="200"/>
      <c r="D191" s="306"/>
      <c r="E191" s="102"/>
      <c r="F191" s="200"/>
      <c r="G191" s="200"/>
      <c r="K191" s="200"/>
      <c r="L191" s="200"/>
      <c r="M191" s="200"/>
      <c r="N191" s="200"/>
      <c r="O191" s="200"/>
      <c r="P191" s="200"/>
    </row>
    <row r="192" spans="1:16" ht="15" customHeight="1" x14ac:dyDescent="0.25">
      <c r="A192" s="200"/>
      <c r="B192" s="200"/>
      <c r="C192" s="200"/>
      <c r="D192" s="306"/>
      <c r="E192" s="102"/>
      <c r="F192" s="200"/>
      <c r="G192" s="200"/>
      <c r="K192" s="200"/>
      <c r="L192" s="200"/>
      <c r="M192" s="200"/>
      <c r="N192" s="200"/>
      <c r="O192" s="200"/>
      <c r="P192" s="200"/>
    </row>
    <row r="193" spans="1:16" ht="15" customHeight="1" x14ac:dyDescent="0.25">
      <c r="A193" s="200"/>
      <c r="B193" s="200"/>
      <c r="C193" s="200"/>
      <c r="D193" s="306"/>
      <c r="E193" s="102"/>
      <c r="F193" s="200"/>
      <c r="G193" s="200"/>
      <c r="K193" s="200"/>
      <c r="L193" s="200"/>
      <c r="M193" s="200"/>
      <c r="N193" s="200"/>
      <c r="O193" s="200"/>
      <c r="P193" s="200"/>
    </row>
    <row r="194" spans="1:16" ht="15" customHeight="1" x14ac:dyDescent="0.25">
      <c r="A194" s="200"/>
      <c r="B194" s="200"/>
      <c r="C194" s="200"/>
      <c r="D194" s="306"/>
      <c r="E194" s="102"/>
      <c r="F194" s="200"/>
      <c r="G194" s="200"/>
      <c r="K194" s="200"/>
      <c r="L194" s="200"/>
      <c r="M194" s="200"/>
      <c r="N194" s="200"/>
      <c r="O194" s="200"/>
      <c r="P194" s="200"/>
    </row>
    <row r="195" spans="1:16" ht="15" customHeight="1" x14ac:dyDescent="0.25">
      <c r="A195" s="200"/>
      <c r="B195" s="200"/>
      <c r="C195" s="200"/>
      <c r="D195" s="306"/>
      <c r="E195" s="102"/>
      <c r="F195" s="200"/>
      <c r="G195" s="200"/>
      <c r="K195" s="200"/>
      <c r="L195" s="200"/>
      <c r="M195" s="200"/>
      <c r="N195" s="200"/>
      <c r="O195" s="200"/>
      <c r="P195" s="200"/>
    </row>
    <row r="196" spans="1:16" ht="15" customHeight="1" x14ac:dyDescent="0.25">
      <c r="A196" s="200"/>
      <c r="B196" s="200"/>
      <c r="C196" s="200"/>
      <c r="D196" s="306"/>
      <c r="E196" s="102"/>
      <c r="F196" s="200"/>
      <c r="G196" s="200"/>
      <c r="K196" s="200"/>
      <c r="L196" s="200"/>
      <c r="M196" s="200"/>
      <c r="N196" s="200"/>
      <c r="O196" s="200"/>
      <c r="P196" s="200"/>
    </row>
    <row r="197" spans="1:16" ht="15" customHeight="1" x14ac:dyDescent="0.25">
      <c r="A197" s="200"/>
      <c r="B197" s="200"/>
      <c r="C197" s="200"/>
      <c r="D197" s="306"/>
      <c r="E197" s="102"/>
      <c r="F197" s="200"/>
      <c r="G197" s="200"/>
      <c r="K197" s="200"/>
      <c r="L197" s="200"/>
      <c r="M197" s="200"/>
      <c r="N197" s="200"/>
      <c r="O197" s="200"/>
      <c r="P197" s="200"/>
    </row>
    <row r="198" spans="1:16" ht="15" customHeight="1" x14ac:dyDescent="0.25">
      <c r="A198" s="200"/>
      <c r="B198" s="200"/>
      <c r="C198" s="200"/>
      <c r="D198" s="306"/>
      <c r="E198" s="102"/>
      <c r="F198" s="200"/>
      <c r="G198" s="200"/>
      <c r="K198" s="200"/>
      <c r="L198" s="200"/>
      <c r="M198" s="200"/>
      <c r="N198" s="200"/>
      <c r="O198" s="200"/>
      <c r="P198" s="200"/>
    </row>
    <row r="199" spans="1:16" ht="15" customHeight="1" x14ac:dyDescent="0.25">
      <c r="A199" s="200"/>
      <c r="B199" s="200"/>
      <c r="C199" s="200"/>
      <c r="D199" s="306"/>
      <c r="E199" s="102"/>
      <c r="F199" s="200"/>
      <c r="G199" s="200"/>
      <c r="K199" s="200"/>
      <c r="L199" s="200"/>
      <c r="M199" s="200"/>
      <c r="N199" s="200"/>
      <c r="O199" s="200"/>
      <c r="P199" s="200"/>
    </row>
    <row r="200" spans="1:16" ht="15" customHeight="1" x14ac:dyDescent="0.25">
      <c r="A200" s="200"/>
      <c r="B200" s="200"/>
      <c r="C200" s="200"/>
      <c r="D200" s="306"/>
      <c r="E200" s="102"/>
      <c r="F200" s="200"/>
      <c r="G200" s="200"/>
      <c r="K200" s="200"/>
      <c r="L200" s="200"/>
      <c r="M200" s="200"/>
      <c r="N200" s="200"/>
      <c r="O200" s="200"/>
      <c r="P200" s="200"/>
    </row>
    <row r="201" spans="1:16" ht="15" customHeight="1" x14ac:dyDescent="0.25">
      <c r="A201" s="200"/>
      <c r="B201" s="200"/>
      <c r="C201" s="200"/>
      <c r="D201" s="306"/>
      <c r="E201" s="102"/>
      <c r="F201" s="200"/>
      <c r="G201" s="200"/>
      <c r="K201" s="200"/>
      <c r="L201" s="200"/>
      <c r="M201" s="200"/>
      <c r="N201" s="200"/>
      <c r="O201" s="200"/>
      <c r="P201" s="200"/>
    </row>
    <row r="202" spans="1:16" ht="15" customHeight="1" x14ac:dyDescent="0.25">
      <c r="A202" s="200"/>
      <c r="B202" s="200"/>
      <c r="C202" s="200"/>
      <c r="D202" s="306"/>
      <c r="E202" s="102"/>
      <c r="F202" s="200"/>
      <c r="G202" s="200"/>
      <c r="K202" s="200"/>
      <c r="L202" s="200"/>
      <c r="M202" s="200"/>
      <c r="N202" s="200"/>
      <c r="O202" s="200"/>
      <c r="P202" s="200"/>
    </row>
    <row r="203" spans="1:16" ht="15" customHeight="1" x14ac:dyDescent="0.25">
      <c r="A203" s="200"/>
      <c r="B203" s="200"/>
      <c r="C203" s="200"/>
      <c r="D203" s="306"/>
      <c r="E203" s="102"/>
      <c r="F203" s="200"/>
      <c r="G203" s="200"/>
      <c r="K203" s="200"/>
      <c r="L203" s="200"/>
      <c r="M203" s="200"/>
      <c r="N203" s="200"/>
      <c r="O203" s="200"/>
      <c r="P203" s="200"/>
    </row>
    <row r="204" spans="1:16" ht="15" customHeight="1" x14ac:dyDescent="0.25">
      <c r="A204" s="200"/>
      <c r="B204" s="200"/>
      <c r="C204" s="200"/>
      <c r="D204" s="306"/>
      <c r="E204" s="102"/>
      <c r="F204" s="200"/>
      <c r="G204" s="200"/>
      <c r="K204" s="200"/>
      <c r="L204" s="200"/>
      <c r="M204" s="200"/>
      <c r="N204" s="200"/>
      <c r="O204" s="200"/>
      <c r="P204" s="200"/>
    </row>
    <row r="205" spans="1:16" ht="15" customHeight="1" x14ac:dyDescent="0.25">
      <c r="A205" s="200"/>
      <c r="B205" s="200"/>
      <c r="C205" s="200"/>
      <c r="D205" s="306"/>
      <c r="E205" s="102"/>
      <c r="F205" s="200"/>
      <c r="G205" s="200"/>
      <c r="K205" s="200"/>
      <c r="L205" s="200"/>
      <c r="M205" s="200"/>
      <c r="N205" s="200"/>
      <c r="O205" s="200"/>
      <c r="P205" s="200"/>
    </row>
    <row r="206" spans="1:16" ht="15" customHeight="1" x14ac:dyDescent="0.25">
      <c r="A206" s="200"/>
      <c r="B206" s="200"/>
      <c r="C206" s="200"/>
      <c r="D206" s="306"/>
      <c r="E206" s="102"/>
      <c r="F206" s="200"/>
      <c r="G206" s="200"/>
      <c r="K206" s="200"/>
      <c r="L206" s="200"/>
      <c r="M206" s="200"/>
      <c r="N206" s="200"/>
      <c r="O206" s="200"/>
      <c r="P206" s="200"/>
    </row>
    <row r="207" spans="1:16" ht="15" customHeight="1" x14ac:dyDescent="0.25">
      <c r="A207" s="200"/>
      <c r="B207" s="200"/>
      <c r="C207" s="200"/>
      <c r="D207" s="306"/>
      <c r="E207" s="102"/>
      <c r="F207" s="200"/>
      <c r="G207" s="200"/>
      <c r="K207" s="200"/>
      <c r="L207" s="200"/>
      <c r="M207" s="200"/>
      <c r="N207" s="200"/>
      <c r="O207" s="200"/>
      <c r="P207" s="200"/>
    </row>
    <row r="208" spans="1:16" ht="15" customHeight="1" x14ac:dyDescent="0.25">
      <c r="A208" s="200"/>
      <c r="B208" s="200"/>
      <c r="C208" s="200"/>
      <c r="D208" s="306"/>
      <c r="E208" s="102"/>
      <c r="F208" s="200"/>
      <c r="G208" s="200"/>
      <c r="K208" s="200"/>
      <c r="L208" s="200"/>
      <c r="M208" s="200"/>
      <c r="N208" s="200"/>
      <c r="O208" s="200"/>
      <c r="P208" s="200"/>
    </row>
    <row r="209" spans="1:16" ht="15" customHeight="1" x14ac:dyDescent="0.25">
      <c r="A209" s="200"/>
      <c r="B209" s="200"/>
      <c r="C209" s="200"/>
      <c r="D209" s="306"/>
      <c r="E209" s="102"/>
      <c r="F209" s="200"/>
      <c r="G209" s="200"/>
      <c r="K209" s="200"/>
      <c r="L209" s="200"/>
      <c r="M209" s="200"/>
      <c r="N209" s="200"/>
      <c r="O209" s="200"/>
      <c r="P209" s="200"/>
    </row>
    <row r="210" spans="1:16" ht="15" customHeight="1" x14ac:dyDescent="0.25">
      <c r="A210" s="200"/>
      <c r="B210" s="200"/>
      <c r="C210" s="200"/>
      <c r="D210" s="306"/>
      <c r="E210" s="102"/>
      <c r="F210" s="200"/>
      <c r="G210" s="200"/>
      <c r="K210" s="200"/>
      <c r="L210" s="200"/>
      <c r="M210" s="200"/>
      <c r="N210" s="200"/>
      <c r="O210" s="200"/>
      <c r="P210" s="200"/>
    </row>
    <row r="211" spans="1:16" ht="15" customHeight="1" x14ac:dyDescent="0.25">
      <c r="A211" s="200"/>
      <c r="B211" s="200"/>
      <c r="C211" s="200"/>
      <c r="D211" s="306"/>
      <c r="E211" s="102"/>
      <c r="F211" s="200"/>
      <c r="G211" s="200"/>
      <c r="K211" s="200"/>
      <c r="L211" s="200"/>
      <c r="M211" s="200"/>
      <c r="N211" s="200"/>
      <c r="O211" s="200"/>
      <c r="P211" s="200"/>
    </row>
    <row r="212" spans="1:16" ht="15" customHeight="1" x14ac:dyDescent="0.25">
      <c r="A212" s="200"/>
      <c r="B212" s="200"/>
      <c r="C212" s="200"/>
      <c r="D212" s="306"/>
      <c r="E212" s="102"/>
      <c r="F212" s="200"/>
      <c r="G212" s="200"/>
      <c r="K212" s="200"/>
      <c r="L212" s="200"/>
      <c r="M212" s="200"/>
      <c r="N212" s="200"/>
      <c r="O212" s="200"/>
      <c r="P212" s="200"/>
    </row>
    <row r="213" spans="1:16" ht="15" customHeight="1" x14ac:dyDescent="0.25">
      <c r="A213" s="200"/>
      <c r="B213" s="200"/>
      <c r="C213" s="200"/>
      <c r="D213" s="306"/>
      <c r="E213" s="102"/>
      <c r="F213" s="200"/>
      <c r="G213" s="200"/>
      <c r="K213" s="200"/>
      <c r="L213" s="200"/>
      <c r="M213" s="200"/>
      <c r="N213" s="200"/>
      <c r="O213" s="200"/>
      <c r="P213" s="200"/>
    </row>
    <row r="214" spans="1:16" ht="15" customHeight="1" x14ac:dyDescent="0.25">
      <c r="A214" s="200"/>
      <c r="B214" s="200"/>
      <c r="C214" s="200"/>
      <c r="D214" s="306"/>
      <c r="E214" s="102"/>
      <c r="F214" s="200"/>
      <c r="G214" s="200"/>
      <c r="K214" s="200"/>
      <c r="L214" s="200"/>
      <c r="M214" s="200"/>
      <c r="N214" s="200"/>
      <c r="O214" s="200"/>
      <c r="P214" s="200"/>
    </row>
    <row r="215" spans="1:16" ht="15" customHeight="1" x14ac:dyDescent="0.25">
      <c r="A215" s="200"/>
      <c r="B215" s="200"/>
      <c r="C215" s="200"/>
      <c r="D215" s="306"/>
      <c r="E215" s="102"/>
      <c r="F215" s="200"/>
      <c r="G215" s="200"/>
      <c r="K215" s="200"/>
      <c r="L215" s="200"/>
      <c r="M215" s="200"/>
      <c r="N215" s="200"/>
      <c r="O215" s="200"/>
      <c r="P215" s="200"/>
    </row>
    <row r="216" spans="1:16" ht="15" customHeight="1" x14ac:dyDescent="0.25">
      <c r="A216" s="200"/>
      <c r="B216" s="200"/>
      <c r="C216" s="200"/>
      <c r="D216" s="306"/>
      <c r="E216" s="102"/>
      <c r="F216" s="200"/>
      <c r="G216" s="200"/>
      <c r="K216" s="200"/>
      <c r="L216" s="200"/>
      <c r="M216" s="200"/>
      <c r="N216" s="200"/>
      <c r="O216" s="200"/>
      <c r="P216" s="200"/>
    </row>
    <row r="217" spans="1:16" ht="15" customHeight="1" x14ac:dyDescent="0.25">
      <c r="A217" s="200"/>
      <c r="B217" s="200"/>
      <c r="C217" s="200"/>
      <c r="D217" s="306"/>
      <c r="E217" s="102"/>
      <c r="F217" s="200"/>
      <c r="G217" s="200"/>
      <c r="K217" s="200"/>
      <c r="L217" s="200"/>
      <c r="M217" s="200"/>
      <c r="N217" s="200"/>
      <c r="O217" s="200"/>
      <c r="P217" s="200"/>
    </row>
    <row r="218" spans="1:16" ht="15" customHeight="1" x14ac:dyDescent="0.25">
      <c r="A218" s="200"/>
      <c r="B218" s="200"/>
      <c r="C218" s="200"/>
      <c r="D218" s="306"/>
      <c r="E218" s="102"/>
      <c r="F218" s="200"/>
      <c r="G218" s="200"/>
      <c r="K218" s="200"/>
      <c r="L218" s="200"/>
      <c r="M218" s="200"/>
      <c r="N218" s="200"/>
      <c r="O218" s="200"/>
      <c r="P218" s="200"/>
    </row>
    <row r="219" spans="1:16" ht="15" customHeight="1" x14ac:dyDescent="0.25">
      <c r="A219" s="200"/>
      <c r="B219" s="200"/>
      <c r="C219" s="200"/>
      <c r="D219" s="306"/>
      <c r="E219" s="102"/>
      <c r="F219" s="200"/>
      <c r="G219" s="200"/>
      <c r="K219" s="200"/>
      <c r="L219" s="200"/>
      <c r="M219" s="200"/>
      <c r="N219" s="200"/>
      <c r="O219" s="200"/>
      <c r="P219" s="200"/>
    </row>
    <row r="220" spans="1:16" ht="15" customHeight="1" x14ac:dyDescent="0.25">
      <c r="A220" s="200"/>
      <c r="B220" s="200"/>
      <c r="C220" s="200"/>
      <c r="D220" s="306"/>
      <c r="E220" s="102"/>
      <c r="F220" s="200"/>
      <c r="G220" s="200"/>
      <c r="K220" s="200"/>
      <c r="L220" s="200"/>
      <c r="M220" s="200"/>
      <c r="N220" s="200"/>
      <c r="O220" s="200"/>
      <c r="P220" s="200"/>
    </row>
    <row r="221" spans="1:16" ht="15" customHeight="1" x14ac:dyDescent="0.25">
      <c r="A221" s="200"/>
      <c r="B221" s="200"/>
      <c r="C221" s="200"/>
      <c r="D221" s="306"/>
      <c r="E221" s="102"/>
      <c r="F221" s="200"/>
      <c r="G221" s="200"/>
      <c r="K221" s="200"/>
      <c r="L221" s="200"/>
      <c r="M221" s="200"/>
      <c r="N221" s="200"/>
      <c r="O221" s="200"/>
      <c r="P221" s="200"/>
    </row>
    <row r="222" spans="1:16" ht="15" customHeight="1" x14ac:dyDescent="0.25">
      <c r="A222" s="200"/>
      <c r="B222" s="200"/>
      <c r="C222" s="200"/>
      <c r="D222" s="306"/>
      <c r="E222" s="102"/>
      <c r="F222" s="200"/>
      <c r="G222" s="200"/>
      <c r="K222" s="200"/>
      <c r="L222" s="200"/>
      <c r="M222" s="200"/>
      <c r="N222" s="200"/>
      <c r="O222" s="200"/>
      <c r="P222" s="200"/>
    </row>
    <row r="223" spans="1:16" ht="15" customHeight="1" x14ac:dyDescent="0.25">
      <c r="A223" s="200"/>
      <c r="B223" s="200"/>
      <c r="C223" s="200"/>
      <c r="D223" s="306"/>
      <c r="E223" s="102"/>
      <c r="F223" s="200"/>
      <c r="G223" s="200"/>
      <c r="K223" s="200"/>
      <c r="L223" s="200"/>
      <c r="M223" s="200"/>
      <c r="N223" s="200"/>
      <c r="O223" s="200"/>
      <c r="P223" s="200"/>
    </row>
    <row r="224" spans="1:16" ht="15" customHeight="1" x14ac:dyDescent="0.25">
      <c r="A224" s="200"/>
      <c r="B224" s="200"/>
      <c r="C224" s="200"/>
      <c r="D224" s="306"/>
      <c r="E224" s="102"/>
      <c r="F224" s="200"/>
      <c r="G224" s="200"/>
      <c r="K224" s="200"/>
      <c r="L224" s="200"/>
      <c r="M224" s="200"/>
      <c r="N224" s="200"/>
      <c r="O224" s="200"/>
      <c r="P224" s="200"/>
    </row>
    <row r="225" spans="1:16" ht="15" customHeight="1" x14ac:dyDescent="0.25">
      <c r="A225" s="200"/>
      <c r="B225" s="200"/>
      <c r="C225" s="200"/>
      <c r="D225" s="306"/>
      <c r="E225" s="102"/>
      <c r="F225" s="200"/>
      <c r="G225" s="200"/>
      <c r="K225" s="200"/>
      <c r="L225" s="200"/>
      <c r="M225" s="200"/>
      <c r="N225" s="200"/>
      <c r="O225" s="200"/>
      <c r="P225" s="200"/>
    </row>
    <row r="226" spans="1:16" ht="15" customHeight="1" x14ac:dyDescent="0.25">
      <c r="A226" s="200"/>
      <c r="B226" s="200"/>
      <c r="C226" s="200"/>
      <c r="D226" s="306"/>
      <c r="E226" s="102"/>
      <c r="F226" s="200"/>
      <c r="G226" s="200"/>
      <c r="K226" s="200"/>
      <c r="L226" s="200"/>
      <c r="M226" s="200"/>
      <c r="N226" s="200"/>
      <c r="O226" s="200"/>
      <c r="P226" s="200"/>
    </row>
    <row r="227" spans="1:16" ht="15" customHeight="1" x14ac:dyDescent="0.25">
      <c r="A227" s="200"/>
      <c r="B227" s="200"/>
      <c r="C227" s="200"/>
      <c r="D227" s="306"/>
      <c r="E227" s="102"/>
      <c r="F227" s="200"/>
      <c r="G227" s="200"/>
      <c r="K227" s="200"/>
      <c r="L227" s="200"/>
      <c r="M227" s="200"/>
      <c r="N227" s="200"/>
      <c r="O227" s="200"/>
      <c r="P227" s="200"/>
    </row>
    <row r="228" spans="1:16" ht="15" customHeight="1" x14ac:dyDescent="0.25">
      <c r="A228" s="200"/>
      <c r="B228" s="200"/>
      <c r="C228" s="200"/>
      <c r="D228" s="306"/>
      <c r="E228" s="102"/>
      <c r="F228" s="200"/>
      <c r="G228" s="200"/>
      <c r="K228" s="200"/>
      <c r="L228" s="200"/>
      <c r="M228" s="200"/>
      <c r="N228" s="200"/>
      <c r="O228" s="200"/>
      <c r="P228" s="200"/>
    </row>
    <row r="229" spans="1:16" ht="15" customHeight="1" x14ac:dyDescent="0.25">
      <c r="A229" s="200"/>
      <c r="B229" s="200"/>
      <c r="C229" s="200"/>
      <c r="D229" s="306"/>
      <c r="E229" s="102"/>
      <c r="F229" s="200"/>
      <c r="G229" s="200"/>
      <c r="K229" s="200"/>
      <c r="L229" s="200"/>
      <c r="M229" s="200"/>
      <c r="N229" s="200"/>
      <c r="O229" s="200"/>
      <c r="P229" s="200"/>
    </row>
    <row r="230" spans="1:16" ht="15" customHeight="1" x14ac:dyDescent="0.25">
      <c r="A230" s="200"/>
      <c r="B230" s="200"/>
      <c r="C230" s="200"/>
      <c r="D230" s="306"/>
      <c r="E230" s="102"/>
      <c r="F230" s="200"/>
      <c r="G230" s="200"/>
      <c r="K230" s="200"/>
      <c r="L230" s="200"/>
      <c r="M230" s="200"/>
      <c r="N230" s="200"/>
      <c r="O230" s="200"/>
      <c r="P230" s="200"/>
    </row>
    <row r="231" spans="1:16" ht="15" customHeight="1" x14ac:dyDescent="0.25">
      <c r="A231" s="200"/>
      <c r="B231" s="200"/>
      <c r="C231" s="200"/>
      <c r="D231" s="306"/>
      <c r="E231" s="102"/>
      <c r="F231" s="200"/>
      <c r="G231" s="200"/>
      <c r="K231" s="200"/>
      <c r="L231" s="200"/>
      <c r="M231" s="200"/>
      <c r="N231" s="200"/>
      <c r="O231" s="200"/>
      <c r="P231" s="200"/>
    </row>
    <row r="232" spans="1:16" ht="15" customHeight="1" x14ac:dyDescent="0.25">
      <c r="A232" s="200"/>
      <c r="B232" s="200"/>
      <c r="C232" s="200"/>
      <c r="D232" s="306"/>
      <c r="E232" s="102"/>
      <c r="F232" s="200"/>
      <c r="G232" s="200"/>
      <c r="K232" s="200"/>
      <c r="L232" s="200"/>
      <c r="M232" s="200"/>
      <c r="N232" s="200"/>
      <c r="O232" s="200"/>
      <c r="P232" s="200"/>
    </row>
    <row r="233" spans="1:16" ht="15" customHeight="1" x14ac:dyDescent="0.25">
      <c r="A233" s="200"/>
      <c r="B233" s="200"/>
      <c r="C233" s="200"/>
      <c r="D233" s="306"/>
      <c r="E233" s="102"/>
      <c r="F233" s="200"/>
      <c r="G233" s="200"/>
      <c r="K233" s="200"/>
      <c r="L233" s="200"/>
      <c r="M233" s="200"/>
      <c r="N233" s="200"/>
      <c r="O233" s="200"/>
      <c r="P233" s="200"/>
    </row>
    <row r="234" spans="1:16" ht="15" customHeight="1" x14ac:dyDescent="0.25">
      <c r="A234" s="200"/>
      <c r="B234" s="200"/>
      <c r="C234" s="200"/>
      <c r="D234" s="306"/>
      <c r="E234" s="102"/>
      <c r="F234" s="200"/>
      <c r="G234" s="200"/>
      <c r="K234" s="200"/>
      <c r="L234" s="200"/>
      <c r="M234" s="200"/>
      <c r="N234" s="200"/>
      <c r="O234" s="200"/>
      <c r="P234" s="200"/>
    </row>
    <row r="235" spans="1:16" ht="15" customHeight="1" x14ac:dyDescent="0.25">
      <c r="A235" s="200"/>
      <c r="B235" s="200"/>
      <c r="C235" s="200"/>
      <c r="D235" s="306"/>
      <c r="E235" s="102"/>
      <c r="F235" s="200"/>
      <c r="G235" s="200"/>
      <c r="K235" s="200"/>
      <c r="L235" s="200"/>
      <c r="M235" s="200"/>
      <c r="N235" s="200"/>
      <c r="O235" s="200"/>
      <c r="P235" s="200"/>
    </row>
    <row r="236" spans="1:16" ht="15" customHeight="1" x14ac:dyDescent="0.25">
      <c r="A236" s="200"/>
      <c r="B236" s="200"/>
      <c r="C236" s="200"/>
      <c r="D236" s="306"/>
      <c r="E236" s="102"/>
      <c r="F236" s="200"/>
      <c r="G236" s="200"/>
      <c r="K236" s="200"/>
      <c r="L236" s="200"/>
      <c r="M236" s="200"/>
      <c r="N236" s="200"/>
      <c r="O236" s="200"/>
      <c r="P236" s="200"/>
    </row>
    <row r="237" spans="1:16" ht="15" customHeight="1" x14ac:dyDescent="0.25">
      <c r="A237" s="200"/>
      <c r="B237" s="200"/>
      <c r="C237" s="200"/>
      <c r="D237" s="306"/>
      <c r="E237" s="102"/>
      <c r="F237" s="200"/>
      <c r="G237" s="200"/>
      <c r="K237" s="200"/>
      <c r="L237" s="200"/>
      <c r="M237" s="200"/>
      <c r="N237" s="200"/>
      <c r="O237" s="200"/>
      <c r="P237" s="200"/>
    </row>
    <row r="238" spans="1:16" ht="15" customHeight="1" x14ac:dyDescent="0.25">
      <c r="A238" s="200"/>
      <c r="B238" s="200"/>
      <c r="C238" s="200"/>
      <c r="D238" s="306"/>
      <c r="E238" s="102"/>
      <c r="F238" s="200"/>
      <c r="G238" s="200"/>
      <c r="K238" s="200"/>
      <c r="L238" s="200"/>
      <c r="M238" s="200"/>
      <c r="N238" s="200"/>
      <c r="O238" s="200"/>
      <c r="P238" s="200"/>
    </row>
    <row r="239" spans="1:16" ht="15" customHeight="1" x14ac:dyDescent="0.25">
      <c r="A239" s="200"/>
      <c r="B239" s="200"/>
      <c r="C239" s="200"/>
      <c r="D239" s="306"/>
      <c r="E239" s="102"/>
      <c r="F239" s="200"/>
      <c r="G239" s="200"/>
      <c r="K239" s="200"/>
      <c r="L239" s="200"/>
      <c r="M239" s="200"/>
      <c r="N239" s="200"/>
      <c r="O239" s="200"/>
      <c r="P239" s="200"/>
    </row>
    <row r="240" spans="1:16" ht="15" customHeight="1" x14ac:dyDescent="0.25">
      <c r="A240" s="200"/>
      <c r="B240" s="200"/>
      <c r="C240" s="200"/>
      <c r="D240" s="306"/>
      <c r="E240" s="102"/>
      <c r="F240" s="200"/>
      <c r="G240" s="200"/>
      <c r="K240" s="200"/>
      <c r="L240" s="200"/>
      <c r="M240" s="200"/>
      <c r="N240" s="200"/>
      <c r="O240" s="200"/>
      <c r="P240" s="200"/>
    </row>
    <row r="241" spans="1:16" ht="15" customHeight="1" x14ac:dyDescent="0.25">
      <c r="A241" s="200"/>
      <c r="B241" s="200"/>
      <c r="C241" s="200"/>
      <c r="D241" s="306"/>
      <c r="E241" s="102"/>
      <c r="F241" s="200"/>
      <c r="G241" s="200"/>
      <c r="K241" s="200"/>
      <c r="L241" s="200"/>
      <c r="M241" s="200"/>
      <c r="N241" s="200"/>
      <c r="O241" s="200"/>
      <c r="P241" s="200"/>
    </row>
    <row r="242" spans="1:16" ht="15" customHeight="1" x14ac:dyDescent="0.25">
      <c r="A242" s="200"/>
      <c r="B242" s="200"/>
      <c r="C242" s="200"/>
      <c r="D242" s="306"/>
      <c r="E242" s="102"/>
      <c r="F242" s="200"/>
      <c r="G242" s="200"/>
      <c r="K242" s="200"/>
      <c r="L242" s="200"/>
      <c r="M242" s="200"/>
      <c r="N242" s="200"/>
      <c r="O242" s="200"/>
      <c r="P242" s="200"/>
    </row>
    <row r="243" spans="1:16" ht="15" customHeight="1" x14ac:dyDescent="0.25">
      <c r="A243" s="200"/>
      <c r="B243" s="200"/>
      <c r="C243" s="200"/>
      <c r="D243" s="306"/>
      <c r="E243" s="102"/>
      <c r="F243" s="200"/>
      <c r="G243" s="200"/>
      <c r="K243" s="200"/>
      <c r="L243" s="200"/>
      <c r="M243" s="200"/>
      <c r="N243" s="200"/>
      <c r="O243" s="200"/>
      <c r="P243" s="200"/>
    </row>
    <row r="244" spans="1:16" ht="15" customHeight="1" x14ac:dyDescent="0.25">
      <c r="A244" s="200"/>
      <c r="B244" s="200"/>
      <c r="C244" s="200"/>
      <c r="D244" s="306"/>
      <c r="E244" s="102"/>
      <c r="F244" s="200"/>
      <c r="G244" s="200"/>
      <c r="K244" s="200"/>
      <c r="L244" s="200"/>
      <c r="M244" s="200"/>
      <c r="N244" s="200"/>
      <c r="O244" s="200"/>
      <c r="P244" s="200"/>
    </row>
    <row r="245" spans="1:16" ht="15" customHeight="1" x14ac:dyDescent="0.25">
      <c r="A245" s="200"/>
      <c r="B245" s="200"/>
      <c r="C245" s="200"/>
      <c r="D245" s="306"/>
      <c r="E245" s="102"/>
      <c r="F245" s="200"/>
      <c r="G245" s="200"/>
      <c r="K245" s="200"/>
      <c r="L245" s="200"/>
      <c r="M245" s="200"/>
      <c r="N245" s="200"/>
      <c r="O245" s="200"/>
      <c r="P245" s="200"/>
    </row>
    <row r="246" spans="1:16" ht="15" customHeight="1" x14ac:dyDescent="0.25">
      <c r="A246" s="200"/>
      <c r="B246" s="200"/>
      <c r="C246" s="200"/>
      <c r="D246" s="306"/>
      <c r="E246" s="102"/>
      <c r="F246" s="200"/>
      <c r="G246" s="200"/>
    </row>
    <row r="247" spans="1:16" ht="15" customHeight="1" x14ac:dyDescent="0.25">
      <c r="A247" s="200"/>
      <c r="B247" s="200"/>
      <c r="C247" s="200"/>
      <c r="D247" s="306"/>
      <c r="E247" s="102"/>
      <c r="F247" s="200"/>
      <c r="G247" s="200"/>
    </row>
    <row r="248" spans="1:16" ht="15" customHeight="1" x14ac:dyDescent="0.25">
      <c r="A248" s="200"/>
      <c r="B248" s="200"/>
      <c r="C248" s="200"/>
      <c r="D248" s="306"/>
      <c r="E248" s="102"/>
      <c r="F248" s="200"/>
      <c r="G248" s="200"/>
    </row>
    <row r="249" spans="1:16" ht="15" customHeight="1" x14ac:dyDescent="0.25">
      <c r="A249" s="200"/>
    </row>
    <row r="250" spans="1:16" ht="15" customHeight="1" x14ac:dyDescent="0.25">
      <c r="A250" s="200"/>
    </row>
    <row r="251" spans="1:16" ht="15" customHeight="1" x14ac:dyDescent="0.25">
      <c r="A251" s="200"/>
    </row>
    <row r="252" spans="1:16" ht="15" customHeight="1" x14ac:dyDescent="0.25">
      <c r="A252" s="200"/>
    </row>
    <row r="253" spans="1:16" ht="15" customHeight="1" x14ac:dyDescent="0.25">
      <c r="A253" s="200"/>
    </row>
    <row r="254" spans="1:16" ht="15" customHeight="1" x14ac:dyDescent="0.25">
      <c r="A254" s="200"/>
    </row>
    <row r="255" spans="1:16" ht="15" customHeight="1" x14ac:dyDescent="0.25">
      <c r="A255" s="200"/>
    </row>
    <row r="256" spans="1:16" ht="15" customHeight="1" x14ac:dyDescent="0.25">
      <c r="A256" s="200"/>
    </row>
  </sheetData>
  <sheetProtection selectLockedCells="1" selectUnlockedCells="1"/>
  <mergeCells count="2">
    <mergeCell ref="L2:O2"/>
    <mergeCell ref="C2:F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7EEA3-7AFF-4443-84B6-290582D65740}">
  <dimension ref="B2:AD28"/>
  <sheetViews>
    <sheetView showGridLines="0" topLeftCell="D1" zoomScale="85" zoomScaleNormal="85" workbookViewId="0">
      <selection activeCell="O35" sqref="O35:O36"/>
    </sheetView>
  </sheetViews>
  <sheetFormatPr baseColWidth="10" defaultRowHeight="15" x14ac:dyDescent="0.25"/>
  <sheetData>
    <row r="2" spans="2:30" ht="15.75" thickBot="1" x14ac:dyDescent="0.3"/>
    <row r="3" spans="2:30" ht="16.5" thickTop="1" x14ac:dyDescent="0.25">
      <c r="B3" s="358"/>
      <c r="C3" s="357"/>
      <c r="D3" s="460" t="str">
        <f>'produits en croix'!V2</f>
        <v>Format document client (mm)</v>
      </c>
      <c r="E3" s="470"/>
      <c r="F3" s="359"/>
      <c r="H3" s="362"/>
      <c r="I3" s="363"/>
      <c r="J3" s="483" t="str">
        <f>D3</f>
        <v>Format document client (mm)</v>
      </c>
      <c r="K3" s="484"/>
      <c r="L3" s="364"/>
      <c r="N3" s="362"/>
      <c r="O3" s="363"/>
      <c r="P3" s="483" t="str">
        <f>D3</f>
        <v>Format document client (mm)</v>
      </c>
      <c r="Q3" s="484"/>
      <c r="R3" s="364"/>
      <c r="T3" s="362"/>
      <c r="U3" s="363"/>
      <c r="V3" s="483" t="str">
        <f>D3</f>
        <v>Format document client (mm)</v>
      </c>
      <c r="W3" s="484"/>
      <c r="X3" s="364"/>
      <c r="Z3" s="362"/>
      <c r="AA3" s="363"/>
      <c r="AB3" s="483" t="str">
        <f>D3</f>
        <v>Format document client (mm)</v>
      </c>
      <c r="AC3" s="484"/>
      <c r="AD3" s="364"/>
    </row>
    <row r="4" spans="2:30" ht="15.75" customHeight="1" thickBot="1" x14ac:dyDescent="0.3">
      <c r="B4" s="377" t="s">
        <v>196</v>
      </c>
      <c r="C4" s="378"/>
      <c r="D4" s="471"/>
      <c r="E4" s="472"/>
      <c r="F4" s="360"/>
      <c r="H4" s="381" t="s">
        <v>198</v>
      </c>
      <c r="I4" s="378"/>
      <c r="J4" s="471"/>
      <c r="K4" s="472"/>
      <c r="L4" s="365"/>
      <c r="N4" s="381" t="s">
        <v>201</v>
      </c>
      <c r="O4" s="378"/>
      <c r="P4" s="471"/>
      <c r="Q4" s="472"/>
      <c r="R4" s="365"/>
      <c r="T4" s="381" t="s">
        <v>204</v>
      </c>
      <c r="U4" s="378"/>
      <c r="V4" s="471"/>
      <c r="W4" s="472"/>
      <c r="X4" s="365"/>
      <c r="Z4" s="381" t="s">
        <v>197</v>
      </c>
      <c r="AA4" s="378"/>
      <c r="AB4" s="471"/>
      <c r="AC4" s="472"/>
      <c r="AD4" s="365"/>
    </row>
    <row r="5" spans="2:30" ht="16.5" customHeight="1" thickTop="1" thickBot="1" x14ac:dyDescent="0.3">
      <c r="B5" s="379"/>
      <c r="C5" s="380"/>
      <c r="D5" s="44">
        <f>'produits en croix'!V4</f>
        <v>216</v>
      </c>
      <c r="E5" s="43">
        <f>'produits en croix'!W4</f>
        <v>303</v>
      </c>
      <c r="F5" s="33" t="str">
        <f>'produits en croix'!X4</f>
        <v>NB de poses</v>
      </c>
      <c r="H5" s="382"/>
      <c r="I5" s="380"/>
      <c r="J5" s="44">
        <f>D5</f>
        <v>216</v>
      </c>
      <c r="K5" s="43">
        <f>E5</f>
        <v>303</v>
      </c>
      <c r="L5" s="366" t="str">
        <f>F5</f>
        <v>NB de poses</v>
      </c>
      <c r="N5" s="382"/>
      <c r="O5" s="380"/>
      <c r="P5" s="44">
        <f>D5</f>
        <v>216</v>
      </c>
      <c r="Q5" s="43">
        <f>E5</f>
        <v>303</v>
      </c>
      <c r="R5" s="366" t="str">
        <f>F5</f>
        <v>NB de poses</v>
      </c>
      <c r="T5" s="382"/>
      <c r="U5" s="380"/>
      <c r="V5" s="44">
        <f>D5</f>
        <v>216</v>
      </c>
      <c r="W5" s="43">
        <f>E5</f>
        <v>303</v>
      </c>
      <c r="X5" s="366" t="str">
        <f>F5</f>
        <v>NB de poses</v>
      </c>
      <c r="Z5" s="382"/>
      <c r="AA5" s="380"/>
      <c r="AB5" s="44">
        <f>D5</f>
        <v>216</v>
      </c>
      <c r="AC5" s="43">
        <f>E5</f>
        <v>303</v>
      </c>
      <c r="AD5" s="366" t="str">
        <f>F5</f>
        <v>NB de poses</v>
      </c>
    </row>
    <row r="6" spans="2:30" ht="24" thickTop="1" x14ac:dyDescent="0.25">
      <c r="B6" s="458" t="str">
        <f>'produits en croix'!T5</f>
        <v>Format feuille d'impression (mm)</v>
      </c>
      <c r="C6" s="63">
        <f>Listes!C2-'Détail du travail'!C13</f>
        <v>311</v>
      </c>
      <c r="D6" s="32">
        <f>QUOTIENT(C6,D5)</f>
        <v>1</v>
      </c>
      <c r="E6" s="31">
        <f>QUOTIENT(C6,E5)</f>
        <v>1</v>
      </c>
      <c r="F6" s="30">
        <f>D7*E6</f>
        <v>2</v>
      </c>
      <c r="H6" s="480" t="str">
        <f>B6</f>
        <v>Format feuille d'impression (mm)</v>
      </c>
      <c r="I6" s="63">
        <f>Listes!C3-'Détail du travail'!C13</f>
        <v>441</v>
      </c>
      <c r="J6" s="32">
        <f>QUOTIENT(I6,J5)</f>
        <v>2</v>
      </c>
      <c r="K6" s="31">
        <f>QUOTIENT(I6,K5)</f>
        <v>1</v>
      </c>
      <c r="L6" s="367">
        <f>J7*K6</f>
        <v>2</v>
      </c>
      <c r="N6" s="480" t="str">
        <f>B6</f>
        <v>Format feuille d'impression (mm)</v>
      </c>
      <c r="O6" s="63">
        <f>Listes!C5-'Détail du travail'!C13</f>
        <v>501</v>
      </c>
      <c r="P6" s="32">
        <f>QUOTIENT(O6,P5)</f>
        <v>2</v>
      </c>
      <c r="Q6" s="31">
        <f>QUOTIENT(O6,Q5)</f>
        <v>1</v>
      </c>
      <c r="R6" s="367">
        <f>P7*Q6</f>
        <v>3</v>
      </c>
      <c r="T6" s="480" t="str">
        <f>B6</f>
        <v>Format feuille d'impression (mm)</v>
      </c>
      <c r="U6" s="63">
        <f>Listes!C10-'Détail du travail'!C13</f>
        <v>691</v>
      </c>
      <c r="V6" s="32">
        <f>QUOTIENT(U6,V5)</f>
        <v>3</v>
      </c>
      <c r="W6" s="31">
        <f>QUOTIENT(U6,W5)</f>
        <v>2</v>
      </c>
      <c r="X6" s="367">
        <f>V7*W6</f>
        <v>8</v>
      </c>
      <c r="Z6" s="480" t="str">
        <f>B6</f>
        <v>Format feuille d'impression (mm)</v>
      </c>
      <c r="AA6" s="63">
        <f>Listes!C7-'Détail du travail'!C13</f>
        <v>621</v>
      </c>
      <c r="AB6" s="32">
        <f>QUOTIENT(AA6,AB5)</f>
        <v>2</v>
      </c>
      <c r="AC6" s="31">
        <f>QUOTIENT(AA6,AC5)</f>
        <v>2</v>
      </c>
      <c r="AD6" s="367">
        <f>AB7*AC6</f>
        <v>8</v>
      </c>
    </row>
    <row r="7" spans="2:30" ht="24.75" customHeight="1" thickBot="1" x14ac:dyDescent="0.3">
      <c r="B7" s="459"/>
      <c r="C7" s="42">
        <f>Listes!E2</f>
        <v>450</v>
      </c>
      <c r="D7" s="29">
        <f>QUOTIENT(C7,D5)</f>
        <v>2</v>
      </c>
      <c r="E7" s="28">
        <f>QUOTIENT(C7,E5)</f>
        <v>1</v>
      </c>
      <c r="F7" s="27">
        <f>D6*E7</f>
        <v>1</v>
      </c>
      <c r="H7" s="481"/>
      <c r="I7" s="42">
        <f>Listes!E3</f>
        <v>640</v>
      </c>
      <c r="J7" s="29">
        <f>QUOTIENT(I7,J5)</f>
        <v>2</v>
      </c>
      <c r="K7" s="28">
        <f>QUOTIENT(I7,K5)</f>
        <v>2</v>
      </c>
      <c r="L7" s="368">
        <f>J6*K7</f>
        <v>4</v>
      </c>
      <c r="N7" s="481"/>
      <c r="O7" s="42">
        <f>Listes!E5</f>
        <v>700</v>
      </c>
      <c r="P7" s="29">
        <f>QUOTIENT(O7,P5)</f>
        <v>3</v>
      </c>
      <c r="Q7" s="28">
        <f>QUOTIENT(O7,Q5)</f>
        <v>2</v>
      </c>
      <c r="R7" s="368">
        <f>P6*Q7</f>
        <v>4</v>
      </c>
      <c r="T7" s="481"/>
      <c r="U7" s="42">
        <f>Listes!E10</f>
        <v>1000</v>
      </c>
      <c r="V7" s="29">
        <f>QUOTIENT(U7,V5)</f>
        <v>4</v>
      </c>
      <c r="W7" s="28">
        <f>QUOTIENT(U7,W5)</f>
        <v>3</v>
      </c>
      <c r="X7" s="368">
        <f>V6*W7</f>
        <v>9</v>
      </c>
      <c r="Z7" s="481"/>
      <c r="AA7" s="42">
        <f>Listes!E7</f>
        <v>880</v>
      </c>
      <c r="AB7" s="29">
        <f>QUOTIENT(AA7,AB5)</f>
        <v>4</v>
      </c>
      <c r="AC7" s="28">
        <f>QUOTIENT(AA7,AC5)</f>
        <v>2</v>
      </c>
      <c r="AD7" s="368">
        <f>AB6*AC7</f>
        <v>4</v>
      </c>
    </row>
    <row r="8" spans="2:30" ht="16.5" thickTop="1" thickBot="1" x14ac:dyDescent="0.3">
      <c r="H8" s="369"/>
      <c r="I8" s="4"/>
      <c r="J8" s="4"/>
      <c r="K8" s="4"/>
      <c r="L8" s="370"/>
      <c r="N8" s="369"/>
      <c r="O8" s="4"/>
      <c r="P8" s="4"/>
      <c r="Q8" s="4"/>
      <c r="R8" s="370"/>
      <c r="T8" s="369"/>
      <c r="U8" s="4"/>
      <c r="V8" s="4"/>
      <c r="W8" s="4"/>
      <c r="X8" s="370"/>
      <c r="Z8" s="369"/>
      <c r="AA8" s="4"/>
      <c r="AB8" s="4"/>
      <c r="AC8" s="4"/>
      <c r="AD8" s="370"/>
    </row>
    <row r="9" spans="2:30" ht="16.5" thickTop="1" x14ac:dyDescent="0.25">
      <c r="H9" s="371"/>
      <c r="I9" s="361"/>
      <c r="J9" s="460" t="str">
        <f>D3</f>
        <v>Format document client (mm)</v>
      </c>
      <c r="K9" s="470"/>
      <c r="L9" s="372"/>
      <c r="N9" s="371"/>
      <c r="O9" s="361"/>
      <c r="P9" s="460" t="str">
        <f>J3</f>
        <v>Format document client (mm)</v>
      </c>
      <c r="Q9" s="470"/>
      <c r="R9" s="372"/>
      <c r="T9" s="371"/>
      <c r="U9" s="361"/>
      <c r="V9" s="460" t="str">
        <f>J3</f>
        <v>Format document client (mm)</v>
      </c>
      <c r="W9" s="470"/>
      <c r="X9" s="372"/>
      <c r="Z9" s="371"/>
      <c r="AA9" s="361"/>
      <c r="AB9" s="460" t="str">
        <f>D3</f>
        <v>Format document client (mm)</v>
      </c>
      <c r="AC9" s="470"/>
      <c r="AD9" s="372"/>
    </row>
    <row r="10" spans="2:30" ht="15.75" customHeight="1" thickBot="1" x14ac:dyDescent="0.3">
      <c r="H10" s="381" t="s">
        <v>199</v>
      </c>
      <c r="I10" s="378"/>
      <c r="J10" s="471"/>
      <c r="K10" s="472"/>
      <c r="L10" s="365"/>
      <c r="N10" s="381" t="s">
        <v>200</v>
      </c>
      <c r="O10" s="378"/>
      <c r="P10" s="471"/>
      <c r="Q10" s="472"/>
      <c r="R10" s="365"/>
      <c r="T10" s="381" t="s">
        <v>205</v>
      </c>
      <c r="U10" s="378"/>
      <c r="V10" s="471"/>
      <c r="W10" s="472"/>
      <c r="X10" s="365"/>
      <c r="Z10" s="381" t="s">
        <v>202</v>
      </c>
      <c r="AA10" s="378"/>
      <c r="AB10" s="471"/>
      <c r="AC10" s="472"/>
      <c r="AD10" s="365"/>
    </row>
    <row r="11" spans="2:30" ht="24.75" thickTop="1" thickBot="1" x14ac:dyDescent="0.3">
      <c r="H11" s="382"/>
      <c r="I11" s="380"/>
      <c r="J11" s="44">
        <f>D5</f>
        <v>216</v>
      </c>
      <c r="K11" s="43">
        <f>E5</f>
        <v>303</v>
      </c>
      <c r="L11" s="366" t="str">
        <f>F5</f>
        <v>NB de poses</v>
      </c>
      <c r="N11" s="382"/>
      <c r="O11" s="380"/>
      <c r="P11" s="44">
        <f>J5</f>
        <v>216</v>
      </c>
      <c r="Q11" s="43">
        <f>K5</f>
        <v>303</v>
      </c>
      <c r="R11" s="366" t="str">
        <f>L5</f>
        <v>NB de poses</v>
      </c>
      <c r="T11" s="382"/>
      <c r="U11" s="380"/>
      <c r="V11" s="44">
        <f>J5</f>
        <v>216</v>
      </c>
      <c r="W11" s="43">
        <f>K5</f>
        <v>303</v>
      </c>
      <c r="X11" s="366" t="str">
        <f>L5</f>
        <v>NB de poses</v>
      </c>
      <c r="Z11" s="382"/>
      <c r="AA11" s="380"/>
      <c r="AB11" s="44">
        <f>D5</f>
        <v>216</v>
      </c>
      <c r="AC11" s="43">
        <f>E5</f>
        <v>303</v>
      </c>
      <c r="AD11" s="366" t="str">
        <f>F5</f>
        <v>NB de poses</v>
      </c>
    </row>
    <row r="12" spans="2:30" ht="24" thickTop="1" x14ac:dyDescent="0.25">
      <c r="H12" s="480" t="str">
        <f>B6</f>
        <v>Format feuille d'impression (mm)</v>
      </c>
      <c r="I12" s="63">
        <f>Listes!C4-'Détail du travail'!C13</f>
        <v>451</v>
      </c>
      <c r="J12" s="32">
        <f>QUOTIENT(I12,J11)</f>
        <v>2</v>
      </c>
      <c r="K12" s="31">
        <f>QUOTIENT(I12,K11)</f>
        <v>1</v>
      </c>
      <c r="L12" s="367">
        <f>J13*K12</f>
        <v>3</v>
      </c>
      <c r="N12" s="480" t="str">
        <f>H6</f>
        <v>Format feuille d'impression (mm)</v>
      </c>
      <c r="O12" s="63">
        <f>Listes!C6-'Détail du travail'!C13</f>
        <v>511</v>
      </c>
      <c r="P12" s="32">
        <f>QUOTIENT(O12,P11)</f>
        <v>2</v>
      </c>
      <c r="Q12" s="31">
        <f>QUOTIENT(O12,Q11)</f>
        <v>1</v>
      </c>
      <c r="R12" s="367">
        <f>P13*Q12</f>
        <v>3</v>
      </c>
      <c r="T12" s="480" t="str">
        <f>H6</f>
        <v>Format feuille d'impression (mm)</v>
      </c>
      <c r="U12" s="63">
        <f>Listes!C11-'Détail du travail'!C13</f>
        <v>691</v>
      </c>
      <c r="V12" s="32">
        <f>QUOTIENT(U12,V11)</f>
        <v>3</v>
      </c>
      <c r="W12" s="31">
        <f>QUOTIENT(U12,W11)</f>
        <v>2</v>
      </c>
      <c r="X12" s="367">
        <f>V13*W12</f>
        <v>8</v>
      </c>
      <c r="Z12" s="480" t="str">
        <f>B6</f>
        <v>Format feuille d'impression (mm)</v>
      </c>
      <c r="AA12" s="63">
        <f>Listes!C8-'Détail du travail'!C13</f>
        <v>631</v>
      </c>
      <c r="AB12" s="32">
        <f>QUOTIENT(AA12,AB11)</f>
        <v>2</v>
      </c>
      <c r="AC12" s="31">
        <f>QUOTIENT(AA12,AC11)</f>
        <v>2</v>
      </c>
      <c r="AD12" s="367">
        <f>AB13*AC12</f>
        <v>8</v>
      </c>
    </row>
    <row r="13" spans="2:30" ht="24" thickBot="1" x14ac:dyDescent="0.3">
      <c r="H13" s="482"/>
      <c r="I13" s="373">
        <f>Listes!E4</f>
        <v>650</v>
      </c>
      <c r="J13" s="374">
        <f>QUOTIENT(I13,J11)</f>
        <v>3</v>
      </c>
      <c r="K13" s="375">
        <f>QUOTIENT(I13,K11)</f>
        <v>2</v>
      </c>
      <c r="L13" s="376">
        <f>J12*K13</f>
        <v>4</v>
      </c>
      <c r="N13" s="482"/>
      <c r="O13" s="373">
        <f>Listes!E6</f>
        <v>720</v>
      </c>
      <c r="P13" s="374">
        <f>QUOTIENT(O13,P11)</f>
        <v>3</v>
      </c>
      <c r="Q13" s="375">
        <f>QUOTIENT(O13,Q11)</f>
        <v>2</v>
      </c>
      <c r="R13" s="376">
        <f>P12*Q13</f>
        <v>4</v>
      </c>
      <c r="T13" s="482"/>
      <c r="U13" s="373">
        <f>Listes!E11</f>
        <v>1020</v>
      </c>
      <c r="V13" s="374">
        <f>QUOTIENT(U13,V11)</f>
        <v>4</v>
      </c>
      <c r="W13" s="375">
        <f>QUOTIENT(U13,W11)</f>
        <v>3</v>
      </c>
      <c r="X13" s="376">
        <f>V12*W13</f>
        <v>9</v>
      </c>
      <c r="Z13" s="481"/>
      <c r="AA13" s="42">
        <f>Listes!E8</f>
        <v>900</v>
      </c>
      <c r="AB13" s="29">
        <f>QUOTIENT(AA13,AB11)</f>
        <v>4</v>
      </c>
      <c r="AC13" s="28">
        <f>QUOTIENT(AA13,AC11)</f>
        <v>2</v>
      </c>
      <c r="AD13" s="368">
        <f>AB12*AC13</f>
        <v>4</v>
      </c>
    </row>
    <row r="14" spans="2:30" ht="16.5" thickTop="1" thickBot="1" x14ac:dyDescent="0.3">
      <c r="Z14" s="369"/>
      <c r="AA14" s="4"/>
      <c r="AB14" s="4"/>
      <c r="AC14" s="4"/>
      <c r="AD14" s="370"/>
    </row>
    <row r="15" spans="2:30" ht="16.5" thickTop="1" x14ac:dyDescent="0.25">
      <c r="Z15" s="371"/>
      <c r="AA15" s="361"/>
      <c r="AB15" s="460" t="str">
        <f>D3</f>
        <v>Format document client (mm)</v>
      </c>
      <c r="AC15" s="470"/>
      <c r="AD15" s="372"/>
    </row>
    <row r="16" spans="2:30" ht="15.75" customHeight="1" thickBot="1" x14ac:dyDescent="0.3">
      <c r="Z16" s="381" t="s">
        <v>203</v>
      </c>
      <c r="AA16" s="378"/>
      <c r="AB16" s="471"/>
      <c r="AC16" s="472"/>
      <c r="AD16" s="365"/>
    </row>
    <row r="17" spans="9:30" ht="24.75" thickTop="1" thickBot="1" x14ac:dyDescent="0.3">
      <c r="Z17" s="382"/>
      <c r="AA17" s="380"/>
      <c r="AB17" s="44">
        <f>D5</f>
        <v>216</v>
      </c>
      <c r="AC17" s="43">
        <f>E5</f>
        <v>303</v>
      </c>
      <c r="AD17" s="366" t="str">
        <f>F5</f>
        <v>NB de poses</v>
      </c>
    </row>
    <row r="18" spans="9:30" ht="24" thickTop="1" x14ac:dyDescent="0.25">
      <c r="Z18" s="480" t="str">
        <f>B6</f>
        <v>Format feuille d'impression (mm)</v>
      </c>
      <c r="AA18" s="63">
        <f>Listes!C9-'Détail du travail'!C13</f>
        <v>641</v>
      </c>
      <c r="AB18" s="32">
        <f>QUOTIENT(AA18,AB17)</f>
        <v>2</v>
      </c>
      <c r="AC18" s="31">
        <f>QUOTIENT(AA18,AC17)</f>
        <v>2</v>
      </c>
      <c r="AD18" s="367">
        <f>AB19*AC18</f>
        <v>8</v>
      </c>
    </row>
    <row r="19" spans="9:30" ht="24" thickBot="1" x14ac:dyDescent="0.3">
      <c r="Z19" s="482"/>
      <c r="AA19" s="373">
        <f>Listes!E9</f>
        <v>920</v>
      </c>
      <c r="AB19" s="374">
        <f>QUOTIENT(AA19,AB17)</f>
        <v>4</v>
      </c>
      <c r="AC19" s="375">
        <f>QUOTIENT(AA19,AC17)</f>
        <v>3</v>
      </c>
      <c r="AD19" s="376">
        <f>AB18*AC19</f>
        <v>6</v>
      </c>
    </row>
    <row r="20" spans="9:30" ht="15.75" thickTop="1" x14ac:dyDescent="0.25"/>
    <row r="21" spans="9:30" x14ac:dyDescent="0.25">
      <c r="I21" s="421"/>
      <c r="J21" s="421"/>
      <c r="K21" s="422"/>
    </row>
    <row r="22" spans="9:30" ht="15.75" customHeight="1" x14ac:dyDescent="0.25"/>
    <row r="28" spans="9:30" ht="15.75" customHeight="1" x14ac:dyDescent="0.25"/>
  </sheetData>
  <mergeCells count="20">
    <mergeCell ref="AB15:AC16"/>
    <mergeCell ref="Z18:Z19"/>
    <mergeCell ref="V3:W4"/>
    <mergeCell ref="N12:N13"/>
    <mergeCell ref="V9:W10"/>
    <mergeCell ref="T12:T13"/>
    <mergeCell ref="T6:T7"/>
    <mergeCell ref="P9:Q10"/>
    <mergeCell ref="N6:N7"/>
    <mergeCell ref="AB3:AC4"/>
    <mergeCell ref="Z6:Z7"/>
    <mergeCell ref="AB9:AC10"/>
    <mergeCell ref="Z12:Z13"/>
    <mergeCell ref="P3:Q4"/>
    <mergeCell ref="B6:B7"/>
    <mergeCell ref="D3:E4"/>
    <mergeCell ref="H6:H7"/>
    <mergeCell ref="J9:K10"/>
    <mergeCell ref="H12:H13"/>
    <mergeCell ref="J3:K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EC40D-6451-43E2-851E-6B2D576357D9}">
  <sheetPr codeName="Feuil6"/>
  <dimension ref="A1:O26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2" max="2" width="5.28515625" customWidth="1"/>
    <col min="3" max="3" width="6.85546875" customWidth="1"/>
    <col min="4" max="4" width="3" customWidth="1"/>
    <col min="5" max="5" width="10.42578125" customWidth="1"/>
    <col min="6" max="6" width="11.42578125" style="329"/>
    <col min="9" max="9" width="20.85546875" customWidth="1"/>
  </cols>
  <sheetData>
    <row r="1" spans="1:15" x14ac:dyDescent="0.25">
      <c r="A1" s="282" t="s">
        <v>40</v>
      </c>
      <c r="B1" s="35"/>
      <c r="C1" s="485" t="s">
        <v>41</v>
      </c>
      <c r="D1" s="485"/>
      <c r="E1" s="485"/>
      <c r="F1" s="329">
        <v>0</v>
      </c>
      <c r="G1" s="41" t="s">
        <v>54</v>
      </c>
      <c r="H1" s="59" t="s">
        <v>59</v>
      </c>
      <c r="I1" s="70" t="s">
        <v>57</v>
      </c>
      <c r="J1" s="35">
        <v>1</v>
      </c>
      <c r="L1" t="s">
        <v>175</v>
      </c>
      <c r="O1" t="s">
        <v>210</v>
      </c>
    </row>
    <row r="2" spans="1:15" x14ac:dyDescent="0.25">
      <c r="A2" s="38">
        <v>70</v>
      </c>
      <c r="B2" s="35"/>
      <c r="C2" s="35">
        <v>320</v>
      </c>
      <c r="D2" s="35" t="s">
        <v>13</v>
      </c>
      <c r="E2" s="37">
        <v>450</v>
      </c>
      <c r="F2" s="329">
        <v>1</v>
      </c>
      <c r="G2" s="58" t="s">
        <v>55</v>
      </c>
      <c r="H2" s="59" t="s">
        <v>34</v>
      </c>
      <c r="I2" s="35" t="s">
        <v>58</v>
      </c>
      <c r="J2" s="35">
        <v>2</v>
      </c>
      <c r="L2" s="70" t="s">
        <v>176</v>
      </c>
      <c r="O2" s="70" t="s">
        <v>206</v>
      </c>
    </row>
    <row r="3" spans="1:15" x14ac:dyDescent="0.25">
      <c r="A3" s="38">
        <v>80</v>
      </c>
      <c r="B3" s="35"/>
      <c r="C3" s="35">
        <v>450</v>
      </c>
      <c r="D3" s="35" t="s">
        <v>13</v>
      </c>
      <c r="E3" s="37">
        <v>640</v>
      </c>
      <c r="F3" s="329">
        <v>2</v>
      </c>
      <c r="J3" s="35">
        <v>3</v>
      </c>
      <c r="L3" s="70" t="s">
        <v>177</v>
      </c>
      <c r="O3" s="70" t="s">
        <v>207</v>
      </c>
    </row>
    <row r="4" spans="1:15" x14ac:dyDescent="0.25">
      <c r="A4" s="38">
        <v>90</v>
      </c>
      <c r="B4" s="35"/>
      <c r="C4" s="35">
        <v>460</v>
      </c>
      <c r="D4" s="70" t="s">
        <v>13</v>
      </c>
      <c r="E4" s="37">
        <v>650</v>
      </c>
      <c r="F4" s="329">
        <v>3</v>
      </c>
      <c r="J4" s="35">
        <v>4</v>
      </c>
      <c r="O4" s="70" t="s">
        <v>209</v>
      </c>
    </row>
    <row r="5" spans="1:15" x14ac:dyDescent="0.25">
      <c r="A5" s="38">
        <v>100</v>
      </c>
      <c r="B5" s="35"/>
      <c r="C5" s="35">
        <v>510</v>
      </c>
      <c r="D5" s="35" t="s">
        <v>13</v>
      </c>
      <c r="E5" s="37">
        <v>700</v>
      </c>
      <c r="F5" s="329">
        <v>4</v>
      </c>
      <c r="J5" s="35">
        <v>5</v>
      </c>
      <c r="O5" s="70" t="s">
        <v>208</v>
      </c>
    </row>
    <row r="6" spans="1:15" x14ac:dyDescent="0.25">
      <c r="A6" s="38">
        <v>110</v>
      </c>
      <c r="B6" s="35"/>
      <c r="C6" s="35">
        <v>520</v>
      </c>
      <c r="D6" s="35" t="s">
        <v>13</v>
      </c>
      <c r="E6" s="37">
        <v>720</v>
      </c>
      <c r="F6" s="329">
        <v>5</v>
      </c>
      <c r="J6" s="35">
        <v>6</v>
      </c>
    </row>
    <row r="7" spans="1:15" x14ac:dyDescent="0.25">
      <c r="A7" s="38">
        <v>115</v>
      </c>
      <c r="B7" s="35"/>
      <c r="C7" s="35">
        <v>630</v>
      </c>
      <c r="D7" s="35" t="s">
        <v>13</v>
      </c>
      <c r="E7" s="37">
        <v>880</v>
      </c>
      <c r="F7" s="329">
        <v>6</v>
      </c>
      <c r="J7" s="35">
        <v>7</v>
      </c>
    </row>
    <row r="8" spans="1:15" x14ac:dyDescent="0.25">
      <c r="A8" s="38">
        <v>120</v>
      </c>
      <c r="B8" s="35"/>
      <c r="C8" s="35">
        <v>640</v>
      </c>
      <c r="D8" s="35" t="s">
        <v>13</v>
      </c>
      <c r="E8" s="37">
        <v>900</v>
      </c>
      <c r="F8" s="329">
        <v>7</v>
      </c>
      <c r="J8" s="35">
        <v>8</v>
      </c>
    </row>
    <row r="9" spans="1:15" x14ac:dyDescent="0.25">
      <c r="A9" s="38">
        <v>130</v>
      </c>
      <c r="B9" s="35"/>
      <c r="C9" s="35">
        <v>650</v>
      </c>
      <c r="D9" s="70" t="s">
        <v>13</v>
      </c>
      <c r="E9" s="37">
        <v>920</v>
      </c>
      <c r="F9" s="329">
        <v>8</v>
      </c>
    </row>
    <row r="10" spans="1:15" x14ac:dyDescent="0.25">
      <c r="A10" s="38">
        <v>140</v>
      </c>
      <c r="B10" s="35"/>
      <c r="C10" s="35">
        <v>700</v>
      </c>
      <c r="D10" s="35" t="s">
        <v>13</v>
      </c>
      <c r="E10" s="37">
        <v>1000</v>
      </c>
      <c r="F10" s="329">
        <v>9</v>
      </c>
    </row>
    <row r="11" spans="1:15" x14ac:dyDescent="0.25">
      <c r="A11" s="38">
        <v>150</v>
      </c>
      <c r="B11" s="35"/>
      <c r="C11" s="35">
        <v>700</v>
      </c>
      <c r="D11" s="35" t="s">
        <v>13</v>
      </c>
      <c r="E11" s="37">
        <v>1020</v>
      </c>
      <c r="F11" s="329">
        <v>10</v>
      </c>
    </row>
    <row r="12" spans="1:15" x14ac:dyDescent="0.25">
      <c r="A12" s="38">
        <v>160</v>
      </c>
      <c r="B12" s="35"/>
      <c r="C12" s="35">
        <v>720</v>
      </c>
      <c r="D12" s="35" t="s">
        <v>13</v>
      </c>
      <c r="E12" s="37">
        <v>1020</v>
      </c>
    </row>
    <row r="13" spans="1:15" x14ac:dyDescent="0.25">
      <c r="A13" s="38">
        <v>170</v>
      </c>
      <c r="B13" s="35"/>
      <c r="C13" s="70">
        <v>740</v>
      </c>
      <c r="D13" s="70" t="s">
        <v>13</v>
      </c>
      <c r="E13" s="71">
        <v>1020</v>
      </c>
    </row>
    <row r="14" spans="1:15" x14ac:dyDescent="0.25">
      <c r="A14" s="38">
        <v>180</v>
      </c>
      <c r="B14" s="35"/>
      <c r="C14" s="330">
        <v>0</v>
      </c>
      <c r="D14" s="70"/>
      <c r="E14" s="71">
        <v>0</v>
      </c>
    </row>
    <row r="15" spans="1:15" x14ac:dyDescent="0.25">
      <c r="A15" s="38">
        <v>190</v>
      </c>
      <c r="B15" s="35"/>
      <c r="C15" s="330">
        <v>0</v>
      </c>
      <c r="D15" s="70"/>
      <c r="E15" s="71">
        <v>0</v>
      </c>
    </row>
    <row r="16" spans="1:15" x14ac:dyDescent="0.25">
      <c r="A16" s="38">
        <v>200</v>
      </c>
      <c r="B16" s="35"/>
      <c r="C16" s="330">
        <v>0</v>
      </c>
      <c r="D16" s="70"/>
      <c r="E16" s="71">
        <v>0</v>
      </c>
    </row>
    <row r="17" spans="1:5" x14ac:dyDescent="0.25">
      <c r="A17" s="38">
        <v>210</v>
      </c>
      <c r="B17" s="35"/>
      <c r="C17" s="330">
        <v>0</v>
      </c>
      <c r="D17" s="70"/>
      <c r="E17" s="71">
        <v>0</v>
      </c>
    </row>
    <row r="18" spans="1:5" x14ac:dyDescent="0.25">
      <c r="A18" s="38">
        <v>220</v>
      </c>
      <c r="B18" s="35"/>
      <c r="C18" s="330">
        <v>0</v>
      </c>
      <c r="D18" s="70"/>
      <c r="E18" s="71">
        <v>0</v>
      </c>
    </row>
    <row r="19" spans="1:5" x14ac:dyDescent="0.25">
      <c r="A19" s="38">
        <v>230</v>
      </c>
      <c r="B19" s="35"/>
      <c r="C19" s="330">
        <v>0</v>
      </c>
      <c r="D19" s="70"/>
      <c r="E19" s="71">
        <v>0</v>
      </c>
    </row>
    <row r="20" spans="1:5" x14ac:dyDescent="0.25">
      <c r="A20" s="38">
        <v>240</v>
      </c>
      <c r="B20" s="35"/>
    </row>
    <row r="21" spans="1:5" x14ac:dyDescent="0.25">
      <c r="A21" s="38">
        <v>250</v>
      </c>
      <c r="B21" s="35"/>
    </row>
    <row r="22" spans="1:5" x14ac:dyDescent="0.25">
      <c r="A22" s="329">
        <v>0</v>
      </c>
    </row>
    <row r="23" spans="1:5" x14ac:dyDescent="0.25">
      <c r="A23" s="329">
        <v>0</v>
      </c>
    </row>
    <row r="24" spans="1:5" x14ac:dyDescent="0.25">
      <c r="A24" s="329">
        <v>0</v>
      </c>
    </row>
    <row r="25" spans="1:5" x14ac:dyDescent="0.25">
      <c r="A25" s="329">
        <v>0</v>
      </c>
    </row>
    <row r="26" spans="1:5" x14ac:dyDescent="0.25">
      <c r="A26" s="329">
        <v>0</v>
      </c>
    </row>
  </sheetData>
  <sheetProtection sheet="1" selectLockedCells="1" selectUnlockedCells="1"/>
  <mergeCells count="1">
    <mergeCell ref="C1:E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74D4B-79F7-411F-ACBD-00D7F551FC67}">
  <sheetPr codeName="Feuil5"/>
  <dimension ref="A1:V13"/>
  <sheetViews>
    <sheetView topLeftCell="A4" zoomScale="145" zoomScaleNormal="145" workbookViewId="0">
      <selection activeCell="D7" sqref="D7"/>
    </sheetView>
  </sheetViews>
  <sheetFormatPr baseColWidth="10" defaultColWidth="23.5703125" defaultRowHeight="15.75" x14ac:dyDescent="0.25"/>
  <cols>
    <col min="1" max="16384" width="23.5703125" style="25"/>
  </cols>
  <sheetData>
    <row r="1" spans="1:22" s="64" customFormat="1" x14ac:dyDescent="0.25">
      <c r="A1" s="64">
        <v>0</v>
      </c>
      <c r="B1" s="64">
        <v>1</v>
      </c>
      <c r="C1" s="64" t="s">
        <v>63</v>
      </c>
      <c r="D1" s="64">
        <v>3</v>
      </c>
      <c r="E1" s="64">
        <v>4</v>
      </c>
      <c r="F1" s="64">
        <v>5</v>
      </c>
      <c r="G1" s="64">
        <v>6</v>
      </c>
      <c r="H1" s="64">
        <v>7</v>
      </c>
      <c r="I1" s="64">
        <v>8</v>
      </c>
      <c r="J1" s="64">
        <v>9</v>
      </c>
      <c r="K1" s="64">
        <v>10</v>
      </c>
      <c r="L1" s="64">
        <v>11</v>
      </c>
      <c r="M1" s="64">
        <v>12</v>
      </c>
      <c r="N1" s="64">
        <v>13</v>
      </c>
      <c r="O1" s="64">
        <v>14</v>
      </c>
      <c r="P1" s="64">
        <v>15</v>
      </c>
    </row>
    <row r="2" spans="1:22" s="65" customFormat="1" ht="90" customHeight="1" x14ac:dyDescent="0.25">
      <c r="H2" s="65" t="s">
        <v>63</v>
      </c>
      <c r="R2" s="66"/>
      <c r="S2" s="66"/>
      <c r="T2" s="66"/>
      <c r="U2" s="66"/>
      <c r="V2" s="66"/>
    </row>
    <row r="3" spans="1:22" s="68" customFormat="1" ht="90" customHeight="1" x14ac:dyDescent="0.25">
      <c r="A3" s="67"/>
    </row>
    <row r="4" spans="1:22" s="57" customFormat="1" ht="27" customHeight="1" x14ac:dyDescent="0.25">
      <c r="A4" s="57" t="s">
        <v>46</v>
      </c>
      <c r="B4" s="57" t="s">
        <v>50</v>
      </c>
      <c r="C4" s="57" t="s">
        <v>47</v>
      </c>
      <c r="D4" s="57" t="s">
        <v>67</v>
      </c>
      <c r="E4" s="57" t="s">
        <v>68</v>
      </c>
      <c r="F4" s="57" t="s">
        <v>45</v>
      </c>
      <c r="G4" s="57" t="s">
        <v>43</v>
      </c>
      <c r="H4" s="57" t="s">
        <v>44</v>
      </c>
      <c r="I4" s="57" t="s">
        <v>42</v>
      </c>
    </row>
    <row r="5" spans="1:22" s="39" customFormat="1" ht="17.25" customHeight="1" x14ac:dyDescent="0.25">
      <c r="A5" s="40">
        <v>0</v>
      </c>
      <c r="B5" s="40">
        <v>1</v>
      </c>
      <c r="C5" s="40">
        <v>2</v>
      </c>
      <c r="D5" s="40">
        <v>3</v>
      </c>
      <c r="E5" s="40">
        <v>4</v>
      </c>
      <c r="F5" s="40">
        <v>5</v>
      </c>
      <c r="G5" s="40">
        <v>6</v>
      </c>
      <c r="H5" s="40">
        <v>7</v>
      </c>
      <c r="I5" s="39">
        <v>8</v>
      </c>
    </row>
    <row r="6" spans="1:22" ht="108.75" customHeight="1" x14ac:dyDescent="0.25">
      <c r="A6" s="25" t="s">
        <v>62</v>
      </c>
      <c r="B6" s="39" t="s">
        <v>46</v>
      </c>
      <c r="C6" s="39" t="s">
        <v>50</v>
      </c>
      <c r="D6" s="39" t="s">
        <v>222</v>
      </c>
      <c r="E6" s="39" t="s">
        <v>48</v>
      </c>
      <c r="F6" s="39" t="s">
        <v>45</v>
      </c>
      <c r="G6" s="39" t="s">
        <v>45</v>
      </c>
      <c r="H6" s="39" t="s">
        <v>44</v>
      </c>
      <c r="I6" s="39" t="s">
        <v>42</v>
      </c>
      <c r="K6" s="34"/>
    </row>
    <row r="7" spans="1:22" s="73" customFormat="1" ht="29.25" customHeight="1" x14ac:dyDescent="0.25">
      <c r="A7" s="57" t="s">
        <v>189</v>
      </c>
      <c r="B7" s="57" t="s">
        <v>168</v>
      </c>
      <c r="C7" s="57" t="s">
        <v>71</v>
      </c>
      <c r="D7" s="57" t="s">
        <v>166</v>
      </c>
      <c r="E7" s="57" t="s">
        <v>165</v>
      </c>
      <c r="F7" s="57" t="s">
        <v>163</v>
      </c>
      <c r="G7" s="57" t="s">
        <v>167</v>
      </c>
      <c r="H7" s="57" t="s">
        <v>164</v>
      </c>
      <c r="I7" s="57"/>
      <c r="K7" s="57"/>
    </row>
    <row r="8" spans="1:22" s="73" customFormat="1" ht="29.25" customHeight="1" x14ac:dyDescent="0.25">
      <c r="B8" s="57">
        <v>1</v>
      </c>
      <c r="C8" s="57">
        <v>2</v>
      </c>
      <c r="D8" s="57">
        <v>3</v>
      </c>
      <c r="E8" s="57">
        <v>4</v>
      </c>
      <c r="F8" s="57">
        <v>5</v>
      </c>
      <c r="G8" s="57">
        <v>6</v>
      </c>
      <c r="H8" s="57">
        <v>7</v>
      </c>
      <c r="I8" s="57"/>
      <c r="K8" s="57"/>
    </row>
    <row r="9" spans="1:22" s="73" customFormat="1" ht="108.75" customHeight="1" x14ac:dyDescent="0.25">
      <c r="A9" s="73" t="s">
        <v>62</v>
      </c>
      <c r="B9" s="57" t="s">
        <v>70</v>
      </c>
      <c r="C9" s="57" t="s">
        <v>71</v>
      </c>
      <c r="D9" s="57" t="s">
        <v>166</v>
      </c>
      <c r="E9" s="57" t="s">
        <v>165</v>
      </c>
      <c r="F9" s="57" t="s">
        <v>163</v>
      </c>
      <c r="G9" s="57" t="s">
        <v>167</v>
      </c>
      <c r="H9" s="57" t="s">
        <v>164</v>
      </c>
      <c r="I9" s="57"/>
      <c r="K9" s="57"/>
    </row>
    <row r="13" spans="1:22" x14ac:dyDescent="0.25">
      <c r="H13" s="25" t="s">
        <v>63</v>
      </c>
    </row>
  </sheetData>
  <sheetProtection selectLockedCells="1" selectUnlockedCells="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Détail du travail</vt:lpstr>
      <vt:lpstr>produits en croix</vt:lpstr>
      <vt:lpstr>commande papier</vt:lpstr>
      <vt:lpstr>Recherche de format</vt:lpstr>
      <vt:lpstr>Listes</vt:lpstr>
      <vt:lpstr>images</vt:lpstr>
      <vt:lpstr>Choix</vt:lpstr>
      <vt:lpstr>ftdimpression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Fab</cp:lastModifiedBy>
  <cp:lastPrinted>2019-03-18T10:23:03Z</cp:lastPrinted>
  <dcterms:created xsi:type="dcterms:W3CDTF">2019-03-14T09:59:46Z</dcterms:created>
  <dcterms:modified xsi:type="dcterms:W3CDTF">2020-05-13T08:15:39Z</dcterms:modified>
</cp:coreProperties>
</file>