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TENIVEST\Desktop\CDG\"/>
    </mc:Choice>
  </mc:AlternateContent>
  <xr:revisionPtr revIDLastSave="0" documentId="13_ncr:1_{8A2FC627-1CAC-4526-9C27-A31F58663090}" xr6:coauthVersionLast="45" xr6:coauthVersionMax="45" xr10:uidLastSave="{00000000-0000-0000-0000-000000000000}"/>
  <bookViews>
    <workbookView xWindow="-120" yWindow="-120" windowWidth="20730" windowHeight="11160" activeTab="1" xr2:uid="{D3719909-7B27-4AF9-9EC2-448301970FAB}"/>
  </bookViews>
  <sheets>
    <sheet name="feuille 1" sheetId="1" r:id="rId1"/>
    <sheet name="Feuille 2" sheetId="2" r:id="rId2"/>
    <sheet name="feuille 3" sheetId="3" r:id="rId3"/>
  </sheets>
  <definedNames>
    <definedName name="ENTA">'feuille 1'!$B$3:$O$11</definedName>
    <definedName name="ENTB">'feuille 1'!$B$14:$O$22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17" i="1" l="1"/>
  <c r="O19" i="1"/>
  <c r="N18" i="1"/>
  <c r="M18" i="1"/>
  <c r="L18" i="1"/>
  <c r="K18" i="1"/>
  <c r="J18" i="1"/>
  <c r="I18" i="1"/>
  <c r="F18" i="1"/>
  <c r="E18" i="1"/>
  <c r="D18" i="1"/>
  <c r="O18" i="1" s="1"/>
  <c r="N17" i="1"/>
  <c r="L17" i="1"/>
  <c r="H17" i="1"/>
  <c r="G17" i="1"/>
  <c r="N16" i="1"/>
  <c r="N5" i="2" s="1"/>
  <c r="M16" i="1"/>
  <c r="M5" i="2" s="1"/>
  <c r="L16" i="1"/>
  <c r="L5" i="2" s="1"/>
  <c r="K16" i="1"/>
  <c r="K5" i="2" s="1"/>
  <c r="J16" i="1"/>
  <c r="J5" i="2" s="1"/>
  <c r="I16" i="1"/>
  <c r="I5" i="2" s="1"/>
  <c r="H16" i="1"/>
  <c r="H5" i="2" s="1"/>
  <c r="G16" i="1"/>
  <c r="G5" i="2" s="1"/>
  <c r="F16" i="1"/>
  <c r="E16" i="1"/>
  <c r="E5" i="2" s="1"/>
  <c r="D16" i="1"/>
  <c r="D5" i="2" s="1"/>
  <c r="C16" i="1"/>
  <c r="C5" i="2" s="1"/>
  <c r="O15" i="1"/>
  <c r="F5" i="2" l="1"/>
  <c r="F22" i="1"/>
  <c r="N22" i="1"/>
  <c r="L22" i="1"/>
  <c r="H22" i="1"/>
  <c r="D22" i="1"/>
  <c r="M20" i="1"/>
  <c r="M21" i="1" s="1"/>
  <c r="F20" i="1"/>
  <c r="F21" i="1" s="1"/>
  <c r="N20" i="1"/>
  <c r="N21" i="1" s="1"/>
  <c r="G22" i="1"/>
  <c r="G20" i="1"/>
  <c r="G21" i="1" s="1"/>
  <c r="H20" i="1"/>
  <c r="H21" i="1" s="1"/>
  <c r="M22" i="1"/>
  <c r="E22" i="1"/>
  <c r="I20" i="1"/>
  <c r="I21" i="1" s="1"/>
  <c r="J20" i="1"/>
  <c r="J21" i="1" s="1"/>
  <c r="K22" i="1"/>
  <c r="C20" i="1"/>
  <c r="C21" i="1" s="1"/>
  <c r="K20" i="1"/>
  <c r="K21" i="1" s="1"/>
  <c r="J22" i="1"/>
  <c r="D20" i="1"/>
  <c r="D21" i="1" s="1"/>
  <c r="L20" i="1"/>
  <c r="L21" i="1" s="1"/>
  <c r="E20" i="1"/>
  <c r="E21" i="1" s="1"/>
  <c r="I22" i="1"/>
  <c r="O16" i="1"/>
  <c r="O5" i="2" s="1"/>
  <c r="O20" i="1" l="1"/>
  <c r="O21" i="1" s="1"/>
  <c r="E7" i="1"/>
  <c r="F7" i="1"/>
  <c r="G7" i="1"/>
  <c r="H7" i="1"/>
  <c r="I7" i="1"/>
  <c r="J7" i="1"/>
  <c r="K7" i="1"/>
  <c r="L7" i="1"/>
  <c r="M7" i="1"/>
  <c r="N7" i="1"/>
  <c r="M8" i="1"/>
  <c r="L8" i="1"/>
  <c r="O8" i="1" s="1"/>
  <c r="D7" i="1"/>
  <c r="O7" i="1" s="1"/>
  <c r="N6" i="1"/>
  <c r="M6" i="1"/>
  <c r="K6" i="1"/>
  <c r="J6" i="1"/>
  <c r="I6" i="1"/>
  <c r="H6" i="1"/>
  <c r="G6" i="1"/>
  <c r="F6" i="1"/>
  <c r="E6" i="1"/>
  <c r="D6" i="1"/>
  <c r="O6" i="1" s="1"/>
  <c r="C6" i="1"/>
  <c r="N5" i="1"/>
  <c r="N4" i="2" s="1"/>
  <c r="M5" i="1"/>
  <c r="M4" i="2" s="1"/>
  <c r="L5" i="1"/>
  <c r="L4" i="2" s="1"/>
  <c r="K5" i="1"/>
  <c r="K4" i="2" s="1"/>
  <c r="J5" i="1"/>
  <c r="J4" i="2" s="1"/>
  <c r="I5" i="1"/>
  <c r="I4" i="2" s="1"/>
  <c r="H5" i="1"/>
  <c r="H4" i="2" s="1"/>
  <c r="G5" i="1"/>
  <c r="G4" i="2" s="1"/>
  <c r="F5" i="1"/>
  <c r="F4" i="2" s="1"/>
  <c r="E5" i="1"/>
  <c r="E4" i="2" s="1"/>
  <c r="D5" i="1"/>
  <c r="D4" i="2" s="1"/>
  <c r="C5" i="1"/>
  <c r="C4" i="2" s="1"/>
  <c r="O4" i="1"/>
  <c r="N11" i="1" l="1"/>
  <c r="L11" i="1"/>
  <c r="M11" i="1"/>
  <c r="I11" i="1"/>
  <c r="H9" i="1"/>
  <c r="H10" i="1" s="1"/>
  <c r="K11" i="1"/>
  <c r="L9" i="1"/>
  <c r="L10" i="1" s="1"/>
  <c r="J11" i="1"/>
  <c r="O5" i="1"/>
  <c r="O4" i="2" s="1"/>
  <c r="D11" i="1"/>
  <c r="E11" i="1"/>
  <c r="H11" i="1"/>
  <c r="I9" i="1"/>
  <c r="I10" i="1" s="1"/>
  <c r="F11" i="1"/>
  <c r="G11" i="1"/>
  <c r="C9" i="1"/>
  <c r="K9" i="1"/>
  <c r="K10" i="1" s="1"/>
  <c r="J9" i="1"/>
  <c r="J10" i="1" s="1"/>
  <c r="E9" i="1"/>
  <c r="E10" i="1" s="1"/>
  <c r="N9" i="1"/>
  <c r="N10" i="1" s="1"/>
  <c r="D9" i="1"/>
  <c r="D10" i="1" s="1"/>
  <c r="M9" i="1"/>
  <c r="M10" i="1" s="1"/>
  <c r="F9" i="1"/>
  <c r="F10" i="1" s="1"/>
  <c r="G9" i="1"/>
  <c r="G10" i="1" s="1"/>
  <c r="C10" i="1" l="1"/>
  <c r="O9" i="1"/>
  <c r="O10" i="1" s="1"/>
</calcChain>
</file>

<file path=xl/sharedStrings.xml><?xml version="1.0" encoding="utf-8"?>
<sst xmlns="http://schemas.openxmlformats.org/spreadsheetml/2006/main" count="64" uniqueCount="28">
  <si>
    <t>JANVIER</t>
  </si>
  <si>
    <t>FEVRIER</t>
  </si>
  <si>
    <t>MARS</t>
  </si>
  <si>
    <t>AVRIL</t>
  </si>
  <si>
    <t xml:space="preserve">MAI </t>
  </si>
  <si>
    <t>JUIN</t>
  </si>
  <si>
    <t>JUILLET</t>
  </si>
  <si>
    <t>AOUT</t>
  </si>
  <si>
    <t>SEPTEMBRE</t>
  </si>
  <si>
    <t>OCTOBRE</t>
  </si>
  <si>
    <t>NOVEMBRE</t>
  </si>
  <si>
    <t>DECEMBRE</t>
  </si>
  <si>
    <t>TOTAL</t>
  </si>
  <si>
    <t>VENTES TTC</t>
  </si>
  <si>
    <t>VENTES HT</t>
  </si>
  <si>
    <t>ACHATS HT</t>
  </si>
  <si>
    <t>STOCKS INI</t>
  </si>
  <si>
    <t xml:space="preserve">STOCKS FIN </t>
  </si>
  <si>
    <t>MARGE VALEUR</t>
  </si>
  <si>
    <t>MARGE %</t>
  </si>
  <si>
    <t>Tx evolution CA</t>
  </si>
  <si>
    <t>FÉVRIER</t>
  </si>
  <si>
    <t>MAI</t>
  </si>
  <si>
    <t>AOÛT</t>
  </si>
  <si>
    <t>DÉCEMBRE</t>
  </si>
  <si>
    <t>DOMAINES</t>
  </si>
  <si>
    <t>ENTB</t>
  </si>
  <si>
    <t>ENTA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</si>
</sst>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10"/>
      <color rgb="FF555555"/>
      <name val="Arial"/>
      <family val="2"/>
    </font>
    <font>
      <sz val="10"/>
      <color theme="1"/>
      <name val="Arial"/>
      <family val="2"/>
    </font>
    <font>
      <sz val="14"/>
      <color theme="1"/>
      <name val="Arial"/>
      <family val="2"/>
    </font>
    <font>
      <sz val="10"/>
      <color rgb="FF555555"/>
      <name val="Arial"/>
      <family val="2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/>
    <xf numFmtId="9" fontId="2" fillId="0" borderId="0" applyFont="0" applyFill="0" applyBorder="0" applyAlignment="0" applyProtection="0"/>
  </cellStyleXfs>
  <cellXfs count="38">
    <xf numFmtId="0" fontId="0" fillId="0" borderId="0" xfId="0"/>
    <xf numFmtId="44" fontId="2" fillId="0" borderId="3" xfId="1" applyFont="1" applyBorder="1"/>
    <xf numFmtId="44" fontId="2" fillId="3" borderId="3" xfId="1" applyFont="1" applyFill="1" applyBorder="1"/>
    <xf numFmtId="44" fontId="2" fillId="0" borderId="3" xfId="1" applyFont="1" applyFill="1" applyBorder="1"/>
    <xf numFmtId="44" fontId="4" fillId="0" borderId="3" xfId="1" applyFont="1" applyBorder="1"/>
    <xf numFmtId="44" fontId="2" fillId="4" borderId="3" xfId="1" applyFont="1" applyFill="1" applyBorder="1"/>
    <xf numFmtId="2" fontId="2" fillId="2" borderId="2" xfId="3" applyNumberFormat="1" applyFill="1" applyBorder="1" applyAlignment="1">
      <alignment horizontal="center"/>
    </xf>
    <xf numFmtId="0" fontId="3" fillId="0" borderId="6" xfId="3" applyFont="1" applyBorder="1"/>
    <xf numFmtId="2" fontId="2" fillId="2" borderId="7" xfId="3" applyNumberFormat="1" applyFill="1" applyBorder="1" applyAlignment="1">
      <alignment horizontal="center"/>
    </xf>
    <xf numFmtId="0" fontId="3" fillId="0" borderId="8" xfId="3" applyFont="1" applyBorder="1"/>
    <xf numFmtId="44" fontId="2" fillId="0" borderId="9" xfId="1" applyFont="1" applyBorder="1"/>
    <xf numFmtId="0" fontId="0" fillId="0" borderId="3" xfId="0" applyBorder="1"/>
    <xf numFmtId="0" fontId="3" fillId="0" borderId="10" xfId="3" applyFont="1" applyBorder="1"/>
    <xf numFmtId="10" fontId="2" fillId="0" borderId="11" xfId="4" applyNumberFormat="1" applyBorder="1"/>
    <xf numFmtId="10" fontId="2" fillId="0" borderId="12" xfId="4" applyNumberFormat="1" applyBorder="1"/>
    <xf numFmtId="0" fontId="3" fillId="0" borderId="3" xfId="3" applyFont="1" applyFill="1" applyBorder="1"/>
    <xf numFmtId="10" fontId="0" fillId="0" borderId="3" xfId="2" applyNumberFormat="1" applyFont="1" applyBorder="1"/>
    <xf numFmtId="44" fontId="5" fillId="0" borderId="3" xfId="1" applyFont="1" applyBorder="1"/>
    <xf numFmtId="10" fontId="5" fillId="0" borderId="3" xfId="2" applyNumberFormat="1" applyFont="1" applyBorder="1"/>
    <xf numFmtId="2" fontId="2" fillId="2" borderId="2" xfId="3" applyNumberFormat="1" applyFont="1" applyFill="1" applyBorder="1" applyAlignment="1">
      <alignment horizontal="center"/>
    </xf>
    <xf numFmtId="44" fontId="3" fillId="0" borderId="6" xfId="1" applyFont="1" applyBorder="1"/>
    <xf numFmtId="44" fontId="2" fillId="2" borderId="2" xfId="1" applyFont="1" applyFill="1" applyBorder="1" applyAlignment="1">
      <alignment horizontal="center"/>
    </xf>
    <xf numFmtId="44" fontId="2" fillId="2" borderId="7" xfId="1" applyFont="1" applyFill="1" applyBorder="1" applyAlignment="1">
      <alignment horizontal="center"/>
    </xf>
    <xf numFmtId="44" fontId="3" fillId="0" borderId="8" xfId="1" applyFont="1" applyBorder="1"/>
    <xf numFmtId="44" fontId="7" fillId="0" borderId="3" xfId="1" applyFont="1" applyBorder="1"/>
    <xf numFmtId="44" fontId="3" fillId="0" borderId="10" xfId="1" applyFont="1" applyBorder="1"/>
    <xf numFmtId="10" fontId="2" fillId="0" borderId="11" xfId="2" applyNumberFormat="1" applyFont="1" applyBorder="1"/>
    <xf numFmtId="10" fontId="2" fillId="0" borderId="12" xfId="2" applyNumberFormat="1" applyFont="1" applyBorder="1"/>
    <xf numFmtId="0" fontId="3" fillId="0" borderId="3" xfId="1" applyNumberFormat="1" applyFont="1" applyFill="1" applyBorder="1"/>
    <xf numFmtId="0" fontId="0" fillId="0" borderId="3" xfId="0" applyBorder="1" applyAlignment="1">
      <alignment horizontal="center"/>
    </xf>
    <xf numFmtId="0" fontId="0" fillId="0" borderId="0" xfId="0" applyAlignment="1">
      <alignment horizontal="center"/>
    </xf>
    <xf numFmtId="44" fontId="2" fillId="3" borderId="3" xfId="1" applyFont="1" applyFill="1" applyBorder="1" applyAlignment="1">
      <alignment horizontal="center"/>
    </xf>
    <xf numFmtId="0" fontId="6" fillId="5" borderId="4" xfId="0" applyFont="1" applyFill="1" applyBorder="1" applyAlignment="1">
      <alignment horizontal="center"/>
    </xf>
    <xf numFmtId="0" fontId="6" fillId="5" borderId="1" xfId="0" applyFont="1" applyFill="1" applyBorder="1" applyAlignment="1">
      <alignment horizontal="center"/>
    </xf>
    <xf numFmtId="0" fontId="6" fillId="5" borderId="5" xfId="0" applyFont="1" applyFill="1" applyBorder="1" applyAlignment="1">
      <alignment horizontal="center"/>
    </xf>
    <xf numFmtId="44" fontId="6" fillId="6" borderId="4" xfId="1" applyFont="1" applyFill="1" applyBorder="1" applyAlignment="1">
      <alignment horizontal="center"/>
    </xf>
    <xf numFmtId="44" fontId="6" fillId="6" borderId="1" xfId="1" applyFont="1" applyFill="1" applyBorder="1" applyAlignment="1">
      <alignment horizontal="center"/>
    </xf>
    <xf numFmtId="44" fontId="6" fillId="6" borderId="5" xfId="1" applyFont="1" applyFill="1" applyBorder="1" applyAlignment="1">
      <alignment horizontal="center"/>
    </xf>
  </cellXfs>
  <cellStyles count="5">
    <cellStyle name="Monétaire" xfId="1" builtinId="4"/>
    <cellStyle name="Normal" xfId="0" builtinId="0"/>
    <cellStyle name="Normal 2" xfId="3" xr:uid="{508816AB-1BA2-4102-A948-2C79B6814A03}"/>
    <cellStyle name="Pourcentage" xfId="2" builtinId="5"/>
    <cellStyle name="Pourcentage 2" xfId="4" xr:uid="{DBEE5488-32A8-4C85-AC87-3574F5B163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B2D341-54AC-404E-957B-2027950086A5}">
  <dimension ref="B1:O22"/>
  <sheetViews>
    <sheetView zoomScaleNormal="100" workbookViewId="0">
      <selection activeCell="B14" sqref="B14:O22"/>
    </sheetView>
  </sheetViews>
  <sheetFormatPr baseColWidth="10" defaultRowHeight="15" x14ac:dyDescent="0.25"/>
  <cols>
    <col min="1" max="1" width="3.42578125" customWidth="1"/>
    <col min="3" max="3" width="13" customWidth="1"/>
    <col min="4" max="4" width="13.5703125" customWidth="1"/>
    <col min="5" max="6" width="13" customWidth="1"/>
    <col min="7" max="7" width="12.7109375" customWidth="1"/>
    <col min="8" max="8" width="13.28515625" customWidth="1"/>
    <col min="9" max="9" width="14" customWidth="1"/>
    <col min="10" max="11" width="13" customWidth="1"/>
    <col min="12" max="12" width="12.85546875" customWidth="1"/>
    <col min="13" max="13" width="13" customWidth="1"/>
    <col min="14" max="14" width="13.42578125" customWidth="1"/>
    <col min="15" max="15" width="14.5703125" customWidth="1"/>
  </cols>
  <sheetData>
    <row r="1" spans="2:15" ht="15.75" thickBot="1" x14ac:dyDescent="0.3"/>
    <row r="2" spans="2:15" ht="18.75" thickBot="1" x14ac:dyDescent="0.3">
      <c r="B2" s="32" t="s">
        <v>27</v>
      </c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  <c r="N2" s="33"/>
      <c r="O2" s="34"/>
    </row>
    <row r="3" spans="2:15" x14ac:dyDescent="0.25">
      <c r="B3" s="7"/>
      <c r="C3" s="6" t="s">
        <v>0</v>
      </c>
      <c r="D3" s="6" t="s">
        <v>1</v>
      </c>
      <c r="E3" s="6" t="s">
        <v>2</v>
      </c>
      <c r="F3" s="6" t="s">
        <v>3</v>
      </c>
      <c r="G3" s="6" t="s">
        <v>4</v>
      </c>
      <c r="H3" s="6" t="s">
        <v>5</v>
      </c>
      <c r="I3" s="6" t="s">
        <v>6</v>
      </c>
      <c r="J3" s="6" t="s">
        <v>7</v>
      </c>
      <c r="K3" s="19" t="s">
        <v>8</v>
      </c>
      <c r="L3" s="6" t="s">
        <v>9</v>
      </c>
      <c r="M3" s="19" t="s">
        <v>10</v>
      </c>
      <c r="N3" s="6" t="s">
        <v>11</v>
      </c>
      <c r="O3" s="8" t="s">
        <v>12</v>
      </c>
    </row>
    <row r="4" spans="2:15" x14ac:dyDescent="0.25">
      <c r="B4" s="9" t="s">
        <v>13</v>
      </c>
      <c r="C4" s="2">
        <v>250000</v>
      </c>
      <c r="D4" s="1">
        <v>270000</v>
      </c>
      <c r="E4" s="1">
        <v>320000</v>
      </c>
      <c r="F4" s="3">
        <v>310000</v>
      </c>
      <c r="G4" s="1">
        <v>330000</v>
      </c>
      <c r="H4" s="1">
        <v>320000</v>
      </c>
      <c r="I4" s="1">
        <v>306000</v>
      </c>
      <c r="J4" s="1">
        <v>270000</v>
      </c>
      <c r="K4" s="1">
        <v>290000</v>
      </c>
      <c r="L4" s="4">
        <v>350000</v>
      </c>
      <c r="M4" s="1">
        <v>250000</v>
      </c>
      <c r="N4" s="1">
        <v>330000</v>
      </c>
      <c r="O4" s="10">
        <f t="shared" ref="O4:O9" si="0">+SUM(C4:N4)</f>
        <v>3596000</v>
      </c>
    </row>
    <row r="5" spans="2:15" x14ac:dyDescent="0.25">
      <c r="B5" s="9" t="s">
        <v>14</v>
      </c>
      <c r="C5" s="1">
        <f>C4/1.2</f>
        <v>208333.33333333334</v>
      </c>
      <c r="D5" s="1">
        <f t="shared" ref="D5:N5" si="1">D4/1.2</f>
        <v>225000</v>
      </c>
      <c r="E5" s="1">
        <f t="shared" si="1"/>
        <v>266666.66666666669</v>
      </c>
      <c r="F5" s="1">
        <f t="shared" si="1"/>
        <v>258333.33333333334</v>
      </c>
      <c r="G5" s="1">
        <f t="shared" si="1"/>
        <v>275000</v>
      </c>
      <c r="H5" s="1">
        <f t="shared" si="1"/>
        <v>266666.66666666669</v>
      </c>
      <c r="I5" s="1">
        <f t="shared" si="1"/>
        <v>255000</v>
      </c>
      <c r="J5" s="1">
        <f t="shared" si="1"/>
        <v>225000</v>
      </c>
      <c r="K5" s="1">
        <f t="shared" si="1"/>
        <v>241666.66666666669</v>
      </c>
      <c r="L5" s="1">
        <f t="shared" si="1"/>
        <v>291666.66666666669</v>
      </c>
      <c r="M5" s="1">
        <f t="shared" si="1"/>
        <v>208333.33333333334</v>
      </c>
      <c r="N5" s="1">
        <f t="shared" si="1"/>
        <v>275000</v>
      </c>
      <c r="O5" s="10">
        <f t="shared" si="0"/>
        <v>2996666.666666667</v>
      </c>
    </row>
    <row r="6" spans="2:15" x14ac:dyDescent="0.25">
      <c r="B6" s="9" t="s">
        <v>15</v>
      </c>
      <c r="C6" s="1">
        <f>8611.24+37318.8+36650.24+38246.8+26207.31+16989.98+36347.8+12503.76</f>
        <v>212875.93000000005</v>
      </c>
      <c r="D6" s="1">
        <f>38668.54+25075.62+39114.4+18381.05+15060.77+9349.64+41804.9+38360.76</f>
        <v>225815.68000000002</v>
      </c>
      <c r="E6" s="1">
        <f>38733.9+38705.27+35025.78+6975.6+15294.17+41989.63+12962.36+14012.47+44705.6-232.52</f>
        <v>248172.26000000004</v>
      </c>
      <c r="F6" s="1">
        <f>16320.27+31877.44+45041.32+36707.03+9551.93+10764.8+44288.2+13131.39+37353.2+16682.48</f>
        <v>261718.06000000003</v>
      </c>
      <c r="G6" s="1">
        <f>26194.83+42097.48+17886.98+27372.66+10716.34+13253.06+39721.16+22193.91+42564.46+43168</f>
        <v>285168.88</v>
      </c>
      <c r="H6" s="3">
        <f>16250.67+37001.7+13552.42+11349.06+42630.21+11256.86+41920.95+17190.83+41242.8</f>
        <v>232395.5</v>
      </c>
      <c r="I6" s="1">
        <f>20632+6866.2+42971.4+41193.4+11610.86+25381.11+25413.33+41467.8+13647.66+25174.91+6787.8</f>
        <v>261146.46999999997</v>
      </c>
      <c r="J6" s="1">
        <f>30217.02+12618.66+30924.44+17736.69+36490.35+10152.4+39852.81+11329.25+36431.7</f>
        <v>225753.32</v>
      </c>
      <c r="K6" s="1">
        <f>8011.14+40668.4+11316+23998.91+41631.3+9166.73+41058.3+16375.27+38392.9+20845.29</f>
        <v>251464.24000000002</v>
      </c>
      <c r="L6" s="1">
        <v>290761.07</v>
      </c>
      <c r="M6" s="1">
        <f>196401.94-9237.33</f>
        <v>187164.61000000002</v>
      </c>
      <c r="N6" s="1">
        <f>21041.39+41856.06+15044.37+36132.5+24495.21+36180.2+27107.43+33157.95+21137.7+34567.65-1635.02</f>
        <v>289085.44</v>
      </c>
      <c r="O6" s="10">
        <f t="shared" si="0"/>
        <v>2971521.46</v>
      </c>
    </row>
    <row r="7" spans="2:15" x14ac:dyDescent="0.25">
      <c r="B7" s="9" t="s">
        <v>16</v>
      </c>
      <c r="C7" s="2">
        <v>22867.360000000001</v>
      </c>
      <c r="D7" s="2">
        <f>C8</f>
        <v>34157.050000000003</v>
      </c>
      <c r="E7" s="2">
        <f t="shared" ref="E7:N7" si="2">D8</f>
        <v>36914.97</v>
      </c>
      <c r="F7" s="2">
        <f t="shared" si="2"/>
        <v>24210.71</v>
      </c>
      <c r="G7" s="2">
        <f t="shared" si="2"/>
        <v>29181.45</v>
      </c>
      <c r="H7" s="2">
        <f t="shared" si="2"/>
        <v>44340.33</v>
      </c>
      <c r="I7" s="2">
        <f t="shared" si="2"/>
        <v>17971.68</v>
      </c>
      <c r="J7" s="2">
        <f t="shared" si="2"/>
        <v>25002.32</v>
      </c>
      <c r="K7" s="2">
        <f t="shared" si="2"/>
        <v>29851.35</v>
      </c>
      <c r="L7" s="2">
        <f t="shared" si="2"/>
        <v>36947.96</v>
      </c>
      <c r="M7" s="2">
        <f t="shared" si="2"/>
        <v>42936.57</v>
      </c>
      <c r="N7" s="2">
        <f t="shared" si="2"/>
        <v>23715.16</v>
      </c>
      <c r="O7" s="10">
        <f t="shared" si="0"/>
        <v>368096.91</v>
      </c>
    </row>
    <row r="8" spans="2:15" x14ac:dyDescent="0.25">
      <c r="B8" s="9" t="s">
        <v>17</v>
      </c>
      <c r="C8" s="2">
        <v>34157.050000000003</v>
      </c>
      <c r="D8" s="2">
        <v>36914.97</v>
      </c>
      <c r="E8" s="2">
        <v>24210.71</v>
      </c>
      <c r="F8" s="2">
        <v>29181.45</v>
      </c>
      <c r="G8" s="2">
        <v>44340.33</v>
      </c>
      <c r="H8" s="2">
        <v>17971.68</v>
      </c>
      <c r="I8" s="2">
        <v>25002.32</v>
      </c>
      <c r="J8" s="2">
        <v>29851.35</v>
      </c>
      <c r="K8" s="1">
        <v>36947.96</v>
      </c>
      <c r="L8" s="1">
        <f>42936.57</f>
        <v>42936.57</v>
      </c>
      <c r="M8" s="1">
        <f>23715.16</f>
        <v>23715.16</v>
      </c>
      <c r="N8" s="5">
        <v>39911.42</v>
      </c>
      <c r="O8" s="10">
        <f t="shared" si="0"/>
        <v>385140.97</v>
      </c>
    </row>
    <row r="9" spans="2:15" x14ac:dyDescent="0.25">
      <c r="B9" s="9" t="s">
        <v>18</v>
      </c>
      <c r="C9" s="1">
        <f t="shared" ref="C9:N9" si="3">C5-C6+C8-C7</f>
        <v>6747.0933333332941</v>
      </c>
      <c r="D9" s="1">
        <f t="shared" si="3"/>
        <v>1942.2399999999761</v>
      </c>
      <c r="E9" s="1">
        <f t="shared" si="3"/>
        <v>5790.1466666666456</v>
      </c>
      <c r="F9" s="1">
        <f t="shared" si="3"/>
        <v>1586.0133333333179</v>
      </c>
      <c r="G9" s="1">
        <f t="shared" si="3"/>
        <v>4989.9999999999964</v>
      </c>
      <c r="H9" s="1">
        <f t="shared" si="3"/>
        <v>7902.5166666666846</v>
      </c>
      <c r="I9" s="1">
        <f t="shared" si="3"/>
        <v>884.17000000002736</v>
      </c>
      <c r="J9" s="1">
        <f t="shared" si="3"/>
        <v>4095.7099999999919</v>
      </c>
      <c r="K9" s="1">
        <f t="shared" si="3"/>
        <v>-2700.9633333333331</v>
      </c>
      <c r="L9" s="1">
        <f t="shared" si="3"/>
        <v>6894.2066666666797</v>
      </c>
      <c r="M9" s="1">
        <f t="shared" si="3"/>
        <v>1947.3133333333317</v>
      </c>
      <c r="N9" s="1">
        <f t="shared" si="3"/>
        <v>2110.8199999999961</v>
      </c>
      <c r="O9" s="10">
        <f t="shared" si="0"/>
        <v>42189.266666666605</v>
      </c>
    </row>
    <row r="10" spans="2:15" x14ac:dyDescent="0.25">
      <c r="B10" s="12" t="s">
        <v>19</v>
      </c>
      <c r="C10" s="13">
        <f t="shared" ref="C10:O10" si="4">C9/C4</f>
        <v>2.6988373333333177E-2</v>
      </c>
      <c r="D10" s="13">
        <f t="shared" si="4"/>
        <v>7.1934814814813928E-3</v>
      </c>
      <c r="E10" s="13">
        <f t="shared" si="4"/>
        <v>1.8094208333333268E-2</v>
      </c>
      <c r="F10" s="13">
        <f t="shared" si="4"/>
        <v>5.1161720430107031E-3</v>
      </c>
      <c r="G10" s="13">
        <f t="shared" si="4"/>
        <v>1.512121212121211E-2</v>
      </c>
      <c r="H10" s="13">
        <f t="shared" si="4"/>
        <v>2.4695364583333389E-2</v>
      </c>
      <c r="I10" s="13">
        <f t="shared" si="4"/>
        <v>2.8894444444445338E-3</v>
      </c>
      <c r="J10" s="13">
        <f t="shared" si="4"/>
        <v>1.5169296296296266E-2</v>
      </c>
      <c r="K10" s="13">
        <f t="shared" si="4"/>
        <v>-9.3136666666666663E-3</v>
      </c>
      <c r="L10" s="13">
        <f t="shared" si="4"/>
        <v>1.969773333333337E-2</v>
      </c>
      <c r="M10" s="13">
        <f t="shared" si="4"/>
        <v>7.7892533333333265E-3</v>
      </c>
      <c r="N10" s="13">
        <f t="shared" si="4"/>
        <v>6.3964242424242304E-3</v>
      </c>
      <c r="O10" s="14">
        <f t="shared" si="4"/>
        <v>1.173227660363365E-2</v>
      </c>
    </row>
    <row r="11" spans="2:15" x14ac:dyDescent="0.25">
      <c r="B11" s="15" t="s">
        <v>20</v>
      </c>
      <c r="C11" s="11"/>
      <c r="D11" s="16">
        <f>(D5-C5)/C5</f>
        <v>7.9999999999999946E-2</v>
      </c>
      <c r="E11" s="16">
        <f>(E5-D5)/D5</f>
        <v>0.18518518518518526</v>
      </c>
      <c r="F11" s="16">
        <f>(F5-E5)/E5</f>
        <v>-3.1250000000000035E-2</v>
      </c>
      <c r="G11" s="16">
        <f t="shared" ref="G11:N11" si="5">(G5-F5)/F5</f>
        <v>6.4516129032258021E-2</v>
      </c>
      <c r="H11" s="16">
        <f t="shared" si="5"/>
        <v>-3.0303030303030231E-2</v>
      </c>
      <c r="I11" s="16">
        <f t="shared" si="5"/>
        <v>-4.3750000000000067E-2</v>
      </c>
      <c r="J11" s="16">
        <f t="shared" si="5"/>
        <v>-0.11764705882352941</v>
      </c>
      <c r="K11" s="16">
        <f t="shared" si="5"/>
        <v>7.4074074074074167E-2</v>
      </c>
      <c r="L11" s="16">
        <f t="shared" si="5"/>
        <v>0.20689655172413793</v>
      </c>
      <c r="M11" s="16">
        <f t="shared" si="5"/>
        <v>-0.28571428571428575</v>
      </c>
      <c r="N11" s="16">
        <f t="shared" si="5"/>
        <v>0.31999999999999995</v>
      </c>
      <c r="O11" s="11"/>
    </row>
    <row r="12" spans="2:15" ht="15.75" thickBot="1" x14ac:dyDescent="0.3"/>
    <row r="13" spans="2:15" ht="18.75" thickBot="1" x14ac:dyDescent="0.3">
      <c r="B13" s="35" t="s">
        <v>26</v>
      </c>
      <c r="C13" s="36"/>
      <c r="D13" s="36"/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7"/>
    </row>
    <row r="14" spans="2:15" x14ac:dyDescent="0.25">
      <c r="B14" s="20"/>
      <c r="C14" s="21" t="s">
        <v>0</v>
      </c>
      <c r="D14" s="21" t="s">
        <v>1</v>
      </c>
      <c r="E14" s="21" t="s">
        <v>2</v>
      </c>
      <c r="F14" s="21" t="s">
        <v>3</v>
      </c>
      <c r="G14" s="21" t="s">
        <v>4</v>
      </c>
      <c r="H14" s="21" t="s">
        <v>5</v>
      </c>
      <c r="I14" s="21" t="s">
        <v>6</v>
      </c>
      <c r="J14" s="21" t="s">
        <v>7</v>
      </c>
      <c r="K14" s="21" t="s">
        <v>8</v>
      </c>
      <c r="L14" s="21" t="s">
        <v>9</v>
      </c>
      <c r="M14" s="21" t="s">
        <v>10</v>
      </c>
      <c r="N14" s="21" t="s">
        <v>11</v>
      </c>
      <c r="O14" s="22" t="s">
        <v>12</v>
      </c>
    </row>
    <row r="15" spans="2:15" x14ac:dyDescent="0.25">
      <c r="B15" s="23" t="s">
        <v>13</v>
      </c>
      <c r="C15" s="2">
        <v>350000</v>
      </c>
      <c r="D15" s="1">
        <v>340000</v>
      </c>
      <c r="E15" s="1">
        <v>400000</v>
      </c>
      <c r="F15" s="1">
        <v>405000</v>
      </c>
      <c r="G15" s="1">
        <v>420000</v>
      </c>
      <c r="H15" s="1">
        <v>395000</v>
      </c>
      <c r="I15" s="1">
        <v>395000</v>
      </c>
      <c r="J15" s="1">
        <v>330000</v>
      </c>
      <c r="K15" s="1">
        <v>385000</v>
      </c>
      <c r="L15" s="24">
        <v>380000</v>
      </c>
      <c r="M15" s="1">
        <v>360000</v>
      </c>
      <c r="N15" s="17">
        <v>390000</v>
      </c>
      <c r="O15" s="10">
        <f t="shared" ref="O15:O20" si="6">+SUM(C15:N15)</f>
        <v>4550000</v>
      </c>
    </row>
    <row r="16" spans="2:15" x14ac:dyDescent="0.25">
      <c r="B16" s="23" t="s">
        <v>14</v>
      </c>
      <c r="C16" s="1">
        <f>C15/1.2</f>
        <v>291666.66666666669</v>
      </c>
      <c r="D16" s="1">
        <f t="shared" ref="D16:N16" si="7">D15/1.2</f>
        <v>283333.33333333337</v>
      </c>
      <c r="E16" s="1">
        <f t="shared" si="7"/>
        <v>333333.33333333337</v>
      </c>
      <c r="F16" s="1">
        <f t="shared" si="7"/>
        <v>337500</v>
      </c>
      <c r="G16" s="1">
        <f t="shared" si="7"/>
        <v>350000</v>
      </c>
      <c r="H16" s="1">
        <f t="shared" si="7"/>
        <v>329166.66666666669</v>
      </c>
      <c r="I16" s="1">
        <f t="shared" si="7"/>
        <v>329166.66666666669</v>
      </c>
      <c r="J16" s="1">
        <f t="shared" si="7"/>
        <v>275000</v>
      </c>
      <c r="K16" s="1">
        <f t="shared" si="7"/>
        <v>320833.33333333337</v>
      </c>
      <c r="L16" s="1">
        <f t="shared" si="7"/>
        <v>316666.66666666669</v>
      </c>
      <c r="M16" s="1">
        <f t="shared" si="7"/>
        <v>300000</v>
      </c>
      <c r="N16" s="1">
        <f t="shared" si="7"/>
        <v>325000</v>
      </c>
      <c r="O16" s="10">
        <f t="shared" si="6"/>
        <v>3791666.666666667</v>
      </c>
    </row>
    <row r="17" spans="2:15" x14ac:dyDescent="0.25">
      <c r="B17" s="23" t="s">
        <v>15</v>
      </c>
      <c r="C17" s="1">
        <v>294996.90999999997</v>
      </c>
      <c r="D17" s="1">
        <v>307884.65999999997</v>
      </c>
      <c r="E17" s="1">
        <v>298869.90000000002</v>
      </c>
      <c r="F17" s="1">
        <v>343514.39</v>
      </c>
      <c r="G17" s="1">
        <f>309475.53+37938.1</f>
        <v>347413.63</v>
      </c>
      <c r="H17" s="1">
        <f>296565.22+14000*1.1814</f>
        <v>313104.81999999995</v>
      </c>
      <c r="I17" s="1">
        <v>340000.58</v>
      </c>
      <c r="J17" s="1">
        <v>258163.19</v>
      </c>
      <c r="K17" s="1">
        <v>317721.76</v>
      </c>
      <c r="L17" s="1">
        <f>309701.28-(4000*1.1522)+37248.2</f>
        <v>342340.68000000005</v>
      </c>
      <c r="M17" s="1">
        <v>267854.5</v>
      </c>
      <c r="N17" s="1">
        <f>311838.7+38193.76-4608.8</f>
        <v>345423.66000000003</v>
      </c>
      <c r="O17" s="10">
        <f t="shared" si="6"/>
        <v>3777288.68</v>
      </c>
    </row>
    <row r="18" spans="2:15" x14ac:dyDescent="0.25">
      <c r="B18" s="23" t="s">
        <v>16</v>
      </c>
      <c r="C18" s="2">
        <v>37513.67</v>
      </c>
      <c r="D18" s="2">
        <f>C19</f>
        <v>39040.57</v>
      </c>
      <c r="E18" s="2">
        <f>D19</f>
        <v>63789.31</v>
      </c>
      <c r="F18" s="2">
        <f>E19</f>
        <v>31911.3</v>
      </c>
      <c r="G18" s="2">
        <v>46726.19</v>
      </c>
      <c r="H18" s="2">
        <v>44065.57</v>
      </c>
      <c r="I18" s="2">
        <f t="shared" ref="I18:N18" si="8">H19</f>
        <v>34366.06</v>
      </c>
      <c r="J18" s="2">
        <f t="shared" si="8"/>
        <v>47887.9</v>
      </c>
      <c r="K18" s="1">
        <f t="shared" si="8"/>
        <v>31941.88</v>
      </c>
      <c r="L18" s="1">
        <f t="shared" si="8"/>
        <v>33035.75</v>
      </c>
      <c r="M18" s="1">
        <f t="shared" si="8"/>
        <v>63926.9</v>
      </c>
      <c r="N18" s="1">
        <f t="shared" si="8"/>
        <v>39708.870000000003</v>
      </c>
      <c r="O18" s="10">
        <f t="shared" si="6"/>
        <v>513913.97000000003</v>
      </c>
    </row>
    <row r="19" spans="2:15" x14ac:dyDescent="0.25">
      <c r="B19" s="23" t="s">
        <v>17</v>
      </c>
      <c r="C19" s="2">
        <v>39040.57</v>
      </c>
      <c r="D19" s="2">
        <v>63789.31</v>
      </c>
      <c r="E19" s="2">
        <v>31911.3</v>
      </c>
      <c r="F19" s="2">
        <v>46726.19</v>
      </c>
      <c r="G19" s="2">
        <v>44065.57</v>
      </c>
      <c r="H19" s="2">
        <v>34366.06</v>
      </c>
      <c r="I19" s="2">
        <v>47887.9</v>
      </c>
      <c r="J19" s="2">
        <v>31941.88</v>
      </c>
      <c r="K19" s="1">
        <v>33035.75</v>
      </c>
      <c r="L19" s="1">
        <v>63926.9</v>
      </c>
      <c r="M19" s="1">
        <v>39708.870000000003</v>
      </c>
      <c r="N19" s="5">
        <v>65067.86</v>
      </c>
      <c r="O19" s="10">
        <f t="shared" si="6"/>
        <v>541468.16000000003</v>
      </c>
    </row>
    <row r="20" spans="2:15" x14ac:dyDescent="0.25">
      <c r="B20" s="23" t="s">
        <v>18</v>
      </c>
      <c r="C20" s="1">
        <f t="shared" ref="C20:N20" si="9">C16-C17+C19-C18</f>
        <v>-1803.3433333332869</v>
      </c>
      <c r="D20" s="1">
        <f t="shared" si="9"/>
        <v>197.41333333339571</v>
      </c>
      <c r="E20" s="1">
        <f t="shared" si="9"/>
        <v>2585.4233333333541</v>
      </c>
      <c r="F20" s="1">
        <f t="shared" si="9"/>
        <v>8800.4999999999891</v>
      </c>
      <c r="G20" s="1">
        <f t="shared" si="9"/>
        <v>-74.250000000007276</v>
      </c>
      <c r="H20" s="1">
        <f t="shared" si="9"/>
        <v>6362.3366666667353</v>
      </c>
      <c r="I20" s="1">
        <f t="shared" si="9"/>
        <v>2687.9266666666736</v>
      </c>
      <c r="J20" s="1">
        <f t="shared" si="9"/>
        <v>890.79000000000087</v>
      </c>
      <c r="K20" s="1">
        <f t="shared" si="9"/>
        <v>4205.4433333333618</v>
      </c>
      <c r="L20" s="1">
        <f t="shared" si="9"/>
        <v>5217.1366666666363</v>
      </c>
      <c r="M20" s="1">
        <f t="shared" si="9"/>
        <v>7927.4699999999939</v>
      </c>
      <c r="N20" s="1">
        <f t="shared" si="9"/>
        <v>4935.3299999999654</v>
      </c>
      <c r="O20" s="10">
        <f t="shared" si="6"/>
        <v>41932.176666666812</v>
      </c>
    </row>
    <row r="21" spans="2:15" x14ac:dyDescent="0.25">
      <c r="B21" s="25" t="s">
        <v>19</v>
      </c>
      <c r="C21" s="26">
        <f t="shared" ref="C21:O21" si="10">C20/C15</f>
        <v>-5.152409523809391E-3</v>
      </c>
      <c r="D21" s="26">
        <f t="shared" si="10"/>
        <v>5.8062745098057559E-4</v>
      </c>
      <c r="E21" s="26">
        <f t="shared" si="10"/>
        <v>6.4635583333333855E-3</v>
      </c>
      <c r="F21" s="26">
        <f t="shared" si="10"/>
        <v>2.1729629629629602E-2</v>
      </c>
      <c r="G21" s="26">
        <f t="shared" si="10"/>
        <v>-1.767857142857316E-4</v>
      </c>
      <c r="H21" s="26">
        <f t="shared" si="10"/>
        <v>1.610718143459933E-2</v>
      </c>
      <c r="I21" s="26">
        <f t="shared" si="10"/>
        <v>6.8048776371308194E-3</v>
      </c>
      <c r="J21" s="26">
        <f t="shared" si="10"/>
        <v>2.6993636363636391E-3</v>
      </c>
      <c r="K21" s="26">
        <f t="shared" si="10"/>
        <v>1.0923229437229511E-2</v>
      </c>
      <c r="L21" s="26">
        <f t="shared" si="10"/>
        <v>1.372930701754378E-2</v>
      </c>
      <c r="M21" s="26">
        <f t="shared" si="10"/>
        <v>2.2020749999999981E-2</v>
      </c>
      <c r="N21" s="26">
        <f t="shared" si="10"/>
        <v>1.2654692307692219E-2</v>
      </c>
      <c r="O21" s="27">
        <f t="shared" si="10"/>
        <v>9.2158630036630364E-3</v>
      </c>
    </row>
    <row r="22" spans="2:15" x14ac:dyDescent="0.25">
      <c r="B22" s="28" t="s">
        <v>20</v>
      </c>
      <c r="C22" s="18"/>
      <c r="D22" s="18">
        <f>(D16-C16)/C16</f>
        <v>-2.8571428571428505E-2</v>
      </c>
      <c r="E22" s="18">
        <f t="shared" ref="E22:N22" si="11">(E16-D16)/D16</f>
        <v>0.1764705882352941</v>
      </c>
      <c r="F22" s="18">
        <f>(F16-E16)/E16</f>
        <v>1.2499999999999883E-2</v>
      </c>
      <c r="G22" s="18">
        <f t="shared" si="11"/>
        <v>3.7037037037037035E-2</v>
      </c>
      <c r="H22" s="18">
        <f t="shared" si="11"/>
        <v>-5.9523809523809465E-2</v>
      </c>
      <c r="I22" s="18">
        <f t="shared" si="11"/>
        <v>0</v>
      </c>
      <c r="J22" s="18">
        <f t="shared" si="11"/>
        <v>-0.1645569620253165</v>
      </c>
      <c r="K22" s="18">
        <f t="shared" si="11"/>
        <v>0.1666666666666668</v>
      </c>
      <c r="L22" s="18">
        <f t="shared" si="11"/>
        <v>-1.2987012987013045E-2</v>
      </c>
      <c r="M22" s="18">
        <f t="shared" si="11"/>
        <v>-5.2631578947368481E-2</v>
      </c>
      <c r="N22" s="18">
        <f t="shared" si="11"/>
        <v>8.3333333333333329E-2</v>
      </c>
      <c r="O22" s="18"/>
    </row>
  </sheetData>
  <mergeCells count="2">
    <mergeCell ref="B2:O2"/>
    <mergeCell ref="B13:O1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206551-979E-4C8F-A6A2-F0CA1C43EF33}">
  <dimension ref="A3:O5"/>
  <sheetViews>
    <sheetView tabSelected="1" topLeftCell="B1" zoomScaleNormal="100" workbookViewId="0">
      <selection activeCell="C4" sqref="C4"/>
    </sheetView>
  </sheetViews>
  <sheetFormatPr baseColWidth="10" defaultRowHeight="15" x14ac:dyDescent="0.25"/>
  <cols>
    <col min="2" max="2" width="15.42578125" customWidth="1"/>
    <col min="3" max="3" width="14.28515625" customWidth="1"/>
    <col min="4" max="13" width="12.85546875" bestFit="1" customWidth="1"/>
    <col min="14" max="15" width="14.42578125" bestFit="1" customWidth="1"/>
  </cols>
  <sheetData>
    <row r="3" spans="1:15" s="30" customFormat="1" x14ac:dyDescent="0.25">
      <c r="A3" s="29"/>
      <c r="B3" s="29" t="s">
        <v>25</v>
      </c>
      <c r="C3" s="29" t="s">
        <v>0</v>
      </c>
      <c r="D3" s="29" t="s">
        <v>21</v>
      </c>
      <c r="E3" s="29" t="s">
        <v>2</v>
      </c>
      <c r="F3" s="29" t="s">
        <v>3</v>
      </c>
      <c r="G3" s="29" t="s">
        <v>22</v>
      </c>
      <c r="H3" s="29" t="s">
        <v>5</v>
      </c>
      <c r="I3" s="29" t="s">
        <v>6</v>
      </c>
      <c r="J3" s="29" t="s">
        <v>23</v>
      </c>
      <c r="K3" s="29" t="s">
        <v>8</v>
      </c>
      <c r="L3" s="29" t="s">
        <v>9</v>
      </c>
      <c r="M3" s="29" t="s">
        <v>10</v>
      </c>
      <c r="N3" s="29" t="s">
        <v>24</v>
      </c>
      <c r="O3" s="29" t="s">
        <v>12</v>
      </c>
    </row>
    <row r="4" spans="1:15" s="30" customFormat="1" x14ac:dyDescent="0.25">
      <c r="A4" s="29" t="s">
        <v>27</v>
      </c>
      <c r="B4" s="29" t="s">
        <v>14</v>
      </c>
      <c r="C4" s="31">
        <f>VLOOKUP($B4,ENTA,2,FALSE)</f>
        <v>208333.33333333334</v>
      </c>
      <c r="D4" s="31">
        <f>VLOOKUP($B4,ENTA,3,FALSE)</f>
        <v>225000</v>
      </c>
      <c r="E4" s="31">
        <f>VLOOKUP($B4,ENTA,4,FALSE)</f>
        <v>266666.66666666669</v>
      </c>
      <c r="F4" s="31">
        <f>VLOOKUP($B4,ENTA,5,FALSE)</f>
        <v>258333.33333333334</v>
      </c>
      <c r="G4" s="31">
        <f>VLOOKUP($B4,ENTA,6,FALSE)</f>
        <v>275000</v>
      </c>
      <c r="H4" s="31">
        <f>VLOOKUP($B4,ENTA,7,FALSE)</f>
        <v>266666.66666666669</v>
      </c>
      <c r="I4" s="31">
        <f>VLOOKUP($B4,ENTA,8,FALSE)</f>
        <v>255000</v>
      </c>
      <c r="J4" s="31">
        <f>VLOOKUP($B4,ENTA,9,FALSE)</f>
        <v>225000</v>
      </c>
      <c r="K4" s="31">
        <f>VLOOKUP($B4,ENTA,10,FALSE)</f>
        <v>241666.66666666669</v>
      </c>
      <c r="L4" s="31">
        <f>VLOOKUP($B4,ENTA,11,FALSE)</f>
        <v>291666.66666666669</v>
      </c>
      <c r="M4" s="31">
        <f>VLOOKUP($B4,ENTA,12,FALSE)</f>
        <v>208333.33333333334</v>
      </c>
      <c r="N4" s="31">
        <f>VLOOKUP($B4,ENTA,13,FALSE)</f>
        <v>275000</v>
      </c>
      <c r="O4" s="31">
        <f>VLOOKUP($B4,ENTA,14,FALSE)</f>
        <v>2996666.666666667</v>
      </c>
    </row>
    <row r="5" spans="1:15" s="30" customFormat="1" x14ac:dyDescent="0.25">
      <c r="A5" s="29" t="s">
        <v>26</v>
      </c>
      <c r="B5" s="29" t="s">
        <v>14</v>
      </c>
      <c r="C5" s="31">
        <f>VLOOKUP($B5,ENTB,2,FALSE)</f>
        <v>291666.66666666669</v>
      </c>
      <c r="D5" s="31">
        <f>VLOOKUP($B5,ENTB,3,FALSE)</f>
        <v>283333.33333333337</v>
      </c>
      <c r="E5" s="31">
        <f>VLOOKUP($B5,ENTB,4,FALSE)</f>
        <v>333333.33333333337</v>
      </c>
      <c r="F5" s="31">
        <f>VLOOKUP($B5,ENTB,5,FALSE)</f>
        <v>337500</v>
      </c>
      <c r="G5" s="31">
        <f>VLOOKUP($B5,ENTB,6,FALSE)</f>
        <v>350000</v>
      </c>
      <c r="H5" s="31">
        <f>VLOOKUP($B5,ENTB,7,FALSE)</f>
        <v>329166.66666666669</v>
      </c>
      <c r="I5" s="31">
        <f>VLOOKUP($B5,ENTB,8,FALSE)</f>
        <v>329166.66666666669</v>
      </c>
      <c r="J5" s="31">
        <f>VLOOKUP($B5,ENTB,9,FALSE)</f>
        <v>275000</v>
      </c>
      <c r="K5" s="31">
        <f>VLOOKUP($B5,ENTB,10,FALSE)</f>
        <v>320833.33333333337</v>
      </c>
      <c r="L5" s="31">
        <f>VLOOKUP($B5,ENTB,11,FALSE)</f>
        <v>316666.66666666669</v>
      </c>
      <c r="M5" s="31">
        <f>VLOOKUP($B5,ENTB,12,FALSE)</f>
        <v>300000</v>
      </c>
      <c r="N5" s="31">
        <f>VLOOKUP($B5,ENTB,13,FALSE)</f>
        <v>325000</v>
      </c>
      <c r="O5" s="31">
        <f>VLOOKUP($B5,ENTB,14,FALSE)</f>
        <v>3791666.666666667</v>
      </c>
    </row>
  </sheetData>
  <phoneticPr fontId="8" type="noConversion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2FA34223-FF98-4132-B720-F1723EF09A8E}">
          <x14:formula1>
            <xm:f>'feuille 3'!$A$1:$A$3</xm:f>
          </x14:formula1>
          <xm:sqref>A4:A5</xm:sqref>
        </x14:dataValidation>
        <x14:dataValidation type="list" allowBlank="1" showInputMessage="1" showErrorMessage="1" xr:uid="{63C7C3EC-01C1-4BD9-BEAE-F10F81D4010E}">
          <x14:formula1>
            <xm:f>'feuille 1'!#REF!</xm:f>
          </x14:formula1>
          <xm:sqref>B4:B6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2558AB-0003-4498-9D28-E8DCAC40CA42}">
  <dimension ref="A1:A2"/>
  <sheetViews>
    <sheetView workbookViewId="0">
      <selection activeCell="A3" sqref="A3"/>
    </sheetView>
  </sheetViews>
  <sheetFormatPr baseColWidth="10" defaultRowHeight="15" x14ac:dyDescent="0.25"/>
  <sheetData>
    <row r="1" spans="1:1" x14ac:dyDescent="0.25">
      <c r="A1" t="s">
        <v>27</v>
      </c>
    </row>
    <row r="2" spans="1:1" x14ac:dyDescent="0.25">
      <c r="A2" t="s">
        <v>26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59EAE0E-C506-4E35-9E69-A9335AD0B87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feuille 1</vt:lpstr>
      <vt:lpstr>Feuille 2</vt:lpstr>
      <vt:lpstr>feuille 3</vt:lpstr>
      <vt:lpstr>ENTA</vt:lpstr>
      <vt:lpstr>ENTB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STENIVEST</dc:creator>
  <cp:lastModifiedBy>STENIVEST</cp:lastModifiedBy>
  <dcterms:created xsi:type="dcterms:W3CDTF">2020-03-13T15:04:53Z</dcterms:created>
  <dcterms:modified xsi:type="dcterms:W3CDTF">2020-03-25T13:03:58Z</dcterms:modified>
</cp:coreProperties>
</file>