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0" windowWidth="18492" windowHeight="11700" activeTab="1"/>
  </bookViews>
  <sheets>
    <sheet name="DB Patients" sheetId="1" r:id="rId1"/>
    <sheet name="FactInd" sheetId="4" r:id="rId2"/>
  </sheets>
  <definedNames>
    <definedName name="_xlnm._FilterDatabase" localSheetId="0" hidden="1">'DB Patients'!$A$1:$BJ$75</definedName>
    <definedName name="SSLink0">#REF!</definedName>
  </definedNames>
  <calcPr calcId="145621"/>
</workbook>
</file>

<file path=xl/calcChain.xml><?xml version="1.0" encoding="utf-8"?>
<calcChain xmlns="http://schemas.openxmlformats.org/spreadsheetml/2006/main">
  <c r="N2" i="4" l="1"/>
  <c r="M17" i="4" l="1"/>
  <c r="M15" i="4"/>
  <c r="M14" i="4"/>
  <c r="AL3" i="1"/>
  <c r="AL4" i="1"/>
  <c r="AL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2" i="1"/>
  <c r="F23" i="4"/>
  <c r="M57" i="4"/>
  <c r="M55" i="4"/>
  <c r="M53" i="4"/>
  <c r="M51" i="4"/>
  <c r="H55" i="4"/>
  <c r="H53" i="4"/>
  <c r="H51" i="4"/>
  <c r="C55" i="4"/>
  <c r="C53" i="4"/>
  <c r="C51" i="4"/>
  <c r="AX75" i="1"/>
  <c r="D33" i="4"/>
  <c r="D34" i="4"/>
  <c r="D35" i="4"/>
  <c r="D36" i="4"/>
  <c r="D37" i="4"/>
  <c r="D38" i="4"/>
  <c r="D39" i="4"/>
  <c r="D40" i="4"/>
  <c r="D41" i="4"/>
  <c r="D42" i="4"/>
  <c r="D44" i="4"/>
  <c r="G44" i="4"/>
  <c r="G42" i="4"/>
  <c r="G41" i="4"/>
  <c r="G40" i="4"/>
  <c r="G39" i="4"/>
  <c r="G38" i="4"/>
  <c r="G37" i="4"/>
  <c r="G36" i="4"/>
  <c r="G35" i="4"/>
  <c r="G34" i="4"/>
  <c r="G33" i="4"/>
  <c r="B34" i="4"/>
  <c r="V75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C2" i="4" s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H17" i="4" l="1"/>
  <c r="J14" i="4"/>
  <c r="J13" i="4"/>
  <c r="J12" i="4"/>
  <c r="J11" i="4"/>
  <c r="J10" i="4"/>
  <c r="J9" i="4"/>
  <c r="J8" i="4"/>
  <c r="M7" i="4"/>
  <c r="F14" i="4"/>
  <c r="F13" i="4"/>
  <c r="F12" i="4"/>
  <c r="F11" i="4"/>
  <c r="F10" i="4"/>
  <c r="F9" i="4"/>
  <c r="F8" i="4"/>
  <c r="AK3" i="1" l="1"/>
  <c r="AK4" i="1"/>
  <c r="AK5" i="1"/>
  <c r="AK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2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2" i="1"/>
  <c r="AW3" i="1"/>
  <c r="AW4" i="1"/>
  <c r="AW5" i="1"/>
  <c r="AW6" i="1"/>
  <c r="AW7" i="1"/>
  <c r="AW8" i="1"/>
  <c r="AW9" i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W35" i="1"/>
  <c r="AW36" i="1"/>
  <c r="AW37" i="1"/>
  <c r="AW38" i="1"/>
  <c r="AW39" i="1"/>
  <c r="AW40" i="1"/>
  <c r="AW41" i="1"/>
  <c r="AW42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5" i="1"/>
  <c r="AW56" i="1"/>
  <c r="AW57" i="1"/>
  <c r="AW58" i="1"/>
  <c r="AW59" i="1"/>
  <c r="AW60" i="1"/>
  <c r="AW61" i="1"/>
  <c r="AW62" i="1"/>
  <c r="AW63" i="1"/>
  <c r="AW64" i="1"/>
  <c r="AW65" i="1"/>
  <c r="AW66" i="1"/>
  <c r="AW67" i="1"/>
  <c r="AW68" i="1"/>
  <c r="AW69" i="1"/>
  <c r="AW70" i="1"/>
  <c r="AW71" i="1"/>
  <c r="AW72" i="1"/>
  <c r="AW73" i="1"/>
  <c r="AW74" i="1"/>
  <c r="AW75" i="1"/>
  <c r="I42" i="4" s="1"/>
  <c r="AV3" i="1"/>
  <c r="AV4" i="1"/>
  <c r="AV5" i="1"/>
  <c r="AV6" i="1"/>
  <c r="AV7" i="1"/>
  <c r="AV8" i="1"/>
  <c r="AV9" i="1"/>
  <c r="AV10" i="1"/>
  <c r="AV11" i="1"/>
  <c r="AV12" i="1"/>
  <c r="AV13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44" i="1"/>
  <c r="AV45" i="1"/>
  <c r="AV46" i="1"/>
  <c r="AV47" i="1"/>
  <c r="AV48" i="1"/>
  <c r="AV49" i="1"/>
  <c r="AV50" i="1"/>
  <c r="AV51" i="1"/>
  <c r="AV52" i="1"/>
  <c r="AV53" i="1"/>
  <c r="AV54" i="1"/>
  <c r="AV55" i="1"/>
  <c r="I41" i="4" s="1"/>
  <c r="AV56" i="1"/>
  <c r="AV57" i="1"/>
  <c r="AV58" i="1"/>
  <c r="AV59" i="1"/>
  <c r="AV60" i="1"/>
  <c r="AV61" i="1"/>
  <c r="AV62" i="1"/>
  <c r="AV63" i="1"/>
  <c r="AV64" i="1"/>
  <c r="AV65" i="1"/>
  <c r="AV66" i="1"/>
  <c r="AV67" i="1"/>
  <c r="AV68" i="1"/>
  <c r="AV69" i="1"/>
  <c r="AV70" i="1"/>
  <c r="AV71" i="1"/>
  <c r="AV72" i="1"/>
  <c r="AV73" i="1"/>
  <c r="AV74" i="1"/>
  <c r="AV75" i="1"/>
  <c r="AU3" i="1"/>
  <c r="AU4" i="1"/>
  <c r="AU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I40" i="4" s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T3" i="1"/>
  <c r="AT4" i="1"/>
  <c r="AT5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39" i="1"/>
  <c r="AT40" i="1"/>
  <c r="AT41" i="1"/>
  <c r="AT42" i="1"/>
  <c r="AT43" i="1"/>
  <c r="AT44" i="1"/>
  <c r="AT45" i="1"/>
  <c r="AT46" i="1"/>
  <c r="AT47" i="1"/>
  <c r="AT48" i="1"/>
  <c r="AT49" i="1"/>
  <c r="AT50" i="1"/>
  <c r="AT51" i="1"/>
  <c r="AT52" i="1"/>
  <c r="AT53" i="1"/>
  <c r="AT54" i="1"/>
  <c r="AT55" i="1"/>
  <c r="I39" i="4" s="1"/>
  <c r="AT56" i="1"/>
  <c r="AT57" i="1"/>
  <c r="AT58" i="1"/>
  <c r="AT59" i="1"/>
  <c r="AT60" i="1"/>
  <c r="AT61" i="1"/>
  <c r="AT62" i="1"/>
  <c r="AT63" i="1"/>
  <c r="AT64" i="1"/>
  <c r="AT65" i="1"/>
  <c r="AT66" i="1"/>
  <c r="AT67" i="1"/>
  <c r="AT68" i="1"/>
  <c r="AT69" i="1"/>
  <c r="AT70" i="1"/>
  <c r="AT71" i="1"/>
  <c r="AT72" i="1"/>
  <c r="AT73" i="1"/>
  <c r="AT74" i="1"/>
  <c r="AT75" i="1"/>
  <c r="AS3" i="1"/>
  <c r="AS4" i="1"/>
  <c r="AS5" i="1"/>
  <c r="AS6" i="1"/>
  <c r="AS7" i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S44" i="1"/>
  <c r="AS45" i="1"/>
  <c r="AS46" i="1"/>
  <c r="AS47" i="1"/>
  <c r="AS48" i="1"/>
  <c r="AS49" i="1"/>
  <c r="AS50" i="1"/>
  <c r="AS51" i="1"/>
  <c r="AS52" i="1"/>
  <c r="AS53" i="1"/>
  <c r="AS54" i="1"/>
  <c r="AS55" i="1"/>
  <c r="AS56" i="1"/>
  <c r="AS57" i="1"/>
  <c r="AS58" i="1"/>
  <c r="AS59" i="1"/>
  <c r="AS60" i="1"/>
  <c r="AS61" i="1"/>
  <c r="AS62" i="1"/>
  <c r="AS63" i="1"/>
  <c r="AS64" i="1"/>
  <c r="AS65" i="1"/>
  <c r="AS66" i="1"/>
  <c r="AS67" i="1"/>
  <c r="AS68" i="1"/>
  <c r="AS69" i="1"/>
  <c r="AS70" i="1"/>
  <c r="AS71" i="1"/>
  <c r="AS72" i="1"/>
  <c r="AS73" i="1"/>
  <c r="AS74" i="1"/>
  <c r="AS75" i="1"/>
  <c r="AR3" i="1"/>
  <c r="AR4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I37" i="4" s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68" i="1"/>
  <c r="AR69" i="1"/>
  <c r="AR70" i="1"/>
  <c r="AR71" i="1"/>
  <c r="AR72" i="1"/>
  <c r="AR73" i="1"/>
  <c r="AR74" i="1"/>
  <c r="AR75" i="1"/>
  <c r="AQ3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Y25" i="1" s="1"/>
  <c r="AZ25" i="1" s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I36" i="4" s="1"/>
  <c r="AQ56" i="1"/>
  <c r="AQ57" i="1"/>
  <c r="AQ58" i="1"/>
  <c r="AQ59" i="1"/>
  <c r="AQ60" i="1"/>
  <c r="AQ61" i="1"/>
  <c r="AQ62" i="1"/>
  <c r="AQ63" i="1"/>
  <c r="AQ64" i="1"/>
  <c r="AQ65" i="1"/>
  <c r="AQ66" i="1"/>
  <c r="AQ67" i="1"/>
  <c r="AQ68" i="1"/>
  <c r="AQ69" i="1"/>
  <c r="AQ70" i="1"/>
  <c r="AQ71" i="1"/>
  <c r="AQ72" i="1"/>
  <c r="AQ73" i="1"/>
  <c r="AQ74" i="1"/>
  <c r="AQ75" i="1"/>
  <c r="AP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I35" i="4" s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O3" i="1"/>
  <c r="AO4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5" i="1"/>
  <c r="I34" i="4" s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AO72" i="1"/>
  <c r="AO73" i="1"/>
  <c r="AO74" i="1"/>
  <c r="AO75" i="1"/>
  <c r="AW2" i="1"/>
  <c r="AV2" i="1"/>
  <c r="AU2" i="1"/>
  <c r="AT2" i="1"/>
  <c r="AS2" i="1"/>
  <c r="AR2" i="1"/>
  <c r="AQ2" i="1"/>
  <c r="AP2" i="1"/>
  <c r="AO2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Y30" i="1" s="1"/>
  <c r="AZ30" i="1" s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Y46" i="1" s="1"/>
  <c r="AZ46" i="1" s="1"/>
  <c r="AN47" i="1"/>
  <c r="AN48" i="1"/>
  <c r="AN49" i="1"/>
  <c r="AN50" i="1"/>
  <c r="AN51" i="1"/>
  <c r="AN52" i="1"/>
  <c r="AN53" i="1"/>
  <c r="AN54" i="1"/>
  <c r="AN55" i="1"/>
  <c r="I33" i="4" s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68" i="1"/>
  <c r="AY68" i="1" s="1"/>
  <c r="AZ68" i="1" s="1"/>
  <c r="AN69" i="1"/>
  <c r="AN70" i="1"/>
  <c r="AN71" i="1"/>
  <c r="AN72" i="1"/>
  <c r="AN73" i="1"/>
  <c r="AN74" i="1"/>
  <c r="AN75" i="1"/>
  <c r="AN2" i="1"/>
  <c r="AN3" i="1"/>
  <c r="AX4" i="1"/>
  <c r="AX5" i="1"/>
  <c r="AX6" i="1"/>
  <c r="AX7" i="1"/>
  <c r="AX8" i="1"/>
  <c r="AX9" i="1"/>
  <c r="AX10" i="1"/>
  <c r="AX11" i="1"/>
  <c r="AX12" i="1"/>
  <c r="AX13" i="1"/>
  <c r="AX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28" i="1"/>
  <c r="AX29" i="1"/>
  <c r="AX30" i="1"/>
  <c r="AX31" i="1"/>
  <c r="AX32" i="1"/>
  <c r="AX33" i="1"/>
  <c r="AX34" i="1"/>
  <c r="AX35" i="1"/>
  <c r="AX36" i="1"/>
  <c r="AX37" i="1"/>
  <c r="AX38" i="1"/>
  <c r="AX39" i="1"/>
  <c r="AX40" i="1"/>
  <c r="AX41" i="1"/>
  <c r="AX42" i="1"/>
  <c r="AX43" i="1"/>
  <c r="AX44" i="1"/>
  <c r="AX45" i="1"/>
  <c r="AX46" i="1"/>
  <c r="AX47" i="1"/>
  <c r="AX48" i="1"/>
  <c r="AX49" i="1"/>
  <c r="AX50" i="1"/>
  <c r="AX51" i="1"/>
  <c r="AX52" i="1"/>
  <c r="AX53" i="1"/>
  <c r="AX54" i="1"/>
  <c r="AX55" i="1"/>
  <c r="AX56" i="1"/>
  <c r="AX57" i="1"/>
  <c r="AX58" i="1"/>
  <c r="AX59" i="1"/>
  <c r="AX60" i="1"/>
  <c r="AX61" i="1"/>
  <c r="AX62" i="1"/>
  <c r="AX63" i="1"/>
  <c r="AX64" i="1"/>
  <c r="AX65" i="1"/>
  <c r="AX66" i="1"/>
  <c r="AX67" i="1"/>
  <c r="AX68" i="1"/>
  <c r="AX69" i="1"/>
  <c r="AX70" i="1"/>
  <c r="AX71" i="1"/>
  <c r="AX72" i="1"/>
  <c r="AX73" i="1"/>
  <c r="AX74" i="1"/>
  <c r="AX2" i="1"/>
  <c r="AX3" i="1"/>
  <c r="I38" i="4" l="1"/>
  <c r="J23" i="4"/>
  <c r="AY4" i="1"/>
  <c r="AZ4" i="1" s="1"/>
  <c r="L44" i="4"/>
  <c r="L48" i="4" s="1"/>
  <c r="I44" i="4"/>
  <c r="AY60" i="1"/>
  <c r="AZ60" i="1" s="1"/>
  <c r="AY48" i="1"/>
  <c r="AZ48" i="1" s="1"/>
  <c r="AY36" i="1"/>
  <c r="AZ36" i="1" s="1"/>
  <c r="AY28" i="1"/>
  <c r="AZ28" i="1" s="1"/>
  <c r="AY20" i="1"/>
  <c r="AZ20" i="1" s="1"/>
  <c r="AY73" i="1"/>
  <c r="AZ73" i="1" s="1"/>
  <c r="AY41" i="1"/>
  <c r="AZ41" i="1" s="1"/>
  <c r="AY9" i="1"/>
  <c r="AZ9" i="1" s="1"/>
  <c r="AY14" i="1"/>
  <c r="AZ14" i="1" s="1"/>
  <c r="AY64" i="1"/>
  <c r="AZ64" i="1" s="1"/>
  <c r="AY52" i="1"/>
  <c r="AZ52" i="1" s="1"/>
  <c r="AY44" i="1"/>
  <c r="AZ44" i="1" s="1"/>
  <c r="AY32" i="1"/>
  <c r="AZ32" i="1" s="1"/>
  <c r="AY16" i="1"/>
  <c r="AZ16" i="1" s="1"/>
  <c r="AY57" i="1"/>
  <c r="AZ57" i="1" s="1"/>
  <c r="AY62" i="1"/>
  <c r="AZ62" i="1" s="1"/>
  <c r="AY3" i="1"/>
  <c r="AZ3" i="1" s="1"/>
  <c r="AY69" i="1"/>
  <c r="AZ69" i="1" s="1"/>
  <c r="AY65" i="1"/>
  <c r="AZ65" i="1" s="1"/>
  <c r="AY61" i="1"/>
  <c r="AZ61" i="1" s="1"/>
  <c r="AY53" i="1"/>
  <c r="AZ53" i="1" s="1"/>
  <c r="AY49" i="1"/>
  <c r="AZ49" i="1" s="1"/>
  <c r="AY45" i="1"/>
  <c r="AZ45" i="1" s="1"/>
  <c r="AY37" i="1"/>
  <c r="AZ37" i="1" s="1"/>
  <c r="AY33" i="1"/>
  <c r="AZ33" i="1" s="1"/>
  <c r="AY29" i="1"/>
  <c r="AZ29" i="1" s="1"/>
  <c r="AY21" i="1"/>
  <c r="AZ21" i="1" s="1"/>
  <c r="AY17" i="1"/>
  <c r="AZ17" i="1" s="1"/>
  <c r="AY13" i="1"/>
  <c r="AZ13" i="1" s="1"/>
  <c r="AY5" i="1"/>
  <c r="AZ5" i="1" s="1"/>
  <c r="AY74" i="1"/>
  <c r="AZ74" i="1" s="1"/>
  <c r="AY70" i="1"/>
  <c r="AZ70" i="1" s="1"/>
  <c r="AY66" i="1"/>
  <c r="AZ66" i="1" s="1"/>
  <c r="AY58" i="1"/>
  <c r="AZ58" i="1" s="1"/>
  <c r="AY54" i="1"/>
  <c r="AZ54" i="1" s="1"/>
  <c r="AY50" i="1"/>
  <c r="AZ50" i="1" s="1"/>
  <c r="AY42" i="1"/>
  <c r="AZ42" i="1" s="1"/>
  <c r="AY38" i="1"/>
  <c r="AZ38" i="1" s="1"/>
  <c r="AY34" i="1"/>
  <c r="AZ34" i="1" s="1"/>
  <c r="AY26" i="1"/>
  <c r="AZ26" i="1" s="1"/>
  <c r="AY22" i="1"/>
  <c r="AZ22" i="1" s="1"/>
  <c r="AY18" i="1"/>
  <c r="AZ18" i="1" s="1"/>
  <c r="AY10" i="1"/>
  <c r="AZ10" i="1" s="1"/>
  <c r="AY6" i="1"/>
  <c r="AZ6" i="1" s="1"/>
  <c r="AY72" i="1"/>
  <c r="AZ72" i="1" s="1"/>
  <c r="AY56" i="1"/>
  <c r="AZ56" i="1" s="1"/>
  <c r="AY40" i="1"/>
  <c r="AZ40" i="1" s="1"/>
  <c r="AY24" i="1"/>
  <c r="AZ24" i="1" s="1"/>
  <c r="AY8" i="1"/>
  <c r="AZ8" i="1" s="1"/>
  <c r="AY12" i="1"/>
  <c r="AZ12" i="1" s="1"/>
  <c r="AY75" i="1"/>
  <c r="AZ75" i="1" s="1"/>
  <c r="AY71" i="1"/>
  <c r="AZ71" i="1" s="1"/>
  <c r="AY67" i="1"/>
  <c r="AZ67" i="1" s="1"/>
  <c r="AY63" i="1"/>
  <c r="AZ63" i="1" s="1"/>
  <c r="AY59" i="1"/>
  <c r="AZ59" i="1" s="1"/>
  <c r="AY55" i="1"/>
  <c r="AZ55" i="1" s="1"/>
  <c r="AY51" i="1"/>
  <c r="AZ51" i="1" s="1"/>
  <c r="AY47" i="1"/>
  <c r="AZ47" i="1" s="1"/>
  <c r="AY43" i="1"/>
  <c r="AZ43" i="1" s="1"/>
  <c r="AY39" i="1"/>
  <c r="AZ39" i="1" s="1"/>
  <c r="AY35" i="1"/>
  <c r="AZ35" i="1" s="1"/>
  <c r="AY31" i="1"/>
  <c r="AZ31" i="1" s="1"/>
  <c r="AY27" i="1"/>
  <c r="AZ27" i="1" s="1"/>
  <c r="AY23" i="1"/>
  <c r="AZ23" i="1" s="1"/>
  <c r="AY19" i="1"/>
  <c r="AZ19" i="1" s="1"/>
  <c r="AY15" i="1"/>
  <c r="AZ15" i="1" s="1"/>
  <c r="AY11" i="1"/>
  <c r="AZ11" i="1" s="1"/>
  <c r="AY7" i="1"/>
  <c r="AZ7" i="1" s="1"/>
  <c r="AY2" i="1"/>
  <c r="AZ2" i="1" s="1"/>
  <c r="I48" i="4" l="1"/>
</calcChain>
</file>

<file path=xl/sharedStrings.xml><?xml version="1.0" encoding="utf-8"?>
<sst xmlns="http://schemas.openxmlformats.org/spreadsheetml/2006/main" count="916" uniqueCount="696">
  <si>
    <t>/</t>
  </si>
  <si>
    <t>111/111</t>
  </si>
  <si>
    <t>2020/02/135/841</t>
  </si>
  <si>
    <t>Enfant</t>
  </si>
  <si>
    <t>110/110</t>
  </si>
  <si>
    <t>2020/02/135/866</t>
  </si>
  <si>
    <t>101/101</t>
  </si>
  <si>
    <t>121/121</t>
  </si>
  <si>
    <t>411/461</t>
  </si>
  <si>
    <t>410/460</t>
  </si>
  <si>
    <t>Titulaire</t>
  </si>
  <si>
    <t>181/305</t>
  </si>
  <si>
    <t>120/120</t>
  </si>
  <si>
    <t>Référence</t>
  </si>
  <si>
    <t>Nom Parents</t>
  </si>
  <si>
    <t>Adresse</t>
  </si>
  <si>
    <t>Localité</t>
  </si>
  <si>
    <t>n° Titulaire</t>
  </si>
  <si>
    <t>CT1-CT2</t>
  </si>
  <si>
    <t>Nom enfant</t>
  </si>
  <si>
    <t>Prénom</t>
  </si>
  <si>
    <t>D.N.</t>
  </si>
  <si>
    <t>N° O.A.</t>
  </si>
  <si>
    <t>CT1-CT2 enfant</t>
  </si>
  <si>
    <t>nom Fédération</t>
  </si>
  <si>
    <t>SMR</t>
  </si>
  <si>
    <t>n°fédération</t>
  </si>
  <si>
    <t>Accord début</t>
  </si>
  <si>
    <t>Accord fin</t>
  </si>
  <si>
    <t>Accord méd. Dir.</t>
  </si>
  <si>
    <t>Groupe</t>
  </si>
  <si>
    <t>Mois factura°</t>
  </si>
  <si>
    <t>reffact</t>
  </si>
  <si>
    <t>Lien</t>
  </si>
  <si>
    <t>Forfaits début</t>
  </si>
  <si>
    <t>Forfaits fin</t>
  </si>
  <si>
    <t>Rééd. 1</t>
  </si>
  <si>
    <t>Réed. 1,5</t>
  </si>
  <si>
    <t>Réed. 1,33</t>
  </si>
  <si>
    <t>Réed. 1,25</t>
  </si>
  <si>
    <t>Réed. 1,66</t>
  </si>
  <si>
    <t>Réed. 2</t>
  </si>
  <si>
    <t>calcul total</t>
  </si>
  <si>
    <t>Nbre tick. mod.</t>
  </si>
  <si>
    <t>prix tick. mod.</t>
  </si>
  <si>
    <t>total rééd. 1</t>
  </si>
  <si>
    <t>total rééd. 1,25</t>
  </si>
  <si>
    <t>total rééd. 1,33</t>
  </si>
  <si>
    <t>total rééd. 1,5</t>
  </si>
  <si>
    <t>total rééd. 1,66</t>
  </si>
  <si>
    <t>total rééd. 2</t>
  </si>
  <si>
    <t>Total Gr. 0,25</t>
  </si>
  <si>
    <t>Total Gr. 0,33</t>
  </si>
  <si>
    <t>Total Gr. 0,5</t>
  </si>
  <si>
    <t>tot tickmod</t>
  </si>
  <si>
    <t>Date forfts 1x</t>
  </si>
  <si>
    <t>Date FF 1,25</t>
  </si>
  <si>
    <t>Date FF 1,33</t>
  </si>
  <si>
    <t>Date FF 1,5</t>
  </si>
  <si>
    <t>Date FF 1,66</t>
  </si>
  <si>
    <t>Date Forfts 2x</t>
  </si>
  <si>
    <t>Date Gr. 0,25</t>
  </si>
  <si>
    <t>Date Gr. 0,33</t>
  </si>
  <si>
    <t>Date Gr. 0,5</t>
  </si>
  <si>
    <t>Total Gr. 0,66</t>
  </si>
  <si>
    <t>Tot Rééd</t>
  </si>
  <si>
    <t>Tot Rééd-Tmod</t>
  </si>
  <si>
    <t>Tarif 1</t>
  </si>
  <si>
    <t>Gr. 0,25</t>
  </si>
  <si>
    <t>Gr. 0,33</t>
  </si>
  <si>
    <t>Gr. 0,50</t>
  </si>
  <si>
    <t>Gr. 0,66</t>
  </si>
  <si>
    <t>Tot. Rééd. +Gr.</t>
  </si>
  <si>
    <t>Gr.Nomencl.</t>
  </si>
  <si>
    <t>Montant total</t>
  </si>
  <si>
    <t>Total</t>
  </si>
  <si>
    <t>Total général</t>
  </si>
  <si>
    <t>Intervent.personnelle</t>
  </si>
  <si>
    <t>N° nomenclature</t>
  </si>
  <si>
    <t>A charge du patient</t>
  </si>
  <si>
    <t>A Charge O.A.</t>
  </si>
  <si>
    <t>O.A.</t>
  </si>
  <si>
    <t>Montant unitaire</t>
  </si>
  <si>
    <t>Nombre</t>
  </si>
  <si>
    <t>prestation relative</t>
  </si>
  <si>
    <t xml:space="preserve"> des prestations</t>
  </si>
  <si>
    <t>Réserve</t>
  </si>
  <si>
    <t>Code</t>
  </si>
  <si>
    <t xml:space="preserve"> Désignation</t>
  </si>
  <si>
    <t>Frais de rééducation fonctionnelle - Conventions spécifiques</t>
  </si>
  <si>
    <t>à la fin du mois</t>
  </si>
  <si>
    <t>au début du mois</t>
  </si>
  <si>
    <t>nombre total de forfaits déjà facturés</t>
  </si>
  <si>
    <t>fin :</t>
  </si>
  <si>
    <t>Accord début :</t>
  </si>
  <si>
    <t xml:space="preserve">Groupe cible/n°nomenclature : </t>
  </si>
  <si>
    <t>Identication du bénéficiaire</t>
  </si>
  <si>
    <t>Identification du titulaire</t>
  </si>
  <si>
    <t>Facture individuelle</t>
  </si>
  <si>
    <t xml:space="preserve">Facture N° </t>
  </si>
  <si>
    <t>dates Gr. 0,66</t>
  </si>
  <si>
    <t xml:space="preserve">Dates 0080253 : </t>
  </si>
  <si>
    <t xml:space="preserve">Dates 0080334 : </t>
  </si>
  <si>
    <t xml:space="preserve">Dates 0080500 : </t>
  </si>
  <si>
    <t xml:space="preserve">Dates 0080662 : </t>
  </si>
  <si>
    <t xml:space="preserve">Dates 0082003 : </t>
  </si>
  <si>
    <t xml:space="preserve">Dates 0081664 : </t>
  </si>
  <si>
    <t xml:space="preserve">Dates 0081502 : </t>
  </si>
  <si>
    <t xml:space="preserve">Dates 0081001 : </t>
  </si>
  <si>
    <t xml:space="preserve">Dates 0081255 : </t>
  </si>
  <si>
    <t xml:space="preserve">Dates 0081336 : </t>
  </si>
  <si>
    <t xml:space="preserve">Facturation de : </t>
  </si>
  <si>
    <t xml:space="preserve"> Date accord du Collège des médecins-directeurs :</t>
  </si>
  <si>
    <t>Popol2</t>
  </si>
  <si>
    <t>Popol3</t>
  </si>
  <si>
    <t>Popol4</t>
  </si>
  <si>
    <t>Popol5</t>
  </si>
  <si>
    <t>Popol6</t>
  </si>
  <si>
    <t>Popol7</t>
  </si>
  <si>
    <t>Popol8</t>
  </si>
  <si>
    <t>Popol9</t>
  </si>
  <si>
    <t>Popol10</t>
  </si>
  <si>
    <t>Popol11</t>
  </si>
  <si>
    <t>Popol12</t>
  </si>
  <si>
    <t>Popol13</t>
  </si>
  <si>
    <t>Popol14</t>
  </si>
  <si>
    <t>Popol15</t>
  </si>
  <si>
    <t>Popol16</t>
  </si>
  <si>
    <t>Popol17</t>
  </si>
  <si>
    <t>Popol18</t>
  </si>
  <si>
    <t>Popol19</t>
  </si>
  <si>
    <t>Popol20</t>
  </si>
  <si>
    <t>Popol21</t>
  </si>
  <si>
    <t>Popol22</t>
  </si>
  <si>
    <t>Popol23</t>
  </si>
  <si>
    <t>Popol24</t>
  </si>
  <si>
    <t>Popol25</t>
  </si>
  <si>
    <t>Popol26</t>
  </si>
  <si>
    <t>Popol27</t>
  </si>
  <si>
    <t>Popol28</t>
  </si>
  <si>
    <t>Popol29</t>
  </si>
  <si>
    <t>Popol30</t>
  </si>
  <si>
    <t>Popol31</t>
  </si>
  <si>
    <t>Popol32</t>
  </si>
  <si>
    <t>Popol33</t>
  </si>
  <si>
    <t>Popol34</t>
  </si>
  <si>
    <t>Popol35</t>
  </si>
  <si>
    <t>Popol36</t>
  </si>
  <si>
    <t>Popol37</t>
  </si>
  <si>
    <t>Popol38</t>
  </si>
  <si>
    <t>Popol39</t>
  </si>
  <si>
    <t>Popol40</t>
  </si>
  <si>
    <t>Popol41</t>
  </si>
  <si>
    <t>Popol42</t>
  </si>
  <si>
    <t>Popol43</t>
  </si>
  <si>
    <t>Popol44</t>
  </si>
  <si>
    <t>Popol45</t>
  </si>
  <si>
    <t>Popol46</t>
  </si>
  <si>
    <t>Popol47</t>
  </si>
  <si>
    <t>Popol48</t>
  </si>
  <si>
    <t>Popol49</t>
  </si>
  <si>
    <t>Popol50</t>
  </si>
  <si>
    <t>Popol51</t>
  </si>
  <si>
    <t>Popol52</t>
  </si>
  <si>
    <t>Popol53</t>
  </si>
  <si>
    <t>Popol54</t>
  </si>
  <si>
    <t>Popol55</t>
  </si>
  <si>
    <t>Popol56</t>
  </si>
  <si>
    <t>Popol57</t>
  </si>
  <si>
    <t>Popol58</t>
  </si>
  <si>
    <t>Popol59</t>
  </si>
  <si>
    <t>Popol60</t>
  </si>
  <si>
    <t>Popol61</t>
  </si>
  <si>
    <t>Popol62</t>
  </si>
  <si>
    <t>Popol63</t>
  </si>
  <si>
    <t>Popol64</t>
  </si>
  <si>
    <t>Popol65</t>
  </si>
  <si>
    <t>Popol66</t>
  </si>
  <si>
    <t>Popol67</t>
  </si>
  <si>
    <t>Popol68</t>
  </si>
  <si>
    <t>Popol69</t>
  </si>
  <si>
    <t>Popol70</t>
  </si>
  <si>
    <t>Popol71</t>
  </si>
  <si>
    <t>Popol72</t>
  </si>
  <si>
    <t>Popol73</t>
  </si>
  <si>
    <t>Popol74</t>
  </si>
  <si>
    <t>Popol75</t>
  </si>
  <si>
    <t>Rue2</t>
  </si>
  <si>
    <t>Rue3</t>
  </si>
  <si>
    <t>Rue4</t>
  </si>
  <si>
    <t>Rue5</t>
  </si>
  <si>
    <t>Rue6</t>
  </si>
  <si>
    <t>Rue7</t>
  </si>
  <si>
    <t>Rue8</t>
  </si>
  <si>
    <t>Rue9</t>
  </si>
  <si>
    <t>Rue10</t>
  </si>
  <si>
    <t>Rue11</t>
  </si>
  <si>
    <t>Rue12</t>
  </si>
  <si>
    <t>Rue13</t>
  </si>
  <si>
    <t>Rue14</t>
  </si>
  <si>
    <t>Rue15</t>
  </si>
  <si>
    <t>Rue16</t>
  </si>
  <si>
    <t>Rue17</t>
  </si>
  <si>
    <t>Rue18</t>
  </si>
  <si>
    <t>Rue19</t>
  </si>
  <si>
    <t>Rue20</t>
  </si>
  <si>
    <t>Rue21</t>
  </si>
  <si>
    <t>Rue22</t>
  </si>
  <si>
    <t>Rue23</t>
  </si>
  <si>
    <t>Rue24</t>
  </si>
  <si>
    <t>Rue25</t>
  </si>
  <si>
    <t>Rue26</t>
  </si>
  <si>
    <t>Rue27</t>
  </si>
  <si>
    <t>Rue28</t>
  </si>
  <si>
    <t>Rue29</t>
  </si>
  <si>
    <t>Rue30</t>
  </si>
  <si>
    <t>Rue31</t>
  </si>
  <si>
    <t>Rue32</t>
  </si>
  <si>
    <t>Rue33</t>
  </si>
  <si>
    <t>Rue34</t>
  </si>
  <si>
    <t>Rue35</t>
  </si>
  <si>
    <t>Rue36</t>
  </si>
  <si>
    <t>Rue37</t>
  </si>
  <si>
    <t>Rue38</t>
  </si>
  <si>
    <t>Rue39</t>
  </si>
  <si>
    <t>Rue40</t>
  </si>
  <si>
    <t>Rue41</t>
  </si>
  <si>
    <t>Rue42</t>
  </si>
  <si>
    <t>Rue43</t>
  </si>
  <si>
    <t>Rue44</t>
  </si>
  <si>
    <t>Rue45</t>
  </si>
  <si>
    <t>Rue46</t>
  </si>
  <si>
    <t>Rue47</t>
  </si>
  <si>
    <t>Rue48</t>
  </si>
  <si>
    <t>Rue49</t>
  </si>
  <si>
    <t>Rue50</t>
  </si>
  <si>
    <t>Rue51</t>
  </si>
  <si>
    <t>Rue52</t>
  </si>
  <si>
    <t>Rue53</t>
  </si>
  <si>
    <t>Rue54</t>
  </si>
  <si>
    <t>Rue55</t>
  </si>
  <si>
    <t>Rue56</t>
  </si>
  <si>
    <t>Rue57</t>
  </si>
  <si>
    <t>Rue58</t>
  </si>
  <si>
    <t>Rue59</t>
  </si>
  <si>
    <t>Rue60</t>
  </si>
  <si>
    <t>Rue61</t>
  </si>
  <si>
    <t>Rue62</t>
  </si>
  <si>
    <t>Rue63</t>
  </si>
  <si>
    <t>Rue64</t>
  </si>
  <si>
    <t>Rue65</t>
  </si>
  <si>
    <t>Rue66</t>
  </si>
  <si>
    <t>Rue67</t>
  </si>
  <si>
    <t>Rue68</t>
  </si>
  <si>
    <t>Rue69</t>
  </si>
  <si>
    <t>Rue70</t>
  </si>
  <si>
    <t>Rue71</t>
  </si>
  <si>
    <t>Rue72</t>
  </si>
  <si>
    <t>Rue73</t>
  </si>
  <si>
    <t>Rue74</t>
  </si>
  <si>
    <t>Rue75</t>
  </si>
  <si>
    <t>Là 1002</t>
  </si>
  <si>
    <t>Là 1003</t>
  </si>
  <si>
    <t>Là 1004</t>
  </si>
  <si>
    <t>Là 1005</t>
  </si>
  <si>
    <t>Là 1006</t>
  </si>
  <si>
    <t>Là 1007</t>
  </si>
  <si>
    <t>Là 1008</t>
  </si>
  <si>
    <t>Là 1009</t>
  </si>
  <si>
    <t>Là 1010</t>
  </si>
  <si>
    <t>Là 1011</t>
  </si>
  <si>
    <t>Là 1012</t>
  </si>
  <si>
    <t>Là 1013</t>
  </si>
  <si>
    <t>Là 1014</t>
  </si>
  <si>
    <t>Là 1015</t>
  </si>
  <si>
    <t>Là 1016</t>
  </si>
  <si>
    <t>Là 1017</t>
  </si>
  <si>
    <t>Là 1018</t>
  </si>
  <si>
    <t>Là 1019</t>
  </si>
  <si>
    <t>Là 1020</t>
  </si>
  <si>
    <t>Là 1021</t>
  </si>
  <si>
    <t>Là 1022</t>
  </si>
  <si>
    <t>Là 1023</t>
  </si>
  <si>
    <t>Là 1024</t>
  </si>
  <si>
    <t>Là 1025</t>
  </si>
  <si>
    <t>Là 1026</t>
  </si>
  <si>
    <t>Là 1027</t>
  </si>
  <si>
    <t>Là 1028</t>
  </si>
  <si>
    <t>Là 1029</t>
  </si>
  <si>
    <t>Là 1030</t>
  </si>
  <si>
    <t>Là 1031</t>
  </si>
  <si>
    <t>Là 1032</t>
  </si>
  <si>
    <t>Là 1033</t>
  </si>
  <si>
    <t>Là 1034</t>
  </si>
  <si>
    <t>Là 1035</t>
  </si>
  <si>
    <t>Là 1036</t>
  </si>
  <si>
    <t>Là 1037</t>
  </si>
  <si>
    <t>Là 1038</t>
  </si>
  <si>
    <t>Là 1039</t>
  </si>
  <si>
    <t>Là 1040</t>
  </si>
  <si>
    <t>Là 1041</t>
  </si>
  <si>
    <t>Là 1042</t>
  </si>
  <si>
    <t>Là 1043</t>
  </si>
  <si>
    <t>Là 1044</t>
  </si>
  <si>
    <t>Là 1045</t>
  </si>
  <si>
    <t>Là 1046</t>
  </si>
  <si>
    <t>Là 1047</t>
  </si>
  <si>
    <t>Là 1048</t>
  </si>
  <si>
    <t>Là 1049</t>
  </si>
  <si>
    <t>Là 1050</t>
  </si>
  <si>
    <t>Là 1051</t>
  </si>
  <si>
    <t>Là 1052</t>
  </si>
  <si>
    <t>Là 1053</t>
  </si>
  <si>
    <t>Là 1054</t>
  </si>
  <si>
    <t>Là 1055</t>
  </si>
  <si>
    <t>Là 1056</t>
  </si>
  <si>
    <t>Là 1057</t>
  </si>
  <si>
    <t>Là 1058</t>
  </si>
  <si>
    <t>Là 1059</t>
  </si>
  <si>
    <t>Là 1060</t>
  </si>
  <si>
    <t>Là 1061</t>
  </si>
  <si>
    <t>Là 1062</t>
  </si>
  <si>
    <t>Là 1063</t>
  </si>
  <si>
    <t>Là 1064</t>
  </si>
  <si>
    <t>Là 1065</t>
  </si>
  <si>
    <t>Là 1066</t>
  </si>
  <si>
    <t>Là 1067</t>
  </si>
  <si>
    <t>Là 1068</t>
  </si>
  <si>
    <t>Là 1069</t>
  </si>
  <si>
    <t>Là 1070</t>
  </si>
  <si>
    <t>Là 1071</t>
  </si>
  <si>
    <t>Là 1072</t>
  </si>
  <si>
    <t>Là 1073</t>
  </si>
  <si>
    <t>Là 1074</t>
  </si>
  <si>
    <t>Là 1075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</si>
  <si>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</si>
  <si>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</si>
  <si>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</si>
  <si>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</si>
  <si>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</si>
  <si>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</si>
  <si>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</si>
  <si>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</si>
  <si>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</si>
  <si>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</si>
  <si>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</si>
  <si>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</si>
  <si>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</si>
  <si>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</si>
  <si>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</si>
  <si>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</si>
  <si>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</si>
  <si>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</si>
  <si>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</si>
  <si>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</si>
  <si>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</si>
  <si>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</si>
  <si>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</si>
  <si>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</si>
  <si>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</si>
  <si>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</si>
  <si>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</si>
  <si>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</si>
  <si>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</si>
  <si>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</si>
  <si>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</si>
  <si>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</si>
  <si>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</si>
  <si>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</si>
  <si>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</si>
  <si>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</si>
  <si>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</si>
  <si>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</si>
  <si>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</si>
  <si>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</si>
  <si>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</si>
  <si>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</si>
  <si>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</si>
  <si>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</si>
  <si>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</si>
  <si>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</si>
  <si>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</si>
  <si>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</si>
  <si>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</si>
  <si>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</si>
  <si>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</si>
  <si>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</si>
  <si>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</si>
  <si>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</si>
  <si>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</si>
  <si>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</si>
  <si>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</si>
  <si>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</si>
  <si>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</si>
  <si>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</si>
  <si>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</si>
  <si>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</si>
  <si>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</si>
  <si>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</si>
  <si>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</si>
  <si>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Popol0002</t>
  </si>
  <si>
    <t>Popol0003</t>
  </si>
  <si>
    <t>Popol0004</t>
  </si>
  <si>
    <t>Popol0005</t>
  </si>
  <si>
    <t>Popol0006</t>
  </si>
  <si>
    <t>Popol0007</t>
  </si>
  <si>
    <t>Popol0008</t>
  </si>
  <si>
    <t>Popol0009</t>
  </si>
  <si>
    <t>Popol0010</t>
  </si>
  <si>
    <t>Popol0011</t>
  </si>
  <si>
    <t>Popol0012</t>
  </si>
  <si>
    <t>Popol0013</t>
  </si>
  <si>
    <t>Popol0014</t>
  </si>
  <si>
    <t>Popol0015</t>
  </si>
  <si>
    <t>Popol0016</t>
  </si>
  <si>
    <t>Popol0017</t>
  </si>
  <si>
    <t>Popol0018</t>
  </si>
  <si>
    <t>Popol0019</t>
  </si>
  <si>
    <t>Popol0020</t>
  </si>
  <si>
    <t>Popol0021</t>
  </si>
  <si>
    <t>Popol0022</t>
  </si>
  <si>
    <t>Popol0023</t>
  </si>
  <si>
    <t>Popol0024</t>
  </si>
  <si>
    <t>Popol0025</t>
  </si>
  <si>
    <t>Popol0026</t>
  </si>
  <si>
    <t>Popol0027</t>
  </si>
  <si>
    <t>Popol0028</t>
  </si>
  <si>
    <t>Popol0029</t>
  </si>
  <si>
    <t>Popol0030</t>
  </si>
  <si>
    <t>Popol0031</t>
  </si>
  <si>
    <t>Popol0032</t>
  </si>
  <si>
    <t>Popol0033</t>
  </si>
  <si>
    <t>Popol0034</t>
  </si>
  <si>
    <t>Popol0035</t>
  </si>
  <si>
    <t>Popol0036</t>
  </si>
  <si>
    <t>Popol0037</t>
  </si>
  <si>
    <t>Popol0038</t>
  </si>
  <si>
    <t>Popol0039</t>
  </si>
  <si>
    <t>Popol0040</t>
  </si>
  <si>
    <t>Popol0041</t>
  </si>
  <si>
    <t>Popol0042</t>
  </si>
  <si>
    <t>Popol0043</t>
  </si>
  <si>
    <t>Popol0044</t>
  </si>
  <si>
    <t>Popol0045</t>
  </si>
  <si>
    <t>Popol0046</t>
  </si>
  <si>
    <t>Popol0047</t>
  </si>
  <si>
    <t>Popol0048</t>
  </si>
  <si>
    <t>Popol0049</t>
  </si>
  <si>
    <t>Popol0050</t>
  </si>
  <si>
    <t>Popol0051</t>
  </si>
  <si>
    <t>Popol0052</t>
  </si>
  <si>
    <t>Popol0053</t>
  </si>
  <si>
    <t>Popol0054</t>
  </si>
  <si>
    <t>Popol0055</t>
  </si>
  <si>
    <t>Popol0056</t>
  </si>
  <si>
    <t>Popol0057</t>
  </si>
  <si>
    <t>Popol0058</t>
  </si>
  <si>
    <t>Popol0059</t>
  </si>
  <si>
    <t>Popol0060</t>
  </si>
  <si>
    <t>Popol0061</t>
  </si>
  <si>
    <t>Popol0062</t>
  </si>
  <si>
    <t>Popol0063</t>
  </si>
  <si>
    <t>Popol0064</t>
  </si>
  <si>
    <t>Popol0065</t>
  </si>
  <si>
    <t>Popol0066</t>
  </si>
  <si>
    <t>Popol0067</t>
  </si>
  <si>
    <t>Popol0068</t>
  </si>
  <si>
    <t>Popol0069</t>
  </si>
  <si>
    <t>Popol0070</t>
  </si>
  <si>
    <t>Popol0071</t>
  </si>
  <si>
    <t>Popol0072</t>
  </si>
  <si>
    <t>Popol0073</t>
  </si>
  <si>
    <t>Popol0074</t>
  </si>
  <si>
    <t>Popol0075</t>
  </si>
  <si>
    <t>Gamin02</t>
  </si>
  <si>
    <t>Gamin03</t>
  </si>
  <si>
    <t>Gamin04</t>
  </si>
  <si>
    <t>Gamin05</t>
  </si>
  <si>
    <t>Gamin06</t>
  </si>
  <si>
    <t>Gamin07</t>
  </si>
  <si>
    <t>Gamin08</t>
  </si>
  <si>
    <t>Gamin09</t>
  </si>
  <si>
    <t>Gamin10</t>
  </si>
  <si>
    <t>Gamin11</t>
  </si>
  <si>
    <t>Gamin12</t>
  </si>
  <si>
    <t>Gamin13</t>
  </si>
  <si>
    <t>Gamin14</t>
  </si>
  <si>
    <t>Gamin15</t>
  </si>
  <si>
    <t>Gamin16</t>
  </si>
  <si>
    <t>Gamin17</t>
  </si>
  <si>
    <t>Gamin18</t>
  </si>
  <si>
    <t>Gamin19</t>
  </si>
  <si>
    <t>Gamin20</t>
  </si>
  <si>
    <t>Gamin21</t>
  </si>
  <si>
    <t>Gamin22</t>
  </si>
  <si>
    <t>Gamin23</t>
  </si>
  <si>
    <t>Gamin24</t>
  </si>
  <si>
    <t>Gamin25</t>
  </si>
  <si>
    <t>Gamin26</t>
  </si>
  <si>
    <t>Gamin27</t>
  </si>
  <si>
    <t>Gamin28</t>
  </si>
  <si>
    <t>Gamin29</t>
  </si>
  <si>
    <t>Gamin30</t>
  </si>
  <si>
    <t>Gamin31</t>
  </si>
  <si>
    <t>Gamin32</t>
  </si>
  <si>
    <t>Gamin33</t>
  </si>
  <si>
    <t>Gamin34</t>
  </si>
  <si>
    <t>Gamin35</t>
  </si>
  <si>
    <t>Gamin36</t>
  </si>
  <si>
    <t>Gamin37</t>
  </si>
  <si>
    <t>Gamin38</t>
  </si>
  <si>
    <t>Gamin39</t>
  </si>
  <si>
    <t>Gamin40</t>
  </si>
  <si>
    <t>Gamin41</t>
  </si>
  <si>
    <t>Gamin42</t>
  </si>
  <si>
    <t>Gamin43</t>
  </si>
  <si>
    <t>Gamin44</t>
  </si>
  <si>
    <t>Gamin45</t>
  </si>
  <si>
    <t>Gamin46</t>
  </si>
  <si>
    <t>Gamin47</t>
  </si>
  <si>
    <t>Gamin48</t>
  </si>
  <si>
    <t>Gamin49</t>
  </si>
  <si>
    <t>Gamin50</t>
  </si>
  <si>
    <t>Gamin51</t>
  </si>
  <si>
    <t>Gamin52</t>
  </si>
  <si>
    <t>Gamin53</t>
  </si>
  <si>
    <t>Gamin54</t>
  </si>
  <si>
    <t>Gamin55</t>
  </si>
  <si>
    <t>Gamin56</t>
  </si>
  <si>
    <t>Gamin57</t>
  </si>
  <si>
    <t>Gamin58</t>
  </si>
  <si>
    <t>Gamin59</t>
  </si>
  <si>
    <t>Gamin60</t>
  </si>
  <si>
    <t>Gamin61</t>
  </si>
  <si>
    <t>Gamin62</t>
  </si>
  <si>
    <t>Gamin63</t>
  </si>
  <si>
    <t>Gamin64</t>
  </si>
  <si>
    <t>Gamin65</t>
  </si>
  <si>
    <t>Gamin66</t>
  </si>
  <si>
    <t>Gamin67</t>
  </si>
  <si>
    <t>Gamin68</t>
  </si>
  <si>
    <t>Gamin69</t>
  </si>
  <si>
    <t>Gamin70</t>
  </si>
  <si>
    <t>Gamin71</t>
  </si>
  <si>
    <t>Gamin72</t>
  </si>
  <si>
    <t>Gamin73</t>
  </si>
  <si>
    <t>Gamin74</t>
  </si>
  <si>
    <t>Gamin75</t>
  </si>
  <si>
    <t>123456 123 12</t>
  </si>
  <si>
    <t>123456 123 13</t>
  </si>
  <si>
    <t>123456 123 14</t>
  </si>
  <si>
    <t>123456 123 15</t>
  </si>
  <si>
    <t>123456 123 16</t>
  </si>
  <si>
    <t>123456 123 17</t>
  </si>
  <si>
    <t>123456 123 18</t>
  </si>
  <si>
    <t>123456 123 19</t>
  </si>
  <si>
    <t>123456 123 20</t>
  </si>
  <si>
    <t>123456 123 21</t>
  </si>
  <si>
    <t>123456 123 22</t>
  </si>
  <si>
    <t>123456 123 23</t>
  </si>
  <si>
    <t>123456 123 24</t>
  </si>
  <si>
    <t>123456 123 25</t>
  </si>
  <si>
    <t>123456 123 26</t>
  </si>
  <si>
    <t>123456 123 27</t>
  </si>
  <si>
    <t>123456 123 28</t>
  </si>
  <si>
    <t>123456 123 29</t>
  </si>
  <si>
    <t>123456 123 30</t>
  </si>
  <si>
    <t>123456 123 31</t>
  </si>
  <si>
    <t>123456 123 32</t>
  </si>
  <si>
    <t>123456 123 33</t>
  </si>
  <si>
    <t>123456 123 34</t>
  </si>
  <si>
    <t>123456 123 35</t>
  </si>
  <si>
    <t>123456 123 36</t>
  </si>
  <si>
    <t>123456 123 37</t>
  </si>
  <si>
    <t>123456 123 38</t>
  </si>
  <si>
    <t>123456 123 39</t>
  </si>
  <si>
    <t>123456 123 40</t>
  </si>
  <si>
    <t>123456 123 41</t>
  </si>
  <si>
    <t>123456 123 42</t>
  </si>
  <si>
    <t>123456 123 43</t>
  </si>
  <si>
    <t>123456 123 44</t>
  </si>
  <si>
    <t>123456 123 45</t>
  </si>
  <si>
    <t>123456 123 46</t>
  </si>
  <si>
    <t>123456 123 47</t>
  </si>
  <si>
    <t>123456 123 48</t>
  </si>
  <si>
    <t>123456 123 49</t>
  </si>
  <si>
    <t>123456 123 50</t>
  </si>
  <si>
    <t>123456 123 51</t>
  </si>
  <si>
    <t>123456 123 52</t>
  </si>
  <si>
    <t>123456 123 53</t>
  </si>
  <si>
    <t>123456 123 54</t>
  </si>
  <si>
    <t>123456 123 55</t>
  </si>
  <si>
    <t>123456 123 56</t>
  </si>
  <si>
    <t>123456 123 57</t>
  </si>
  <si>
    <t>123456 123 58</t>
  </si>
  <si>
    <t>123456 123 59</t>
  </si>
  <si>
    <t>123456 123 60</t>
  </si>
  <si>
    <t>123456 123 61</t>
  </si>
  <si>
    <t>123456 123 62</t>
  </si>
  <si>
    <t>123456 123 63</t>
  </si>
  <si>
    <t>123456 123 64</t>
  </si>
  <si>
    <t>123456 123 65</t>
  </si>
  <si>
    <t>123456 123 66</t>
  </si>
  <si>
    <t>123456 123 67</t>
  </si>
  <si>
    <t>123456 123 68</t>
  </si>
  <si>
    <t>123456 123 69</t>
  </si>
  <si>
    <t>123456 123 70</t>
  </si>
  <si>
    <t>123456 123 71</t>
  </si>
  <si>
    <t>123456 123 72</t>
  </si>
  <si>
    <t>123456 123 73</t>
  </si>
  <si>
    <t>123456 123 74</t>
  </si>
  <si>
    <t>123456 123 75</t>
  </si>
  <si>
    <t>123456 123 76</t>
  </si>
  <si>
    <t>123456 123 77</t>
  </si>
  <si>
    <t>123456 123 78</t>
  </si>
  <si>
    <t>123456 123 79</t>
  </si>
  <si>
    <t>123456 123 80</t>
  </si>
  <si>
    <t>123456 123 81</t>
  </si>
  <si>
    <t>123456 123 82</t>
  </si>
  <si>
    <t>123456 123 83</t>
  </si>
  <si>
    <t>123456 123 84</t>
  </si>
  <si>
    <t>123456 123 85</t>
  </si>
  <si>
    <t>Alpha2</t>
  </si>
  <si>
    <t>Alpha3</t>
  </si>
  <si>
    <t>Alpha4</t>
  </si>
  <si>
    <t>Alpha5</t>
  </si>
  <si>
    <t>Alpha6</t>
  </si>
  <si>
    <t>Alpha7</t>
  </si>
  <si>
    <t>Alpha8</t>
  </si>
  <si>
    <t>Alpha9</t>
  </si>
  <si>
    <t>Alpha10</t>
  </si>
  <si>
    <t>Alpha11</t>
  </si>
  <si>
    <t>Alpha12</t>
  </si>
  <si>
    <t>Alpha13</t>
  </si>
  <si>
    <t>Alpha14</t>
  </si>
  <si>
    <t>Alpha15</t>
  </si>
  <si>
    <t>Alpha16</t>
  </si>
  <si>
    <t>Alpha17</t>
  </si>
  <si>
    <t>Alpha18</t>
  </si>
  <si>
    <t>Alpha19</t>
  </si>
  <si>
    <t>Alpha20</t>
  </si>
  <si>
    <t>Alpha21</t>
  </si>
  <si>
    <t>Alpha22</t>
  </si>
  <si>
    <t>Alpha23</t>
  </si>
  <si>
    <t>Alpha24</t>
  </si>
  <si>
    <t>Alpha25</t>
  </si>
  <si>
    <t>Alpha26</t>
  </si>
  <si>
    <t>Alpha27</t>
  </si>
  <si>
    <t>Alpha28</t>
  </si>
  <si>
    <t>Alpha29</t>
  </si>
  <si>
    <t>Alpha30</t>
  </si>
  <si>
    <t>Alpha31</t>
  </si>
  <si>
    <t>Alpha32</t>
  </si>
  <si>
    <t>Alpha33</t>
  </si>
  <si>
    <t>Alpha34</t>
  </si>
  <si>
    <t>Alpha35</t>
  </si>
  <si>
    <t>Alpha36</t>
  </si>
  <si>
    <t>Alpha37</t>
  </si>
  <si>
    <t>Alpha38</t>
  </si>
  <si>
    <t>Alpha39</t>
  </si>
  <si>
    <t>Alpha40</t>
  </si>
  <si>
    <t>Alpha41</t>
  </si>
  <si>
    <t>Alpha42</t>
  </si>
  <si>
    <t>Alpha43</t>
  </si>
  <si>
    <t>Alpha44</t>
  </si>
  <si>
    <t>Alpha45</t>
  </si>
  <si>
    <t>Alpha46</t>
  </si>
  <si>
    <t>Alpha47</t>
  </si>
  <si>
    <t>Alpha48</t>
  </si>
  <si>
    <t>Alpha49</t>
  </si>
  <si>
    <t>Alpha50</t>
  </si>
  <si>
    <t>Alpha51</t>
  </si>
  <si>
    <t>Alpha52</t>
  </si>
  <si>
    <t>Alpha53</t>
  </si>
  <si>
    <t>Alpha54</t>
  </si>
  <si>
    <t>Alpha55</t>
  </si>
  <si>
    <t>Alpha56</t>
  </si>
  <si>
    <t>Alpha57</t>
  </si>
  <si>
    <t>Alpha58</t>
  </si>
  <si>
    <t>Alpha59</t>
  </si>
  <si>
    <t>Alpha60</t>
  </si>
  <si>
    <t>Alpha61</t>
  </si>
  <si>
    <t>Alpha62</t>
  </si>
  <si>
    <t>Alpha63</t>
  </si>
  <si>
    <t>Alpha64</t>
  </si>
  <si>
    <t>Alpha65</t>
  </si>
  <si>
    <t>Alpha66</t>
  </si>
  <si>
    <t>Alpha67</t>
  </si>
  <si>
    <t>Alpha68</t>
  </si>
  <si>
    <t>Alpha69</t>
  </si>
  <si>
    <t>Alpha70</t>
  </si>
  <si>
    <t>Alpha71</t>
  </si>
  <si>
    <t>Alpha72</t>
  </si>
  <si>
    <t>Alpha73</t>
  </si>
  <si>
    <t>Alpha74</t>
  </si>
  <si>
    <t>Alpha75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</si>
</sst>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0.00_ ;[Red]\-0.00\ "/>
  </numFmts>
  <fonts count="6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medium">
        <color auto="1"/>
      </bottom>
      <diagonal/>
    </border>
    <border>
      <left/>
      <right style="dotted">
        <color indexed="64"/>
      </right>
      <top style="medium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medium">
        <color auto="1"/>
      </bottom>
      <diagonal/>
    </border>
    <border>
      <left style="dotted">
        <color indexed="64"/>
      </left>
      <right/>
      <top style="medium">
        <color auto="1"/>
      </top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3"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applyFill="1" applyAlignment="1">
      <alignment horizontal="center"/>
    </xf>
    <xf numFmtId="0" fontId="0" fillId="3" borderId="0" xfId="0" applyFill="1" applyAlignment="1">
      <alignment horizontal="center"/>
    </xf>
    <xf numFmtId="49" fontId="0" fillId="3" borderId="0" xfId="0" applyNumberFormat="1" applyFill="1" applyAlignment="1">
      <alignment horizontal="center"/>
    </xf>
    <xf numFmtId="0" fontId="0" fillId="2" borderId="0" xfId="0" applyFill="1"/>
    <xf numFmtId="164" fontId="0" fillId="2" borderId="0" xfId="0" applyNumberFormat="1" applyFill="1"/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2" fontId="0" fillId="3" borderId="0" xfId="0" applyNumberFormat="1" applyFill="1" applyAlignment="1">
      <alignment horizontal="left"/>
    </xf>
    <xf numFmtId="2" fontId="0" fillId="2" borderId="0" xfId="0" applyNumberFormat="1" applyFill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14" fontId="0" fillId="0" borderId="0" xfId="0" applyNumberFormat="1" applyBorder="1"/>
    <xf numFmtId="0" fontId="0" fillId="0" borderId="6" xfId="0" applyBorder="1"/>
    <xf numFmtId="0" fontId="0" fillId="0" borderId="7" xfId="0" applyBorder="1"/>
    <xf numFmtId="14" fontId="0" fillId="0" borderId="7" xfId="0" applyNumberFormat="1" applyBorder="1"/>
    <xf numFmtId="0" fontId="0" fillId="0" borderId="8" xfId="0" applyBorder="1"/>
    <xf numFmtId="0" fontId="3" fillId="0" borderId="0" xfId="0" applyFont="1" applyBorder="1"/>
    <xf numFmtId="0" fontId="4" fillId="0" borderId="0" xfId="0" applyFont="1"/>
    <xf numFmtId="0" fontId="0" fillId="0" borderId="9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9" xfId="0" applyBorder="1"/>
    <xf numFmtId="0" fontId="0" fillId="0" borderId="14" xfId="0" applyBorder="1" applyAlignment="1">
      <alignment horizontal="center"/>
    </xf>
    <xf numFmtId="0" fontId="0" fillId="0" borderId="0" xfId="0" applyFill="1"/>
    <xf numFmtId="0" fontId="0" fillId="2" borderId="9" xfId="0" applyFill="1" applyBorder="1"/>
    <xf numFmtId="8" fontId="0" fillId="0" borderId="5" xfId="0" applyNumberFormat="1" applyBorder="1"/>
    <xf numFmtId="0" fontId="0" fillId="2" borderId="5" xfId="0" applyFill="1" applyBorder="1"/>
    <xf numFmtId="8" fontId="0" fillId="0" borderId="8" xfId="0" applyNumberFormat="1" applyBorder="1"/>
    <xf numFmtId="0" fontId="0" fillId="0" borderId="15" xfId="0" applyBorder="1"/>
    <xf numFmtId="0" fontId="0" fillId="0" borderId="16" xfId="0" applyBorder="1"/>
    <xf numFmtId="0" fontId="0" fillId="2" borderId="16" xfId="0" applyFill="1" applyBorder="1"/>
    <xf numFmtId="0" fontId="0" fillId="0" borderId="17" xfId="0" applyBorder="1"/>
    <xf numFmtId="0" fontId="0" fillId="0" borderId="0" xfId="0" applyBorder="1" applyAlignment="1">
      <alignment horizontal="center"/>
    </xf>
    <xf numFmtId="0" fontId="0" fillId="2" borderId="4" xfId="0" applyFill="1" applyBorder="1"/>
    <xf numFmtId="0" fontId="0" fillId="2" borderId="19" xfId="0" applyFill="1" applyBorder="1"/>
    <xf numFmtId="0" fontId="0" fillId="0" borderId="0" xfId="0" applyBorder="1" applyAlignment="1"/>
    <xf numFmtId="0" fontId="0" fillId="0" borderId="5" xfId="0" applyBorder="1" applyAlignment="1"/>
    <xf numFmtId="17" fontId="0" fillId="0" borderId="0" xfId="0" applyNumberForma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0" fillId="0" borderId="0" xfId="0" applyAlignment="1">
      <alignment horizontal="right"/>
    </xf>
    <xf numFmtId="2" fontId="0" fillId="2" borderId="0" xfId="0" applyNumberFormat="1" applyFill="1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0" fillId="0" borderId="7" xfId="0" applyBorder="1" applyAlignment="1">
      <alignment horizontal="right"/>
    </xf>
    <xf numFmtId="0" fontId="0" fillId="0" borderId="0" xfId="0" applyBorder="1" applyAlignment="1">
      <alignment horizontal="right"/>
    </xf>
    <xf numFmtId="0" fontId="5" fillId="0" borderId="0" xfId="0" applyFont="1" applyAlignment="1">
      <alignment horizontal="left"/>
    </xf>
    <xf numFmtId="0" fontId="0" fillId="0" borderId="24" xfId="0" applyBorder="1"/>
    <xf numFmtId="0" fontId="0" fillId="0" borderId="0" xfId="0" applyNumberFormat="1" applyBorder="1" applyAlignment="1">
      <alignment horizontal="left"/>
    </xf>
    <xf numFmtId="0" fontId="0" fillId="0" borderId="5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4" xfId="0" applyBorder="1" applyAlignment="1">
      <alignment horizontal="left" shrinkToFit="1"/>
    </xf>
    <xf numFmtId="0" fontId="0" fillId="0" borderId="0" xfId="0" applyBorder="1" applyAlignment="1">
      <alignment horizontal="left" shrinkToFit="1"/>
    </xf>
    <xf numFmtId="14" fontId="0" fillId="0" borderId="0" xfId="0" applyNumberFormat="1" applyBorder="1" applyAlignment="1">
      <alignment horizontal="left"/>
    </xf>
    <xf numFmtId="8" fontId="0" fillId="0" borderId="22" xfId="0" applyNumberFormat="1" applyBorder="1" applyAlignment="1">
      <alignment horizontal="right"/>
    </xf>
    <xf numFmtId="8" fontId="0" fillId="0" borderId="5" xfId="0" applyNumberFormat="1" applyBorder="1" applyAlignment="1">
      <alignment horizontal="right"/>
    </xf>
    <xf numFmtId="0" fontId="3" fillId="0" borderId="4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1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center"/>
    </xf>
    <xf numFmtId="0" fontId="0" fillId="0" borderId="19" xfId="0" applyBorder="1" applyAlignment="1">
      <alignment horizontal="center"/>
    </xf>
    <xf numFmtId="8" fontId="0" fillId="0" borderId="23" xfId="0" applyNumberFormat="1" applyBorder="1" applyAlignment="1">
      <alignment horizontal="right"/>
    </xf>
    <xf numFmtId="8" fontId="0" fillId="0" borderId="8" xfId="0" applyNumberFormat="1" applyBorder="1" applyAlignment="1">
      <alignment horizontal="right"/>
    </xf>
    <xf numFmtId="0" fontId="0" fillId="0" borderId="22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2" borderId="22" xfId="0" applyFill="1" applyBorder="1" applyAlignment="1">
      <alignment horizontal="right"/>
    </xf>
    <xf numFmtId="0" fontId="0" fillId="2" borderId="5" xfId="0" applyFill="1" applyBorder="1" applyAlignment="1">
      <alignment horizontal="right"/>
    </xf>
    <xf numFmtId="0" fontId="0" fillId="0" borderId="0" xfId="0" applyAlignment="1">
      <alignment horizontal="left"/>
    </xf>
    <xf numFmtId="0" fontId="0" fillId="0" borderId="6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J75"/>
  <sheetViews>
    <sheetView workbookViewId="0">
      <pane ySplit="1" topLeftCell="A2" activePane="bottomLeft" state="frozen"/>
      <selection pane="bottomLeft" activeCell="O2" sqref="O2"/>
    </sheetView>
  </sheetViews>
  <sheetFormatPr baseColWidth="10" defaultRowHeight="14.4" x14ac:dyDescent="0.3"/>
  <cols>
    <col min="1" max="1" width="11.88671875" style="10" customWidth="1"/>
    <col min="2" max="2" width="21" style="10" customWidth="1"/>
    <col min="3" max="3" width="32.6640625" bestFit="1" customWidth="1"/>
    <col min="4" max="4" width="22.6640625" bestFit="1" customWidth="1"/>
    <col min="5" max="5" width="15.44140625" style="1" customWidth="1"/>
    <col min="6" max="6" width="10" style="15" customWidth="1"/>
    <col min="7" max="7" width="23.33203125" bestFit="1" customWidth="1"/>
    <col min="8" max="8" width="10.33203125" style="10" bestFit="1" customWidth="1"/>
    <col min="9" max="9" width="9.77734375" style="10" customWidth="1"/>
    <col min="10" max="10" width="14.88671875" bestFit="1" customWidth="1"/>
    <col min="11" max="11" width="16" style="15" customWidth="1"/>
    <col min="12" max="12" width="27.109375" bestFit="1" customWidth="1"/>
    <col min="13" max="13" width="7.88671875" style="15" customWidth="1"/>
    <col min="14" max="14" width="14.109375" style="15" customWidth="1"/>
    <col min="15" max="15" width="14.21875" style="15" customWidth="1"/>
    <col min="16" max="16" width="12.109375" style="15" customWidth="1"/>
    <col min="17" max="17" width="16.88671875" style="15" customWidth="1"/>
    <col min="18" max="18" width="9" style="15" customWidth="1"/>
    <col min="19" max="19" width="13.88671875" style="15" customWidth="1"/>
    <col min="20" max="20" width="14.5546875" style="15" customWidth="1"/>
    <col min="21" max="21" width="9.88671875" style="18" customWidth="1"/>
    <col min="22" max="22" width="15.5546875" bestFit="1" customWidth="1"/>
    <col min="23" max="23" width="9.21875" customWidth="1"/>
    <col min="24" max="24" width="14.77734375" customWidth="1"/>
    <col min="25" max="25" width="13" customWidth="1"/>
    <col min="26" max="35" width="11.77734375" style="10" customWidth="1"/>
    <col min="36" max="36" width="15.5546875" style="10" customWidth="1"/>
    <col min="37" max="37" width="12.77734375" style="13" customWidth="1"/>
    <col min="38" max="38" width="16.6640625" style="10" customWidth="1"/>
    <col min="39" max="39" width="15.109375" customWidth="1"/>
    <col min="40" max="40" width="12.77734375" customWidth="1"/>
    <col min="41" max="44" width="15.77734375" customWidth="1"/>
    <col min="45" max="45" width="12.77734375" customWidth="1"/>
    <col min="46" max="49" width="15.77734375" customWidth="1"/>
    <col min="50" max="50" width="13.5546875" customWidth="1"/>
    <col min="51" max="51" width="12.88671875" style="3" customWidth="1"/>
    <col min="52" max="52" width="17.33203125" style="3" customWidth="1"/>
    <col min="53" max="53" width="14.88671875" customWidth="1"/>
    <col min="54" max="54" width="14.21875" customWidth="1"/>
    <col min="55" max="55" width="13.44140625" customWidth="1"/>
    <col min="56" max="56" width="12.88671875" customWidth="1"/>
    <col min="57" max="57" width="13.44140625" customWidth="1"/>
    <col min="58" max="58" width="15" customWidth="1"/>
    <col min="59" max="59" width="14.77734375" customWidth="1"/>
    <col min="60" max="60" width="14.5546875" customWidth="1"/>
    <col min="61" max="61" width="13.21875" customWidth="1"/>
    <col min="62" max="62" width="15.21875" customWidth="1"/>
  </cols>
  <sheetData>
    <row r="1" spans="1:62" s="4" customFormat="1" x14ac:dyDescent="0.3">
      <c r="A1" s="9" t="s">
        <v>13</v>
      </c>
      <c r="B1" s="5" t="s">
        <v>14</v>
      </c>
      <c r="C1" s="5" t="s">
        <v>15</v>
      </c>
      <c r="D1" s="5" t="s">
        <v>16</v>
      </c>
      <c r="E1" s="6" t="s">
        <v>17</v>
      </c>
      <c r="F1" s="9" t="s">
        <v>18</v>
      </c>
      <c r="G1" s="5" t="s">
        <v>19</v>
      </c>
      <c r="H1" s="9" t="s">
        <v>20</v>
      </c>
      <c r="I1" s="9" t="s">
        <v>21</v>
      </c>
      <c r="J1" s="5" t="s">
        <v>22</v>
      </c>
      <c r="K1" s="9" t="s">
        <v>23</v>
      </c>
      <c r="L1" s="5" t="s">
        <v>24</v>
      </c>
      <c r="M1" s="9" t="s">
        <v>25</v>
      </c>
      <c r="N1" s="9" t="s">
        <v>26</v>
      </c>
      <c r="O1" s="9" t="s">
        <v>27</v>
      </c>
      <c r="P1" s="9" t="s">
        <v>28</v>
      </c>
      <c r="Q1" s="9" t="s">
        <v>29</v>
      </c>
      <c r="R1" s="9" t="s">
        <v>30</v>
      </c>
      <c r="S1" s="9" t="s">
        <v>73</v>
      </c>
      <c r="T1" s="9" t="s">
        <v>31</v>
      </c>
      <c r="U1" s="11" t="s">
        <v>67</v>
      </c>
      <c r="V1" s="5" t="s">
        <v>32</v>
      </c>
      <c r="W1" s="9" t="s">
        <v>33</v>
      </c>
      <c r="X1" s="9" t="s">
        <v>34</v>
      </c>
      <c r="Y1" s="9" t="s">
        <v>35</v>
      </c>
      <c r="Z1" s="9" t="s">
        <v>36</v>
      </c>
      <c r="AA1" s="9" t="s">
        <v>39</v>
      </c>
      <c r="AB1" s="9" t="s">
        <v>38</v>
      </c>
      <c r="AC1" s="9" t="s">
        <v>37</v>
      </c>
      <c r="AD1" s="9" t="s">
        <v>40</v>
      </c>
      <c r="AE1" s="9" t="s">
        <v>41</v>
      </c>
      <c r="AF1" s="9" t="s">
        <v>68</v>
      </c>
      <c r="AG1" s="9" t="s">
        <v>69</v>
      </c>
      <c r="AH1" s="9" t="s">
        <v>70</v>
      </c>
      <c r="AI1" s="9" t="s">
        <v>71</v>
      </c>
      <c r="AJ1" s="9" t="s">
        <v>72</v>
      </c>
      <c r="AK1" s="11" t="s">
        <v>42</v>
      </c>
      <c r="AL1" s="9" t="s">
        <v>43</v>
      </c>
      <c r="AM1" s="9" t="s">
        <v>44</v>
      </c>
      <c r="AN1" s="9" t="s">
        <v>45</v>
      </c>
      <c r="AO1" s="9" t="s">
        <v>46</v>
      </c>
      <c r="AP1" s="9" t="s">
        <v>47</v>
      </c>
      <c r="AQ1" s="9" t="s">
        <v>48</v>
      </c>
      <c r="AR1" s="9" t="s">
        <v>49</v>
      </c>
      <c r="AS1" s="9" t="s">
        <v>50</v>
      </c>
      <c r="AT1" s="9" t="s">
        <v>51</v>
      </c>
      <c r="AU1" s="9" t="s">
        <v>52</v>
      </c>
      <c r="AV1" s="9" t="s">
        <v>53</v>
      </c>
      <c r="AW1" s="9" t="s">
        <v>64</v>
      </c>
      <c r="AX1" s="9" t="s">
        <v>54</v>
      </c>
      <c r="AY1" s="11" t="s">
        <v>65</v>
      </c>
      <c r="AZ1" s="11" t="s">
        <v>66</v>
      </c>
      <c r="BA1" s="9" t="s">
        <v>55</v>
      </c>
      <c r="BB1" s="9" t="s">
        <v>56</v>
      </c>
      <c r="BC1" s="9" t="s">
        <v>57</v>
      </c>
      <c r="BD1" s="9" t="s">
        <v>58</v>
      </c>
      <c r="BE1" s="9" t="s">
        <v>59</v>
      </c>
      <c r="BF1" s="9" t="s">
        <v>60</v>
      </c>
      <c r="BG1" s="9" t="s">
        <v>61</v>
      </c>
      <c r="BH1" s="9" t="s">
        <v>62</v>
      </c>
      <c r="BI1" s="9" t="s">
        <v>63</v>
      </c>
      <c r="BJ1" s="9" t="s">
        <v>100</v>
      </c>
    </row>
    <row r="2" spans="1:62" x14ac:dyDescent="0.3">
      <c r="A2" s="10">
        <v>841</v>
      </c>
      <c r="B2" s="10" t="s">
        <v>113</v>
      </c>
      <c r="C2" t="s">
        <v>187</v>
      </c>
      <c r="D2" t="s">
        <v>261</v>
      </c>
      <c r="E2" s="2" t="s">
        <v>0</v>
      </c>
      <c r="F2" s="15" t="s">
        <v>1</v>
      </c>
      <c r="G2" t="s">
        <v>400</v>
      </c>
      <c r="H2" s="10" t="s">
        <v>474</v>
      </c>
      <c r="I2" s="14">
        <v>41205</v>
      </c>
      <c r="J2" t="s">
        <v>548</v>
      </c>
      <c r="K2" s="15" t="s">
        <v>1</v>
      </c>
      <c r="L2" t="s">
        <v>622</v>
      </c>
      <c r="M2" s="15">
        <v>100</v>
      </c>
      <c r="N2" s="15">
        <v>135</v>
      </c>
      <c r="O2" s="16">
        <v>43584</v>
      </c>
      <c r="P2" s="16">
        <v>43949</v>
      </c>
      <c r="Q2" s="16">
        <v>43593</v>
      </c>
      <c r="R2" s="15">
        <v>8</v>
      </c>
      <c r="S2" s="15">
        <v>796552</v>
      </c>
      <c r="T2" s="17">
        <v>43862</v>
      </c>
      <c r="U2" s="18">
        <v>151.62</v>
      </c>
      <c r="V2" s="7" t="s">
        <v>2</v>
      </c>
      <c r="W2" t="s">
        <v>3</v>
      </c>
      <c r="Y2" s="8" t="str">
        <f>IF(X2="","",X2-AK2)</f>
        <v/>
      </c>
      <c r="AK2" s="12" t="str">
        <f>IF(AND(Z2="",AA2="",AB2="",AC2="",AD2="",AE2="",AF2="",AG2="",AH2="",AI2=""),"",(Z2*1)+(AA2*1.25)+(AB2*1.33)+(AC2*1.5)+(AD2*1.66)+(AE2*2)+(AF2*0.25)+(AG2*0.33)+(AH2*0.5)+(AI2*0.66))</f>
        <v/>
      </c>
      <c r="AL2" s="56" t="str">
        <f>IF(SUM(Z2:AI2)=0,"",SUM(Z2:AI2))</f>
        <v/>
      </c>
      <c r="AN2" s="7" t="str">
        <f>IF(Z2="","",Z2*$U2)</f>
        <v/>
      </c>
      <c r="AO2" s="7" t="str">
        <f>IF(AA2="","",AA2*$U2*1.25)</f>
        <v/>
      </c>
      <c r="AP2" s="7" t="str">
        <f>IF(AB2="","",AB2*$U2*1.33)</f>
        <v/>
      </c>
      <c r="AQ2" s="7" t="str">
        <f>IF(AC2="","",AC2*$U2*1.5)</f>
        <v/>
      </c>
      <c r="AR2" s="7" t="str">
        <f>IF(AD2="","",AD2*$U2*1.66)</f>
        <v/>
      </c>
      <c r="AS2" s="7" t="str">
        <f>IF(AE2="","",AE2*$U2*2)</f>
        <v/>
      </c>
      <c r="AT2" s="7" t="str">
        <f>IF(AF2="","",AF2*$U2*0.25)</f>
        <v/>
      </c>
      <c r="AU2" s="7" t="str">
        <f>IF(AG2="","",AG2*$U2*0.33)</f>
        <v/>
      </c>
      <c r="AV2" s="7" t="str">
        <f>IF(AH2="","",AH2*$U2*0.5)</f>
        <v/>
      </c>
      <c r="AW2" s="54" t="str">
        <f>IF(AI2="","",AI2*$U2*0.66)</f>
        <v/>
      </c>
      <c r="AX2" s="7" t="str">
        <f>IF(AM2="","",SUM(Z2,AA2,AB2,AC2,AD2,AE2,AF2,AG2,AH2,AI2)*AM2)</f>
        <v/>
      </c>
      <c r="AY2" s="54" t="str">
        <f t="shared" ref="AY2:AY65" si="0">IF(SUM(AN2,AO2,AP2,AQ2,AR2,AS2,AT2,AU2,AV2,AW2)=0,"",SUM(AN2,AO2,AP2,AQ2,AR2,AS2,AT2,AU2,AV2,AW2))</f>
        <v/>
      </c>
      <c r="AZ2" s="54" t="str">
        <f>IF(AY2="","",IF(AX2="",SUM(AN2,AO2,AP2,AQ2,AR2,AS2,AT2,AU2,AV2,AW2),AY2-AX2))</f>
        <v/>
      </c>
    </row>
    <row r="3" spans="1:62" x14ac:dyDescent="0.3">
      <c r="A3" s="10">
        <v>866</v>
      </c>
      <c r="B3" s="55" t="s">
        <v>114</v>
      </c>
      <c r="C3" t="s">
        <v>188</v>
      </c>
      <c r="D3" t="s">
        <v>262</v>
      </c>
      <c r="E3" s="2" t="s">
        <v>0</v>
      </c>
      <c r="F3" s="15" t="s">
        <v>4</v>
      </c>
      <c r="G3" t="s">
        <v>401</v>
      </c>
      <c r="H3" s="55" t="s">
        <v>475</v>
      </c>
      <c r="I3" s="14">
        <v>43596</v>
      </c>
      <c r="J3" t="s">
        <v>549</v>
      </c>
      <c r="K3" s="15" t="s">
        <v>4</v>
      </c>
      <c r="L3" t="s">
        <v>623</v>
      </c>
      <c r="M3" s="15">
        <v>100</v>
      </c>
      <c r="N3" s="15">
        <v>135</v>
      </c>
      <c r="O3" s="16">
        <v>43808</v>
      </c>
      <c r="P3" s="16">
        <v>44173</v>
      </c>
      <c r="Q3" s="16">
        <v>43838</v>
      </c>
      <c r="R3" s="15">
        <v>8</v>
      </c>
      <c r="S3" s="15">
        <v>796552</v>
      </c>
      <c r="T3" s="17">
        <v>43862</v>
      </c>
      <c r="U3" s="18">
        <v>151.62</v>
      </c>
      <c r="V3" s="7" t="s">
        <v>5</v>
      </c>
      <c r="W3" t="s">
        <v>3</v>
      </c>
      <c r="Y3" s="8" t="str">
        <f t="shared" ref="Y3:Y66" si="1">IF(X3="","",X3-AK3)</f>
        <v/>
      </c>
      <c r="AK3" s="12" t="str">
        <f t="shared" ref="AK3:AK66" si="2">IF(AND(Z3="",AA3="",AB3="",AC3="",AD3="",AE3="",AF3="",AG3="",AH3="",AI3=""),"",(Z3*1)+(AA3*1.25)+(AB3*1.33)+(AC3*1.5)+(AD3*1.66)+(AE3*2)+(AF3*0.25)+(AG3*0.33)+(AH3*0.5)+(AI3*0.66))</f>
        <v/>
      </c>
      <c r="AL3" s="56" t="str">
        <f t="shared" ref="AL3:AL66" si="3">IF(SUM(Z3:AI3)=0,"",SUM(Z3:AI3))</f>
        <v/>
      </c>
      <c r="AM3">
        <v>1.84</v>
      </c>
      <c r="AN3" s="7" t="str">
        <f>IF(Z3="","",Z3*$U3)</f>
        <v/>
      </c>
      <c r="AO3" s="7" t="str">
        <f t="shared" ref="AO3:AO66" si="4">IF(AA3="","",AA3*$U3*1.25)</f>
        <v/>
      </c>
      <c r="AP3" s="7" t="str">
        <f t="shared" ref="AP3:AP66" si="5">IF(AB3="","",AB3*$U3*1.33)</f>
        <v/>
      </c>
      <c r="AQ3" s="7" t="str">
        <f t="shared" ref="AQ3:AQ66" si="6">IF(AC3="","",AC3*$U3*1.5)</f>
        <v/>
      </c>
      <c r="AR3" s="7" t="str">
        <f t="shared" ref="AR3:AR66" si="7">IF(AD3="","",AD3*$U3*1.66)</f>
        <v/>
      </c>
      <c r="AS3" s="7" t="str">
        <f t="shared" ref="AS3:AS66" si="8">IF(AE3="","",AE3*$U3*2)</f>
        <v/>
      </c>
      <c r="AT3" s="7" t="str">
        <f t="shared" ref="AT3:AT66" si="9">IF(AF3="","",AF3*$U3*0.25)</f>
        <v/>
      </c>
      <c r="AU3" s="7" t="str">
        <f t="shared" ref="AU3:AU66" si="10">IF(AG3="","",AG3*$U3*0.33)</f>
        <v/>
      </c>
      <c r="AV3" s="7" t="str">
        <f t="shared" ref="AV3:AV66" si="11">IF(AH3="","",AH3*$U3*0.5)</f>
        <v/>
      </c>
      <c r="AW3" s="54" t="str">
        <f t="shared" ref="AW3:AW66" si="12">IF(AI3="","",AI3*$U3*0.66)</f>
        <v/>
      </c>
      <c r="AX3" s="7">
        <f>IF(AM3="","",SUM(Z3,AA3,AB3,AC3,AD3,AE3,AF3,AG3,AH3,AI3)*AM3)</f>
        <v>0</v>
      </c>
      <c r="AY3" s="54" t="str">
        <f t="shared" si="0"/>
        <v/>
      </c>
      <c r="AZ3" s="54" t="str">
        <f t="shared" ref="AZ3:AZ66" si="13">IF(AY3="","",IF(AX3="",SUM(AN3,AO3,AP3,AQ3,AR3,AS3,AT3,AU3,AV3,AW3),AY3-AX3))</f>
        <v/>
      </c>
    </row>
    <row r="4" spans="1:62" x14ac:dyDescent="0.3">
      <c r="A4" s="10">
        <v>700</v>
      </c>
      <c r="B4" s="55" t="s">
        <v>115</v>
      </c>
      <c r="C4" t="s">
        <v>189</v>
      </c>
      <c r="D4" t="s">
        <v>263</v>
      </c>
      <c r="E4" s="2" t="s">
        <v>0</v>
      </c>
      <c r="F4" s="15" t="s">
        <v>1</v>
      </c>
      <c r="G4" t="s">
        <v>402</v>
      </c>
      <c r="H4" s="55" t="s">
        <v>476</v>
      </c>
      <c r="I4" s="14">
        <v>40938</v>
      </c>
      <c r="J4" t="s">
        <v>550</v>
      </c>
      <c r="K4" s="15" t="s">
        <v>1</v>
      </c>
      <c r="L4" t="s">
        <v>624</v>
      </c>
      <c r="M4" s="15">
        <v>100</v>
      </c>
      <c r="N4" s="15">
        <v>135</v>
      </c>
      <c r="O4" s="16">
        <v>43531</v>
      </c>
      <c r="P4" s="16">
        <v>43896</v>
      </c>
      <c r="Q4" s="16">
        <v>43537</v>
      </c>
      <c r="R4" s="15">
        <v>8</v>
      </c>
      <c r="S4" s="15">
        <v>796552</v>
      </c>
      <c r="T4" s="17">
        <v>43862</v>
      </c>
      <c r="U4" s="18">
        <v>151.62</v>
      </c>
      <c r="V4" s="7" t="str">
        <f t="shared" ref="V4:V67" si="14">CONCATENATE(TEXT(T4,"aaaa"),"/",TEXT(T4,"mm"),"/",N4,"/",A4)</f>
        <v>2020/02/135/700</v>
      </c>
      <c r="W4" t="s">
        <v>3</v>
      </c>
      <c r="Y4" s="8" t="str">
        <f t="shared" si="1"/>
        <v/>
      </c>
      <c r="AK4" s="12" t="str">
        <f t="shared" si="2"/>
        <v/>
      </c>
      <c r="AL4" s="56" t="str">
        <f t="shared" si="3"/>
        <v/>
      </c>
      <c r="AN4" s="7" t="str">
        <f t="shared" ref="AN4:AN67" si="15">IF(Z4="","",Z4*$U4)</f>
        <v/>
      </c>
      <c r="AO4" s="7" t="str">
        <f t="shared" si="4"/>
        <v/>
      </c>
      <c r="AP4" s="7" t="str">
        <f t="shared" si="5"/>
        <v/>
      </c>
      <c r="AQ4" s="7" t="str">
        <f t="shared" si="6"/>
        <v/>
      </c>
      <c r="AR4" s="7" t="str">
        <f t="shared" si="7"/>
        <v/>
      </c>
      <c r="AS4" s="7" t="str">
        <f t="shared" si="8"/>
        <v/>
      </c>
      <c r="AT4" s="7" t="str">
        <f t="shared" si="9"/>
        <v/>
      </c>
      <c r="AU4" s="7" t="str">
        <f t="shared" si="10"/>
        <v/>
      </c>
      <c r="AV4" s="7" t="str">
        <f t="shared" si="11"/>
        <v/>
      </c>
      <c r="AW4" s="54" t="str">
        <f t="shared" si="12"/>
        <v/>
      </c>
      <c r="AX4" s="7" t="str">
        <f t="shared" ref="AX4:AX67" si="16">IF(AM4="","",SUM(Z4,AA4,AB4,AC4,AD4,AE4,AF4,AG4,AH4,AI4)*AM4)</f>
        <v/>
      </c>
      <c r="AY4" s="54" t="str">
        <f t="shared" si="0"/>
        <v/>
      </c>
      <c r="AZ4" s="54" t="str">
        <f t="shared" si="13"/>
        <v/>
      </c>
    </row>
    <row r="5" spans="1:62" x14ac:dyDescent="0.3">
      <c r="A5" s="10">
        <v>842</v>
      </c>
      <c r="B5" s="55" t="s">
        <v>116</v>
      </c>
      <c r="C5" t="s">
        <v>190</v>
      </c>
      <c r="D5" t="s">
        <v>264</v>
      </c>
      <c r="E5" s="2" t="s">
        <v>0</v>
      </c>
      <c r="F5" s="15" t="s">
        <v>6</v>
      </c>
      <c r="G5" t="s">
        <v>403</v>
      </c>
      <c r="H5" s="55" t="s">
        <v>477</v>
      </c>
      <c r="I5" s="14">
        <v>41822</v>
      </c>
      <c r="J5" t="s">
        <v>551</v>
      </c>
      <c r="K5" s="15" t="s">
        <v>6</v>
      </c>
      <c r="L5" t="s">
        <v>625</v>
      </c>
      <c r="M5" s="15">
        <v>100</v>
      </c>
      <c r="N5" s="15">
        <v>135</v>
      </c>
      <c r="O5" s="16">
        <v>43648</v>
      </c>
      <c r="P5" s="16">
        <v>44013</v>
      </c>
      <c r="Q5" s="16">
        <v>43725</v>
      </c>
      <c r="R5" s="15">
        <v>2</v>
      </c>
      <c r="S5" s="15">
        <v>796434</v>
      </c>
      <c r="T5" s="17">
        <v>43862</v>
      </c>
      <c r="U5" s="18">
        <v>151.62</v>
      </c>
      <c r="V5" s="7" t="str">
        <f t="shared" si="14"/>
        <v>2020/02/135/842</v>
      </c>
      <c r="W5" t="s">
        <v>3</v>
      </c>
      <c r="Y5" s="8" t="str">
        <f t="shared" si="1"/>
        <v/>
      </c>
      <c r="AK5" s="12" t="str">
        <f t="shared" si="2"/>
        <v/>
      </c>
      <c r="AL5" s="56" t="str">
        <f t="shared" si="3"/>
        <v/>
      </c>
      <c r="AN5" s="7" t="str">
        <f t="shared" si="15"/>
        <v/>
      </c>
      <c r="AO5" s="7" t="str">
        <f t="shared" si="4"/>
        <v/>
      </c>
      <c r="AP5" s="7" t="str">
        <f t="shared" si="5"/>
        <v/>
      </c>
      <c r="AQ5" s="7" t="str">
        <f t="shared" si="6"/>
        <v/>
      </c>
      <c r="AR5" s="7" t="str">
        <f t="shared" si="7"/>
        <v/>
      </c>
      <c r="AS5" s="7" t="str">
        <f t="shared" si="8"/>
        <v/>
      </c>
      <c r="AT5" s="7" t="str">
        <f t="shared" si="9"/>
        <v/>
      </c>
      <c r="AU5" s="7" t="str">
        <f t="shared" si="10"/>
        <v/>
      </c>
      <c r="AV5" s="7" t="str">
        <f t="shared" si="11"/>
        <v/>
      </c>
      <c r="AW5" s="54" t="str">
        <f t="shared" si="12"/>
        <v/>
      </c>
      <c r="AX5" s="7" t="str">
        <f t="shared" si="16"/>
        <v/>
      </c>
      <c r="AY5" s="54" t="str">
        <f t="shared" si="0"/>
        <v/>
      </c>
      <c r="AZ5" s="54" t="str">
        <f t="shared" si="13"/>
        <v/>
      </c>
    </row>
    <row r="6" spans="1:62" x14ac:dyDescent="0.3">
      <c r="A6" s="10">
        <v>835</v>
      </c>
      <c r="B6" s="55" t="s">
        <v>117</v>
      </c>
      <c r="C6" t="s">
        <v>191</v>
      </c>
      <c r="D6" t="s">
        <v>265</v>
      </c>
      <c r="E6" s="2" t="s">
        <v>0</v>
      </c>
      <c r="F6" s="15" t="s">
        <v>4</v>
      </c>
      <c r="G6" t="s">
        <v>404</v>
      </c>
      <c r="H6" s="55" t="s">
        <v>478</v>
      </c>
      <c r="I6" s="14">
        <v>43287</v>
      </c>
      <c r="J6" t="s">
        <v>552</v>
      </c>
      <c r="K6" s="15" t="s">
        <v>1</v>
      </c>
      <c r="L6" t="s">
        <v>626</v>
      </c>
      <c r="M6" s="15">
        <v>100</v>
      </c>
      <c r="N6" s="15">
        <v>135</v>
      </c>
      <c r="O6" s="16">
        <v>43785</v>
      </c>
      <c r="P6" s="16">
        <v>44150</v>
      </c>
      <c r="Q6" s="16">
        <v>43847</v>
      </c>
      <c r="R6" s="15">
        <v>8</v>
      </c>
      <c r="S6" s="15">
        <v>796552</v>
      </c>
      <c r="T6" s="17">
        <v>43862</v>
      </c>
      <c r="U6" s="18">
        <v>151.62</v>
      </c>
      <c r="V6" s="7" t="str">
        <f t="shared" si="14"/>
        <v>2020/02/135/835</v>
      </c>
      <c r="W6" t="s">
        <v>3</v>
      </c>
      <c r="Y6" s="8" t="str">
        <f t="shared" si="1"/>
        <v/>
      </c>
      <c r="AK6" s="12" t="str">
        <f t="shared" si="2"/>
        <v/>
      </c>
      <c r="AL6" s="56" t="str">
        <f t="shared" si="3"/>
        <v/>
      </c>
      <c r="AN6" s="7" t="str">
        <f t="shared" si="15"/>
        <v/>
      </c>
      <c r="AO6" s="7" t="str">
        <f t="shared" si="4"/>
        <v/>
      </c>
      <c r="AP6" s="7" t="str">
        <f t="shared" si="5"/>
        <v/>
      </c>
      <c r="AQ6" s="7" t="str">
        <f t="shared" si="6"/>
        <v/>
      </c>
      <c r="AR6" s="7" t="str">
        <f t="shared" si="7"/>
        <v/>
      </c>
      <c r="AS6" s="7" t="str">
        <f t="shared" si="8"/>
        <v/>
      </c>
      <c r="AT6" s="7" t="str">
        <f t="shared" si="9"/>
        <v/>
      </c>
      <c r="AU6" s="7" t="str">
        <f t="shared" si="10"/>
        <v/>
      </c>
      <c r="AV6" s="7" t="str">
        <f t="shared" si="11"/>
        <v/>
      </c>
      <c r="AW6" s="54" t="str">
        <f t="shared" si="12"/>
        <v/>
      </c>
      <c r="AX6" s="7" t="str">
        <f t="shared" si="16"/>
        <v/>
      </c>
      <c r="AY6" s="54" t="str">
        <f t="shared" si="0"/>
        <v/>
      </c>
      <c r="AZ6" s="54" t="str">
        <f t="shared" si="13"/>
        <v/>
      </c>
    </row>
    <row r="7" spans="1:62" x14ac:dyDescent="0.3">
      <c r="A7" s="10">
        <v>826</v>
      </c>
      <c r="B7" s="55" t="s">
        <v>118</v>
      </c>
      <c r="C7" t="s">
        <v>192</v>
      </c>
      <c r="D7" t="s">
        <v>266</v>
      </c>
      <c r="E7" s="2" t="s">
        <v>0</v>
      </c>
      <c r="F7" s="15" t="s">
        <v>4</v>
      </c>
      <c r="G7" t="s">
        <v>405</v>
      </c>
      <c r="H7" s="55" t="s">
        <v>479</v>
      </c>
      <c r="I7" s="14">
        <v>41095</v>
      </c>
      <c r="J7" t="s">
        <v>553</v>
      </c>
      <c r="K7" s="15" t="s">
        <v>4</v>
      </c>
      <c r="L7" t="s">
        <v>627</v>
      </c>
      <c r="M7" s="15">
        <v>100</v>
      </c>
      <c r="N7" s="15">
        <v>135</v>
      </c>
      <c r="O7" s="16">
        <v>43711</v>
      </c>
      <c r="P7" s="16">
        <v>44016</v>
      </c>
      <c r="Q7" s="16">
        <v>43735</v>
      </c>
      <c r="R7" s="15">
        <v>2</v>
      </c>
      <c r="S7" s="15">
        <v>796434</v>
      </c>
      <c r="T7" s="17">
        <v>43862</v>
      </c>
      <c r="U7" s="18">
        <v>151.62</v>
      </c>
      <c r="V7" s="7" t="str">
        <f t="shared" si="14"/>
        <v>2020/02/135/826</v>
      </c>
      <c r="W7" t="s">
        <v>3</v>
      </c>
      <c r="Y7" s="8" t="str">
        <f t="shared" si="1"/>
        <v/>
      </c>
      <c r="AK7" s="12" t="str">
        <f t="shared" si="2"/>
        <v/>
      </c>
      <c r="AL7" s="56" t="str">
        <f t="shared" si="3"/>
        <v/>
      </c>
      <c r="AM7">
        <v>1.84</v>
      </c>
      <c r="AN7" s="7" t="str">
        <f t="shared" si="15"/>
        <v/>
      </c>
      <c r="AO7" s="7" t="str">
        <f t="shared" si="4"/>
        <v/>
      </c>
      <c r="AP7" s="7" t="str">
        <f t="shared" si="5"/>
        <v/>
      </c>
      <c r="AQ7" s="7" t="str">
        <f t="shared" si="6"/>
        <v/>
      </c>
      <c r="AR7" s="7" t="str">
        <f t="shared" si="7"/>
        <v/>
      </c>
      <c r="AS7" s="7" t="str">
        <f t="shared" si="8"/>
        <v/>
      </c>
      <c r="AT7" s="7" t="str">
        <f t="shared" si="9"/>
        <v/>
      </c>
      <c r="AU7" s="7" t="str">
        <f t="shared" si="10"/>
        <v/>
      </c>
      <c r="AV7" s="7" t="str">
        <f t="shared" si="11"/>
        <v/>
      </c>
      <c r="AW7" s="54" t="str">
        <f t="shared" si="12"/>
        <v/>
      </c>
      <c r="AX7" s="7">
        <f t="shared" si="16"/>
        <v>0</v>
      </c>
      <c r="AY7" s="54" t="str">
        <f t="shared" si="0"/>
        <v/>
      </c>
      <c r="AZ7" s="54" t="str">
        <f t="shared" si="13"/>
        <v/>
      </c>
    </row>
    <row r="8" spans="1:62" x14ac:dyDescent="0.3">
      <c r="A8" s="10">
        <v>827</v>
      </c>
      <c r="B8" s="55" t="s">
        <v>119</v>
      </c>
      <c r="C8" t="s">
        <v>193</v>
      </c>
      <c r="D8" t="s">
        <v>267</v>
      </c>
      <c r="E8" s="2" t="s">
        <v>0</v>
      </c>
      <c r="F8" s="15" t="s">
        <v>4</v>
      </c>
      <c r="G8" t="s">
        <v>406</v>
      </c>
      <c r="H8" s="55" t="s">
        <v>480</v>
      </c>
      <c r="I8" s="14">
        <v>41095</v>
      </c>
      <c r="J8" t="s">
        <v>554</v>
      </c>
      <c r="K8" s="15" t="s">
        <v>4</v>
      </c>
      <c r="L8" t="s">
        <v>628</v>
      </c>
      <c r="M8" s="15">
        <v>100</v>
      </c>
      <c r="N8" s="15">
        <v>135</v>
      </c>
      <c r="O8" s="16">
        <v>43711</v>
      </c>
      <c r="P8" s="16">
        <v>44016</v>
      </c>
      <c r="Q8" s="16">
        <v>43735</v>
      </c>
      <c r="R8" s="15">
        <v>2</v>
      </c>
      <c r="S8" s="15">
        <v>796434</v>
      </c>
      <c r="T8" s="17">
        <v>43862</v>
      </c>
      <c r="U8" s="18">
        <v>151.62</v>
      </c>
      <c r="V8" s="7" t="str">
        <f t="shared" si="14"/>
        <v>2020/02/135/827</v>
      </c>
      <c r="W8" t="s">
        <v>3</v>
      </c>
      <c r="Y8" s="8" t="str">
        <f t="shared" si="1"/>
        <v/>
      </c>
      <c r="AK8" s="12" t="str">
        <f t="shared" si="2"/>
        <v/>
      </c>
      <c r="AL8" s="56" t="str">
        <f t="shared" si="3"/>
        <v/>
      </c>
      <c r="AM8">
        <v>1.84</v>
      </c>
      <c r="AN8" s="7" t="str">
        <f t="shared" si="15"/>
        <v/>
      </c>
      <c r="AO8" s="7" t="str">
        <f t="shared" si="4"/>
        <v/>
      </c>
      <c r="AP8" s="7" t="str">
        <f t="shared" si="5"/>
        <v/>
      </c>
      <c r="AQ8" s="7" t="str">
        <f t="shared" si="6"/>
        <v/>
      </c>
      <c r="AR8" s="7" t="str">
        <f t="shared" si="7"/>
        <v/>
      </c>
      <c r="AS8" s="7" t="str">
        <f t="shared" si="8"/>
        <v/>
      </c>
      <c r="AT8" s="7" t="str">
        <f t="shared" si="9"/>
        <v/>
      </c>
      <c r="AU8" s="7" t="str">
        <f t="shared" si="10"/>
        <v/>
      </c>
      <c r="AV8" s="7" t="str">
        <f t="shared" si="11"/>
        <v/>
      </c>
      <c r="AW8" s="54" t="str">
        <f t="shared" si="12"/>
        <v/>
      </c>
      <c r="AX8" s="7">
        <f t="shared" si="16"/>
        <v>0</v>
      </c>
      <c r="AY8" s="54" t="str">
        <f t="shared" si="0"/>
        <v/>
      </c>
      <c r="AZ8" s="54" t="str">
        <f t="shared" si="13"/>
        <v/>
      </c>
    </row>
    <row r="9" spans="1:62" x14ac:dyDescent="0.3">
      <c r="A9" s="10">
        <v>873</v>
      </c>
      <c r="B9" s="55" t="s">
        <v>120</v>
      </c>
      <c r="C9" t="s">
        <v>194</v>
      </c>
      <c r="D9" t="s">
        <v>268</v>
      </c>
      <c r="E9" s="2" t="s">
        <v>0</v>
      </c>
      <c r="F9" s="15" t="s">
        <v>1</v>
      </c>
      <c r="G9" t="s">
        <v>407</v>
      </c>
      <c r="H9" s="55" t="s">
        <v>481</v>
      </c>
      <c r="I9" s="14">
        <v>42509</v>
      </c>
      <c r="J9" t="s">
        <v>555</v>
      </c>
      <c r="K9" s="15" t="s">
        <v>1</v>
      </c>
      <c r="L9" t="s">
        <v>629</v>
      </c>
      <c r="M9" s="15">
        <v>200</v>
      </c>
      <c r="N9" s="15">
        <v>206</v>
      </c>
      <c r="R9" s="15">
        <v>8</v>
      </c>
      <c r="S9" s="15">
        <v>796154</v>
      </c>
      <c r="T9" s="17">
        <v>43862</v>
      </c>
      <c r="U9" s="18">
        <v>151.62</v>
      </c>
      <c r="V9" s="7" t="str">
        <f t="shared" si="14"/>
        <v>2020/02/206/873</v>
      </c>
      <c r="W9" t="s">
        <v>3</v>
      </c>
      <c r="Y9" s="8" t="str">
        <f t="shared" si="1"/>
        <v/>
      </c>
      <c r="AK9" s="12" t="str">
        <f t="shared" si="2"/>
        <v/>
      </c>
      <c r="AL9" s="56" t="str">
        <f t="shared" si="3"/>
        <v/>
      </c>
      <c r="AN9" s="7" t="str">
        <f t="shared" si="15"/>
        <v/>
      </c>
      <c r="AO9" s="7" t="str">
        <f t="shared" si="4"/>
        <v/>
      </c>
      <c r="AP9" s="7" t="str">
        <f t="shared" si="5"/>
        <v/>
      </c>
      <c r="AQ9" s="7" t="str">
        <f t="shared" si="6"/>
        <v/>
      </c>
      <c r="AR9" s="7" t="str">
        <f t="shared" si="7"/>
        <v/>
      </c>
      <c r="AS9" s="7" t="str">
        <f t="shared" si="8"/>
        <v/>
      </c>
      <c r="AT9" s="7" t="str">
        <f t="shared" si="9"/>
        <v/>
      </c>
      <c r="AU9" s="7" t="str">
        <f t="shared" si="10"/>
        <v/>
      </c>
      <c r="AV9" s="7" t="str">
        <f t="shared" si="11"/>
        <v/>
      </c>
      <c r="AW9" s="54" t="str">
        <f t="shared" si="12"/>
        <v/>
      </c>
      <c r="AX9" s="7" t="str">
        <f t="shared" si="16"/>
        <v/>
      </c>
      <c r="AY9" s="54" t="str">
        <f t="shared" si="0"/>
        <v/>
      </c>
      <c r="AZ9" s="54" t="str">
        <f t="shared" si="13"/>
        <v/>
      </c>
    </row>
    <row r="10" spans="1:62" x14ac:dyDescent="0.3">
      <c r="A10" s="10">
        <v>859</v>
      </c>
      <c r="B10" s="55" t="s">
        <v>121</v>
      </c>
      <c r="C10" t="s">
        <v>195</v>
      </c>
      <c r="D10" t="s">
        <v>269</v>
      </c>
      <c r="E10" s="2" t="s">
        <v>0</v>
      </c>
      <c r="F10" s="15" t="s">
        <v>6</v>
      </c>
      <c r="G10" t="s">
        <v>408</v>
      </c>
      <c r="H10" s="55" t="s">
        <v>482</v>
      </c>
      <c r="I10" s="14">
        <v>41993</v>
      </c>
      <c r="J10" t="s">
        <v>556</v>
      </c>
      <c r="K10" s="15" t="s">
        <v>6</v>
      </c>
      <c r="L10" t="s">
        <v>630</v>
      </c>
      <c r="M10" s="15">
        <v>200</v>
      </c>
      <c r="N10" s="15">
        <v>235</v>
      </c>
      <c r="O10" s="16">
        <v>43742</v>
      </c>
      <c r="P10" s="16">
        <v>44107</v>
      </c>
      <c r="Q10" s="16">
        <v>43816</v>
      </c>
      <c r="R10" s="15">
        <v>4</v>
      </c>
      <c r="S10" s="15">
        <v>796471</v>
      </c>
      <c r="T10" s="17">
        <v>43862</v>
      </c>
      <c r="U10" s="18">
        <v>151.62</v>
      </c>
      <c r="V10" s="7" t="str">
        <f t="shared" si="14"/>
        <v>2020/02/235/859</v>
      </c>
      <c r="W10" t="s">
        <v>3</v>
      </c>
      <c r="Y10" s="8" t="str">
        <f t="shared" si="1"/>
        <v/>
      </c>
      <c r="AK10" s="12" t="str">
        <f t="shared" si="2"/>
        <v/>
      </c>
      <c r="AL10" s="56" t="str">
        <f t="shared" si="3"/>
        <v/>
      </c>
      <c r="AN10" s="7" t="str">
        <f t="shared" si="15"/>
        <v/>
      </c>
      <c r="AO10" s="7" t="str">
        <f t="shared" si="4"/>
        <v/>
      </c>
      <c r="AP10" s="7" t="str">
        <f t="shared" si="5"/>
        <v/>
      </c>
      <c r="AQ10" s="7" t="str">
        <f t="shared" si="6"/>
        <v/>
      </c>
      <c r="AR10" s="7" t="str">
        <f t="shared" si="7"/>
        <v/>
      </c>
      <c r="AS10" s="7" t="str">
        <f t="shared" si="8"/>
        <v/>
      </c>
      <c r="AT10" s="7" t="str">
        <f t="shared" si="9"/>
        <v/>
      </c>
      <c r="AU10" s="7" t="str">
        <f t="shared" si="10"/>
        <v/>
      </c>
      <c r="AV10" s="7" t="str">
        <f t="shared" si="11"/>
        <v/>
      </c>
      <c r="AW10" s="54" t="str">
        <f t="shared" si="12"/>
        <v/>
      </c>
      <c r="AX10" s="7" t="str">
        <f t="shared" si="16"/>
        <v/>
      </c>
      <c r="AY10" s="54" t="str">
        <f t="shared" si="0"/>
        <v/>
      </c>
      <c r="AZ10" s="54" t="str">
        <f t="shared" si="13"/>
        <v/>
      </c>
    </row>
    <row r="11" spans="1:62" x14ac:dyDescent="0.3">
      <c r="A11" s="10">
        <v>806</v>
      </c>
      <c r="B11" s="55" t="s">
        <v>122</v>
      </c>
      <c r="C11" t="s">
        <v>196</v>
      </c>
      <c r="D11" t="s">
        <v>270</v>
      </c>
      <c r="E11" s="2" t="s">
        <v>335</v>
      </c>
      <c r="F11" s="15" t="s">
        <v>4</v>
      </c>
      <c r="G11" t="s">
        <v>409</v>
      </c>
      <c r="H11" s="55" t="s">
        <v>483</v>
      </c>
      <c r="I11" s="14">
        <v>40848</v>
      </c>
      <c r="J11" t="s">
        <v>557</v>
      </c>
      <c r="K11" s="15" t="s">
        <v>4</v>
      </c>
      <c r="L11" t="s">
        <v>631</v>
      </c>
      <c r="M11" s="15">
        <v>200</v>
      </c>
      <c r="N11" s="15">
        <v>206</v>
      </c>
      <c r="O11" s="16">
        <v>43709</v>
      </c>
      <c r="P11" s="16">
        <v>44074</v>
      </c>
      <c r="Q11" s="16">
        <v>43738</v>
      </c>
      <c r="R11" s="15">
        <v>2</v>
      </c>
      <c r="S11" s="15">
        <v>796434</v>
      </c>
      <c r="T11" s="17">
        <v>43862</v>
      </c>
      <c r="U11" s="18">
        <v>151.62</v>
      </c>
      <c r="V11" s="7" t="str">
        <f t="shared" si="14"/>
        <v>2020/02/206/806</v>
      </c>
      <c r="W11" t="s">
        <v>3</v>
      </c>
      <c r="Y11" s="8" t="str">
        <f t="shared" si="1"/>
        <v/>
      </c>
      <c r="AK11" s="12" t="str">
        <f t="shared" si="2"/>
        <v/>
      </c>
      <c r="AL11" s="56" t="str">
        <f t="shared" si="3"/>
        <v/>
      </c>
      <c r="AM11">
        <v>1.84</v>
      </c>
      <c r="AN11" s="7" t="str">
        <f t="shared" si="15"/>
        <v/>
      </c>
      <c r="AO11" s="7" t="str">
        <f t="shared" si="4"/>
        <v/>
      </c>
      <c r="AP11" s="7" t="str">
        <f t="shared" si="5"/>
        <v/>
      </c>
      <c r="AQ11" s="7" t="str">
        <f t="shared" si="6"/>
        <v/>
      </c>
      <c r="AR11" s="7" t="str">
        <f t="shared" si="7"/>
        <v/>
      </c>
      <c r="AS11" s="7" t="str">
        <f t="shared" si="8"/>
        <v/>
      </c>
      <c r="AT11" s="7" t="str">
        <f t="shared" si="9"/>
        <v/>
      </c>
      <c r="AU11" s="7" t="str">
        <f t="shared" si="10"/>
        <v/>
      </c>
      <c r="AV11" s="7" t="str">
        <f t="shared" si="11"/>
        <v/>
      </c>
      <c r="AW11" s="54" t="str">
        <f t="shared" si="12"/>
        <v/>
      </c>
      <c r="AX11" s="7">
        <f t="shared" si="16"/>
        <v>0</v>
      </c>
      <c r="AY11" s="54" t="str">
        <f t="shared" si="0"/>
        <v/>
      </c>
      <c r="AZ11" s="54" t="str">
        <f t="shared" si="13"/>
        <v/>
      </c>
    </row>
    <row r="12" spans="1:62" x14ac:dyDescent="0.3">
      <c r="A12" s="10">
        <v>800</v>
      </c>
      <c r="B12" s="55" t="s">
        <v>123</v>
      </c>
      <c r="C12" t="s">
        <v>197</v>
      </c>
      <c r="D12" t="s">
        <v>271</v>
      </c>
      <c r="E12" s="2" t="s">
        <v>336</v>
      </c>
      <c r="F12" s="15" t="s">
        <v>1</v>
      </c>
      <c r="G12" t="s">
        <v>410</v>
      </c>
      <c r="H12" s="55" t="s">
        <v>484</v>
      </c>
      <c r="I12" s="14">
        <v>41945</v>
      </c>
      <c r="J12" t="s">
        <v>558</v>
      </c>
      <c r="K12" s="15" t="s">
        <v>1</v>
      </c>
      <c r="L12" t="s">
        <v>632</v>
      </c>
      <c r="M12" s="15">
        <v>200</v>
      </c>
      <c r="N12" s="15">
        <v>206</v>
      </c>
      <c r="O12" s="16">
        <v>43717</v>
      </c>
      <c r="P12" s="16">
        <v>44082</v>
      </c>
      <c r="Q12" s="16">
        <v>43738</v>
      </c>
      <c r="R12" s="15">
        <v>4</v>
      </c>
      <c r="S12" s="15">
        <v>796471</v>
      </c>
      <c r="T12" s="17">
        <v>43862</v>
      </c>
      <c r="U12" s="18">
        <v>151.62</v>
      </c>
      <c r="V12" s="7" t="str">
        <f t="shared" si="14"/>
        <v>2020/02/206/800</v>
      </c>
      <c r="W12" t="s">
        <v>3</v>
      </c>
      <c r="Y12" s="8" t="str">
        <f t="shared" si="1"/>
        <v/>
      </c>
      <c r="AK12" s="12" t="str">
        <f t="shared" si="2"/>
        <v/>
      </c>
      <c r="AL12" s="56" t="str">
        <f t="shared" si="3"/>
        <v/>
      </c>
      <c r="AN12" s="7" t="str">
        <f t="shared" si="15"/>
        <v/>
      </c>
      <c r="AO12" s="7" t="str">
        <f t="shared" si="4"/>
        <v/>
      </c>
      <c r="AP12" s="7" t="str">
        <f t="shared" si="5"/>
        <v/>
      </c>
      <c r="AQ12" s="7" t="str">
        <f t="shared" si="6"/>
        <v/>
      </c>
      <c r="AR12" s="7" t="str">
        <f t="shared" si="7"/>
        <v/>
      </c>
      <c r="AS12" s="7" t="str">
        <f t="shared" si="8"/>
        <v/>
      </c>
      <c r="AT12" s="7" t="str">
        <f t="shared" si="9"/>
        <v/>
      </c>
      <c r="AU12" s="7" t="str">
        <f t="shared" si="10"/>
        <v/>
      </c>
      <c r="AV12" s="7" t="str">
        <f t="shared" si="11"/>
        <v/>
      </c>
      <c r="AW12" s="54" t="str">
        <f t="shared" si="12"/>
        <v/>
      </c>
      <c r="AX12" s="7" t="str">
        <f t="shared" si="16"/>
        <v/>
      </c>
      <c r="AY12" s="54" t="str">
        <f t="shared" si="0"/>
        <v/>
      </c>
      <c r="AZ12" s="54" t="str">
        <f t="shared" si="13"/>
        <v/>
      </c>
    </row>
    <row r="13" spans="1:62" x14ac:dyDescent="0.3">
      <c r="A13" s="10">
        <v>846</v>
      </c>
      <c r="B13" s="55" t="s">
        <v>124</v>
      </c>
      <c r="C13" t="s">
        <v>198</v>
      </c>
      <c r="D13" t="s">
        <v>272</v>
      </c>
      <c r="E13" s="2" t="s">
        <v>337</v>
      </c>
      <c r="F13" s="15" t="s">
        <v>7</v>
      </c>
      <c r="G13" t="s">
        <v>411</v>
      </c>
      <c r="H13" s="55" t="s">
        <v>485</v>
      </c>
      <c r="I13" s="14">
        <v>43091</v>
      </c>
      <c r="J13" t="s">
        <v>559</v>
      </c>
      <c r="K13" s="15" t="s">
        <v>7</v>
      </c>
      <c r="L13" t="s">
        <v>633</v>
      </c>
      <c r="M13" s="15">
        <v>300</v>
      </c>
      <c r="N13" s="15">
        <v>306</v>
      </c>
      <c r="O13" s="16">
        <v>43803</v>
      </c>
      <c r="P13" s="16">
        <v>44167</v>
      </c>
      <c r="Q13" s="16">
        <v>43812</v>
      </c>
      <c r="R13" s="15">
        <v>8</v>
      </c>
      <c r="S13" s="15">
        <v>796552</v>
      </c>
      <c r="T13" s="17">
        <v>43862</v>
      </c>
      <c r="U13" s="18">
        <v>151.62</v>
      </c>
      <c r="V13" s="7" t="str">
        <f t="shared" si="14"/>
        <v>2020/02/306/846</v>
      </c>
      <c r="W13" t="s">
        <v>3</v>
      </c>
      <c r="Y13" s="8" t="str">
        <f t="shared" si="1"/>
        <v/>
      </c>
      <c r="AK13" s="12" t="str">
        <f t="shared" si="2"/>
        <v/>
      </c>
      <c r="AL13" s="56" t="str">
        <f t="shared" si="3"/>
        <v/>
      </c>
      <c r="AM13">
        <v>1.84</v>
      </c>
      <c r="AN13" s="7" t="str">
        <f t="shared" si="15"/>
        <v/>
      </c>
      <c r="AO13" s="7" t="str">
        <f t="shared" si="4"/>
        <v/>
      </c>
      <c r="AP13" s="7" t="str">
        <f t="shared" si="5"/>
        <v/>
      </c>
      <c r="AQ13" s="7" t="str">
        <f t="shared" si="6"/>
        <v/>
      </c>
      <c r="AR13" s="7" t="str">
        <f t="shared" si="7"/>
        <v/>
      </c>
      <c r="AS13" s="7" t="str">
        <f t="shared" si="8"/>
        <v/>
      </c>
      <c r="AT13" s="7" t="str">
        <f t="shared" si="9"/>
        <v/>
      </c>
      <c r="AU13" s="7" t="str">
        <f t="shared" si="10"/>
        <v/>
      </c>
      <c r="AV13" s="7" t="str">
        <f t="shared" si="11"/>
        <v/>
      </c>
      <c r="AW13" s="54" t="str">
        <f t="shared" si="12"/>
        <v/>
      </c>
      <c r="AX13" s="7">
        <f t="shared" si="16"/>
        <v>0</v>
      </c>
      <c r="AY13" s="54" t="str">
        <f t="shared" si="0"/>
        <v/>
      </c>
      <c r="AZ13" s="54" t="str">
        <f t="shared" si="13"/>
        <v/>
      </c>
    </row>
    <row r="14" spans="1:62" x14ac:dyDescent="0.3">
      <c r="A14" s="10">
        <v>596</v>
      </c>
      <c r="B14" s="55" t="s">
        <v>125</v>
      </c>
      <c r="C14" t="s">
        <v>199</v>
      </c>
      <c r="D14" t="s">
        <v>273</v>
      </c>
      <c r="E14" s="2" t="s">
        <v>338</v>
      </c>
      <c r="F14" s="15" t="s">
        <v>4</v>
      </c>
      <c r="G14" t="s">
        <v>412</v>
      </c>
      <c r="H14" s="55" t="s">
        <v>486</v>
      </c>
      <c r="I14" s="14">
        <v>38552</v>
      </c>
      <c r="J14" t="s">
        <v>560</v>
      </c>
      <c r="K14" s="15" t="s">
        <v>1</v>
      </c>
      <c r="L14" t="s">
        <v>634</v>
      </c>
      <c r="M14" s="15">
        <v>300</v>
      </c>
      <c r="N14" s="15">
        <v>306</v>
      </c>
      <c r="O14" s="16">
        <v>43588</v>
      </c>
      <c r="P14" s="16">
        <v>43953</v>
      </c>
      <c r="Q14" s="16">
        <v>43602</v>
      </c>
      <c r="R14" s="15">
        <v>8</v>
      </c>
      <c r="S14" s="15">
        <v>796552</v>
      </c>
      <c r="T14" s="17">
        <v>43862</v>
      </c>
      <c r="U14" s="18">
        <v>151.62</v>
      </c>
      <c r="V14" s="7" t="str">
        <f t="shared" si="14"/>
        <v>2020/02/306/596</v>
      </c>
      <c r="W14" t="s">
        <v>3</v>
      </c>
      <c r="Y14" s="8" t="str">
        <f t="shared" si="1"/>
        <v/>
      </c>
      <c r="AK14" s="12" t="str">
        <f t="shared" si="2"/>
        <v/>
      </c>
      <c r="AL14" s="56" t="str">
        <f t="shared" si="3"/>
        <v/>
      </c>
      <c r="AN14" s="7" t="str">
        <f t="shared" si="15"/>
        <v/>
      </c>
      <c r="AO14" s="7" t="str">
        <f t="shared" si="4"/>
        <v/>
      </c>
      <c r="AP14" s="7" t="str">
        <f t="shared" si="5"/>
        <v/>
      </c>
      <c r="AQ14" s="7" t="str">
        <f t="shared" si="6"/>
        <v/>
      </c>
      <c r="AR14" s="7" t="str">
        <f t="shared" si="7"/>
        <v/>
      </c>
      <c r="AS14" s="7" t="str">
        <f t="shared" si="8"/>
        <v/>
      </c>
      <c r="AT14" s="7" t="str">
        <f t="shared" si="9"/>
        <v/>
      </c>
      <c r="AU14" s="7" t="str">
        <f t="shared" si="10"/>
        <v/>
      </c>
      <c r="AV14" s="7" t="str">
        <f t="shared" si="11"/>
        <v/>
      </c>
      <c r="AW14" s="54" t="str">
        <f t="shared" si="12"/>
        <v/>
      </c>
      <c r="AX14" s="7" t="str">
        <f t="shared" si="16"/>
        <v/>
      </c>
      <c r="AY14" s="54" t="str">
        <f t="shared" si="0"/>
        <v/>
      </c>
      <c r="AZ14" s="54" t="str">
        <f t="shared" si="13"/>
        <v/>
      </c>
    </row>
    <row r="15" spans="1:62" x14ac:dyDescent="0.3">
      <c r="A15" s="10">
        <v>875</v>
      </c>
      <c r="B15" s="55" t="s">
        <v>126</v>
      </c>
      <c r="C15" t="s">
        <v>200</v>
      </c>
      <c r="D15" t="s">
        <v>274</v>
      </c>
      <c r="E15" s="2" t="s">
        <v>339</v>
      </c>
      <c r="F15" s="15" t="s">
        <v>8</v>
      </c>
      <c r="G15" t="s">
        <v>413</v>
      </c>
      <c r="H15" s="55" t="s">
        <v>487</v>
      </c>
      <c r="I15" s="14">
        <v>42480</v>
      </c>
      <c r="J15" t="s">
        <v>561</v>
      </c>
      <c r="K15" s="15" t="s">
        <v>8</v>
      </c>
      <c r="L15" t="s">
        <v>635</v>
      </c>
      <c r="M15" s="15">
        <v>300</v>
      </c>
      <c r="N15" s="15">
        <v>306</v>
      </c>
      <c r="R15" s="15">
        <v>2</v>
      </c>
      <c r="S15" s="15">
        <v>796036</v>
      </c>
      <c r="T15" s="17">
        <v>43862</v>
      </c>
      <c r="U15" s="18">
        <v>151.62</v>
      </c>
      <c r="V15" s="7" t="str">
        <f t="shared" si="14"/>
        <v>2020/02/306/875</v>
      </c>
      <c r="W15" t="s">
        <v>3</v>
      </c>
      <c r="Y15" s="8" t="str">
        <f t="shared" si="1"/>
        <v/>
      </c>
      <c r="AK15" s="12" t="str">
        <f t="shared" si="2"/>
        <v/>
      </c>
      <c r="AL15" s="56" t="str">
        <f t="shared" si="3"/>
        <v/>
      </c>
      <c r="AM15">
        <v>1.84</v>
      </c>
      <c r="AN15" s="7" t="str">
        <f t="shared" si="15"/>
        <v/>
      </c>
      <c r="AO15" s="7" t="str">
        <f t="shared" si="4"/>
        <v/>
      </c>
      <c r="AP15" s="7" t="str">
        <f t="shared" si="5"/>
        <v/>
      </c>
      <c r="AQ15" s="7" t="str">
        <f t="shared" si="6"/>
        <v/>
      </c>
      <c r="AR15" s="7" t="str">
        <f t="shared" si="7"/>
        <v/>
      </c>
      <c r="AS15" s="7" t="str">
        <f t="shared" si="8"/>
        <v/>
      </c>
      <c r="AT15" s="7" t="str">
        <f t="shared" si="9"/>
        <v/>
      </c>
      <c r="AU15" s="7" t="str">
        <f t="shared" si="10"/>
        <v/>
      </c>
      <c r="AV15" s="7" t="str">
        <f t="shared" si="11"/>
        <v/>
      </c>
      <c r="AW15" s="54" t="str">
        <f t="shared" si="12"/>
        <v/>
      </c>
      <c r="AX15" s="7">
        <f t="shared" si="16"/>
        <v>0</v>
      </c>
      <c r="AY15" s="54" t="str">
        <f t="shared" si="0"/>
        <v/>
      </c>
      <c r="AZ15" s="54" t="str">
        <f t="shared" si="13"/>
        <v/>
      </c>
    </row>
    <row r="16" spans="1:62" x14ac:dyDescent="0.3">
      <c r="A16" s="10">
        <v>874</v>
      </c>
      <c r="B16" s="55" t="s">
        <v>127</v>
      </c>
      <c r="C16" t="s">
        <v>201</v>
      </c>
      <c r="D16" t="s">
        <v>275</v>
      </c>
      <c r="E16" s="2" t="s">
        <v>340</v>
      </c>
      <c r="F16" s="15" t="s">
        <v>9</v>
      </c>
      <c r="G16" t="s">
        <v>414</v>
      </c>
      <c r="H16" s="55" t="s">
        <v>488</v>
      </c>
      <c r="I16" s="14">
        <v>41726</v>
      </c>
      <c r="J16" t="s">
        <v>562</v>
      </c>
      <c r="K16" s="15" t="s">
        <v>9</v>
      </c>
      <c r="L16" t="s">
        <v>636</v>
      </c>
      <c r="M16" s="15">
        <v>300</v>
      </c>
      <c r="N16" s="15">
        <v>306</v>
      </c>
      <c r="R16" s="15">
        <v>4</v>
      </c>
      <c r="S16" s="15">
        <v>796073</v>
      </c>
      <c r="T16" s="17">
        <v>43862</v>
      </c>
      <c r="U16" s="18">
        <v>151.62</v>
      </c>
      <c r="V16" s="7" t="str">
        <f t="shared" si="14"/>
        <v>2020/02/306/874</v>
      </c>
      <c r="W16" t="s">
        <v>3</v>
      </c>
      <c r="Y16" s="8" t="str">
        <f t="shared" si="1"/>
        <v/>
      </c>
      <c r="AK16" s="12" t="str">
        <f t="shared" si="2"/>
        <v/>
      </c>
      <c r="AL16" s="56" t="str">
        <f t="shared" si="3"/>
        <v/>
      </c>
      <c r="AM16">
        <v>1.84</v>
      </c>
      <c r="AN16" s="7" t="str">
        <f t="shared" si="15"/>
        <v/>
      </c>
      <c r="AO16" s="7" t="str">
        <f t="shared" si="4"/>
        <v/>
      </c>
      <c r="AP16" s="7" t="str">
        <f t="shared" si="5"/>
        <v/>
      </c>
      <c r="AQ16" s="7" t="str">
        <f t="shared" si="6"/>
        <v/>
      </c>
      <c r="AR16" s="7" t="str">
        <f t="shared" si="7"/>
        <v/>
      </c>
      <c r="AS16" s="7" t="str">
        <f t="shared" si="8"/>
        <v/>
      </c>
      <c r="AT16" s="7" t="str">
        <f t="shared" si="9"/>
        <v/>
      </c>
      <c r="AU16" s="7" t="str">
        <f t="shared" si="10"/>
        <v/>
      </c>
      <c r="AV16" s="7" t="str">
        <f t="shared" si="11"/>
        <v/>
      </c>
      <c r="AW16" s="54" t="str">
        <f t="shared" si="12"/>
        <v/>
      </c>
      <c r="AX16" s="7">
        <f t="shared" si="16"/>
        <v>0</v>
      </c>
      <c r="AY16" s="54" t="str">
        <f t="shared" si="0"/>
        <v/>
      </c>
      <c r="AZ16" s="54" t="str">
        <f t="shared" si="13"/>
        <v/>
      </c>
    </row>
    <row r="17" spans="1:52" x14ac:dyDescent="0.3">
      <c r="A17" s="10">
        <v>757</v>
      </c>
      <c r="B17" s="55" t="s">
        <v>128</v>
      </c>
      <c r="C17" t="s">
        <v>202</v>
      </c>
      <c r="D17" t="s">
        <v>276</v>
      </c>
      <c r="E17" s="2" t="s">
        <v>341</v>
      </c>
      <c r="F17" s="15" t="s">
        <v>1</v>
      </c>
      <c r="G17" t="s">
        <v>415</v>
      </c>
      <c r="H17" s="55" t="s">
        <v>489</v>
      </c>
      <c r="I17" s="14">
        <v>41606</v>
      </c>
      <c r="J17" t="s">
        <v>563</v>
      </c>
      <c r="K17" s="15" t="s">
        <v>1</v>
      </c>
      <c r="L17" t="s">
        <v>637</v>
      </c>
      <c r="M17" s="15">
        <v>300</v>
      </c>
      <c r="N17" s="15">
        <v>306</v>
      </c>
      <c r="R17" s="15">
        <v>8</v>
      </c>
      <c r="S17" s="15">
        <v>796552</v>
      </c>
      <c r="T17" s="17">
        <v>43862</v>
      </c>
      <c r="U17" s="18">
        <v>151.62</v>
      </c>
      <c r="V17" s="7" t="str">
        <f t="shared" si="14"/>
        <v>2020/02/306/757</v>
      </c>
      <c r="W17" t="s">
        <v>3</v>
      </c>
      <c r="Y17" s="8" t="str">
        <f t="shared" si="1"/>
        <v/>
      </c>
      <c r="AK17" s="12" t="str">
        <f t="shared" si="2"/>
        <v/>
      </c>
      <c r="AL17" s="56" t="str">
        <f t="shared" si="3"/>
        <v/>
      </c>
      <c r="AN17" s="7" t="str">
        <f t="shared" si="15"/>
        <v/>
      </c>
      <c r="AO17" s="7" t="str">
        <f t="shared" si="4"/>
        <v/>
      </c>
      <c r="AP17" s="7" t="str">
        <f t="shared" si="5"/>
        <v/>
      </c>
      <c r="AQ17" s="7" t="str">
        <f t="shared" si="6"/>
        <v/>
      </c>
      <c r="AR17" s="7" t="str">
        <f t="shared" si="7"/>
        <v/>
      </c>
      <c r="AS17" s="7" t="str">
        <f t="shared" si="8"/>
        <v/>
      </c>
      <c r="AT17" s="7" t="str">
        <f t="shared" si="9"/>
        <v/>
      </c>
      <c r="AU17" s="7" t="str">
        <f t="shared" si="10"/>
        <v/>
      </c>
      <c r="AV17" s="7" t="str">
        <f t="shared" si="11"/>
        <v/>
      </c>
      <c r="AW17" s="54" t="str">
        <f t="shared" si="12"/>
        <v/>
      </c>
      <c r="AX17" s="7" t="str">
        <f t="shared" si="16"/>
        <v/>
      </c>
      <c r="AY17" s="54" t="str">
        <f t="shared" si="0"/>
        <v/>
      </c>
      <c r="AZ17" s="54" t="str">
        <f t="shared" si="13"/>
        <v/>
      </c>
    </row>
    <row r="18" spans="1:52" x14ac:dyDescent="0.3">
      <c r="A18" s="10">
        <v>672</v>
      </c>
      <c r="B18" s="55" t="s">
        <v>129</v>
      </c>
      <c r="C18" t="s">
        <v>203</v>
      </c>
      <c r="D18" t="s">
        <v>277</v>
      </c>
      <c r="E18" s="2" t="s">
        <v>342</v>
      </c>
      <c r="F18" s="15" t="s">
        <v>4</v>
      </c>
      <c r="G18" t="s">
        <v>416</v>
      </c>
      <c r="H18" s="55" t="s">
        <v>490</v>
      </c>
      <c r="I18" s="14">
        <v>39951</v>
      </c>
      <c r="J18" t="s">
        <v>564</v>
      </c>
      <c r="K18" s="15" t="s">
        <v>4</v>
      </c>
      <c r="L18" t="s">
        <v>638</v>
      </c>
      <c r="M18" s="15">
        <v>300</v>
      </c>
      <c r="N18" s="15">
        <v>306</v>
      </c>
      <c r="O18" s="16">
        <v>43647</v>
      </c>
      <c r="P18" s="16">
        <v>44012</v>
      </c>
      <c r="Q18" s="16">
        <v>43720</v>
      </c>
      <c r="R18" s="15">
        <v>2</v>
      </c>
      <c r="S18" s="15">
        <v>796434</v>
      </c>
      <c r="T18" s="17">
        <v>43862</v>
      </c>
      <c r="U18" s="18">
        <v>151.62</v>
      </c>
      <c r="V18" s="7" t="str">
        <f t="shared" si="14"/>
        <v>2020/02/306/672</v>
      </c>
      <c r="W18" t="s">
        <v>3</v>
      </c>
      <c r="Y18" s="8" t="str">
        <f t="shared" si="1"/>
        <v/>
      </c>
      <c r="AK18" s="12" t="str">
        <f t="shared" si="2"/>
        <v/>
      </c>
      <c r="AL18" s="56" t="str">
        <f t="shared" si="3"/>
        <v/>
      </c>
      <c r="AM18">
        <v>1.84</v>
      </c>
      <c r="AN18" s="7" t="str">
        <f t="shared" si="15"/>
        <v/>
      </c>
      <c r="AO18" s="7" t="str">
        <f t="shared" si="4"/>
        <v/>
      </c>
      <c r="AP18" s="7" t="str">
        <f t="shared" si="5"/>
        <v/>
      </c>
      <c r="AQ18" s="7" t="str">
        <f t="shared" si="6"/>
        <v/>
      </c>
      <c r="AR18" s="7" t="str">
        <f t="shared" si="7"/>
        <v/>
      </c>
      <c r="AS18" s="7" t="str">
        <f t="shared" si="8"/>
        <v/>
      </c>
      <c r="AT18" s="7" t="str">
        <f t="shared" si="9"/>
        <v/>
      </c>
      <c r="AU18" s="7" t="str">
        <f t="shared" si="10"/>
        <v/>
      </c>
      <c r="AV18" s="7" t="str">
        <f t="shared" si="11"/>
        <v/>
      </c>
      <c r="AW18" s="54" t="str">
        <f t="shared" si="12"/>
        <v/>
      </c>
      <c r="AX18" s="7">
        <f t="shared" si="16"/>
        <v>0</v>
      </c>
      <c r="AY18" s="54" t="str">
        <f t="shared" si="0"/>
        <v/>
      </c>
      <c r="AZ18" s="54" t="str">
        <f t="shared" si="13"/>
        <v/>
      </c>
    </row>
    <row r="19" spans="1:52" x14ac:dyDescent="0.3">
      <c r="A19" s="10">
        <v>865</v>
      </c>
      <c r="B19" s="55" t="s">
        <v>130</v>
      </c>
      <c r="C19" t="s">
        <v>204</v>
      </c>
      <c r="D19" t="s">
        <v>278</v>
      </c>
      <c r="E19" s="2" t="s">
        <v>343</v>
      </c>
      <c r="F19" s="15" t="s">
        <v>4</v>
      </c>
      <c r="G19" t="s">
        <v>417</v>
      </c>
      <c r="H19" s="55" t="s">
        <v>491</v>
      </c>
      <c r="I19" s="14">
        <v>21327</v>
      </c>
      <c r="J19" t="s">
        <v>565</v>
      </c>
      <c r="K19" s="15" t="s">
        <v>4</v>
      </c>
      <c r="L19" t="s">
        <v>639</v>
      </c>
      <c r="M19" s="15">
        <v>300</v>
      </c>
      <c r="N19" s="15">
        <v>306</v>
      </c>
      <c r="O19" s="16">
        <v>43717</v>
      </c>
      <c r="P19" s="16">
        <v>43970</v>
      </c>
      <c r="Q19" s="16">
        <v>43839</v>
      </c>
      <c r="R19" s="15">
        <v>11</v>
      </c>
      <c r="S19" s="15">
        <v>796611</v>
      </c>
      <c r="T19" s="17">
        <v>43862</v>
      </c>
      <c r="U19" s="18">
        <v>151.62</v>
      </c>
      <c r="V19" s="7" t="str">
        <f t="shared" si="14"/>
        <v>2020/02/306/865</v>
      </c>
      <c r="W19" t="s">
        <v>10</v>
      </c>
      <c r="Y19" s="8" t="str">
        <f t="shared" si="1"/>
        <v/>
      </c>
      <c r="AK19" s="12" t="str">
        <f t="shared" si="2"/>
        <v/>
      </c>
      <c r="AL19" s="56" t="str">
        <f t="shared" si="3"/>
        <v/>
      </c>
      <c r="AM19">
        <v>1.84</v>
      </c>
      <c r="AN19" s="7" t="str">
        <f t="shared" si="15"/>
        <v/>
      </c>
      <c r="AO19" s="7" t="str">
        <f t="shared" si="4"/>
        <v/>
      </c>
      <c r="AP19" s="7" t="str">
        <f t="shared" si="5"/>
        <v/>
      </c>
      <c r="AQ19" s="7" t="str">
        <f t="shared" si="6"/>
        <v/>
      </c>
      <c r="AR19" s="7" t="str">
        <f t="shared" si="7"/>
        <v/>
      </c>
      <c r="AS19" s="7" t="str">
        <f t="shared" si="8"/>
        <v/>
      </c>
      <c r="AT19" s="7" t="str">
        <f t="shared" si="9"/>
        <v/>
      </c>
      <c r="AU19" s="7" t="str">
        <f t="shared" si="10"/>
        <v/>
      </c>
      <c r="AV19" s="7" t="str">
        <f t="shared" si="11"/>
        <v/>
      </c>
      <c r="AW19" s="54" t="str">
        <f t="shared" si="12"/>
        <v/>
      </c>
      <c r="AX19" s="7">
        <f t="shared" si="16"/>
        <v>0</v>
      </c>
      <c r="AY19" s="54" t="str">
        <f t="shared" si="0"/>
        <v/>
      </c>
      <c r="AZ19" s="54" t="str">
        <f t="shared" si="13"/>
        <v/>
      </c>
    </row>
    <row r="20" spans="1:52" x14ac:dyDescent="0.3">
      <c r="A20" s="10">
        <v>818</v>
      </c>
      <c r="B20" s="55" t="s">
        <v>131</v>
      </c>
      <c r="C20" t="s">
        <v>205</v>
      </c>
      <c r="D20" t="s">
        <v>279</v>
      </c>
      <c r="E20" s="2" t="s">
        <v>344</v>
      </c>
      <c r="F20" s="15" t="s">
        <v>7</v>
      </c>
      <c r="G20" t="s">
        <v>418</v>
      </c>
      <c r="H20" s="55" t="s">
        <v>492</v>
      </c>
      <c r="I20" s="14">
        <v>29107</v>
      </c>
      <c r="J20" t="s">
        <v>566</v>
      </c>
      <c r="K20" s="15" t="s">
        <v>7</v>
      </c>
      <c r="L20" t="s">
        <v>640</v>
      </c>
      <c r="M20" s="15">
        <v>300</v>
      </c>
      <c r="N20" s="15">
        <v>306</v>
      </c>
      <c r="O20" s="16">
        <v>43836</v>
      </c>
      <c r="P20" s="16">
        <v>43926</v>
      </c>
      <c r="Q20" s="16">
        <v>43868</v>
      </c>
      <c r="R20" s="15">
        <v>11</v>
      </c>
      <c r="S20" s="15">
        <v>796213</v>
      </c>
      <c r="T20" s="17">
        <v>43862</v>
      </c>
      <c r="U20" s="18">
        <v>151.62</v>
      </c>
      <c r="V20" s="7" t="str">
        <f t="shared" si="14"/>
        <v>2020/02/306/818</v>
      </c>
      <c r="W20" t="s">
        <v>10</v>
      </c>
      <c r="Y20" s="8" t="str">
        <f t="shared" si="1"/>
        <v/>
      </c>
      <c r="AK20" s="12" t="str">
        <f t="shared" si="2"/>
        <v/>
      </c>
      <c r="AL20" s="56" t="str">
        <f t="shared" si="3"/>
        <v/>
      </c>
      <c r="AN20" s="7" t="str">
        <f t="shared" si="15"/>
        <v/>
      </c>
      <c r="AO20" s="7" t="str">
        <f t="shared" si="4"/>
        <v/>
      </c>
      <c r="AP20" s="7" t="str">
        <f t="shared" si="5"/>
        <v/>
      </c>
      <c r="AQ20" s="7" t="str">
        <f t="shared" si="6"/>
        <v/>
      </c>
      <c r="AR20" s="7" t="str">
        <f t="shared" si="7"/>
        <v/>
      </c>
      <c r="AS20" s="7" t="str">
        <f t="shared" si="8"/>
        <v/>
      </c>
      <c r="AT20" s="7" t="str">
        <f t="shared" si="9"/>
        <v/>
      </c>
      <c r="AU20" s="7" t="str">
        <f t="shared" si="10"/>
        <v/>
      </c>
      <c r="AV20" s="7" t="str">
        <f t="shared" si="11"/>
        <v/>
      </c>
      <c r="AW20" s="54" t="str">
        <f t="shared" si="12"/>
        <v/>
      </c>
      <c r="AX20" s="7" t="str">
        <f t="shared" si="16"/>
        <v/>
      </c>
      <c r="AY20" s="54" t="str">
        <f t="shared" si="0"/>
        <v/>
      </c>
      <c r="AZ20" s="54" t="str">
        <f t="shared" si="13"/>
        <v/>
      </c>
    </row>
    <row r="21" spans="1:52" x14ac:dyDescent="0.3">
      <c r="A21" s="10">
        <v>818</v>
      </c>
      <c r="B21" s="55" t="s">
        <v>132</v>
      </c>
      <c r="C21" t="s">
        <v>206</v>
      </c>
      <c r="D21" t="s">
        <v>280</v>
      </c>
      <c r="E21" s="2" t="s">
        <v>345</v>
      </c>
      <c r="F21" s="15" t="s">
        <v>7</v>
      </c>
      <c r="G21" t="s">
        <v>419</v>
      </c>
      <c r="H21" s="55" t="s">
        <v>493</v>
      </c>
      <c r="I21" s="14">
        <v>29107</v>
      </c>
      <c r="J21" t="s">
        <v>567</v>
      </c>
      <c r="K21" s="15" t="s">
        <v>7</v>
      </c>
      <c r="L21" t="s">
        <v>641</v>
      </c>
      <c r="M21" s="15">
        <v>300</v>
      </c>
      <c r="N21" s="15">
        <v>306</v>
      </c>
      <c r="R21" s="15">
        <v>11</v>
      </c>
      <c r="S21" s="15">
        <v>796611</v>
      </c>
      <c r="T21" s="17">
        <v>43862</v>
      </c>
      <c r="U21" s="18">
        <v>151.62</v>
      </c>
      <c r="V21" s="7" t="str">
        <f t="shared" si="14"/>
        <v>2020/02/306/818</v>
      </c>
      <c r="W21" t="s">
        <v>10</v>
      </c>
      <c r="Y21" s="8" t="str">
        <f t="shared" si="1"/>
        <v/>
      </c>
      <c r="AK21" s="12" t="str">
        <f t="shared" si="2"/>
        <v/>
      </c>
      <c r="AL21" s="56" t="str">
        <f t="shared" si="3"/>
        <v/>
      </c>
      <c r="AN21" s="7" t="str">
        <f t="shared" si="15"/>
        <v/>
      </c>
      <c r="AO21" s="7" t="str">
        <f t="shared" si="4"/>
        <v/>
      </c>
      <c r="AP21" s="7" t="str">
        <f t="shared" si="5"/>
        <v/>
      </c>
      <c r="AQ21" s="7" t="str">
        <f t="shared" si="6"/>
        <v/>
      </c>
      <c r="AR21" s="7" t="str">
        <f t="shared" si="7"/>
        <v/>
      </c>
      <c r="AS21" s="7" t="str">
        <f t="shared" si="8"/>
        <v/>
      </c>
      <c r="AT21" s="7" t="str">
        <f t="shared" si="9"/>
        <v/>
      </c>
      <c r="AU21" s="7" t="str">
        <f t="shared" si="10"/>
        <v/>
      </c>
      <c r="AV21" s="7" t="str">
        <f t="shared" si="11"/>
        <v/>
      </c>
      <c r="AW21" s="54" t="str">
        <f t="shared" si="12"/>
        <v/>
      </c>
      <c r="AX21" s="7" t="str">
        <f t="shared" si="16"/>
        <v/>
      </c>
      <c r="AY21" s="54" t="str">
        <f t="shared" si="0"/>
        <v/>
      </c>
      <c r="AZ21" s="54" t="str">
        <f t="shared" si="13"/>
        <v/>
      </c>
    </row>
    <row r="22" spans="1:52" x14ac:dyDescent="0.3">
      <c r="A22" s="10">
        <v>816</v>
      </c>
      <c r="B22" s="55" t="s">
        <v>133</v>
      </c>
      <c r="C22" t="s">
        <v>207</v>
      </c>
      <c r="D22" t="s">
        <v>281</v>
      </c>
      <c r="E22" s="2" t="s">
        <v>346</v>
      </c>
      <c r="F22" s="15" t="s">
        <v>1</v>
      </c>
      <c r="G22" t="s">
        <v>420</v>
      </c>
      <c r="H22" s="55" t="s">
        <v>494</v>
      </c>
      <c r="I22" s="14">
        <v>42118</v>
      </c>
      <c r="J22" t="s">
        <v>568</v>
      </c>
      <c r="K22" s="15" t="s">
        <v>1</v>
      </c>
      <c r="L22" t="s">
        <v>642</v>
      </c>
      <c r="M22" s="15">
        <v>300</v>
      </c>
      <c r="N22" s="15">
        <v>306</v>
      </c>
      <c r="O22" s="16">
        <v>43711</v>
      </c>
      <c r="P22" s="16">
        <v>44076</v>
      </c>
      <c r="Q22" s="16">
        <v>43732</v>
      </c>
      <c r="R22" s="15">
        <v>2</v>
      </c>
      <c r="S22" s="15">
        <v>796434</v>
      </c>
      <c r="T22" s="17">
        <v>43862</v>
      </c>
      <c r="U22" s="18">
        <v>151.62</v>
      </c>
      <c r="V22" s="7" t="str">
        <f t="shared" si="14"/>
        <v>2020/02/306/816</v>
      </c>
      <c r="W22" t="s">
        <v>3</v>
      </c>
      <c r="Y22" s="8" t="str">
        <f t="shared" si="1"/>
        <v/>
      </c>
      <c r="AK22" s="12" t="str">
        <f t="shared" si="2"/>
        <v/>
      </c>
      <c r="AL22" s="56" t="str">
        <f t="shared" si="3"/>
        <v/>
      </c>
      <c r="AN22" s="7" t="str">
        <f t="shared" si="15"/>
        <v/>
      </c>
      <c r="AO22" s="7" t="str">
        <f t="shared" si="4"/>
        <v/>
      </c>
      <c r="AP22" s="7" t="str">
        <f t="shared" si="5"/>
        <v/>
      </c>
      <c r="AQ22" s="7" t="str">
        <f t="shared" si="6"/>
        <v/>
      </c>
      <c r="AR22" s="7" t="str">
        <f t="shared" si="7"/>
        <v/>
      </c>
      <c r="AS22" s="7" t="str">
        <f t="shared" si="8"/>
        <v/>
      </c>
      <c r="AT22" s="7" t="str">
        <f t="shared" si="9"/>
        <v/>
      </c>
      <c r="AU22" s="7" t="str">
        <f t="shared" si="10"/>
        <v/>
      </c>
      <c r="AV22" s="7" t="str">
        <f t="shared" si="11"/>
        <v/>
      </c>
      <c r="AW22" s="54" t="str">
        <f t="shared" si="12"/>
        <v/>
      </c>
      <c r="AX22" s="7" t="str">
        <f t="shared" si="16"/>
        <v/>
      </c>
      <c r="AY22" s="54" t="str">
        <f t="shared" si="0"/>
        <v/>
      </c>
      <c r="AZ22" s="54" t="str">
        <f t="shared" si="13"/>
        <v/>
      </c>
    </row>
    <row r="23" spans="1:52" x14ac:dyDescent="0.3">
      <c r="A23" s="10">
        <v>765</v>
      </c>
      <c r="B23" s="55" t="s">
        <v>134</v>
      </c>
      <c r="C23" t="s">
        <v>208</v>
      </c>
      <c r="D23" t="s">
        <v>282</v>
      </c>
      <c r="E23" s="2" t="s">
        <v>347</v>
      </c>
      <c r="F23" s="15" t="s">
        <v>4</v>
      </c>
      <c r="G23" t="s">
        <v>421</v>
      </c>
      <c r="H23" s="55" t="s">
        <v>495</v>
      </c>
      <c r="I23" s="14">
        <v>38502</v>
      </c>
      <c r="J23" t="s">
        <v>569</v>
      </c>
      <c r="K23" s="15" t="s">
        <v>1</v>
      </c>
      <c r="L23" t="s">
        <v>643</v>
      </c>
      <c r="M23" s="15">
        <v>300</v>
      </c>
      <c r="N23" s="15">
        <v>306</v>
      </c>
      <c r="O23" s="16">
        <v>43647</v>
      </c>
      <c r="P23" s="16">
        <v>44012</v>
      </c>
      <c r="Q23" s="16">
        <v>43678</v>
      </c>
      <c r="R23" s="15">
        <v>2</v>
      </c>
      <c r="S23" s="15">
        <v>796434</v>
      </c>
      <c r="T23" s="17">
        <v>43862</v>
      </c>
      <c r="U23" s="18">
        <v>151.62</v>
      </c>
      <c r="V23" s="7" t="str">
        <f t="shared" si="14"/>
        <v>2020/02/306/765</v>
      </c>
      <c r="W23" t="s">
        <v>3</v>
      </c>
      <c r="Y23" s="8" t="str">
        <f t="shared" si="1"/>
        <v/>
      </c>
      <c r="AK23" s="12" t="str">
        <f t="shared" si="2"/>
        <v/>
      </c>
      <c r="AL23" s="56" t="str">
        <f t="shared" si="3"/>
        <v/>
      </c>
      <c r="AN23" s="7" t="str">
        <f t="shared" si="15"/>
        <v/>
      </c>
      <c r="AO23" s="7" t="str">
        <f t="shared" si="4"/>
        <v/>
      </c>
      <c r="AP23" s="7" t="str">
        <f t="shared" si="5"/>
        <v/>
      </c>
      <c r="AQ23" s="7" t="str">
        <f t="shared" si="6"/>
        <v/>
      </c>
      <c r="AR23" s="7" t="str">
        <f t="shared" si="7"/>
        <v/>
      </c>
      <c r="AS23" s="7" t="str">
        <f t="shared" si="8"/>
        <v/>
      </c>
      <c r="AT23" s="7" t="str">
        <f t="shared" si="9"/>
        <v/>
      </c>
      <c r="AU23" s="7" t="str">
        <f t="shared" si="10"/>
        <v/>
      </c>
      <c r="AV23" s="7" t="str">
        <f t="shared" si="11"/>
        <v/>
      </c>
      <c r="AW23" s="54" t="str">
        <f t="shared" si="12"/>
        <v/>
      </c>
      <c r="AX23" s="7" t="str">
        <f t="shared" si="16"/>
        <v/>
      </c>
      <c r="AY23" s="54" t="str">
        <f t="shared" si="0"/>
        <v/>
      </c>
      <c r="AZ23" s="54" t="str">
        <f t="shared" si="13"/>
        <v/>
      </c>
    </row>
    <row r="24" spans="1:52" x14ac:dyDescent="0.3">
      <c r="A24" s="10">
        <v>852</v>
      </c>
      <c r="B24" s="55" t="s">
        <v>135</v>
      </c>
      <c r="C24" t="s">
        <v>209</v>
      </c>
      <c r="D24" t="s">
        <v>283</v>
      </c>
      <c r="E24" s="2" t="s">
        <v>348</v>
      </c>
      <c r="F24" s="15" t="s">
        <v>1</v>
      </c>
      <c r="G24" t="s">
        <v>422</v>
      </c>
      <c r="H24" s="55" t="s">
        <v>496</v>
      </c>
      <c r="I24" s="14">
        <v>41251</v>
      </c>
      <c r="J24" t="s">
        <v>570</v>
      </c>
      <c r="K24" s="15" t="s">
        <v>1</v>
      </c>
      <c r="L24" t="s">
        <v>644</v>
      </c>
      <c r="M24" s="15">
        <v>300</v>
      </c>
      <c r="N24" s="15">
        <v>306</v>
      </c>
      <c r="O24" s="16">
        <v>43739</v>
      </c>
      <c r="P24" s="16">
        <v>44104</v>
      </c>
      <c r="Q24" s="16">
        <v>43752</v>
      </c>
      <c r="R24" s="15">
        <v>4</v>
      </c>
      <c r="S24" s="15">
        <v>796471</v>
      </c>
      <c r="T24" s="17">
        <v>43862</v>
      </c>
      <c r="U24" s="18">
        <v>151.62</v>
      </c>
      <c r="V24" s="7" t="str">
        <f t="shared" si="14"/>
        <v>2020/02/306/852</v>
      </c>
      <c r="W24" t="s">
        <v>3</v>
      </c>
      <c r="Y24" s="8" t="str">
        <f t="shared" si="1"/>
        <v/>
      </c>
      <c r="AK24" s="12" t="str">
        <f t="shared" si="2"/>
        <v/>
      </c>
      <c r="AL24" s="56" t="str">
        <f t="shared" si="3"/>
        <v/>
      </c>
      <c r="AN24" s="7" t="str">
        <f t="shared" si="15"/>
        <v/>
      </c>
      <c r="AO24" s="7" t="str">
        <f t="shared" si="4"/>
        <v/>
      </c>
      <c r="AP24" s="7" t="str">
        <f t="shared" si="5"/>
        <v/>
      </c>
      <c r="AQ24" s="7" t="str">
        <f t="shared" si="6"/>
        <v/>
      </c>
      <c r="AR24" s="7" t="str">
        <f t="shared" si="7"/>
        <v/>
      </c>
      <c r="AS24" s="7" t="str">
        <f t="shared" si="8"/>
        <v/>
      </c>
      <c r="AT24" s="7" t="str">
        <f t="shared" si="9"/>
        <v/>
      </c>
      <c r="AU24" s="7" t="str">
        <f t="shared" si="10"/>
        <v/>
      </c>
      <c r="AV24" s="7" t="str">
        <f t="shared" si="11"/>
        <v/>
      </c>
      <c r="AW24" s="54" t="str">
        <f t="shared" si="12"/>
        <v/>
      </c>
      <c r="AX24" s="7" t="str">
        <f t="shared" si="16"/>
        <v/>
      </c>
      <c r="AY24" s="54" t="str">
        <f t="shared" si="0"/>
        <v/>
      </c>
      <c r="AZ24" s="54" t="str">
        <f t="shared" si="13"/>
        <v/>
      </c>
    </row>
    <row r="25" spans="1:52" x14ac:dyDescent="0.3">
      <c r="A25" s="10">
        <v>803</v>
      </c>
      <c r="B25" s="55" t="s">
        <v>136</v>
      </c>
      <c r="C25" t="s">
        <v>210</v>
      </c>
      <c r="D25" t="s">
        <v>284</v>
      </c>
      <c r="E25" s="2" t="s">
        <v>349</v>
      </c>
      <c r="F25" s="15" t="s">
        <v>6</v>
      </c>
      <c r="G25" t="s">
        <v>423</v>
      </c>
      <c r="H25" s="55" t="s">
        <v>497</v>
      </c>
      <c r="I25" s="14">
        <v>41491</v>
      </c>
      <c r="J25" t="s">
        <v>571</v>
      </c>
      <c r="K25" s="15" t="s">
        <v>6</v>
      </c>
      <c r="L25" t="s">
        <v>645</v>
      </c>
      <c r="M25" s="15">
        <v>300</v>
      </c>
      <c r="N25" s="15">
        <v>306</v>
      </c>
      <c r="O25" s="16">
        <v>43849</v>
      </c>
      <c r="P25" s="16">
        <v>44214</v>
      </c>
      <c r="Q25" s="16">
        <v>43873</v>
      </c>
      <c r="R25" s="15">
        <v>2</v>
      </c>
      <c r="S25" s="15">
        <v>796434</v>
      </c>
      <c r="T25" s="17">
        <v>43862</v>
      </c>
      <c r="U25" s="18">
        <v>151.62</v>
      </c>
      <c r="V25" s="7" t="str">
        <f t="shared" si="14"/>
        <v>2020/02/306/803</v>
      </c>
      <c r="W25" t="s">
        <v>3</v>
      </c>
      <c r="Y25" s="8" t="str">
        <f t="shared" si="1"/>
        <v/>
      </c>
      <c r="AK25" s="12" t="str">
        <f t="shared" si="2"/>
        <v/>
      </c>
      <c r="AL25" s="56" t="str">
        <f t="shared" si="3"/>
        <v/>
      </c>
      <c r="AN25" s="7" t="str">
        <f t="shared" si="15"/>
        <v/>
      </c>
      <c r="AO25" s="7" t="str">
        <f t="shared" si="4"/>
        <v/>
      </c>
      <c r="AP25" s="7" t="str">
        <f t="shared" si="5"/>
        <v/>
      </c>
      <c r="AQ25" s="7" t="str">
        <f t="shared" si="6"/>
        <v/>
      </c>
      <c r="AR25" s="7" t="str">
        <f t="shared" si="7"/>
        <v/>
      </c>
      <c r="AS25" s="7" t="str">
        <f t="shared" si="8"/>
        <v/>
      </c>
      <c r="AT25" s="7" t="str">
        <f t="shared" si="9"/>
        <v/>
      </c>
      <c r="AU25" s="7" t="str">
        <f t="shared" si="10"/>
        <v/>
      </c>
      <c r="AV25" s="7" t="str">
        <f t="shared" si="11"/>
        <v/>
      </c>
      <c r="AW25" s="54" t="str">
        <f t="shared" si="12"/>
        <v/>
      </c>
      <c r="AX25" s="7" t="str">
        <f t="shared" si="16"/>
        <v/>
      </c>
      <c r="AY25" s="54" t="str">
        <f t="shared" si="0"/>
        <v/>
      </c>
      <c r="AZ25" s="54" t="str">
        <f t="shared" si="13"/>
        <v/>
      </c>
    </row>
    <row r="26" spans="1:52" x14ac:dyDescent="0.3">
      <c r="A26" s="10">
        <v>809</v>
      </c>
      <c r="B26" s="55" t="s">
        <v>137</v>
      </c>
      <c r="C26" t="s">
        <v>211</v>
      </c>
      <c r="D26" t="s">
        <v>285</v>
      </c>
      <c r="E26" s="2" t="s">
        <v>350</v>
      </c>
      <c r="F26" s="15" t="s">
        <v>4</v>
      </c>
      <c r="G26" t="s">
        <v>424</v>
      </c>
      <c r="H26" s="55" t="s">
        <v>498</v>
      </c>
      <c r="I26" s="14">
        <v>41960</v>
      </c>
      <c r="J26" t="s">
        <v>572</v>
      </c>
      <c r="K26" s="15" t="s">
        <v>1</v>
      </c>
      <c r="L26" t="s">
        <v>646</v>
      </c>
      <c r="M26" s="15">
        <v>300</v>
      </c>
      <c r="N26" s="15">
        <v>306</v>
      </c>
      <c r="O26" s="16">
        <v>43648</v>
      </c>
      <c r="P26" s="16">
        <v>44013</v>
      </c>
      <c r="Q26" s="16">
        <v>43678</v>
      </c>
      <c r="R26" s="15">
        <v>2</v>
      </c>
      <c r="S26" s="15">
        <v>796434</v>
      </c>
      <c r="T26" s="17">
        <v>43862</v>
      </c>
      <c r="U26" s="18">
        <v>151.62</v>
      </c>
      <c r="V26" s="7" t="str">
        <f t="shared" si="14"/>
        <v>2020/02/306/809</v>
      </c>
      <c r="W26" t="s">
        <v>3</v>
      </c>
      <c r="Y26" s="8" t="str">
        <f t="shared" si="1"/>
        <v/>
      </c>
      <c r="AK26" s="12" t="str">
        <f t="shared" si="2"/>
        <v/>
      </c>
      <c r="AL26" s="56" t="str">
        <f t="shared" si="3"/>
        <v/>
      </c>
      <c r="AN26" s="7" t="str">
        <f t="shared" si="15"/>
        <v/>
      </c>
      <c r="AO26" s="7" t="str">
        <f t="shared" si="4"/>
        <v/>
      </c>
      <c r="AP26" s="7" t="str">
        <f t="shared" si="5"/>
        <v/>
      </c>
      <c r="AQ26" s="7" t="str">
        <f t="shared" si="6"/>
        <v/>
      </c>
      <c r="AR26" s="7" t="str">
        <f t="shared" si="7"/>
        <v/>
      </c>
      <c r="AS26" s="7" t="str">
        <f t="shared" si="8"/>
        <v/>
      </c>
      <c r="AT26" s="7" t="str">
        <f t="shared" si="9"/>
        <v/>
      </c>
      <c r="AU26" s="7" t="str">
        <f t="shared" si="10"/>
        <v/>
      </c>
      <c r="AV26" s="7" t="str">
        <f t="shared" si="11"/>
        <v/>
      </c>
      <c r="AW26" s="54" t="str">
        <f t="shared" si="12"/>
        <v/>
      </c>
      <c r="AX26" s="7" t="str">
        <f t="shared" si="16"/>
        <v/>
      </c>
      <c r="AY26" s="54" t="str">
        <f t="shared" si="0"/>
        <v/>
      </c>
      <c r="AZ26" s="54" t="str">
        <f t="shared" si="13"/>
        <v/>
      </c>
    </row>
    <row r="27" spans="1:52" x14ac:dyDescent="0.3">
      <c r="A27" s="10">
        <v>867</v>
      </c>
      <c r="B27" s="55" t="s">
        <v>138</v>
      </c>
      <c r="C27" t="s">
        <v>212</v>
      </c>
      <c r="D27" t="s">
        <v>286</v>
      </c>
      <c r="E27" s="2" t="s">
        <v>351</v>
      </c>
      <c r="F27" s="15" t="s">
        <v>1</v>
      </c>
      <c r="G27" t="s">
        <v>425</v>
      </c>
      <c r="H27" s="55" t="s">
        <v>499</v>
      </c>
      <c r="I27" s="14">
        <v>41991</v>
      </c>
      <c r="J27" t="s">
        <v>573</v>
      </c>
      <c r="K27" s="15" t="s">
        <v>1</v>
      </c>
      <c r="L27" t="s">
        <v>647</v>
      </c>
      <c r="M27" s="15">
        <v>300</v>
      </c>
      <c r="N27" s="15">
        <v>306</v>
      </c>
      <c r="O27" s="16">
        <v>43836</v>
      </c>
      <c r="P27" s="16">
        <v>44201</v>
      </c>
      <c r="Q27" s="16">
        <v>43817</v>
      </c>
      <c r="R27" s="15">
        <v>8</v>
      </c>
      <c r="S27" s="15">
        <v>796552</v>
      </c>
      <c r="T27" s="17">
        <v>43862</v>
      </c>
      <c r="U27" s="18">
        <v>151.62</v>
      </c>
      <c r="V27" s="7" t="str">
        <f t="shared" si="14"/>
        <v>2020/02/306/867</v>
      </c>
      <c r="W27" t="s">
        <v>3</v>
      </c>
      <c r="Y27" s="8" t="str">
        <f t="shared" si="1"/>
        <v/>
      </c>
      <c r="AK27" s="12" t="str">
        <f t="shared" si="2"/>
        <v/>
      </c>
      <c r="AL27" s="56" t="str">
        <f t="shared" si="3"/>
        <v/>
      </c>
      <c r="AN27" s="7" t="str">
        <f t="shared" si="15"/>
        <v/>
      </c>
      <c r="AO27" s="7" t="str">
        <f t="shared" si="4"/>
        <v/>
      </c>
      <c r="AP27" s="7" t="str">
        <f t="shared" si="5"/>
        <v/>
      </c>
      <c r="AQ27" s="7" t="str">
        <f t="shared" si="6"/>
        <v/>
      </c>
      <c r="AR27" s="7" t="str">
        <f t="shared" si="7"/>
        <v/>
      </c>
      <c r="AS27" s="7" t="str">
        <f t="shared" si="8"/>
        <v/>
      </c>
      <c r="AT27" s="7" t="str">
        <f t="shared" si="9"/>
        <v/>
      </c>
      <c r="AU27" s="7" t="str">
        <f t="shared" si="10"/>
        <v/>
      </c>
      <c r="AV27" s="7" t="str">
        <f t="shared" si="11"/>
        <v/>
      </c>
      <c r="AW27" s="54" t="str">
        <f t="shared" si="12"/>
        <v/>
      </c>
      <c r="AX27" s="7" t="str">
        <f t="shared" si="16"/>
        <v/>
      </c>
      <c r="AY27" s="54" t="str">
        <f t="shared" si="0"/>
        <v/>
      </c>
      <c r="AZ27" s="54" t="str">
        <f t="shared" si="13"/>
        <v/>
      </c>
    </row>
    <row r="28" spans="1:52" x14ac:dyDescent="0.3">
      <c r="A28" s="10">
        <v>854</v>
      </c>
      <c r="B28" s="55" t="s">
        <v>139</v>
      </c>
      <c r="C28" t="s">
        <v>213</v>
      </c>
      <c r="D28" t="s">
        <v>287</v>
      </c>
      <c r="E28" s="2" t="s">
        <v>352</v>
      </c>
      <c r="F28" s="15" t="s">
        <v>4</v>
      </c>
      <c r="G28" t="s">
        <v>426</v>
      </c>
      <c r="H28" s="55" t="s">
        <v>500</v>
      </c>
      <c r="I28" s="14">
        <v>42411</v>
      </c>
      <c r="J28" t="s">
        <v>574</v>
      </c>
      <c r="K28" s="15" t="s">
        <v>4</v>
      </c>
      <c r="L28" t="s">
        <v>648</v>
      </c>
      <c r="M28" s="15">
        <v>300</v>
      </c>
      <c r="N28" s="15">
        <v>306</v>
      </c>
      <c r="O28" s="16">
        <v>43635</v>
      </c>
      <c r="P28" s="16">
        <v>43899</v>
      </c>
      <c r="Q28" s="16">
        <v>43752</v>
      </c>
      <c r="R28" s="15">
        <v>8</v>
      </c>
      <c r="S28" s="15">
        <v>796552</v>
      </c>
      <c r="T28" s="17">
        <v>43862</v>
      </c>
      <c r="U28" s="18">
        <v>151.62</v>
      </c>
      <c r="V28" s="7" t="str">
        <f t="shared" si="14"/>
        <v>2020/02/306/854</v>
      </c>
      <c r="W28" t="s">
        <v>3</v>
      </c>
      <c r="Y28" s="8" t="str">
        <f t="shared" si="1"/>
        <v/>
      </c>
      <c r="AK28" s="12" t="str">
        <f t="shared" si="2"/>
        <v/>
      </c>
      <c r="AL28" s="56" t="str">
        <f t="shared" si="3"/>
        <v/>
      </c>
      <c r="AM28">
        <v>1.84</v>
      </c>
      <c r="AN28" s="7" t="str">
        <f t="shared" si="15"/>
        <v/>
      </c>
      <c r="AO28" s="7" t="str">
        <f t="shared" si="4"/>
        <v/>
      </c>
      <c r="AP28" s="7" t="str">
        <f t="shared" si="5"/>
        <v/>
      </c>
      <c r="AQ28" s="7" t="str">
        <f t="shared" si="6"/>
        <v/>
      </c>
      <c r="AR28" s="7" t="str">
        <f t="shared" si="7"/>
        <v/>
      </c>
      <c r="AS28" s="7" t="str">
        <f t="shared" si="8"/>
        <v/>
      </c>
      <c r="AT28" s="7" t="str">
        <f t="shared" si="9"/>
        <v/>
      </c>
      <c r="AU28" s="7" t="str">
        <f t="shared" si="10"/>
        <v/>
      </c>
      <c r="AV28" s="7" t="str">
        <f t="shared" si="11"/>
        <v/>
      </c>
      <c r="AW28" s="54" t="str">
        <f t="shared" si="12"/>
        <v/>
      </c>
      <c r="AX28" s="7">
        <f t="shared" si="16"/>
        <v>0</v>
      </c>
      <c r="AY28" s="54" t="str">
        <f t="shared" si="0"/>
        <v/>
      </c>
      <c r="AZ28" s="54" t="str">
        <f t="shared" si="13"/>
        <v/>
      </c>
    </row>
    <row r="29" spans="1:52" x14ac:dyDescent="0.3">
      <c r="A29" s="10">
        <v>776</v>
      </c>
      <c r="B29" s="55" t="s">
        <v>140</v>
      </c>
      <c r="C29" t="s">
        <v>214</v>
      </c>
      <c r="D29" t="s">
        <v>288</v>
      </c>
      <c r="E29" s="2" t="s">
        <v>353</v>
      </c>
      <c r="F29" s="15" t="s">
        <v>1</v>
      </c>
      <c r="G29" t="s">
        <v>427</v>
      </c>
      <c r="H29" s="55" t="s">
        <v>501</v>
      </c>
      <c r="I29" s="14">
        <v>39384</v>
      </c>
      <c r="J29" t="s">
        <v>575</v>
      </c>
      <c r="K29" s="15" t="s">
        <v>1</v>
      </c>
      <c r="L29" t="s">
        <v>649</v>
      </c>
      <c r="M29" s="15">
        <v>300</v>
      </c>
      <c r="N29" s="15">
        <v>306</v>
      </c>
      <c r="O29" s="16">
        <v>43604</v>
      </c>
      <c r="P29" s="16">
        <v>43969</v>
      </c>
      <c r="Q29" s="16">
        <v>43627</v>
      </c>
      <c r="R29" s="15">
        <v>2</v>
      </c>
      <c r="S29" s="15">
        <v>796434</v>
      </c>
      <c r="T29" s="17">
        <v>43862</v>
      </c>
      <c r="U29" s="18">
        <v>151.62</v>
      </c>
      <c r="V29" s="7" t="str">
        <f t="shared" si="14"/>
        <v>2020/02/306/776</v>
      </c>
      <c r="W29" t="s">
        <v>3</v>
      </c>
      <c r="Y29" s="8" t="str">
        <f t="shared" si="1"/>
        <v/>
      </c>
      <c r="AK29" s="12" t="str">
        <f t="shared" si="2"/>
        <v/>
      </c>
      <c r="AL29" s="56" t="str">
        <f t="shared" si="3"/>
        <v/>
      </c>
      <c r="AN29" s="7" t="str">
        <f t="shared" si="15"/>
        <v/>
      </c>
      <c r="AO29" s="7" t="str">
        <f t="shared" si="4"/>
        <v/>
      </c>
      <c r="AP29" s="7" t="str">
        <f t="shared" si="5"/>
        <v/>
      </c>
      <c r="AQ29" s="7" t="str">
        <f t="shared" si="6"/>
        <v/>
      </c>
      <c r="AR29" s="7" t="str">
        <f t="shared" si="7"/>
        <v/>
      </c>
      <c r="AS29" s="7" t="str">
        <f t="shared" si="8"/>
        <v/>
      </c>
      <c r="AT29" s="7" t="str">
        <f t="shared" si="9"/>
        <v/>
      </c>
      <c r="AU29" s="7" t="str">
        <f t="shared" si="10"/>
        <v/>
      </c>
      <c r="AV29" s="7" t="str">
        <f t="shared" si="11"/>
        <v/>
      </c>
      <c r="AW29" s="54" t="str">
        <f t="shared" si="12"/>
        <v/>
      </c>
      <c r="AX29" s="7" t="str">
        <f t="shared" si="16"/>
        <v/>
      </c>
      <c r="AY29" s="54" t="str">
        <f t="shared" si="0"/>
        <v/>
      </c>
      <c r="AZ29" s="54" t="str">
        <f t="shared" si="13"/>
        <v/>
      </c>
    </row>
    <row r="30" spans="1:52" x14ac:dyDescent="0.3">
      <c r="A30" s="10">
        <v>844</v>
      </c>
      <c r="B30" s="55" t="s">
        <v>141</v>
      </c>
      <c r="C30" t="s">
        <v>215</v>
      </c>
      <c r="D30" t="s">
        <v>289</v>
      </c>
      <c r="E30" s="2" t="s">
        <v>354</v>
      </c>
      <c r="F30" s="15" t="s">
        <v>11</v>
      </c>
      <c r="G30" t="s">
        <v>428</v>
      </c>
      <c r="H30" s="55" t="s">
        <v>502</v>
      </c>
      <c r="I30" s="14">
        <v>39933</v>
      </c>
      <c r="J30" t="s">
        <v>576</v>
      </c>
      <c r="K30" s="15" t="s">
        <v>11</v>
      </c>
      <c r="L30" t="s">
        <v>650</v>
      </c>
      <c r="M30" s="15">
        <v>300</v>
      </c>
      <c r="N30" s="15">
        <v>306</v>
      </c>
      <c r="O30" s="16">
        <v>43608</v>
      </c>
      <c r="P30" s="16">
        <v>43973</v>
      </c>
      <c r="Q30" s="16">
        <v>43633</v>
      </c>
      <c r="R30" s="15">
        <v>2</v>
      </c>
      <c r="S30" s="15">
        <v>796434</v>
      </c>
      <c r="T30" s="17">
        <v>43862</v>
      </c>
      <c r="U30" s="18">
        <v>151.62</v>
      </c>
      <c r="V30" s="7" t="str">
        <f t="shared" si="14"/>
        <v>2020/02/306/844</v>
      </c>
      <c r="W30" t="s">
        <v>3</v>
      </c>
      <c r="Y30" s="8" t="str">
        <f t="shared" si="1"/>
        <v/>
      </c>
      <c r="AK30" s="12" t="str">
        <f t="shared" si="2"/>
        <v/>
      </c>
      <c r="AL30" s="56" t="str">
        <f t="shared" si="3"/>
        <v/>
      </c>
      <c r="AM30">
        <v>1.84</v>
      </c>
      <c r="AN30" s="7" t="str">
        <f t="shared" si="15"/>
        <v/>
      </c>
      <c r="AO30" s="7" t="str">
        <f t="shared" si="4"/>
        <v/>
      </c>
      <c r="AP30" s="7" t="str">
        <f t="shared" si="5"/>
        <v/>
      </c>
      <c r="AQ30" s="7" t="str">
        <f t="shared" si="6"/>
        <v/>
      </c>
      <c r="AR30" s="7" t="str">
        <f t="shared" si="7"/>
        <v/>
      </c>
      <c r="AS30" s="7" t="str">
        <f t="shared" si="8"/>
        <v/>
      </c>
      <c r="AT30" s="7" t="str">
        <f t="shared" si="9"/>
        <v/>
      </c>
      <c r="AU30" s="7" t="str">
        <f t="shared" si="10"/>
        <v/>
      </c>
      <c r="AV30" s="7" t="str">
        <f t="shared" si="11"/>
        <v/>
      </c>
      <c r="AW30" s="54" t="str">
        <f t="shared" si="12"/>
        <v/>
      </c>
      <c r="AX30" s="7">
        <f t="shared" si="16"/>
        <v>0</v>
      </c>
      <c r="AY30" s="54" t="str">
        <f t="shared" si="0"/>
        <v/>
      </c>
      <c r="AZ30" s="54" t="str">
        <f t="shared" si="13"/>
        <v/>
      </c>
    </row>
    <row r="31" spans="1:52" x14ac:dyDescent="0.3">
      <c r="A31" s="10">
        <v>642</v>
      </c>
      <c r="B31" s="55" t="s">
        <v>142</v>
      </c>
      <c r="C31" t="s">
        <v>216</v>
      </c>
      <c r="D31" t="s">
        <v>290</v>
      </c>
      <c r="E31" s="2" t="s">
        <v>355</v>
      </c>
      <c r="F31" s="15" t="s">
        <v>1</v>
      </c>
      <c r="G31" t="s">
        <v>429</v>
      </c>
      <c r="H31" s="55" t="s">
        <v>503</v>
      </c>
      <c r="I31" s="14">
        <v>39786</v>
      </c>
      <c r="J31" t="s">
        <v>577</v>
      </c>
      <c r="K31" s="15" t="s">
        <v>1</v>
      </c>
      <c r="L31" t="s">
        <v>651</v>
      </c>
      <c r="M31" s="15">
        <v>300</v>
      </c>
      <c r="N31" s="15">
        <v>306</v>
      </c>
      <c r="O31" s="16">
        <v>43812</v>
      </c>
      <c r="P31" s="16">
        <v>44177</v>
      </c>
      <c r="Q31" s="16">
        <v>43860</v>
      </c>
      <c r="R31" s="15">
        <v>8</v>
      </c>
      <c r="S31" s="15">
        <v>796552</v>
      </c>
      <c r="T31" s="17">
        <v>43862</v>
      </c>
      <c r="U31" s="18">
        <v>151.62</v>
      </c>
      <c r="V31" s="7" t="str">
        <f t="shared" si="14"/>
        <v>2020/02/306/642</v>
      </c>
      <c r="W31" t="s">
        <v>3</v>
      </c>
      <c r="Y31" s="8" t="str">
        <f t="shared" si="1"/>
        <v/>
      </c>
      <c r="AK31" s="12" t="str">
        <f t="shared" si="2"/>
        <v/>
      </c>
      <c r="AL31" s="56" t="str">
        <f t="shared" si="3"/>
        <v/>
      </c>
      <c r="AN31" s="7" t="str">
        <f t="shared" si="15"/>
        <v/>
      </c>
      <c r="AO31" s="7" t="str">
        <f t="shared" si="4"/>
        <v/>
      </c>
      <c r="AP31" s="7" t="str">
        <f t="shared" si="5"/>
        <v/>
      </c>
      <c r="AQ31" s="7" t="str">
        <f t="shared" si="6"/>
        <v/>
      </c>
      <c r="AR31" s="7" t="str">
        <f t="shared" si="7"/>
        <v/>
      </c>
      <c r="AS31" s="7" t="str">
        <f t="shared" si="8"/>
        <v/>
      </c>
      <c r="AT31" s="7" t="str">
        <f t="shared" si="9"/>
        <v/>
      </c>
      <c r="AU31" s="7" t="str">
        <f t="shared" si="10"/>
        <v/>
      </c>
      <c r="AV31" s="7" t="str">
        <f t="shared" si="11"/>
        <v/>
      </c>
      <c r="AW31" s="54" t="str">
        <f t="shared" si="12"/>
        <v/>
      </c>
      <c r="AX31" s="7" t="str">
        <f t="shared" si="16"/>
        <v/>
      </c>
      <c r="AY31" s="54" t="str">
        <f t="shared" si="0"/>
        <v/>
      </c>
      <c r="AZ31" s="54" t="str">
        <f t="shared" si="13"/>
        <v/>
      </c>
    </row>
    <row r="32" spans="1:52" x14ac:dyDescent="0.3">
      <c r="A32" s="10">
        <v>805</v>
      </c>
      <c r="B32" s="55" t="s">
        <v>143</v>
      </c>
      <c r="C32" t="s">
        <v>217</v>
      </c>
      <c r="D32" t="s">
        <v>291</v>
      </c>
      <c r="E32" s="2" t="s">
        <v>356</v>
      </c>
      <c r="F32" s="15" t="s">
        <v>4</v>
      </c>
      <c r="G32" t="s">
        <v>430</v>
      </c>
      <c r="H32" s="55" t="s">
        <v>504</v>
      </c>
      <c r="I32" s="14">
        <v>41941</v>
      </c>
      <c r="J32" t="s">
        <v>578</v>
      </c>
      <c r="K32" s="15" t="s">
        <v>4</v>
      </c>
      <c r="L32" t="s">
        <v>652</v>
      </c>
      <c r="M32" s="15">
        <v>300</v>
      </c>
      <c r="N32" s="15">
        <v>306</v>
      </c>
      <c r="O32" s="16">
        <v>43683</v>
      </c>
      <c r="P32" s="16">
        <v>44048</v>
      </c>
      <c r="Q32" s="16">
        <v>43720</v>
      </c>
      <c r="R32" s="15">
        <v>2</v>
      </c>
      <c r="S32" s="15">
        <v>796434</v>
      </c>
      <c r="T32" s="17">
        <v>43862</v>
      </c>
      <c r="U32" s="18">
        <v>151.62</v>
      </c>
      <c r="V32" s="7" t="str">
        <f t="shared" si="14"/>
        <v>2020/02/306/805</v>
      </c>
      <c r="W32" t="s">
        <v>3</v>
      </c>
      <c r="Y32" s="8" t="str">
        <f t="shared" si="1"/>
        <v/>
      </c>
      <c r="AK32" s="12" t="str">
        <f t="shared" si="2"/>
        <v/>
      </c>
      <c r="AL32" s="56" t="str">
        <f t="shared" si="3"/>
        <v/>
      </c>
      <c r="AN32" s="7" t="str">
        <f t="shared" si="15"/>
        <v/>
      </c>
      <c r="AO32" s="7" t="str">
        <f t="shared" si="4"/>
        <v/>
      </c>
      <c r="AP32" s="7" t="str">
        <f t="shared" si="5"/>
        <v/>
      </c>
      <c r="AQ32" s="7" t="str">
        <f t="shared" si="6"/>
        <v/>
      </c>
      <c r="AR32" s="7" t="str">
        <f t="shared" si="7"/>
        <v/>
      </c>
      <c r="AS32" s="7" t="str">
        <f t="shared" si="8"/>
        <v/>
      </c>
      <c r="AT32" s="7" t="str">
        <f t="shared" si="9"/>
        <v/>
      </c>
      <c r="AU32" s="7" t="str">
        <f t="shared" si="10"/>
        <v/>
      </c>
      <c r="AV32" s="7" t="str">
        <f t="shared" si="11"/>
        <v/>
      </c>
      <c r="AW32" s="54" t="str">
        <f t="shared" si="12"/>
        <v/>
      </c>
      <c r="AX32" s="7" t="str">
        <f t="shared" si="16"/>
        <v/>
      </c>
      <c r="AY32" s="54" t="str">
        <f t="shared" si="0"/>
        <v/>
      </c>
      <c r="AZ32" s="54" t="str">
        <f t="shared" si="13"/>
        <v/>
      </c>
    </row>
    <row r="33" spans="1:52" x14ac:dyDescent="0.3">
      <c r="A33" s="10">
        <v>748</v>
      </c>
      <c r="B33" s="55" t="s">
        <v>144</v>
      </c>
      <c r="C33" t="s">
        <v>218</v>
      </c>
      <c r="D33" t="s">
        <v>292</v>
      </c>
      <c r="E33" s="2" t="s">
        <v>357</v>
      </c>
      <c r="F33" s="15" t="s">
        <v>6</v>
      </c>
      <c r="G33" t="s">
        <v>431</v>
      </c>
      <c r="H33" s="55" t="s">
        <v>505</v>
      </c>
      <c r="I33" s="14">
        <v>41501</v>
      </c>
      <c r="J33" t="s">
        <v>579</v>
      </c>
      <c r="K33" s="15" t="s">
        <v>6</v>
      </c>
      <c r="L33" t="s">
        <v>653</v>
      </c>
      <c r="M33" s="15">
        <v>300</v>
      </c>
      <c r="N33" s="15">
        <v>306</v>
      </c>
      <c r="R33" s="15">
        <v>8</v>
      </c>
      <c r="S33" s="15">
        <v>796552</v>
      </c>
      <c r="T33" s="17">
        <v>43862</v>
      </c>
      <c r="U33" s="18">
        <v>151.62</v>
      </c>
      <c r="V33" s="7" t="str">
        <f t="shared" si="14"/>
        <v>2020/02/306/748</v>
      </c>
      <c r="W33" t="s">
        <v>3</v>
      </c>
      <c r="Y33" s="8" t="str">
        <f t="shared" si="1"/>
        <v/>
      </c>
      <c r="AK33" s="12" t="str">
        <f t="shared" si="2"/>
        <v/>
      </c>
      <c r="AL33" s="56" t="str">
        <f t="shared" si="3"/>
        <v/>
      </c>
      <c r="AN33" s="7" t="str">
        <f t="shared" si="15"/>
        <v/>
      </c>
      <c r="AO33" s="7" t="str">
        <f t="shared" si="4"/>
        <v/>
      </c>
      <c r="AP33" s="7" t="str">
        <f t="shared" si="5"/>
        <v/>
      </c>
      <c r="AQ33" s="7" t="str">
        <f t="shared" si="6"/>
        <v/>
      </c>
      <c r="AR33" s="7" t="str">
        <f t="shared" si="7"/>
        <v/>
      </c>
      <c r="AS33" s="7" t="str">
        <f t="shared" si="8"/>
        <v/>
      </c>
      <c r="AT33" s="7" t="str">
        <f t="shared" si="9"/>
        <v/>
      </c>
      <c r="AU33" s="7" t="str">
        <f t="shared" si="10"/>
        <v/>
      </c>
      <c r="AV33" s="7" t="str">
        <f t="shared" si="11"/>
        <v/>
      </c>
      <c r="AW33" s="54" t="str">
        <f t="shared" si="12"/>
        <v/>
      </c>
      <c r="AX33" s="7" t="str">
        <f t="shared" si="16"/>
        <v/>
      </c>
      <c r="AY33" s="54" t="str">
        <f t="shared" si="0"/>
        <v/>
      </c>
      <c r="AZ33" s="54" t="str">
        <f t="shared" si="13"/>
        <v/>
      </c>
    </row>
    <row r="34" spans="1:52" x14ac:dyDescent="0.3">
      <c r="A34" s="10">
        <v>795</v>
      </c>
      <c r="B34" s="55" t="s">
        <v>145</v>
      </c>
      <c r="C34" t="s">
        <v>219</v>
      </c>
      <c r="D34" t="s">
        <v>293</v>
      </c>
      <c r="E34" s="2" t="s">
        <v>358</v>
      </c>
      <c r="F34" s="15" t="s">
        <v>4</v>
      </c>
      <c r="G34" t="s">
        <v>432</v>
      </c>
      <c r="H34" s="55" t="s">
        <v>506</v>
      </c>
      <c r="I34" s="14">
        <v>40671</v>
      </c>
      <c r="J34" t="s">
        <v>580</v>
      </c>
      <c r="K34" s="15" t="s">
        <v>4</v>
      </c>
      <c r="L34" t="s">
        <v>654</v>
      </c>
      <c r="M34" s="15">
        <v>300</v>
      </c>
      <c r="N34" s="15">
        <v>306</v>
      </c>
      <c r="O34" s="16">
        <v>43649</v>
      </c>
      <c r="P34" s="16">
        <v>44014</v>
      </c>
      <c r="Q34" s="16">
        <v>43655</v>
      </c>
      <c r="R34" s="15">
        <v>2</v>
      </c>
      <c r="S34" s="15">
        <v>796434</v>
      </c>
      <c r="T34" s="17">
        <v>43862</v>
      </c>
      <c r="U34" s="18">
        <v>151.62</v>
      </c>
      <c r="V34" s="7" t="str">
        <f t="shared" si="14"/>
        <v>2020/02/306/795</v>
      </c>
      <c r="W34" t="s">
        <v>3</v>
      </c>
      <c r="Y34" s="8" t="str">
        <f t="shared" si="1"/>
        <v/>
      </c>
      <c r="AK34" s="12" t="str">
        <f t="shared" si="2"/>
        <v/>
      </c>
      <c r="AL34" s="56" t="str">
        <f t="shared" si="3"/>
        <v/>
      </c>
      <c r="AM34">
        <v>1.84</v>
      </c>
      <c r="AN34" s="7" t="str">
        <f t="shared" si="15"/>
        <v/>
      </c>
      <c r="AO34" s="7" t="str">
        <f t="shared" si="4"/>
        <v/>
      </c>
      <c r="AP34" s="7" t="str">
        <f t="shared" si="5"/>
        <v/>
      </c>
      <c r="AQ34" s="7" t="str">
        <f t="shared" si="6"/>
        <v/>
      </c>
      <c r="AR34" s="7" t="str">
        <f t="shared" si="7"/>
        <v/>
      </c>
      <c r="AS34" s="7" t="str">
        <f t="shared" si="8"/>
        <v/>
      </c>
      <c r="AT34" s="7" t="str">
        <f t="shared" si="9"/>
        <v/>
      </c>
      <c r="AU34" s="7" t="str">
        <f t="shared" si="10"/>
        <v/>
      </c>
      <c r="AV34" s="7" t="str">
        <f t="shared" si="11"/>
        <v/>
      </c>
      <c r="AW34" s="54" t="str">
        <f t="shared" si="12"/>
        <v/>
      </c>
      <c r="AX34" s="7">
        <f t="shared" si="16"/>
        <v>0</v>
      </c>
      <c r="AY34" s="54" t="str">
        <f t="shared" si="0"/>
        <v/>
      </c>
      <c r="AZ34" s="54" t="str">
        <f t="shared" si="13"/>
        <v/>
      </c>
    </row>
    <row r="35" spans="1:52" x14ac:dyDescent="0.3">
      <c r="A35" s="10">
        <v>717</v>
      </c>
      <c r="B35" s="55" t="s">
        <v>146</v>
      </c>
      <c r="C35" t="s">
        <v>220</v>
      </c>
      <c r="D35" t="s">
        <v>294</v>
      </c>
      <c r="E35" s="2" t="s">
        <v>359</v>
      </c>
      <c r="F35" s="15" t="s">
        <v>4</v>
      </c>
      <c r="G35" t="s">
        <v>433</v>
      </c>
      <c r="H35" s="55" t="s">
        <v>507</v>
      </c>
      <c r="I35" s="14">
        <v>40798</v>
      </c>
      <c r="J35" t="s">
        <v>581</v>
      </c>
      <c r="K35" s="15" t="s">
        <v>4</v>
      </c>
      <c r="L35" t="s">
        <v>655</v>
      </c>
      <c r="M35" s="15">
        <v>300</v>
      </c>
      <c r="N35" s="15">
        <v>306</v>
      </c>
      <c r="O35" s="16">
        <v>43772</v>
      </c>
      <c r="P35" s="16">
        <v>44137</v>
      </c>
      <c r="Q35" s="16">
        <v>43777</v>
      </c>
      <c r="R35" s="15">
        <v>8</v>
      </c>
      <c r="S35" s="15">
        <v>796552</v>
      </c>
      <c r="T35" s="17">
        <v>43862</v>
      </c>
      <c r="U35" s="18">
        <v>151.62</v>
      </c>
      <c r="V35" s="7" t="str">
        <f t="shared" si="14"/>
        <v>2020/02/306/717</v>
      </c>
      <c r="W35" t="s">
        <v>3</v>
      </c>
      <c r="Y35" s="8" t="str">
        <f t="shared" si="1"/>
        <v/>
      </c>
      <c r="AK35" s="12" t="str">
        <f t="shared" si="2"/>
        <v/>
      </c>
      <c r="AL35" s="56" t="str">
        <f t="shared" si="3"/>
        <v/>
      </c>
      <c r="AM35">
        <v>1.84</v>
      </c>
      <c r="AN35" s="7" t="str">
        <f t="shared" si="15"/>
        <v/>
      </c>
      <c r="AO35" s="7" t="str">
        <f t="shared" si="4"/>
        <v/>
      </c>
      <c r="AP35" s="7" t="str">
        <f t="shared" si="5"/>
        <v/>
      </c>
      <c r="AQ35" s="7" t="str">
        <f t="shared" si="6"/>
        <v/>
      </c>
      <c r="AR35" s="7" t="str">
        <f t="shared" si="7"/>
        <v/>
      </c>
      <c r="AS35" s="7" t="str">
        <f t="shared" si="8"/>
        <v/>
      </c>
      <c r="AT35" s="7" t="str">
        <f t="shared" si="9"/>
        <v/>
      </c>
      <c r="AU35" s="7" t="str">
        <f t="shared" si="10"/>
        <v/>
      </c>
      <c r="AV35" s="7" t="str">
        <f t="shared" si="11"/>
        <v/>
      </c>
      <c r="AW35" s="54" t="str">
        <f t="shared" si="12"/>
        <v/>
      </c>
      <c r="AX35" s="7">
        <f t="shared" si="16"/>
        <v>0</v>
      </c>
      <c r="AY35" s="54" t="str">
        <f t="shared" si="0"/>
        <v/>
      </c>
      <c r="AZ35" s="54" t="str">
        <f t="shared" si="13"/>
        <v/>
      </c>
    </row>
    <row r="36" spans="1:52" x14ac:dyDescent="0.3">
      <c r="A36" s="10">
        <v>808</v>
      </c>
      <c r="B36" s="55" t="s">
        <v>147</v>
      </c>
      <c r="C36" t="s">
        <v>221</v>
      </c>
      <c r="D36" t="s">
        <v>295</v>
      </c>
      <c r="E36" s="2" t="s">
        <v>360</v>
      </c>
      <c r="F36" s="15" t="s">
        <v>9</v>
      </c>
      <c r="G36" t="s">
        <v>434</v>
      </c>
      <c r="H36" s="55" t="s">
        <v>508</v>
      </c>
      <c r="I36" s="14">
        <v>42683</v>
      </c>
      <c r="J36" t="s">
        <v>582</v>
      </c>
      <c r="K36" s="15" t="s">
        <v>9</v>
      </c>
      <c r="L36" t="s">
        <v>656</v>
      </c>
      <c r="M36" s="15">
        <v>300</v>
      </c>
      <c r="N36" s="15">
        <v>306</v>
      </c>
      <c r="O36" s="16">
        <v>43849</v>
      </c>
      <c r="P36" s="16">
        <v>44214</v>
      </c>
      <c r="Q36" s="16">
        <v>43868</v>
      </c>
      <c r="R36" s="15">
        <v>8</v>
      </c>
      <c r="S36" s="15">
        <v>796552</v>
      </c>
      <c r="T36" s="17">
        <v>43862</v>
      </c>
      <c r="U36" s="18">
        <v>151.62</v>
      </c>
      <c r="V36" s="7" t="str">
        <f t="shared" si="14"/>
        <v>2020/02/306/808</v>
      </c>
      <c r="W36" t="s">
        <v>3</v>
      </c>
      <c r="Y36" s="8" t="str">
        <f t="shared" si="1"/>
        <v/>
      </c>
      <c r="AK36" s="12" t="str">
        <f t="shared" si="2"/>
        <v/>
      </c>
      <c r="AL36" s="56" t="str">
        <f t="shared" si="3"/>
        <v/>
      </c>
      <c r="AM36">
        <v>1.84</v>
      </c>
      <c r="AN36" s="7" t="str">
        <f t="shared" si="15"/>
        <v/>
      </c>
      <c r="AO36" s="7" t="str">
        <f t="shared" si="4"/>
        <v/>
      </c>
      <c r="AP36" s="7" t="str">
        <f t="shared" si="5"/>
        <v/>
      </c>
      <c r="AQ36" s="7" t="str">
        <f t="shared" si="6"/>
        <v/>
      </c>
      <c r="AR36" s="7" t="str">
        <f t="shared" si="7"/>
        <v/>
      </c>
      <c r="AS36" s="7" t="str">
        <f t="shared" si="8"/>
        <v/>
      </c>
      <c r="AT36" s="7" t="str">
        <f t="shared" si="9"/>
        <v/>
      </c>
      <c r="AU36" s="7" t="str">
        <f t="shared" si="10"/>
        <v/>
      </c>
      <c r="AV36" s="7" t="str">
        <f t="shared" si="11"/>
        <v/>
      </c>
      <c r="AW36" s="54" t="str">
        <f t="shared" si="12"/>
        <v/>
      </c>
      <c r="AX36" s="7">
        <f t="shared" si="16"/>
        <v>0</v>
      </c>
      <c r="AY36" s="54" t="str">
        <f t="shared" si="0"/>
        <v/>
      </c>
      <c r="AZ36" s="54" t="str">
        <f t="shared" si="13"/>
        <v/>
      </c>
    </row>
    <row r="37" spans="1:52" x14ac:dyDescent="0.3">
      <c r="A37" s="10">
        <v>872</v>
      </c>
      <c r="B37" s="55" t="s">
        <v>148</v>
      </c>
      <c r="C37" t="s">
        <v>222</v>
      </c>
      <c r="D37" t="s">
        <v>296</v>
      </c>
      <c r="E37" s="2" t="s">
        <v>361</v>
      </c>
      <c r="F37" s="15" t="s">
        <v>1</v>
      </c>
      <c r="G37" t="s">
        <v>435</v>
      </c>
      <c r="H37" s="55" t="s">
        <v>509</v>
      </c>
      <c r="I37" s="14">
        <v>43058</v>
      </c>
      <c r="J37" t="s">
        <v>583</v>
      </c>
      <c r="K37" s="15" t="s">
        <v>1</v>
      </c>
      <c r="L37" t="s">
        <v>657</v>
      </c>
      <c r="M37" s="15">
        <v>300</v>
      </c>
      <c r="N37" s="15">
        <v>306</v>
      </c>
      <c r="O37" s="16">
        <v>43843</v>
      </c>
      <c r="P37" s="16">
        <v>43933</v>
      </c>
      <c r="Q37" s="16">
        <v>43865</v>
      </c>
      <c r="R37" s="15">
        <v>8</v>
      </c>
      <c r="S37" s="15">
        <v>796154</v>
      </c>
      <c r="T37" s="17">
        <v>43862</v>
      </c>
      <c r="U37" s="18">
        <v>151.62</v>
      </c>
      <c r="V37" s="7" t="str">
        <f t="shared" si="14"/>
        <v>2020/02/306/872</v>
      </c>
      <c r="W37" t="s">
        <v>3</v>
      </c>
      <c r="Y37" s="8" t="str">
        <f t="shared" si="1"/>
        <v/>
      </c>
      <c r="AK37" s="12" t="str">
        <f t="shared" si="2"/>
        <v/>
      </c>
      <c r="AL37" s="56" t="str">
        <f t="shared" si="3"/>
        <v/>
      </c>
      <c r="AN37" s="7" t="str">
        <f t="shared" si="15"/>
        <v/>
      </c>
      <c r="AO37" s="7" t="str">
        <f t="shared" si="4"/>
        <v/>
      </c>
      <c r="AP37" s="7" t="str">
        <f t="shared" si="5"/>
        <v/>
      </c>
      <c r="AQ37" s="7" t="str">
        <f t="shared" si="6"/>
        <v/>
      </c>
      <c r="AR37" s="7" t="str">
        <f t="shared" si="7"/>
        <v/>
      </c>
      <c r="AS37" s="7" t="str">
        <f t="shared" si="8"/>
        <v/>
      </c>
      <c r="AT37" s="7" t="str">
        <f t="shared" si="9"/>
        <v/>
      </c>
      <c r="AU37" s="7" t="str">
        <f t="shared" si="10"/>
        <v/>
      </c>
      <c r="AV37" s="7" t="str">
        <f t="shared" si="11"/>
        <v/>
      </c>
      <c r="AW37" s="54" t="str">
        <f t="shared" si="12"/>
        <v/>
      </c>
      <c r="AX37" s="7" t="str">
        <f t="shared" si="16"/>
        <v/>
      </c>
      <c r="AY37" s="54" t="str">
        <f t="shared" si="0"/>
        <v/>
      </c>
      <c r="AZ37" s="54" t="str">
        <f t="shared" si="13"/>
        <v/>
      </c>
    </row>
    <row r="38" spans="1:52" x14ac:dyDescent="0.3">
      <c r="A38" s="10">
        <v>793</v>
      </c>
      <c r="B38" s="55" t="s">
        <v>149</v>
      </c>
      <c r="C38" t="s">
        <v>223</v>
      </c>
      <c r="D38" t="s">
        <v>297</v>
      </c>
      <c r="E38" s="2" t="s">
        <v>362</v>
      </c>
      <c r="F38" s="15" t="s">
        <v>4</v>
      </c>
      <c r="G38" t="s">
        <v>436</v>
      </c>
      <c r="H38" s="55" t="s">
        <v>510</v>
      </c>
      <c r="I38" s="14">
        <v>40539</v>
      </c>
      <c r="J38" t="s">
        <v>584</v>
      </c>
      <c r="K38" s="15" t="s">
        <v>4</v>
      </c>
      <c r="L38" t="s">
        <v>658</v>
      </c>
      <c r="M38" s="15">
        <v>300</v>
      </c>
      <c r="N38" s="15">
        <v>306</v>
      </c>
      <c r="O38" s="16">
        <v>43711</v>
      </c>
      <c r="P38" s="16">
        <v>44076</v>
      </c>
      <c r="Q38" s="16">
        <v>43761</v>
      </c>
      <c r="R38" s="15">
        <v>2</v>
      </c>
      <c r="S38" s="15">
        <v>796434</v>
      </c>
      <c r="T38" s="17">
        <v>43862</v>
      </c>
      <c r="U38" s="18">
        <v>151.62</v>
      </c>
      <c r="V38" s="7" t="str">
        <f t="shared" si="14"/>
        <v>2020/02/306/793</v>
      </c>
      <c r="W38" t="s">
        <v>3</v>
      </c>
      <c r="Y38" s="8" t="str">
        <f t="shared" si="1"/>
        <v/>
      </c>
      <c r="AK38" s="12" t="str">
        <f t="shared" si="2"/>
        <v/>
      </c>
      <c r="AL38" s="56" t="str">
        <f t="shared" si="3"/>
        <v/>
      </c>
      <c r="AM38">
        <v>1.84</v>
      </c>
      <c r="AN38" s="7" t="str">
        <f t="shared" si="15"/>
        <v/>
      </c>
      <c r="AO38" s="7" t="str">
        <f t="shared" si="4"/>
        <v/>
      </c>
      <c r="AP38" s="7" t="str">
        <f t="shared" si="5"/>
        <v/>
      </c>
      <c r="AQ38" s="7" t="str">
        <f t="shared" si="6"/>
        <v/>
      </c>
      <c r="AR38" s="7" t="str">
        <f t="shared" si="7"/>
        <v/>
      </c>
      <c r="AS38" s="7" t="str">
        <f t="shared" si="8"/>
        <v/>
      </c>
      <c r="AT38" s="7" t="str">
        <f t="shared" si="9"/>
        <v/>
      </c>
      <c r="AU38" s="7" t="str">
        <f t="shared" si="10"/>
        <v/>
      </c>
      <c r="AV38" s="7" t="str">
        <f t="shared" si="11"/>
        <v/>
      </c>
      <c r="AW38" s="54" t="str">
        <f t="shared" si="12"/>
        <v/>
      </c>
      <c r="AX38" s="7">
        <f t="shared" si="16"/>
        <v>0</v>
      </c>
      <c r="AY38" s="54" t="str">
        <f t="shared" si="0"/>
        <v/>
      </c>
      <c r="AZ38" s="54" t="str">
        <f t="shared" si="13"/>
        <v/>
      </c>
    </row>
    <row r="39" spans="1:52" x14ac:dyDescent="0.3">
      <c r="A39" s="10">
        <v>834</v>
      </c>
      <c r="B39" s="55" t="s">
        <v>150</v>
      </c>
      <c r="C39" t="s">
        <v>224</v>
      </c>
      <c r="D39" t="s">
        <v>298</v>
      </c>
      <c r="E39" s="2" t="s">
        <v>363</v>
      </c>
      <c r="F39" s="15" t="s">
        <v>4</v>
      </c>
      <c r="G39" t="s">
        <v>437</v>
      </c>
      <c r="H39" s="55" t="s">
        <v>511</v>
      </c>
      <c r="I39" s="14">
        <v>41371</v>
      </c>
      <c r="J39" t="s">
        <v>585</v>
      </c>
      <c r="K39" s="15" t="s">
        <v>4</v>
      </c>
      <c r="L39" t="s">
        <v>659</v>
      </c>
      <c r="M39" s="15">
        <v>300</v>
      </c>
      <c r="N39" s="15">
        <v>306</v>
      </c>
      <c r="O39" s="16">
        <v>43712</v>
      </c>
      <c r="P39" s="16">
        <v>44077</v>
      </c>
      <c r="Q39" s="16">
        <v>43746</v>
      </c>
      <c r="R39" s="15">
        <v>2</v>
      </c>
      <c r="S39" s="15">
        <v>796434</v>
      </c>
      <c r="T39" s="17">
        <v>43862</v>
      </c>
      <c r="U39" s="18">
        <v>151.62</v>
      </c>
      <c r="V39" s="7" t="str">
        <f t="shared" si="14"/>
        <v>2020/02/306/834</v>
      </c>
      <c r="W39" t="s">
        <v>3</v>
      </c>
      <c r="Y39" s="8" t="str">
        <f t="shared" si="1"/>
        <v/>
      </c>
      <c r="AK39" s="12" t="str">
        <f t="shared" si="2"/>
        <v/>
      </c>
      <c r="AL39" s="56" t="str">
        <f t="shared" si="3"/>
        <v/>
      </c>
      <c r="AM39">
        <v>1.84</v>
      </c>
      <c r="AN39" s="7" t="str">
        <f t="shared" si="15"/>
        <v/>
      </c>
      <c r="AO39" s="7" t="str">
        <f t="shared" si="4"/>
        <v/>
      </c>
      <c r="AP39" s="7" t="str">
        <f t="shared" si="5"/>
        <v/>
      </c>
      <c r="AQ39" s="7" t="str">
        <f t="shared" si="6"/>
        <v/>
      </c>
      <c r="AR39" s="7" t="str">
        <f t="shared" si="7"/>
        <v/>
      </c>
      <c r="AS39" s="7" t="str">
        <f t="shared" si="8"/>
        <v/>
      </c>
      <c r="AT39" s="7" t="str">
        <f t="shared" si="9"/>
        <v/>
      </c>
      <c r="AU39" s="7" t="str">
        <f t="shared" si="10"/>
        <v/>
      </c>
      <c r="AV39" s="7" t="str">
        <f t="shared" si="11"/>
        <v/>
      </c>
      <c r="AW39" s="54" t="str">
        <f t="shared" si="12"/>
        <v/>
      </c>
      <c r="AX39" s="7">
        <f t="shared" si="16"/>
        <v>0</v>
      </c>
      <c r="AY39" s="54" t="str">
        <f t="shared" si="0"/>
        <v/>
      </c>
      <c r="AZ39" s="54" t="str">
        <f t="shared" si="13"/>
        <v/>
      </c>
    </row>
    <row r="40" spans="1:52" x14ac:dyDescent="0.3">
      <c r="A40" s="10">
        <v>860</v>
      </c>
      <c r="B40" s="55" t="s">
        <v>151</v>
      </c>
      <c r="C40" t="s">
        <v>225</v>
      </c>
      <c r="D40" t="s">
        <v>299</v>
      </c>
      <c r="E40" s="2" t="s">
        <v>364</v>
      </c>
      <c r="F40" s="15" t="s">
        <v>7</v>
      </c>
      <c r="G40" t="s">
        <v>438</v>
      </c>
      <c r="H40" s="55" t="s">
        <v>512</v>
      </c>
      <c r="I40" s="14">
        <v>41994</v>
      </c>
      <c r="J40" t="s">
        <v>586</v>
      </c>
      <c r="K40" s="15" t="s">
        <v>7</v>
      </c>
      <c r="L40" t="s">
        <v>660</v>
      </c>
      <c r="M40" s="15">
        <v>300</v>
      </c>
      <c r="N40" s="15">
        <v>306</v>
      </c>
      <c r="O40" s="16">
        <v>43727</v>
      </c>
      <c r="P40" s="16">
        <v>44092</v>
      </c>
      <c r="Q40" s="16">
        <v>43768</v>
      </c>
      <c r="R40" s="15">
        <v>8</v>
      </c>
      <c r="S40" s="15">
        <v>796552</v>
      </c>
      <c r="T40" s="17">
        <v>43862</v>
      </c>
      <c r="U40" s="18">
        <v>151.62</v>
      </c>
      <c r="V40" s="7" t="str">
        <f t="shared" si="14"/>
        <v>2020/02/306/860</v>
      </c>
      <c r="W40" t="s">
        <v>3</v>
      </c>
      <c r="Y40" s="8" t="str">
        <f t="shared" si="1"/>
        <v/>
      </c>
      <c r="AK40" s="12" t="str">
        <f t="shared" si="2"/>
        <v/>
      </c>
      <c r="AL40" s="56" t="str">
        <f t="shared" si="3"/>
        <v/>
      </c>
      <c r="AN40" s="7" t="str">
        <f t="shared" si="15"/>
        <v/>
      </c>
      <c r="AO40" s="7" t="str">
        <f t="shared" si="4"/>
        <v/>
      </c>
      <c r="AP40" s="7" t="str">
        <f t="shared" si="5"/>
        <v/>
      </c>
      <c r="AQ40" s="7" t="str">
        <f t="shared" si="6"/>
        <v/>
      </c>
      <c r="AR40" s="7" t="str">
        <f t="shared" si="7"/>
        <v/>
      </c>
      <c r="AS40" s="7" t="str">
        <f t="shared" si="8"/>
        <v/>
      </c>
      <c r="AT40" s="7" t="str">
        <f t="shared" si="9"/>
        <v/>
      </c>
      <c r="AU40" s="7" t="str">
        <f t="shared" si="10"/>
        <v/>
      </c>
      <c r="AV40" s="7" t="str">
        <f t="shared" si="11"/>
        <v/>
      </c>
      <c r="AW40" s="54" t="str">
        <f t="shared" si="12"/>
        <v/>
      </c>
      <c r="AX40" s="7" t="str">
        <f t="shared" si="16"/>
        <v/>
      </c>
      <c r="AY40" s="54" t="str">
        <f t="shared" si="0"/>
        <v/>
      </c>
      <c r="AZ40" s="54" t="str">
        <f t="shared" si="13"/>
        <v/>
      </c>
    </row>
    <row r="41" spans="1:52" x14ac:dyDescent="0.3">
      <c r="A41" s="10">
        <v>839</v>
      </c>
      <c r="B41" s="55" t="s">
        <v>152</v>
      </c>
      <c r="C41" t="s">
        <v>226</v>
      </c>
      <c r="D41" t="s">
        <v>300</v>
      </c>
      <c r="E41" s="2" t="s">
        <v>365</v>
      </c>
      <c r="F41" s="15" t="s">
        <v>4</v>
      </c>
      <c r="G41" t="s">
        <v>439</v>
      </c>
      <c r="H41" s="55" t="s">
        <v>513</v>
      </c>
      <c r="I41" s="14">
        <v>42111</v>
      </c>
      <c r="J41" t="s">
        <v>587</v>
      </c>
      <c r="K41" s="15" t="s">
        <v>4</v>
      </c>
      <c r="L41" t="s">
        <v>661</v>
      </c>
      <c r="M41" s="15">
        <v>300</v>
      </c>
      <c r="N41" s="15">
        <v>306</v>
      </c>
      <c r="O41" s="16">
        <v>43507</v>
      </c>
      <c r="P41" s="16">
        <v>43871</v>
      </c>
      <c r="Q41" s="16">
        <v>43528</v>
      </c>
      <c r="R41" s="15">
        <v>8</v>
      </c>
      <c r="S41" s="15">
        <v>796552</v>
      </c>
      <c r="T41" s="17">
        <v>43862</v>
      </c>
      <c r="U41" s="18">
        <v>151.62</v>
      </c>
      <c r="V41" s="7" t="str">
        <f t="shared" si="14"/>
        <v>2020/02/306/839</v>
      </c>
      <c r="W41" t="s">
        <v>3</v>
      </c>
      <c r="Y41" s="8" t="str">
        <f t="shared" si="1"/>
        <v/>
      </c>
      <c r="AK41" s="12" t="str">
        <f t="shared" si="2"/>
        <v/>
      </c>
      <c r="AL41" s="56" t="str">
        <f t="shared" si="3"/>
        <v/>
      </c>
      <c r="AM41">
        <v>1.84</v>
      </c>
      <c r="AN41" s="7" t="str">
        <f t="shared" si="15"/>
        <v/>
      </c>
      <c r="AO41" s="7" t="str">
        <f t="shared" si="4"/>
        <v/>
      </c>
      <c r="AP41" s="7" t="str">
        <f t="shared" si="5"/>
        <v/>
      </c>
      <c r="AQ41" s="7" t="str">
        <f t="shared" si="6"/>
        <v/>
      </c>
      <c r="AR41" s="7" t="str">
        <f t="shared" si="7"/>
        <v/>
      </c>
      <c r="AS41" s="7" t="str">
        <f t="shared" si="8"/>
        <v/>
      </c>
      <c r="AT41" s="7" t="str">
        <f t="shared" si="9"/>
        <v/>
      </c>
      <c r="AU41" s="7" t="str">
        <f t="shared" si="10"/>
        <v/>
      </c>
      <c r="AV41" s="7" t="str">
        <f t="shared" si="11"/>
        <v/>
      </c>
      <c r="AW41" s="54" t="str">
        <f t="shared" si="12"/>
        <v/>
      </c>
      <c r="AX41" s="7">
        <f t="shared" si="16"/>
        <v>0</v>
      </c>
      <c r="AY41" s="54" t="str">
        <f t="shared" si="0"/>
        <v/>
      </c>
      <c r="AZ41" s="54" t="str">
        <f t="shared" si="13"/>
        <v/>
      </c>
    </row>
    <row r="42" spans="1:52" x14ac:dyDescent="0.3">
      <c r="A42" s="10">
        <v>839</v>
      </c>
      <c r="B42" s="55" t="s">
        <v>153</v>
      </c>
      <c r="C42" t="s">
        <v>227</v>
      </c>
      <c r="D42" t="s">
        <v>301</v>
      </c>
      <c r="E42" s="2" t="s">
        <v>366</v>
      </c>
      <c r="F42" s="15" t="s">
        <v>4</v>
      </c>
      <c r="G42" t="s">
        <v>440</v>
      </c>
      <c r="H42" s="55" t="s">
        <v>514</v>
      </c>
      <c r="I42" s="14">
        <v>42111</v>
      </c>
      <c r="J42" t="s">
        <v>588</v>
      </c>
      <c r="K42" s="15" t="s">
        <v>4</v>
      </c>
      <c r="L42" t="s">
        <v>662</v>
      </c>
      <c r="M42" s="15">
        <v>300</v>
      </c>
      <c r="N42" s="15">
        <v>306</v>
      </c>
      <c r="R42" s="15">
        <v>8</v>
      </c>
      <c r="S42" s="15">
        <v>796552</v>
      </c>
      <c r="T42" s="17">
        <v>43862</v>
      </c>
      <c r="U42" s="18">
        <v>151.62</v>
      </c>
      <c r="V42" s="7" t="str">
        <f t="shared" si="14"/>
        <v>2020/02/306/839</v>
      </c>
      <c r="W42" t="s">
        <v>3</v>
      </c>
      <c r="Y42" s="8" t="str">
        <f t="shared" si="1"/>
        <v/>
      </c>
      <c r="AK42" s="12" t="str">
        <f t="shared" si="2"/>
        <v/>
      </c>
      <c r="AL42" s="56" t="str">
        <f t="shared" si="3"/>
        <v/>
      </c>
      <c r="AM42">
        <v>1.84</v>
      </c>
      <c r="AN42" s="7" t="str">
        <f t="shared" si="15"/>
        <v/>
      </c>
      <c r="AO42" s="7" t="str">
        <f t="shared" si="4"/>
        <v/>
      </c>
      <c r="AP42" s="7" t="str">
        <f t="shared" si="5"/>
        <v/>
      </c>
      <c r="AQ42" s="7" t="str">
        <f t="shared" si="6"/>
        <v/>
      </c>
      <c r="AR42" s="7" t="str">
        <f t="shared" si="7"/>
        <v/>
      </c>
      <c r="AS42" s="7" t="str">
        <f t="shared" si="8"/>
        <v/>
      </c>
      <c r="AT42" s="7" t="str">
        <f t="shared" si="9"/>
        <v/>
      </c>
      <c r="AU42" s="7" t="str">
        <f t="shared" si="10"/>
        <v/>
      </c>
      <c r="AV42" s="7" t="str">
        <f t="shared" si="11"/>
        <v/>
      </c>
      <c r="AW42" s="54" t="str">
        <f t="shared" si="12"/>
        <v/>
      </c>
      <c r="AX42" s="7">
        <f t="shared" si="16"/>
        <v>0</v>
      </c>
      <c r="AY42" s="54" t="str">
        <f t="shared" si="0"/>
        <v/>
      </c>
      <c r="AZ42" s="54" t="str">
        <f t="shared" si="13"/>
        <v/>
      </c>
    </row>
    <row r="43" spans="1:52" x14ac:dyDescent="0.3">
      <c r="A43" s="10">
        <v>871</v>
      </c>
      <c r="B43" s="55" t="s">
        <v>154</v>
      </c>
      <c r="C43" t="s">
        <v>228</v>
      </c>
      <c r="D43" t="s">
        <v>302</v>
      </c>
      <c r="E43" s="2" t="s">
        <v>367</v>
      </c>
      <c r="F43" s="15" t="s">
        <v>8</v>
      </c>
      <c r="G43" t="s">
        <v>441</v>
      </c>
      <c r="H43" s="55" t="s">
        <v>515</v>
      </c>
      <c r="I43" s="14">
        <v>43680</v>
      </c>
      <c r="J43" t="s">
        <v>589</v>
      </c>
      <c r="K43" s="15" t="s">
        <v>8</v>
      </c>
      <c r="L43" t="s">
        <v>663</v>
      </c>
      <c r="M43" s="15">
        <v>300</v>
      </c>
      <c r="N43" s="15">
        <v>306</v>
      </c>
      <c r="O43" s="16">
        <v>43808</v>
      </c>
      <c r="P43" s="16">
        <v>43898</v>
      </c>
      <c r="Q43" s="16">
        <v>43838</v>
      </c>
      <c r="R43" s="15">
        <v>8</v>
      </c>
      <c r="S43" s="15">
        <v>796154</v>
      </c>
      <c r="T43" s="17">
        <v>43862</v>
      </c>
      <c r="U43" s="18">
        <v>151.62</v>
      </c>
      <c r="V43" s="7" t="str">
        <f t="shared" si="14"/>
        <v>2020/02/306/871</v>
      </c>
      <c r="W43" t="s">
        <v>3</v>
      </c>
      <c r="Y43" s="8" t="str">
        <f t="shared" si="1"/>
        <v/>
      </c>
      <c r="AK43" s="12" t="str">
        <f t="shared" si="2"/>
        <v/>
      </c>
      <c r="AL43" s="56" t="str">
        <f t="shared" si="3"/>
        <v/>
      </c>
      <c r="AN43" s="7" t="str">
        <f t="shared" si="15"/>
        <v/>
      </c>
      <c r="AO43" s="7" t="str">
        <f t="shared" si="4"/>
        <v/>
      </c>
      <c r="AP43" s="7" t="str">
        <f t="shared" si="5"/>
        <v/>
      </c>
      <c r="AQ43" s="7" t="str">
        <f t="shared" si="6"/>
        <v/>
      </c>
      <c r="AR43" s="7" t="str">
        <f t="shared" si="7"/>
        <v/>
      </c>
      <c r="AS43" s="7" t="str">
        <f t="shared" si="8"/>
        <v/>
      </c>
      <c r="AT43" s="7" t="str">
        <f t="shared" si="9"/>
        <v/>
      </c>
      <c r="AU43" s="7" t="str">
        <f t="shared" si="10"/>
        <v/>
      </c>
      <c r="AV43" s="7" t="str">
        <f t="shared" si="11"/>
        <v/>
      </c>
      <c r="AW43" s="54" t="str">
        <f t="shared" si="12"/>
        <v/>
      </c>
      <c r="AX43" s="7" t="str">
        <f t="shared" si="16"/>
        <v/>
      </c>
      <c r="AY43" s="54" t="str">
        <f t="shared" si="0"/>
        <v/>
      </c>
      <c r="AZ43" s="54" t="str">
        <f t="shared" si="13"/>
        <v/>
      </c>
    </row>
    <row r="44" spans="1:52" x14ac:dyDescent="0.3">
      <c r="A44" s="10">
        <v>864</v>
      </c>
      <c r="B44" s="55" t="s">
        <v>155</v>
      </c>
      <c r="C44" t="s">
        <v>229</v>
      </c>
      <c r="D44" t="s">
        <v>303</v>
      </c>
      <c r="E44" s="2" t="s">
        <v>368</v>
      </c>
      <c r="F44" s="15" t="s">
        <v>1</v>
      </c>
      <c r="G44" t="s">
        <v>442</v>
      </c>
      <c r="H44" s="55" t="s">
        <v>516</v>
      </c>
      <c r="I44" s="14">
        <v>40191</v>
      </c>
      <c r="J44" t="s">
        <v>590</v>
      </c>
      <c r="K44" s="15" t="s">
        <v>1</v>
      </c>
      <c r="L44" t="s">
        <v>664</v>
      </c>
      <c r="M44" s="15">
        <v>300</v>
      </c>
      <c r="N44" s="15">
        <v>306</v>
      </c>
      <c r="O44" s="16">
        <v>43713</v>
      </c>
      <c r="P44" s="16">
        <v>44078</v>
      </c>
      <c r="Q44" s="16">
        <v>43752</v>
      </c>
      <c r="R44" s="15">
        <v>8</v>
      </c>
      <c r="S44" s="15">
        <v>796552</v>
      </c>
      <c r="T44" s="17">
        <v>43862</v>
      </c>
      <c r="U44" s="18">
        <v>151.62</v>
      </c>
      <c r="V44" s="7" t="str">
        <f t="shared" si="14"/>
        <v>2020/02/306/864</v>
      </c>
      <c r="W44" t="s">
        <v>3</v>
      </c>
      <c r="Y44" s="8" t="str">
        <f t="shared" si="1"/>
        <v/>
      </c>
      <c r="AK44" s="12" t="str">
        <f t="shared" si="2"/>
        <v/>
      </c>
      <c r="AL44" s="56" t="str">
        <f t="shared" si="3"/>
        <v/>
      </c>
      <c r="AN44" s="7" t="str">
        <f t="shared" si="15"/>
        <v/>
      </c>
      <c r="AO44" s="7" t="str">
        <f t="shared" si="4"/>
        <v/>
      </c>
      <c r="AP44" s="7" t="str">
        <f t="shared" si="5"/>
        <v/>
      </c>
      <c r="AQ44" s="7" t="str">
        <f t="shared" si="6"/>
        <v/>
      </c>
      <c r="AR44" s="7" t="str">
        <f t="shared" si="7"/>
        <v/>
      </c>
      <c r="AS44" s="7" t="str">
        <f t="shared" si="8"/>
        <v/>
      </c>
      <c r="AT44" s="7" t="str">
        <f t="shared" si="9"/>
        <v/>
      </c>
      <c r="AU44" s="7" t="str">
        <f t="shared" si="10"/>
        <v/>
      </c>
      <c r="AV44" s="7" t="str">
        <f t="shared" si="11"/>
        <v/>
      </c>
      <c r="AW44" s="54" t="str">
        <f t="shared" si="12"/>
        <v/>
      </c>
      <c r="AX44" s="7" t="str">
        <f t="shared" si="16"/>
        <v/>
      </c>
      <c r="AY44" s="54" t="str">
        <f t="shared" si="0"/>
        <v/>
      </c>
      <c r="AZ44" s="54" t="str">
        <f t="shared" si="13"/>
        <v/>
      </c>
    </row>
    <row r="45" spans="1:52" x14ac:dyDescent="0.3">
      <c r="A45" s="10">
        <v>863</v>
      </c>
      <c r="B45" s="55" t="s">
        <v>156</v>
      </c>
      <c r="C45" t="s">
        <v>230</v>
      </c>
      <c r="D45" t="s">
        <v>304</v>
      </c>
      <c r="E45" s="2" t="s">
        <v>369</v>
      </c>
      <c r="F45" s="15" t="s">
        <v>12</v>
      </c>
      <c r="G45" t="s">
        <v>443</v>
      </c>
      <c r="H45" s="55" t="s">
        <v>517</v>
      </c>
      <c r="I45" s="14">
        <v>28137</v>
      </c>
      <c r="J45" t="s">
        <v>591</v>
      </c>
      <c r="K45" s="15" t="s">
        <v>12</v>
      </c>
      <c r="L45" t="s">
        <v>665</v>
      </c>
      <c r="M45" s="15">
        <v>300</v>
      </c>
      <c r="N45" s="15">
        <v>306</v>
      </c>
      <c r="O45" s="16">
        <v>43714</v>
      </c>
      <c r="P45" s="16">
        <v>44079</v>
      </c>
      <c r="Q45" s="16">
        <v>43727</v>
      </c>
      <c r="R45" s="15">
        <v>11</v>
      </c>
      <c r="S45" s="15">
        <v>796611</v>
      </c>
      <c r="T45" s="17">
        <v>43862</v>
      </c>
      <c r="U45" s="18">
        <v>151.62</v>
      </c>
      <c r="V45" s="7" t="str">
        <f t="shared" si="14"/>
        <v>2020/02/306/863</v>
      </c>
      <c r="W45" t="s">
        <v>10</v>
      </c>
      <c r="Y45" s="8" t="str">
        <f t="shared" si="1"/>
        <v/>
      </c>
      <c r="AK45" s="12" t="str">
        <f t="shared" si="2"/>
        <v/>
      </c>
      <c r="AL45" s="56" t="str">
        <f t="shared" si="3"/>
        <v/>
      </c>
      <c r="AM45">
        <v>1.84</v>
      </c>
      <c r="AN45" s="7" t="str">
        <f t="shared" si="15"/>
        <v/>
      </c>
      <c r="AO45" s="7" t="str">
        <f t="shared" si="4"/>
        <v/>
      </c>
      <c r="AP45" s="7" t="str">
        <f t="shared" si="5"/>
        <v/>
      </c>
      <c r="AQ45" s="7" t="str">
        <f t="shared" si="6"/>
        <v/>
      </c>
      <c r="AR45" s="7" t="str">
        <f t="shared" si="7"/>
        <v/>
      </c>
      <c r="AS45" s="7" t="str">
        <f t="shared" si="8"/>
        <v/>
      </c>
      <c r="AT45" s="7" t="str">
        <f t="shared" si="9"/>
        <v/>
      </c>
      <c r="AU45" s="7" t="str">
        <f t="shared" si="10"/>
        <v/>
      </c>
      <c r="AV45" s="7" t="str">
        <f t="shared" si="11"/>
        <v/>
      </c>
      <c r="AW45" s="54" t="str">
        <f t="shared" si="12"/>
        <v/>
      </c>
      <c r="AX45" s="7">
        <f t="shared" si="16"/>
        <v>0</v>
      </c>
      <c r="AY45" s="54" t="str">
        <f t="shared" si="0"/>
        <v/>
      </c>
      <c r="AZ45" s="54" t="str">
        <f t="shared" si="13"/>
        <v/>
      </c>
    </row>
    <row r="46" spans="1:52" x14ac:dyDescent="0.3">
      <c r="A46" s="10">
        <v>858</v>
      </c>
      <c r="B46" s="55" t="s">
        <v>157</v>
      </c>
      <c r="C46" t="s">
        <v>231</v>
      </c>
      <c r="D46" t="s">
        <v>305</v>
      </c>
      <c r="E46" s="2" t="s">
        <v>370</v>
      </c>
      <c r="F46" s="15" t="s">
        <v>4</v>
      </c>
      <c r="G46" t="s">
        <v>444</v>
      </c>
      <c r="H46" s="55" t="s">
        <v>518</v>
      </c>
      <c r="I46" s="14">
        <v>41793</v>
      </c>
      <c r="J46" t="s">
        <v>592</v>
      </c>
      <c r="K46" s="15" t="s">
        <v>4</v>
      </c>
      <c r="L46" t="s">
        <v>666</v>
      </c>
      <c r="M46" s="15">
        <v>300</v>
      </c>
      <c r="N46" s="15">
        <v>306</v>
      </c>
      <c r="O46" s="16">
        <v>43647</v>
      </c>
      <c r="P46" s="16">
        <v>44012</v>
      </c>
      <c r="Q46" s="16">
        <v>43766</v>
      </c>
      <c r="R46" s="15">
        <v>2</v>
      </c>
      <c r="S46" s="15">
        <v>796434</v>
      </c>
      <c r="T46" s="17">
        <v>43862</v>
      </c>
      <c r="U46" s="18">
        <v>151.62</v>
      </c>
      <c r="V46" s="7" t="str">
        <f t="shared" si="14"/>
        <v>2020/02/306/858</v>
      </c>
      <c r="W46" t="s">
        <v>3</v>
      </c>
      <c r="Y46" s="8" t="str">
        <f t="shared" si="1"/>
        <v/>
      </c>
      <c r="AK46" s="12" t="str">
        <f t="shared" si="2"/>
        <v/>
      </c>
      <c r="AL46" s="56" t="str">
        <f t="shared" si="3"/>
        <v/>
      </c>
      <c r="AM46">
        <v>1.84</v>
      </c>
      <c r="AN46" s="7" t="str">
        <f t="shared" si="15"/>
        <v/>
      </c>
      <c r="AO46" s="7" t="str">
        <f t="shared" si="4"/>
        <v/>
      </c>
      <c r="AP46" s="7" t="str">
        <f t="shared" si="5"/>
        <v/>
      </c>
      <c r="AQ46" s="7" t="str">
        <f t="shared" si="6"/>
        <v/>
      </c>
      <c r="AR46" s="7" t="str">
        <f t="shared" si="7"/>
        <v/>
      </c>
      <c r="AS46" s="7" t="str">
        <f t="shared" si="8"/>
        <v/>
      </c>
      <c r="AT46" s="7" t="str">
        <f t="shared" si="9"/>
        <v/>
      </c>
      <c r="AU46" s="7" t="str">
        <f t="shared" si="10"/>
        <v/>
      </c>
      <c r="AV46" s="7" t="str">
        <f t="shared" si="11"/>
        <v/>
      </c>
      <c r="AW46" s="54" t="str">
        <f t="shared" si="12"/>
        <v/>
      </c>
      <c r="AX46" s="7">
        <f t="shared" si="16"/>
        <v>0</v>
      </c>
      <c r="AY46" s="54" t="str">
        <f t="shared" si="0"/>
        <v/>
      </c>
      <c r="AZ46" s="54" t="str">
        <f t="shared" si="13"/>
        <v/>
      </c>
    </row>
    <row r="47" spans="1:52" x14ac:dyDescent="0.3">
      <c r="A47" s="10">
        <v>856</v>
      </c>
      <c r="B47" s="55" t="s">
        <v>158</v>
      </c>
      <c r="C47" t="s">
        <v>232</v>
      </c>
      <c r="D47" t="s">
        <v>306</v>
      </c>
      <c r="E47" s="2" t="s">
        <v>371</v>
      </c>
      <c r="F47" s="15" t="s">
        <v>6</v>
      </c>
      <c r="G47" t="s">
        <v>445</v>
      </c>
      <c r="H47" s="55" t="s">
        <v>519</v>
      </c>
      <c r="I47" s="14">
        <v>41935</v>
      </c>
      <c r="J47" t="s">
        <v>593</v>
      </c>
      <c r="K47" s="15" t="s">
        <v>6</v>
      </c>
      <c r="L47" t="s">
        <v>667</v>
      </c>
      <c r="M47" s="15">
        <v>300</v>
      </c>
      <c r="N47" s="15">
        <v>306</v>
      </c>
      <c r="O47" s="16">
        <v>43756</v>
      </c>
      <c r="P47" s="16">
        <v>44121</v>
      </c>
      <c r="Q47" s="16">
        <v>43777</v>
      </c>
      <c r="R47" s="15">
        <v>8</v>
      </c>
      <c r="S47" s="15">
        <v>796552</v>
      </c>
      <c r="T47" s="17">
        <v>43862</v>
      </c>
      <c r="U47" s="18">
        <v>151.62</v>
      </c>
      <c r="V47" s="7" t="str">
        <f t="shared" si="14"/>
        <v>2020/02/306/856</v>
      </c>
      <c r="W47" t="s">
        <v>3</v>
      </c>
      <c r="Y47" s="8" t="str">
        <f t="shared" si="1"/>
        <v/>
      </c>
      <c r="AK47" s="12" t="str">
        <f t="shared" si="2"/>
        <v/>
      </c>
      <c r="AL47" s="56" t="str">
        <f t="shared" si="3"/>
        <v/>
      </c>
      <c r="AN47" s="7" t="str">
        <f t="shared" si="15"/>
        <v/>
      </c>
      <c r="AO47" s="7" t="str">
        <f t="shared" si="4"/>
        <v/>
      </c>
      <c r="AP47" s="7" t="str">
        <f t="shared" si="5"/>
        <v/>
      </c>
      <c r="AQ47" s="7" t="str">
        <f t="shared" si="6"/>
        <v/>
      </c>
      <c r="AR47" s="7" t="str">
        <f t="shared" si="7"/>
        <v/>
      </c>
      <c r="AS47" s="7" t="str">
        <f t="shared" si="8"/>
        <v/>
      </c>
      <c r="AT47" s="7" t="str">
        <f t="shared" si="9"/>
        <v/>
      </c>
      <c r="AU47" s="7" t="str">
        <f t="shared" si="10"/>
        <v/>
      </c>
      <c r="AV47" s="7" t="str">
        <f t="shared" si="11"/>
        <v/>
      </c>
      <c r="AW47" s="54" t="str">
        <f t="shared" si="12"/>
        <v/>
      </c>
      <c r="AX47" s="7" t="str">
        <f t="shared" si="16"/>
        <v/>
      </c>
      <c r="AY47" s="54" t="str">
        <f t="shared" si="0"/>
        <v/>
      </c>
      <c r="AZ47" s="54" t="str">
        <f t="shared" si="13"/>
        <v/>
      </c>
    </row>
    <row r="48" spans="1:52" x14ac:dyDescent="0.3">
      <c r="A48" s="10">
        <v>861</v>
      </c>
      <c r="B48" s="55" t="s">
        <v>159</v>
      </c>
      <c r="C48" t="s">
        <v>233</v>
      </c>
      <c r="D48" t="s">
        <v>307</v>
      </c>
      <c r="E48" s="2" t="s">
        <v>372</v>
      </c>
      <c r="F48" s="15" t="s">
        <v>4</v>
      </c>
      <c r="G48" t="s">
        <v>446</v>
      </c>
      <c r="H48" s="55" t="s">
        <v>520</v>
      </c>
      <c r="I48" s="14">
        <v>41235</v>
      </c>
      <c r="J48" t="s">
        <v>594</v>
      </c>
      <c r="K48" s="15" t="s">
        <v>4</v>
      </c>
      <c r="L48" t="s">
        <v>668</v>
      </c>
      <c r="M48" s="15">
        <v>300</v>
      </c>
      <c r="N48" s="15">
        <v>306</v>
      </c>
      <c r="O48" s="16">
        <v>43739</v>
      </c>
      <c r="P48" s="16">
        <v>44104</v>
      </c>
      <c r="Q48" s="16">
        <v>43812</v>
      </c>
      <c r="R48" s="15">
        <v>2</v>
      </c>
      <c r="S48" s="15">
        <v>796434</v>
      </c>
      <c r="T48" s="17">
        <v>43862</v>
      </c>
      <c r="U48" s="18">
        <v>151.62</v>
      </c>
      <c r="V48" s="7" t="str">
        <f t="shared" si="14"/>
        <v>2020/02/306/861</v>
      </c>
      <c r="W48" t="s">
        <v>3</v>
      </c>
      <c r="Y48" s="8" t="str">
        <f t="shared" si="1"/>
        <v/>
      </c>
      <c r="AK48" s="12" t="str">
        <f t="shared" si="2"/>
        <v/>
      </c>
      <c r="AL48" s="56" t="str">
        <f t="shared" si="3"/>
        <v/>
      </c>
      <c r="AM48">
        <v>1.84</v>
      </c>
      <c r="AN48" s="7" t="str">
        <f t="shared" si="15"/>
        <v/>
      </c>
      <c r="AO48" s="7" t="str">
        <f t="shared" si="4"/>
        <v/>
      </c>
      <c r="AP48" s="7" t="str">
        <f t="shared" si="5"/>
        <v/>
      </c>
      <c r="AQ48" s="7" t="str">
        <f t="shared" si="6"/>
        <v/>
      </c>
      <c r="AR48" s="7" t="str">
        <f t="shared" si="7"/>
        <v/>
      </c>
      <c r="AS48" s="7" t="str">
        <f t="shared" si="8"/>
        <v/>
      </c>
      <c r="AT48" s="7" t="str">
        <f t="shared" si="9"/>
        <v/>
      </c>
      <c r="AU48" s="7" t="str">
        <f t="shared" si="10"/>
        <v/>
      </c>
      <c r="AV48" s="7" t="str">
        <f t="shared" si="11"/>
        <v/>
      </c>
      <c r="AW48" s="54" t="str">
        <f t="shared" si="12"/>
        <v/>
      </c>
      <c r="AX48" s="7">
        <f t="shared" si="16"/>
        <v>0</v>
      </c>
      <c r="AY48" s="54" t="str">
        <f t="shared" si="0"/>
        <v/>
      </c>
      <c r="AZ48" s="54" t="str">
        <f t="shared" si="13"/>
        <v/>
      </c>
    </row>
    <row r="49" spans="1:52" x14ac:dyDescent="0.3">
      <c r="A49" s="10">
        <v>701</v>
      </c>
      <c r="B49" s="55" t="s">
        <v>160</v>
      </c>
      <c r="C49" t="s">
        <v>234</v>
      </c>
      <c r="D49" t="s">
        <v>308</v>
      </c>
      <c r="E49" s="2" t="s">
        <v>373</v>
      </c>
      <c r="F49" s="15" t="s">
        <v>1</v>
      </c>
      <c r="G49" t="s">
        <v>447</v>
      </c>
      <c r="H49" s="55" t="s">
        <v>521</v>
      </c>
      <c r="I49" s="14">
        <v>41417</v>
      </c>
      <c r="J49" t="s">
        <v>595</v>
      </c>
      <c r="K49" s="15" t="s">
        <v>1</v>
      </c>
      <c r="L49" t="s">
        <v>669</v>
      </c>
      <c r="M49" s="15">
        <v>300</v>
      </c>
      <c r="N49" s="15">
        <v>306</v>
      </c>
      <c r="O49" s="16">
        <v>43562</v>
      </c>
      <c r="P49" s="16">
        <v>43927</v>
      </c>
      <c r="Q49" s="16">
        <v>43580</v>
      </c>
      <c r="R49" s="15">
        <v>8</v>
      </c>
      <c r="S49" s="15">
        <v>796552</v>
      </c>
      <c r="T49" s="17">
        <v>43862</v>
      </c>
      <c r="U49" s="18">
        <v>151.62</v>
      </c>
      <c r="V49" s="7" t="str">
        <f t="shared" si="14"/>
        <v>2020/02/306/701</v>
      </c>
      <c r="W49" t="s">
        <v>3</v>
      </c>
      <c r="Y49" s="8" t="str">
        <f t="shared" si="1"/>
        <v/>
      </c>
      <c r="AK49" s="12" t="str">
        <f t="shared" si="2"/>
        <v/>
      </c>
      <c r="AL49" s="56" t="str">
        <f t="shared" si="3"/>
        <v/>
      </c>
      <c r="AN49" s="7" t="str">
        <f t="shared" si="15"/>
        <v/>
      </c>
      <c r="AO49" s="7" t="str">
        <f t="shared" si="4"/>
        <v/>
      </c>
      <c r="AP49" s="7" t="str">
        <f t="shared" si="5"/>
        <v/>
      </c>
      <c r="AQ49" s="7" t="str">
        <f t="shared" si="6"/>
        <v/>
      </c>
      <c r="AR49" s="7" t="str">
        <f t="shared" si="7"/>
        <v/>
      </c>
      <c r="AS49" s="7" t="str">
        <f t="shared" si="8"/>
        <v/>
      </c>
      <c r="AT49" s="7" t="str">
        <f t="shared" si="9"/>
        <v/>
      </c>
      <c r="AU49" s="7" t="str">
        <f t="shared" si="10"/>
        <v/>
      </c>
      <c r="AV49" s="7" t="str">
        <f t="shared" si="11"/>
        <v/>
      </c>
      <c r="AW49" s="54" t="str">
        <f t="shared" si="12"/>
        <v/>
      </c>
      <c r="AX49" s="7" t="str">
        <f t="shared" si="16"/>
        <v/>
      </c>
      <c r="AY49" s="54" t="str">
        <f t="shared" si="0"/>
        <v/>
      </c>
      <c r="AZ49" s="54" t="str">
        <f t="shared" si="13"/>
        <v/>
      </c>
    </row>
    <row r="50" spans="1:52" x14ac:dyDescent="0.3">
      <c r="A50" s="10">
        <v>831</v>
      </c>
      <c r="B50" s="55" t="s">
        <v>161</v>
      </c>
      <c r="C50" t="s">
        <v>235</v>
      </c>
      <c r="D50" t="s">
        <v>309</v>
      </c>
      <c r="E50" s="2" t="s">
        <v>374</v>
      </c>
      <c r="F50" s="15" t="s">
        <v>4</v>
      </c>
      <c r="G50" t="s">
        <v>448</v>
      </c>
      <c r="H50" s="55" t="s">
        <v>522</v>
      </c>
      <c r="I50" s="14">
        <v>40861</v>
      </c>
      <c r="J50" t="s">
        <v>596</v>
      </c>
      <c r="K50" s="15" t="s">
        <v>4</v>
      </c>
      <c r="L50" t="s">
        <v>670</v>
      </c>
      <c r="M50" s="15">
        <v>300</v>
      </c>
      <c r="N50" s="15">
        <v>306</v>
      </c>
      <c r="O50" s="16">
        <v>43722</v>
      </c>
      <c r="P50" s="16">
        <v>44087</v>
      </c>
      <c r="Q50" s="16">
        <v>43760</v>
      </c>
      <c r="R50" s="15">
        <v>4</v>
      </c>
      <c r="S50" s="15">
        <v>796471</v>
      </c>
      <c r="T50" s="17">
        <v>43862</v>
      </c>
      <c r="U50" s="18">
        <v>151.62</v>
      </c>
      <c r="V50" s="7" t="str">
        <f t="shared" si="14"/>
        <v>2020/02/306/831</v>
      </c>
      <c r="W50" t="s">
        <v>3</v>
      </c>
      <c r="Y50" s="8" t="str">
        <f t="shared" si="1"/>
        <v/>
      </c>
      <c r="AK50" s="12" t="str">
        <f t="shared" si="2"/>
        <v/>
      </c>
      <c r="AL50" s="56" t="str">
        <f t="shared" si="3"/>
        <v/>
      </c>
      <c r="AM50">
        <v>1.84</v>
      </c>
      <c r="AN50" s="7" t="str">
        <f t="shared" si="15"/>
        <v/>
      </c>
      <c r="AO50" s="7" t="str">
        <f t="shared" si="4"/>
        <v/>
      </c>
      <c r="AP50" s="7" t="str">
        <f t="shared" si="5"/>
        <v/>
      </c>
      <c r="AQ50" s="7" t="str">
        <f t="shared" si="6"/>
        <v/>
      </c>
      <c r="AR50" s="7" t="str">
        <f t="shared" si="7"/>
        <v/>
      </c>
      <c r="AS50" s="7" t="str">
        <f t="shared" si="8"/>
        <v/>
      </c>
      <c r="AT50" s="7" t="str">
        <f t="shared" si="9"/>
        <v/>
      </c>
      <c r="AU50" s="7" t="str">
        <f t="shared" si="10"/>
        <v/>
      </c>
      <c r="AV50" s="7" t="str">
        <f t="shared" si="11"/>
        <v/>
      </c>
      <c r="AW50" s="54" t="str">
        <f t="shared" si="12"/>
        <v/>
      </c>
      <c r="AX50" s="7">
        <f t="shared" si="16"/>
        <v>0</v>
      </c>
      <c r="AY50" s="54" t="str">
        <f t="shared" si="0"/>
        <v/>
      </c>
      <c r="AZ50" s="54" t="str">
        <f t="shared" si="13"/>
        <v/>
      </c>
    </row>
    <row r="51" spans="1:52" x14ac:dyDescent="0.3">
      <c r="A51" s="10">
        <v>771</v>
      </c>
      <c r="B51" s="55" t="s">
        <v>162</v>
      </c>
      <c r="C51" t="s">
        <v>236</v>
      </c>
      <c r="D51" t="s">
        <v>310</v>
      </c>
      <c r="E51" s="2" t="s">
        <v>375</v>
      </c>
      <c r="F51" s="15" t="s">
        <v>1</v>
      </c>
      <c r="G51" t="s">
        <v>449</v>
      </c>
      <c r="H51" s="55" t="s">
        <v>523</v>
      </c>
      <c r="I51" s="14">
        <v>36736</v>
      </c>
      <c r="J51" t="s">
        <v>597</v>
      </c>
      <c r="K51" s="15" t="s">
        <v>1</v>
      </c>
      <c r="L51" t="s">
        <v>671</v>
      </c>
      <c r="M51" s="15">
        <v>300</v>
      </c>
      <c r="N51" s="15">
        <v>306</v>
      </c>
      <c r="O51" s="16">
        <v>43619</v>
      </c>
      <c r="P51" s="16">
        <v>43984</v>
      </c>
      <c r="Q51" s="16">
        <v>43634</v>
      </c>
      <c r="R51" s="15">
        <v>2</v>
      </c>
      <c r="S51" s="15">
        <v>796434</v>
      </c>
      <c r="T51" s="17">
        <v>43862</v>
      </c>
      <c r="U51" s="18">
        <v>151.62</v>
      </c>
      <c r="V51" s="7" t="str">
        <f t="shared" si="14"/>
        <v>2020/02/306/771</v>
      </c>
      <c r="W51" t="s">
        <v>3</v>
      </c>
      <c r="Y51" s="8" t="str">
        <f t="shared" si="1"/>
        <v/>
      </c>
      <c r="AK51" s="12" t="str">
        <f t="shared" si="2"/>
        <v/>
      </c>
      <c r="AL51" s="56" t="str">
        <f t="shared" si="3"/>
        <v/>
      </c>
      <c r="AN51" s="7" t="str">
        <f t="shared" si="15"/>
        <v/>
      </c>
      <c r="AO51" s="7" t="str">
        <f t="shared" si="4"/>
        <v/>
      </c>
      <c r="AP51" s="7" t="str">
        <f t="shared" si="5"/>
        <v/>
      </c>
      <c r="AQ51" s="7" t="str">
        <f t="shared" si="6"/>
        <v/>
      </c>
      <c r="AR51" s="7" t="str">
        <f t="shared" si="7"/>
        <v/>
      </c>
      <c r="AS51" s="7" t="str">
        <f t="shared" si="8"/>
        <v/>
      </c>
      <c r="AT51" s="7" t="str">
        <f t="shared" si="9"/>
        <v/>
      </c>
      <c r="AU51" s="7" t="str">
        <f t="shared" si="10"/>
        <v/>
      </c>
      <c r="AV51" s="7" t="str">
        <f t="shared" si="11"/>
        <v/>
      </c>
      <c r="AW51" s="54" t="str">
        <f t="shared" si="12"/>
        <v/>
      </c>
      <c r="AX51" s="7" t="str">
        <f t="shared" si="16"/>
        <v/>
      </c>
      <c r="AY51" s="54" t="str">
        <f t="shared" si="0"/>
        <v/>
      </c>
      <c r="AZ51" s="54" t="str">
        <f t="shared" si="13"/>
        <v/>
      </c>
    </row>
    <row r="52" spans="1:52" x14ac:dyDescent="0.3">
      <c r="A52" s="10">
        <v>851</v>
      </c>
      <c r="B52" s="55" t="s">
        <v>163</v>
      </c>
      <c r="C52" t="s">
        <v>237</v>
      </c>
      <c r="D52" t="s">
        <v>311</v>
      </c>
      <c r="E52" s="2" t="s">
        <v>376</v>
      </c>
      <c r="F52" s="15" t="s">
        <v>4</v>
      </c>
      <c r="G52" t="s">
        <v>450</v>
      </c>
      <c r="H52" s="55" t="s">
        <v>524</v>
      </c>
      <c r="I52" s="14">
        <v>20228</v>
      </c>
      <c r="J52" t="s">
        <v>598</v>
      </c>
      <c r="K52" s="15" t="s">
        <v>4</v>
      </c>
      <c r="L52" t="s">
        <v>672</v>
      </c>
      <c r="M52" s="15">
        <v>400</v>
      </c>
      <c r="N52" s="15">
        <v>403</v>
      </c>
      <c r="O52" s="16">
        <v>43839</v>
      </c>
      <c r="P52" s="16">
        <v>44204</v>
      </c>
      <c r="Q52" s="16">
        <v>43843</v>
      </c>
      <c r="R52" s="15">
        <v>11</v>
      </c>
      <c r="S52" s="15">
        <v>796611</v>
      </c>
      <c r="T52" s="17">
        <v>43862</v>
      </c>
      <c r="U52" s="18">
        <v>151.62</v>
      </c>
      <c r="V52" s="7" t="str">
        <f t="shared" si="14"/>
        <v>2020/02/403/851</v>
      </c>
      <c r="W52" t="s">
        <v>10</v>
      </c>
      <c r="Y52" s="8" t="str">
        <f t="shared" si="1"/>
        <v/>
      </c>
      <c r="AK52" s="12" t="str">
        <f t="shared" si="2"/>
        <v/>
      </c>
      <c r="AL52" s="56" t="str">
        <f t="shared" si="3"/>
        <v/>
      </c>
      <c r="AM52">
        <v>1.84</v>
      </c>
      <c r="AN52" s="7" t="str">
        <f t="shared" si="15"/>
        <v/>
      </c>
      <c r="AO52" s="7" t="str">
        <f t="shared" si="4"/>
        <v/>
      </c>
      <c r="AP52" s="7" t="str">
        <f t="shared" si="5"/>
        <v/>
      </c>
      <c r="AQ52" s="7" t="str">
        <f t="shared" si="6"/>
        <v/>
      </c>
      <c r="AR52" s="7" t="str">
        <f t="shared" si="7"/>
        <v/>
      </c>
      <c r="AS52" s="7" t="str">
        <f t="shared" si="8"/>
        <v/>
      </c>
      <c r="AT52" s="7" t="str">
        <f t="shared" si="9"/>
        <v/>
      </c>
      <c r="AU52" s="7" t="str">
        <f t="shared" si="10"/>
        <v/>
      </c>
      <c r="AV52" s="7" t="str">
        <f t="shared" si="11"/>
        <v/>
      </c>
      <c r="AW52" s="54" t="str">
        <f t="shared" si="12"/>
        <v/>
      </c>
      <c r="AX52" s="7">
        <f t="shared" si="16"/>
        <v>0</v>
      </c>
      <c r="AY52" s="54" t="str">
        <f t="shared" si="0"/>
        <v/>
      </c>
      <c r="AZ52" s="54" t="str">
        <f t="shared" si="13"/>
        <v/>
      </c>
    </row>
    <row r="53" spans="1:52" x14ac:dyDescent="0.3">
      <c r="A53" s="10">
        <v>746</v>
      </c>
      <c r="B53" s="55" t="s">
        <v>164</v>
      </c>
      <c r="C53" t="s">
        <v>238</v>
      </c>
      <c r="D53" t="s">
        <v>312</v>
      </c>
      <c r="E53" s="2" t="s">
        <v>377</v>
      </c>
      <c r="F53" s="15" t="s">
        <v>1</v>
      </c>
      <c r="G53" t="s">
        <v>451</v>
      </c>
      <c r="H53" s="55" t="s">
        <v>525</v>
      </c>
      <c r="I53" s="14">
        <v>41139</v>
      </c>
      <c r="J53" t="s">
        <v>599</v>
      </c>
      <c r="K53" s="15" t="s">
        <v>1</v>
      </c>
      <c r="L53" t="s">
        <v>673</v>
      </c>
      <c r="M53" s="15">
        <v>500</v>
      </c>
      <c r="N53" s="15">
        <v>527</v>
      </c>
      <c r="O53" s="16">
        <v>43709</v>
      </c>
      <c r="P53" s="16">
        <v>44074</v>
      </c>
      <c r="Q53" s="16">
        <v>43732</v>
      </c>
      <c r="R53" s="15">
        <v>8</v>
      </c>
      <c r="S53" s="15">
        <v>796552</v>
      </c>
      <c r="T53" s="17">
        <v>43862</v>
      </c>
      <c r="U53" s="18">
        <v>151.62</v>
      </c>
      <c r="V53" s="7" t="str">
        <f t="shared" si="14"/>
        <v>2020/02/527/746</v>
      </c>
      <c r="W53" t="s">
        <v>3</v>
      </c>
      <c r="Y53" s="8" t="str">
        <f t="shared" si="1"/>
        <v/>
      </c>
      <c r="AK53" s="12" t="str">
        <f t="shared" si="2"/>
        <v/>
      </c>
      <c r="AL53" s="56" t="str">
        <f t="shared" si="3"/>
        <v/>
      </c>
      <c r="AN53" s="7" t="str">
        <f t="shared" si="15"/>
        <v/>
      </c>
      <c r="AO53" s="7" t="str">
        <f t="shared" si="4"/>
        <v/>
      </c>
      <c r="AP53" s="7" t="str">
        <f t="shared" si="5"/>
        <v/>
      </c>
      <c r="AQ53" s="7" t="str">
        <f t="shared" si="6"/>
        <v/>
      </c>
      <c r="AR53" s="7" t="str">
        <f t="shared" si="7"/>
        <v/>
      </c>
      <c r="AS53" s="7" t="str">
        <f t="shared" si="8"/>
        <v/>
      </c>
      <c r="AT53" s="7" t="str">
        <f t="shared" si="9"/>
        <v/>
      </c>
      <c r="AU53" s="7" t="str">
        <f t="shared" si="10"/>
        <v/>
      </c>
      <c r="AV53" s="7" t="str">
        <f t="shared" si="11"/>
        <v/>
      </c>
      <c r="AW53" s="54" t="str">
        <f t="shared" si="12"/>
        <v/>
      </c>
      <c r="AX53" s="7" t="str">
        <f t="shared" si="16"/>
        <v/>
      </c>
      <c r="AY53" s="54" t="str">
        <f t="shared" si="0"/>
        <v/>
      </c>
      <c r="AZ53" s="54" t="str">
        <f t="shared" si="13"/>
        <v/>
      </c>
    </row>
    <row r="54" spans="1:52" x14ac:dyDescent="0.3">
      <c r="A54" s="10">
        <v>698</v>
      </c>
      <c r="B54" s="55" t="s">
        <v>165</v>
      </c>
      <c r="C54" t="s">
        <v>239</v>
      </c>
      <c r="D54" t="s">
        <v>313</v>
      </c>
      <c r="E54" s="2" t="s">
        <v>378</v>
      </c>
      <c r="F54" s="15" t="s">
        <v>6</v>
      </c>
      <c r="G54" t="s">
        <v>452</v>
      </c>
      <c r="H54" s="55" t="s">
        <v>526</v>
      </c>
      <c r="I54" s="14">
        <v>40421</v>
      </c>
      <c r="J54" t="s">
        <v>600</v>
      </c>
      <c r="K54" s="15" t="s">
        <v>6</v>
      </c>
      <c r="L54" t="s">
        <v>674</v>
      </c>
      <c r="M54" s="15">
        <v>500</v>
      </c>
      <c r="N54" s="15">
        <v>527</v>
      </c>
      <c r="O54" s="16">
        <v>43813</v>
      </c>
      <c r="P54" s="16">
        <v>44178</v>
      </c>
      <c r="Q54" s="16">
        <v>43836</v>
      </c>
      <c r="R54" s="15">
        <v>8</v>
      </c>
      <c r="S54" s="15">
        <v>796552</v>
      </c>
      <c r="T54" s="17">
        <v>43862</v>
      </c>
      <c r="U54" s="18">
        <v>151.62</v>
      </c>
      <c r="V54" s="7" t="str">
        <f t="shared" si="14"/>
        <v>2020/02/527/698</v>
      </c>
      <c r="W54" t="s">
        <v>3</v>
      </c>
      <c r="Y54" s="8" t="str">
        <f t="shared" si="1"/>
        <v/>
      </c>
      <c r="AK54" s="12" t="str">
        <f t="shared" si="2"/>
        <v/>
      </c>
      <c r="AL54" s="56" t="str">
        <f t="shared" si="3"/>
        <v/>
      </c>
      <c r="AN54" s="7" t="str">
        <f t="shared" si="15"/>
        <v/>
      </c>
      <c r="AO54" s="7" t="str">
        <f t="shared" si="4"/>
        <v/>
      </c>
      <c r="AP54" s="7" t="str">
        <f t="shared" si="5"/>
        <v/>
      </c>
      <c r="AQ54" s="7" t="str">
        <f t="shared" si="6"/>
        <v/>
      </c>
      <c r="AR54" s="7" t="str">
        <f t="shared" si="7"/>
        <v/>
      </c>
      <c r="AS54" s="7" t="str">
        <f t="shared" si="8"/>
        <v/>
      </c>
      <c r="AT54" s="7" t="str">
        <f t="shared" si="9"/>
        <v/>
      </c>
      <c r="AU54" s="7" t="str">
        <f t="shared" si="10"/>
        <v/>
      </c>
      <c r="AV54" s="7" t="str">
        <f t="shared" si="11"/>
        <v/>
      </c>
      <c r="AW54" s="54" t="str">
        <f t="shared" si="12"/>
        <v/>
      </c>
      <c r="AX54" s="7" t="str">
        <f t="shared" si="16"/>
        <v/>
      </c>
      <c r="AY54" s="54" t="str">
        <f t="shared" si="0"/>
        <v/>
      </c>
      <c r="AZ54" s="54" t="str">
        <f t="shared" si="13"/>
        <v/>
      </c>
    </row>
    <row r="55" spans="1:52" x14ac:dyDescent="0.3">
      <c r="A55" s="10">
        <v>840</v>
      </c>
      <c r="B55" s="55" t="s">
        <v>166</v>
      </c>
      <c r="C55" t="s">
        <v>240</v>
      </c>
      <c r="D55" t="s">
        <v>314</v>
      </c>
      <c r="E55" s="2" t="s">
        <v>379</v>
      </c>
      <c r="F55" s="15" t="s">
        <v>6</v>
      </c>
      <c r="G55" t="s">
        <v>453</v>
      </c>
      <c r="H55" s="55" t="s">
        <v>527</v>
      </c>
      <c r="I55" s="14">
        <v>42201</v>
      </c>
      <c r="J55" t="s">
        <v>601</v>
      </c>
      <c r="K55" s="15" t="s">
        <v>6</v>
      </c>
      <c r="L55" t="s">
        <v>675</v>
      </c>
      <c r="M55" s="15">
        <v>500</v>
      </c>
      <c r="N55" s="15">
        <v>509</v>
      </c>
      <c r="O55" s="16">
        <v>43563</v>
      </c>
      <c r="P55" s="16">
        <v>43928</v>
      </c>
      <c r="Q55" s="16">
        <v>43574</v>
      </c>
      <c r="R55" s="15">
        <v>8</v>
      </c>
      <c r="S55" s="15">
        <v>796552</v>
      </c>
      <c r="T55" s="17">
        <v>43862</v>
      </c>
      <c r="U55" s="18">
        <v>151.62</v>
      </c>
      <c r="V55" s="7" t="str">
        <f t="shared" si="14"/>
        <v>2020/02/509/840</v>
      </c>
      <c r="W55" t="s">
        <v>3</v>
      </c>
      <c r="Y55" s="8" t="str">
        <f t="shared" si="1"/>
        <v/>
      </c>
      <c r="AK55" s="12" t="str">
        <f t="shared" si="2"/>
        <v/>
      </c>
      <c r="AL55" s="56" t="str">
        <f t="shared" si="3"/>
        <v/>
      </c>
      <c r="AN55" s="7" t="str">
        <f t="shared" si="15"/>
        <v/>
      </c>
      <c r="AO55" s="7" t="str">
        <f t="shared" si="4"/>
        <v/>
      </c>
      <c r="AP55" s="7" t="str">
        <f t="shared" si="5"/>
        <v/>
      </c>
      <c r="AQ55" s="7" t="str">
        <f t="shared" si="6"/>
        <v/>
      </c>
      <c r="AR55" s="7" t="str">
        <f t="shared" si="7"/>
        <v/>
      </c>
      <c r="AS55" s="7" t="str">
        <f t="shared" si="8"/>
        <v/>
      </c>
      <c r="AT55" s="7" t="str">
        <f t="shared" si="9"/>
        <v/>
      </c>
      <c r="AU55" s="7" t="str">
        <f t="shared" si="10"/>
        <v/>
      </c>
      <c r="AV55" s="7" t="str">
        <f t="shared" si="11"/>
        <v/>
      </c>
      <c r="AW55" s="54" t="str">
        <f t="shared" si="12"/>
        <v/>
      </c>
      <c r="AX55" s="7" t="str">
        <f t="shared" si="16"/>
        <v/>
      </c>
      <c r="AY55" s="54" t="str">
        <f t="shared" si="0"/>
        <v/>
      </c>
      <c r="AZ55" s="54" t="str">
        <f t="shared" si="13"/>
        <v/>
      </c>
    </row>
    <row r="56" spans="1:52" x14ac:dyDescent="0.3">
      <c r="A56" s="10">
        <v>794</v>
      </c>
      <c r="B56" s="55" t="s">
        <v>167</v>
      </c>
      <c r="C56" t="s">
        <v>241</v>
      </c>
      <c r="D56" t="s">
        <v>315</v>
      </c>
      <c r="E56" s="2" t="s">
        <v>380</v>
      </c>
      <c r="F56" s="15" t="s">
        <v>4</v>
      </c>
      <c r="G56" t="s">
        <v>454</v>
      </c>
      <c r="H56" s="55" t="s">
        <v>528</v>
      </c>
      <c r="I56" s="14">
        <v>40442</v>
      </c>
      <c r="J56" t="s">
        <v>602</v>
      </c>
      <c r="K56" s="15" t="s">
        <v>4</v>
      </c>
      <c r="L56" t="s">
        <v>676</v>
      </c>
      <c r="M56" s="15">
        <v>500</v>
      </c>
      <c r="N56" s="15">
        <v>527</v>
      </c>
      <c r="O56" s="16">
        <v>43652</v>
      </c>
      <c r="P56" s="16">
        <v>44017</v>
      </c>
      <c r="Q56" s="16">
        <v>43675</v>
      </c>
      <c r="R56" s="15">
        <v>2</v>
      </c>
      <c r="S56" s="15">
        <v>796434</v>
      </c>
      <c r="T56" s="17">
        <v>43862</v>
      </c>
      <c r="U56" s="18">
        <v>151.62</v>
      </c>
      <c r="V56" s="7" t="str">
        <f t="shared" si="14"/>
        <v>2020/02/527/794</v>
      </c>
      <c r="W56" t="s">
        <v>3</v>
      </c>
      <c r="Y56" s="8" t="str">
        <f t="shared" si="1"/>
        <v/>
      </c>
      <c r="AK56" s="12" t="str">
        <f t="shared" si="2"/>
        <v/>
      </c>
      <c r="AL56" s="56" t="str">
        <f t="shared" si="3"/>
        <v/>
      </c>
      <c r="AM56">
        <v>1.84</v>
      </c>
      <c r="AN56" s="7" t="str">
        <f t="shared" si="15"/>
        <v/>
      </c>
      <c r="AO56" s="7" t="str">
        <f t="shared" si="4"/>
        <v/>
      </c>
      <c r="AP56" s="7" t="str">
        <f t="shared" si="5"/>
        <v/>
      </c>
      <c r="AQ56" s="7" t="str">
        <f t="shared" si="6"/>
        <v/>
      </c>
      <c r="AR56" s="7" t="str">
        <f t="shared" si="7"/>
        <v/>
      </c>
      <c r="AS56" s="7" t="str">
        <f t="shared" si="8"/>
        <v/>
      </c>
      <c r="AT56" s="7" t="str">
        <f t="shared" si="9"/>
        <v/>
      </c>
      <c r="AU56" s="7" t="str">
        <f t="shared" si="10"/>
        <v/>
      </c>
      <c r="AV56" s="7" t="str">
        <f t="shared" si="11"/>
        <v/>
      </c>
      <c r="AW56" s="54" t="str">
        <f t="shared" si="12"/>
        <v/>
      </c>
      <c r="AX56" s="7">
        <f t="shared" si="16"/>
        <v>0</v>
      </c>
      <c r="AY56" s="54" t="str">
        <f t="shared" si="0"/>
        <v/>
      </c>
      <c r="AZ56" s="54" t="str">
        <f t="shared" si="13"/>
        <v/>
      </c>
    </row>
    <row r="57" spans="1:52" x14ac:dyDescent="0.3">
      <c r="A57" s="10">
        <v>697</v>
      </c>
      <c r="B57" s="55" t="s">
        <v>168</v>
      </c>
      <c r="C57" t="s">
        <v>242</v>
      </c>
      <c r="D57" t="s">
        <v>316</v>
      </c>
      <c r="E57" s="2" t="s">
        <v>381</v>
      </c>
      <c r="F57" s="15" t="s">
        <v>9</v>
      </c>
      <c r="G57" t="s">
        <v>455</v>
      </c>
      <c r="H57" s="55" t="s">
        <v>529</v>
      </c>
      <c r="I57" s="14">
        <v>40484</v>
      </c>
      <c r="J57" t="s">
        <v>603</v>
      </c>
      <c r="K57" s="15" t="s">
        <v>9</v>
      </c>
      <c r="L57" t="s">
        <v>677</v>
      </c>
      <c r="M57" s="15">
        <v>500</v>
      </c>
      <c r="N57" s="15">
        <v>509</v>
      </c>
      <c r="R57" s="15">
        <v>8</v>
      </c>
      <c r="S57" s="15">
        <v>796552</v>
      </c>
      <c r="T57" s="17">
        <v>43862</v>
      </c>
      <c r="U57" s="18">
        <v>151.62</v>
      </c>
      <c r="V57" s="7" t="str">
        <f t="shared" si="14"/>
        <v>2020/02/509/697</v>
      </c>
      <c r="W57" t="s">
        <v>3</v>
      </c>
      <c r="Y57" s="8" t="str">
        <f t="shared" si="1"/>
        <v/>
      </c>
      <c r="AK57" s="12" t="str">
        <f t="shared" si="2"/>
        <v/>
      </c>
      <c r="AL57" s="56" t="str">
        <f t="shared" si="3"/>
        <v/>
      </c>
      <c r="AM57">
        <v>1.84</v>
      </c>
      <c r="AN57" s="7" t="str">
        <f t="shared" si="15"/>
        <v/>
      </c>
      <c r="AO57" s="7" t="str">
        <f t="shared" si="4"/>
        <v/>
      </c>
      <c r="AP57" s="7" t="str">
        <f t="shared" si="5"/>
        <v/>
      </c>
      <c r="AQ57" s="7" t="str">
        <f t="shared" si="6"/>
        <v/>
      </c>
      <c r="AR57" s="7" t="str">
        <f t="shared" si="7"/>
        <v/>
      </c>
      <c r="AS57" s="7" t="str">
        <f t="shared" si="8"/>
        <v/>
      </c>
      <c r="AT57" s="7" t="str">
        <f t="shared" si="9"/>
        <v/>
      </c>
      <c r="AU57" s="7" t="str">
        <f t="shared" si="10"/>
        <v/>
      </c>
      <c r="AV57" s="7" t="str">
        <f t="shared" si="11"/>
        <v/>
      </c>
      <c r="AW57" s="54" t="str">
        <f t="shared" si="12"/>
        <v/>
      </c>
      <c r="AX57" s="7">
        <f t="shared" si="16"/>
        <v>0</v>
      </c>
      <c r="AY57" s="54" t="str">
        <f t="shared" si="0"/>
        <v/>
      </c>
      <c r="AZ57" s="54" t="str">
        <f t="shared" si="13"/>
        <v/>
      </c>
    </row>
    <row r="58" spans="1:52" x14ac:dyDescent="0.3">
      <c r="A58" s="10">
        <v>796</v>
      </c>
      <c r="B58" s="55" t="s">
        <v>169</v>
      </c>
      <c r="C58" t="s">
        <v>243</v>
      </c>
      <c r="D58" t="s">
        <v>317</v>
      </c>
      <c r="E58" s="2" t="s">
        <v>382</v>
      </c>
      <c r="F58" s="15" t="s">
        <v>4</v>
      </c>
      <c r="G58" t="s">
        <v>456</v>
      </c>
      <c r="H58" s="55" t="s">
        <v>530</v>
      </c>
      <c r="I58" s="14">
        <v>40952</v>
      </c>
      <c r="J58" t="s">
        <v>604</v>
      </c>
      <c r="K58" s="15" t="s">
        <v>4</v>
      </c>
      <c r="L58" t="s">
        <v>678</v>
      </c>
      <c r="M58" s="15">
        <v>500</v>
      </c>
      <c r="N58" s="15">
        <v>509</v>
      </c>
      <c r="O58" s="16">
        <v>43649</v>
      </c>
      <c r="P58" s="16">
        <v>44014</v>
      </c>
      <c r="Q58" s="16">
        <v>43719</v>
      </c>
      <c r="R58" s="15">
        <v>2</v>
      </c>
      <c r="S58" s="15">
        <v>796434</v>
      </c>
      <c r="T58" s="17">
        <v>43862</v>
      </c>
      <c r="U58" s="18">
        <v>151.62</v>
      </c>
      <c r="V58" s="7" t="str">
        <f t="shared" si="14"/>
        <v>2020/02/509/796</v>
      </c>
      <c r="W58" t="s">
        <v>3</v>
      </c>
      <c r="Y58" s="8" t="str">
        <f t="shared" si="1"/>
        <v/>
      </c>
      <c r="AK58" s="12" t="str">
        <f t="shared" si="2"/>
        <v/>
      </c>
      <c r="AL58" s="56" t="str">
        <f t="shared" si="3"/>
        <v/>
      </c>
      <c r="AM58">
        <v>1.84</v>
      </c>
      <c r="AN58" s="7" t="str">
        <f t="shared" si="15"/>
        <v/>
      </c>
      <c r="AO58" s="7" t="str">
        <f t="shared" si="4"/>
        <v/>
      </c>
      <c r="AP58" s="7" t="str">
        <f t="shared" si="5"/>
        <v/>
      </c>
      <c r="AQ58" s="7" t="str">
        <f t="shared" si="6"/>
        <v/>
      </c>
      <c r="AR58" s="7" t="str">
        <f t="shared" si="7"/>
        <v/>
      </c>
      <c r="AS58" s="7" t="str">
        <f t="shared" si="8"/>
        <v/>
      </c>
      <c r="AT58" s="7" t="str">
        <f t="shared" si="9"/>
        <v/>
      </c>
      <c r="AU58" s="7" t="str">
        <f t="shared" si="10"/>
        <v/>
      </c>
      <c r="AV58" s="7" t="str">
        <f t="shared" si="11"/>
        <v/>
      </c>
      <c r="AW58" s="54" t="str">
        <f t="shared" si="12"/>
        <v/>
      </c>
      <c r="AX58" s="7">
        <f t="shared" si="16"/>
        <v>0</v>
      </c>
      <c r="AY58" s="54" t="str">
        <f t="shared" si="0"/>
        <v/>
      </c>
      <c r="AZ58" s="54" t="str">
        <f t="shared" si="13"/>
        <v/>
      </c>
    </row>
    <row r="59" spans="1:52" x14ac:dyDescent="0.3">
      <c r="A59" s="10">
        <v>862</v>
      </c>
      <c r="B59" s="55" t="s">
        <v>170</v>
      </c>
      <c r="C59" t="s">
        <v>244</v>
      </c>
      <c r="D59" t="s">
        <v>318</v>
      </c>
      <c r="E59" s="2" t="s">
        <v>383</v>
      </c>
      <c r="F59" s="15" t="s">
        <v>4</v>
      </c>
      <c r="G59" t="s">
        <v>457</v>
      </c>
      <c r="H59" s="55" t="s">
        <v>531</v>
      </c>
      <c r="I59" s="14">
        <v>24141</v>
      </c>
      <c r="J59" t="s">
        <v>605</v>
      </c>
      <c r="K59" s="15" t="s">
        <v>4</v>
      </c>
      <c r="L59" t="s">
        <v>679</v>
      </c>
      <c r="M59" s="15">
        <v>500</v>
      </c>
      <c r="N59" s="15">
        <v>509</v>
      </c>
      <c r="O59" s="16">
        <v>43728</v>
      </c>
      <c r="P59" s="16">
        <v>44093</v>
      </c>
      <c r="Q59" s="16">
        <v>43749</v>
      </c>
      <c r="R59" s="15">
        <v>10</v>
      </c>
      <c r="S59" s="15">
        <v>796596</v>
      </c>
      <c r="T59" s="17">
        <v>43862</v>
      </c>
      <c r="U59" s="18">
        <v>151.62</v>
      </c>
      <c r="V59" s="7" t="str">
        <f t="shared" si="14"/>
        <v>2020/02/509/862</v>
      </c>
      <c r="W59" t="s">
        <v>10</v>
      </c>
      <c r="Y59" s="8" t="str">
        <f t="shared" si="1"/>
        <v/>
      </c>
      <c r="AK59" s="12" t="str">
        <f t="shared" si="2"/>
        <v/>
      </c>
      <c r="AL59" s="56" t="str">
        <f t="shared" si="3"/>
        <v/>
      </c>
      <c r="AM59">
        <v>1.84</v>
      </c>
      <c r="AN59" s="7" t="str">
        <f t="shared" si="15"/>
        <v/>
      </c>
      <c r="AO59" s="7" t="str">
        <f t="shared" si="4"/>
        <v/>
      </c>
      <c r="AP59" s="7" t="str">
        <f t="shared" si="5"/>
        <v/>
      </c>
      <c r="AQ59" s="7" t="str">
        <f t="shared" si="6"/>
        <v/>
      </c>
      <c r="AR59" s="7" t="str">
        <f t="shared" si="7"/>
        <v/>
      </c>
      <c r="AS59" s="7" t="str">
        <f t="shared" si="8"/>
        <v/>
      </c>
      <c r="AT59" s="7" t="str">
        <f t="shared" si="9"/>
        <v/>
      </c>
      <c r="AU59" s="7" t="str">
        <f t="shared" si="10"/>
        <v/>
      </c>
      <c r="AV59" s="7" t="str">
        <f t="shared" si="11"/>
        <v/>
      </c>
      <c r="AW59" s="54" t="str">
        <f t="shared" si="12"/>
        <v/>
      </c>
      <c r="AX59" s="7">
        <f t="shared" si="16"/>
        <v>0</v>
      </c>
      <c r="AY59" s="54" t="str">
        <f t="shared" si="0"/>
        <v/>
      </c>
      <c r="AZ59" s="54" t="str">
        <f t="shared" si="13"/>
        <v/>
      </c>
    </row>
    <row r="60" spans="1:52" x14ac:dyDescent="0.3">
      <c r="A60" s="10">
        <v>833</v>
      </c>
      <c r="B60" s="55" t="s">
        <v>171</v>
      </c>
      <c r="C60" t="s">
        <v>245</v>
      </c>
      <c r="D60" t="s">
        <v>319</v>
      </c>
      <c r="E60" s="2" t="s">
        <v>384</v>
      </c>
      <c r="F60" s="15" t="s">
        <v>4</v>
      </c>
      <c r="G60" t="s">
        <v>458</v>
      </c>
      <c r="H60" s="55" t="s">
        <v>532</v>
      </c>
      <c r="I60" s="14">
        <v>41829</v>
      </c>
      <c r="J60" t="s">
        <v>606</v>
      </c>
      <c r="K60" s="15" t="s">
        <v>4</v>
      </c>
      <c r="L60" t="s">
        <v>680</v>
      </c>
      <c r="M60" s="15">
        <v>500</v>
      </c>
      <c r="N60" s="15">
        <v>509</v>
      </c>
      <c r="O60" s="16">
        <v>43757</v>
      </c>
      <c r="P60" s="16">
        <v>44122</v>
      </c>
      <c r="Q60" s="16">
        <v>43781</v>
      </c>
      <c r="R60" s="15">
        <v>2</v>
      </c>
      <c r="S60" s="15">
        <v>796434</v>
      </c>
      <c r="T60" s="17">
        <v>43862</v>
      </c>
      <c r="U60" s="18">
        <v>151.62</v>
      </c>
      <c r="V60" s="7" t="str">
        <f t="shared" si="14"/>
        <v>2020/02/509/833</v>
      </c>
      <c r="W60" t="s">
        <v>3</v>
      </c>
      <c r="Y60" s="8" t="str">
        <f t="shared" si="1"/>
        <v/>
      </c>
      <c r="AK60" s="12" t="str">
        <f t="shared" si="2"/>
        <v/>
      </c>
      <c r="AL60" s="56" t="str">
        <f t="shared" si="3"/>
        <v/>
      </c>
      <c r="AM60">
        <v>1.84</v>
      </c>
      <c r="AN60" s="7" t="str">
        <f t="shared" si="15"/>
        <v/>
      </c>
      <c r="AO60" s="7" t="str">
        <f t="shared" si="4"/>
        <v/>
      </c>
      <c r="AP60" s="7" t="str">
        <f t="shared" si="5"/>
        <v/>
      </c>
      <c r="AQ60" s="7" t="str">
        <f t="shared" si="6"/>
        <v/>
      </c>
      <c r="AR60" s="7" t="str">
        <f t="shared" si="7"/>
        <v/>
      </c>
      <c r="AS60" s="7" t="str">
        <f t="shared" si="8"/>
        <v/>
      </c>
      <c r="AT60" s="7" t="str">
        <f t="shared" si="9"/>
        <v/>
      </c>
      <c r="AU60" s="7" t="str">
        <f t="shared" si="10"/>
        <v/>
      </c>
      <c r="AV60" s="7" t="str">
        <f t="shared" si="11"/>
        <v/>
      </c>
      <c r="AW60" s="54" t="str">
        <f t="shared" si="12"/>
        <v/>
      </c>
      <c r="AX60" s="7">
        <f t="shared" si="16"/>
        <v>0</v>
      </c>
      <c r="AY60" s="54" t="str">
        <f t="shared" si="0"/>
        <v/>
      </c>
      <c r="AZ60" s="54" t="str">
        <f t="shared" si="13"/>
        <v/>
      </c>
    </row>
    <row r="61" spans="1:52" x14ac:dyDescent="0.3">
      <c r="A61" s="10">
        <v>823</v>
      </c>
      <c r="B61" s="55" t="s">
        <v>172</v>
      </c>
      <c r="C61" t="s">
        <v>246</v>
      </c>
      <c r="D61" t="s">
        <v>320</v>
      </c>
      <c r="E61" s="2" t="s">
        <v>385</v>
      </c>
      <c r="F61" s="15" t="s">
        <v>9</v>
      </c>
      <c r="G61" t="s">
        <v>459</v>
      </c>
      <c r="H61" s="55" t="s">
        <v>533</v>
      </c>
      <c r="I61" s="14">
        <v>39995</v>
      </c>
      <c r="J61" t="s">
        <v>607</v>
      </c>
      <c r="K61" s="15" t="s">
        <v>9</v>
      </c>
      <c r="L61" t="s">
        <v>681</v>
      </c>
      <c r="M61" s="15">
        <v>500</v>
      </c>
      <c r="N61" s="15">
        <v>509</v>
      </c>
      <c r="O61" s="16">
        <v>43715</v>
      </c>
      <c r="P61" s="16">
        <v>44080</v>
      </c>
      <c r="Q61" s="16">
        <v>43739</v>
      </c>
      <c r="R61" s="15">
        <v>2</v>
      </c>
      <c r="S61" s="15">
        <v>796434</v>
      </c>
      <c r="T61" s="17">
        <v>43862</v>
      </c>
      <c r="U61" s="18">
        <v>151.62</v>
      </c>
      <c r="V61" s="7" t="str">
        <f t="shared" si="14"/>
        <v>2020/02/509/823</v>
      </c>
      <c r="W61" t="s">
        <v>3</v>
      </c>
      <c r="Y61" s="8" t="str">
        <f t="shared" si="1"/>
        <v/>
      </c>
      <c r="AK61" s="12" t="str">
        <f t="shared" si="2"/>
        <v/>
      </c>
      <c r="AL61" s="56" t="str">
        <f t="shared" si="3"/>
        <v/>
      </c>
      <c r="AM61">
        <v>1.84</v>
      </c>
      <c r="AN61" s="7" t="str">
        <f t="shared" si="15"/>
        <v/>
      </c>
      <c r="AO61" s="7" t="str">
        <f t="shared" si="4"/>
        <v/>
      </c>
      <c r="AP61" s="7" t="str">
        <f t="shared" si="5"/>
        <v/>
      </c>
      <c r="AQ61" s="7" t="str">
        <f t="shared" si="6"/>
        <v/>
      </c>
      <c r="AR61" s="7" t="str">
        <f t="shared" si="7"/>
        <v/>
      </c>
      <c r="AS61" s="7" t="str">
        <f t="shared" si="8"/>
        <v/>
      </c>
      <c r="AT61" s="7" t="str">
        <f t="shared" si="9"/>
        <v/>
      </c>
      <c r="AU61" s="7" t="str">
        <f t="shared" si="10"/>
        <v/>
      </c>
      <c r="AV61" s="7" t="str">
        <f t="shared" si="11"/>
        <v/>
      </c>
      <c r="AW61" s="54" t="str">
        <f t="shared" si="12"/>
        <v/>
      </c>
      <c r="AX61" s="7">
        <f t="shared" si="16"/>
        <v>0</v>
      </c>
      <c r="AY61" s="54" t="str">
        <f t="shared" si="0"/>
        <v/>
      </c>
      <c r="AZ61" s="54" t="str">
        <f t="shared" si="13"/>
        <v/>
      </c>
    </row>
    <row r="62" spans="1:52" x14ac:dyDescent="0.3">
      <c r="A62" s="10">
        <v>688</v>
      </c>
      <c r="B62" s="55" t="s">
        <v>173</v>
      </c>
      <c r="C62" t="s">
        <v>247</v>
      </c>
      <c r="D62" t="s">
        <v>321</v>
      </c>
      <c r="E62" s="2" t="s">
        <v>386</v>
      </c>
      <c r="F62" s="15" t="s">
        <v>4</v>
      </c>
      <c r="G62" t="s">
        <v>460</v>
      </c>
      <c r="H62" s="55" t="s">
        <v>534</v>
      </c>
      <c r="I62" s="14">
        <v>39961</v>
      </c>
      <c r="J62" t="s">
        <v>608</v>
      </c>
      <c r="K62" s="15" t="s">
        <v>1</v>
      </c>
      <c r="L62" t="s">
        <v>682</v>
      </c>
      <c r="M62" s="15">
        <v>500</v>
      </c>
      <c r="N62" s="15">
        <v>527</v>
      </c>
      <c r="O62" s="16">
        <v>43781</v>
      </c>
      <c r="P62" s="16">
        <v>44146</v>
      </c>
      <c r="Q62" s="16">
        <v>43803</v>
      </c>
      <c r="R62" s="15">
        <v>8</v>
      </c>
      <c r="S62" s="15">
        <v>796552</v>
      </c>
      <c r="T62" s="17">
        <v>43862</v>
      </c>
      <c r="U62" s="18">
        <v>151.62</v>
      </c>
      <c r="V62" s="7" t="str">
        <f t="shared" si="14"/>
        <v>2020/02/527/688</v>
      </c>
      <c r="W62" t="s">
        <v>3</v>
      </c>
      <c r="Y62" s="8" t="str">
        <f t="shared" si="1"/>
        <v/>
      </c>
      <c r="AK62" s="12" t="str">
        <f t="shared" si="2"/>
        <v/>
      </c>
      <c r="AL62" s="56" t="str">
        <f t="shared" si="3"/>
        <v/>
      </c>
      <c r="AN62" s="7" t="str">
        <f t="shared" si="15"/>
        <v/>
      </c>
      <c r="AO62" s="7" t="str">
        <f t="shared" si="4"/>
        <v/>
      </c>
      <c r="AP62" s="7" t="str">
        <f t="shared" si="5"/>
        <v/>
      </c>
      <c r="AQ62" s="7" t="str">
        <f t="shared" si="6"/>
        <v/>
      </c>
      <c r="AR62" s="7" t="str">
        <f t="shared" si="7"/>
        <v/>
      </c>
      <c r="AS62" s="7" t="str">
        <f t="shared" si="8"/>
        <v/>
      </c>
      <c r="AT62" s="7" t="str">
        <f t="shared" si="9"/>
        <v/>
      </c>
      <c r="AU62" s="7" t="str">
        <f t="shared" si="10"/>
        <v/>
      </c>
      <c r="AV62" s="7" t="str">
        <f t="shared" si="11"/>
        <v/>
      </c>
      <c r="AW62" s="54" t="str">
        <f t="shared" si="12"/>
        <v/>
      </c>
      <c r="AX62" s="7" t="str">
        <f t="shared" si="16"/>
        <v/>
      </c>
      <c r="AY62" s="54" t="str">
        <f t="shared" si="0"/>
        <v/>
      </c>
      <c r="AZ62" s="54" t="str">
        <f t="shared" si="13"/>
        <v/>
      </c>
    </row>
    <row r="63" spans="1:52" x14ac:dyDescent="0.3">
      <c r="A63" s="10">
        <v>726</v>
      </c>
      <c r="B63" s="55" t="s">
        <v>174</v>
      </c>
      <c r="C63" t="s">
        <v>248</v>
      </c>
      <c r="D63" t="s">
        <v>322</v>
      </c>
      <c r="E63" s="2" t="s">
        <v>387</v>
      </c>
      <c r="F63" s="15" t="s">
        <v>4</v>
      </c>
      <c r="G63" t="s">
        <v>461</v>
      </c>
      <c r="H63" s="55" t="s">
        <v>535</v>
      </c>
      <c r="I63" s="14">
        <v>41622</v>
      </c>
      <c r="J63" t="s">
        <v>609</v>
      </c>
      <c r="K63" s="15" t="s">
        <v>1</v>
      </c>
      <c r="L63" t="s">
        <v>683</v>
      </c>
      <c r="M63" s="15">
        <v>500</v>
      </c>
      <c r="N63" s="15">
        <v>527</v>
      </c>
      <c r="O63" s="16">
        <v>43526</v>
      </c>
      <c r="P63" s="16">
        <v>43891</v>
      </c>
      <c r="Q63" s="16">
        <v>43543</v>
      </c>
      <c r="R63" s="15">
        <v>8</v>
      </c>
      <c r="S63" s="15">
        <v>796552</v>
      </c>
      <c r="T63" s="17">
        <v>43862</v>
      </c>
      <c r="U63" s="18">
        <v>151.62</v>
      </c>
      <c r="V63" s="7" t="str">
        <f t="shared" si="14"/>
        <v>2020/02/527/726</v>
      </c>
      <c r="W63" t="s">
        <v>3</v>
      </c>
      <c r="Y63" s="8" t="str">
        <f t="shared" si="1"/>
        <v/>
      </c>
      <c r="AK63" s="12" t="str">
        <f t="shared" si="2"/>
        <v/>
      </c>
      <c r="AL63" s="56" t="str">
        <f t="shared" si="3"/>
        <v/>
      </c>
      <c r="AN63" s="7" t="str">
        <f t="shared" si="15"/>
        <v/>
      </c>
      <c r="AO63" s="7" t="str">
        <f t="shared" si="4"/>
        <v/>
      </c>
      <c r="AP63" s="7" t="str">
        <f t="shared" si="5"/>
        <v/>
      </c>
      <c r="AQ63" s="7" t="str">
        <f t="shared" si="6"/>
        <v/>
      </c>
      <c r="AR63" s="7" t="str">
        <f t="shared" si="7"/>
        <v/>
      </c>
      <c r="AS63" s="7" t="str">
        <f t="shared" si="8"/>
        <v/>
      </c>
      <c r="AT63" s="7" t="str">
        <f t="shared" si="9"/>
        <v/>
      </c>
      <c r="AU63" s="7" t="str">
        <f t="shared" si="10"/>
        <v/>
      </c>
      <c r="AV63" s="7" t="str">
        <f t="shared" si="11"/>
        <v/>
      </c>
      <c r="AW63" s="54" t="str">
        <f t="shared" si="12"/>
        <v/>
      </c>
      <c r="AX63" s="7" t="str">
        <f t="shared" si="16"/>
        <v/>
      </c>
      <c r="AY63" s="54" t="str">
        <f t="shared" si="0"/>
        <v/>
      </c>
      <c r="AZ63" s="54" t="str">
        <f t="shared" si="13"/>
        <v/>
      </c>
    </row>
    <row r="64" spans="1:52" x14ac:dyDescent="0.3">
      <c r="A64" s="10">
        <v>657</v>
      </c>
      <c r="B64" s="55" t="s">
        <v>175</v>
      </c>
      <c r="C64" t="s">
        <v>249</v>
      </c>
      <c r="D64" t="s">
        <v>323</v>
      </c>
      <c r="E64" s="2" t="s">
        <v>388</v>
      </c>
      <c r="F64" s="15" t="s">
        <v>4</v>
      </c>
      <c r="G64" t="s">
        <v>462</v>
      </c>
      <c r="H64" s="55" t="s">
        <v>536</v>
      </c>
      <c r="I64" s="14">
        <v>39664</v>
      </c>
      <c r="J64" t="s">
        <v>610</v>
      </c>
      <c r="K64" s="15" t="s">
        <v>1</v>
      </c>
      <c r="L64" t="s">
        <v>684</v>
      </c>
      <c r="M64" s="15">
        <v>500</v>
      </c>
      <c r="N64" s="15">
        <v>527</v>
      </c>
      <c r="O64" s="16">
        <v>43774</v>
      </c>
      <c r="P64" s="16">
        <v>44139</v>
      </c>
      <c r="Q64" s="16">
        <v>43790</v>
      </c>
      <c r="R64" s="15">
        <v>8</v>
      </c>
      <c r="S64" s="15">
        <v>796552</v>
      </c>
      <c r="T64" s="17">
        <v>43862</v>
      </c>
      <c r="U64" s="18">
        <v>151.62</v>
      </c>
      <c r="V64" s="7" t="str">
        <f t="shared" si="14"/>
        <v>2020/02/527/657</v>
      </c>
      <c r="W64" t="s">
        <v>3</v>
      </c>
      <c r="Y64" s="8" t="str">
        <f t="shared" si="1"/>
        <v/>
      </c>
      <c r="AK64" s="12" t="str">
        <f t="shared" si="2"/>
        <v/>
      </c>
      <c r="AL64" s="56" t="str">
        <f t="shared" si="3"/>
        <v/>
      </c>
      <c r="AN64" s="7" t="str">
        <f t="shared" si="15"/>
        <v/>
      </c>
      <c r="AO64" s="7" t="str">
        <f t="shared" si="4"/>
        <v/>
      </c>
      <c r="AP64" s="7" t="str">
        <f t="shared" si="5"/>
        <v/>
      </c>
      <c r="AQ64" s="7" t="str">
        <f t="shared" si="6"/>
        <v/>
      </c>
      <c r="AR64" s="7" t="str">
        <f t="shared" si="7"/>
        <v/>
      </c>
      <c r="AS64" s="7" t="str">
        <f t="shared" si="8"/>
        <v/>
      </c>
      <c r="AT64" s="7" t="str">
        <f t="shared" si="9"/>
        <v/>
      </c>
      <c r="AU64" s="7" t="str">
        <f t="shared" si="10"/>
        <v/>
      </c>
      <c r="AV64" s="7" t="str">
        <f t="shared" si="11"/>
        <v/>
      </c>
      <c r="AW64" s="54" t="str">
        <f t="shared" si="12"/>
        <v/>
      </c>
      <c r="AX64" s="7" t="str">
        <f t="shared" si="16"/>
        <v/>
      </c>
      <c r="AY64" s="54" t="str">
        <f t="shared" si="0"/>
        <v/>
      </c>
      <c r="AZ64" s="54" t="str">
        <f t="shared" si="13"/>
        <v/>
      </c>
    </row>
    <row r="65" spans="1:52" x14ac:dyDescent="0.3">
      <c r="A65" s="10">
        <v>849</v>
      </c>
      <c r="B65" s="55" t="s">
        <v>176</v>
      </c>
      <c r="C65" t="s">
        <v>250</v>
      </c>
      <c r="D65" t="s">
        <v>324</v>
      </c>
      <c r="E65" s="2" t="s">
        <v>389</v>
      </c>
      <c r="F65" s="15" t="s">
        <v>4</v>
      </c>
      <c r="G65" t="s">
        <v>463</v>
      </c>
      <c r="H65" s="55" t="s">
        <v>537</v>
      </c>
      <c r="I65" s="14">
        <v>40806</v>
      </c>
      <c r="J65" t="s">
        <v>611</v>
      </c>
      <c r="K65" s="15" t="s">
        <v>4</v>
      </c>
      <c r="L65" t="s">
        <v>685</v>
      </c>
      <c r="M65" s="15">
        <v>500</v>
      </c>
      <c r="N65" s="15">
        <v>509</v>
      </c>
      <c r="O65" s="16">
        <v>43598</v>
      </c>
      <c r="P65" s="16">
        <v>43963</v>
      </c>
      <c r="Q65" s="16">
        <v>43612</v>
      </c>
      <c r="R65" s="15">
        <v>4</v>
      </c>
      <c r="S65" s="15">
        <v>796471</v>
      </c>
      <c r="T65" s="17">
        <v>43862</v>
      </c>
      <c r="U65" s="18">
        <v>151.62</v>
      </c>
      <c r="V65" s="7" t="str">
        <f t="shared" si="14"/>
        <v>2020/02/509/849</v>
      </c>
      <c r="W65" t="s">
        <v>3</v>
      </c>
      <c r="Y65" s="8" t="str">
        <f t="shared" si="1"/>
        <v/>
      </c>
      <c r="AK65" s="12" t="str">
        <f t="shared" si="2"/>
        <v/>
      </c>
      <c r="AL65" s="56" t="str">
        <f t="shared" si="3"/>
        <v/>
      </c>
      <c r="AM65">
        <v>1.84</v>
      </c>
      <c r="AN65" s="7" t="str">
        <f t="shared" si="15"/>
        <v/>
      </c>
      <c r="AO65" s="7" t="str">
        <f t="shared" si="4"/>
        <v/>
      </c>
      <c r="AP65" s="7" t="str">
        <f t="shared" si="5"/>
        <v/>
      </c>
      <c r="AQ65" s="7" t="str">
        <f t="shared" si="6"/>
        <v/>
      </c>
      <c r="AR65" s="7" t="str">
        <f t="shared" si="7"/>
        <v/>
      </c>
      <c r="AS65" s="7" t="str">
        <f t="shared" si="8"/>
        <v/>
      </c>
      <c r="AT65" s="7" t="str">
        <f t="shared" si="9"/>
        <v/>
      </c>
      <c r="AU65" s="7" t="str">
        <f t="shared" si="10"/>
        <v/>
      </c>
      <c r="AV65" s="7" t="str">
        <f t="shared" si="11"/>
        <v/>
      </c>
      <c r="AW65" s="54" t="str">
        <f t="shared" si="12"/>
        <v/>
      </c>
      <c r="AX65" s="7">
        <f t="shared" si="16"/>
        <v>0</v>
      </c>
      <c r="AY65" s="54" t="str">
        <f t="shared" si="0"/>
        <v/>
      </c>
      <c r="AZ65" s="54" t="str">
        <f t="shared" si="13"/>
        <v/>
      </c>
    </row>
    <row r="66" spans="1:52" x14ac:dyDescent="0.3">
      <c r="A66" s="10">
        <v>853</v>
      </c>
      <c r="B66" s="55" t="s">
        <v>177</v>
      </c>
      <c r="C66" t="s">
        <v>251</v>
      </c>
      <c r="D66" t="s">
        <v>325</v>
      </c>
      <c r="E66" s="2" t="s">
        <v>390</v>
      </c>
      <c r="F66" s="15" t="s">
        <v>1</v>
      </c>
      <c r="G66" t="s">
        <v>464</v>
      </c>
      <c r="H66" s="55" t="s">
        <v>538</v>
      </c>
      <c r="I66" s="14">
        <v>40806</v>
      </c>
      <c r="J66" t="s">
        <v>612</v>
      </c>
      <c r="K66" s="15" t="s">
        <v>1</v>
      </c>
      <c r="L66" t="s">
        <v>686</v>
      </c>
      <c r="M66" s="15">
        <v>500</v>
      </c>
      <c r="N66" s="15">
        <v>509</v>
      </c>
      <c r="O66" s="16">
        <v>43710</v>
      </c>
      <c r="P66" s="16">
        <v>44075</v>
      </c>
      <c r="Q66" s="16">
        <v>43769</v>
      </c>
      <c r="R66" s="15">
        <v>4</v>
      </c>
      <c r="S66" s="15">
        <v>796471</v>
      </c>
      <c r="T66" s="17">
        <v>43862</v>
      </c>
      <c r="U66" s="18">
        <v>151.62</v>
      </c>
      <c r="V66" s="7" t="str">
        <f t="shared" si="14"/>
        <v>2020/02/509/853</v>
      </c>
      <c r="W66" t="s">
        <v>3</v>
      </c>
      <c r="Y66" s="8" t="str">
        <f t="shared" si="1"/>
        <v/>
      </c>
      <c r="AK66" s="12" t="str">
        <f t="shared" si="2"/>
        <v/>
      </c>
      <c r="AL66" s="56" t="str">
        <f t="shared" si="3"/>
        <v/>
      </c>
      <c r="AN66" s="7" t="str">
        <f t="shared" si="15"/>
        <v/>
      </c>
      <c r="AO66" s="7" t="str">
        <f t="shared" si="4"/>
        <v/>
      </c>
      <c r="AP66" s="7" t="str">
        <f t="shared" si="5"/>
        <v/>
      </c>
      <c r="AQ66" s="7" t="str">
        <f t="shared" si="6"/>
        <v/>
      </c>
      <c r="AR66" s="7" t="str">
        <f t="shared" si="7"/>
        <v/>
      </c>
      <c r="AS66" s="7" t="str">
        <f t="shared" si="8"/>
        <v/>
      </c>
      <c r="AT66" s="7" t="str">
        <f t="shared" si="9"/>
        <v/>
      </c>
      <c r="AU66" s="7" t="str">
        <f t="shared" si="10"/>
        <v/>
      </c>
      <c r="AV66" s="7" t="str">
        <f t="shared" si="11"/>
        <v/>
      </c>
      <c r="AW66" s="54" t="str">
        <f t="shared" si="12"/>
        <v/>
      </c>
      <c r="AX66" s="7" t="str">
        <f t="shared" si="16"/>
        <v/>
      </c>
      <c r="AY66" s="54" t="str">
        <f t="shared" ref="AY66:AY75" si="17">IF(SUM(AN66,AO66,AP66,AQ66,AR66,AS66,AT66,AU66,AV66,AW66)=0,"",SUM(AN66,AO66,AP66,AQ66,AR66,AS66,AT66,AU66,AV66,AW66))</f>
        <v/>
      </c>
      <c r="AZ66" s="54" t="str">
        <f t="shared" si="13"/>
        <v/>
      </c>
    </row>
    <row r="67" spans="1:52" x14ac:dyDescent="0.3">
      <c r="A67" s="10">
        <v>847</v>
      </c>
      <c r="B67" s="55" t="s">
        <v>178</v>
      </c>
      <c r="C67" t="s">
        <v>252</v>
      </c>
      <c r="D67" t="s">
        <v>326</v>
      </c>
      <c r="E67" s="2" t="s">
        <v>391</v>
      </c>
      <c r="F67" s="15" t="s">
        <v>9</v>
      </c>
      <c r="G67" t="s">
        <v>465</v>
      </c>
      <c r="H67" s="55" t="s">
        <v>539</v>
      </c>
      <c r="I67" s="14">
        <v>41375</v>
      </c>
      <c r="J67" t="s">
        <v>613</v>
      </c>
      <c r="K67" s="15" t="s">
        <v>9</v>
      </c>
      <c r="L67" t="s">
        <v>687</v>
      </c>
      <c r="M67" s="15">
        <v>500</v>
      </c>
      <c r="N67" s="15">
        <v>527</v>
      </c>
      <c r="O67" s="16">
        <v>43535</v>
      </c>
      <c r="P67" s="16">
        <v>43900</v>
      </c>
      <c r="Q67" s="16">
        <v>43572</v>
      </c>
      <c r="R67" s="15">
        <v>2</v>
      </c>
      <c r="S67" s="15">
        <v>796434</v>
      </c>
      <c r="T67" s="17">
        <v>43862</v>
      </c>
      <c r="U67" s="18">
        <v>151.62</v>
      </c>
      <c r="V67" s="7" t="str">
        <f t="shared" si="14"/>
        <v>2020/02/527/847</v>
      </c>
      <c r="W67" t="s">
        <v>3</v>
      </c>
      <c r="Y67" s="8" t="str">
        <f t="shared" ref="Y67:Y75" si="18">IF(X67="","",X67-AK67)</f>
        <v/>
      </c>
      <c r="AK67" s="12" t="str">
        <f t="shared" ref="AK67:AK75" si="19">IF(AND(Z67="",AA67="",AB67="",AC67="",AD67="",AE67="",AF67="",AG67="",AH67="",AI67=""),"",(Z67*1)+(AA67*1.25)+(AB67*1.33)+(AC67*1.5)+(AD67*1.66)+(AE67*2)+(AF67*0.25)+(AG67*0.33)+(AH67*0.5)+(AI67*0.66))</f>
        <v/>
      </c>
      <c r="AL67" s="56" t="str">
        <f t="shared" ref="AL67:AL75" si="20">IF(SUM(Z67:AI67)=0,"",SUM(Z67:AI67))</f>
        <v/>
      </c>
      <c r="AM67">
        <v>1.84</v>
      </c>
      <c r="AN67" s="7" t="str">
        <f t="shared" si="15"/>
        <v/>
      </c>
      <c r="AO67" s="7" t="str">
        <f t="shared" ref="AO67:AO75" si="21">IF(AA67="","",AA67*$U67*1.25)</f>
        <v/>
      </c>
      <c r="AP67" s="7" t="str">
        <f t="shared" ref="AP67:AP75" si="22">IF(AB67="","",AB67*$U67*1.33)</f>
        <v/>
      </c>
      <c r="AQ67" s="7" t="str">
        <f t="shared" ref="AQ67:AQ75" si="23">IF(AC67="","",AC67*$U67*1.5)</f>
        <v/>
      </c>
      <c r="AR67" s="7" t="str">
        <f t="shared" ref="AR67:AR75" si="24">IF(AD67="","",AD67*$U67*1.66)</f>
        <v/>
      </c>
      <c r="AS67" s="7" t="str">
        <f t="shared" ref="AS67:AS75" si="25">IF(AE67="","",AE67*$U67*2)</f>
        <v/>
      </c>
      <c r="AT67" s="7" t="str">
        <f t="shared" ref="AT67:AT75" si="26">IF(AF67="","",AF67*$U67*0.25)</f>
        <v/>
      </c>
      <c r="AU67" s="7" t="str">
        <f t="shared" ref="AU67:AU75" si="27">IF(AG67="","",AG67*$U67*0.33)</f>
        <v/>
      </c>
      <c r="AV67" s="7" t="str">
        <f t="shared" ref="AV67:AV75" si="28">IF(AH67="","",AH67*$U67*0.5)</f>
        <v/>
      </c>
      <c r="AW67" s="54" t="str">
        <f t="shared" ref="AW67:AW75" si="29">IF(AI67="","",AI67*$U67*0.66)</f>
        <v/>
      </c>
      <c r="AX67" s="7">
        <f t="shared" si="16"/>
        <v>0</v>
      </c>
      <c r="AY67" s="54" t="str">
        <f t="shared" si="17"/>
        <v/>
      </c>
      <c r="AZ67" s="54" t="str">
        <f t="shared" ref="AZ67:AZ75" si="30">IF(AY67="","",IF(AX67="",SUM(AN67,AO67,AP67,AQ67,AR67,AS67,AT67,AU67,AV67,AW67),AY67-AX67))</f>
        <v/>
      </c>
    </row>
    <row r="68" spans="1:52" x14ac:dyDescent="0.3">
      <c r="A68" s="10">
        <v>745</v>
      </c>
      <c r="B68" s="55" t="s">
        <v>179</v>
      </c>
      <c r="C68" t="s">
        <v>253</v>
      </c>
      <c r="D68" t="s">
        <v>327</v>
      </c>
      <c r="E68" s="2" t="s">
        <v>392</v>
      </c>
      <c r="F68" s="15" t="s">
        <v>4</v>
      </c>
      <c r="G68" t="s">
        <v>466</v>
      </c>
      <c r="H68" s="55" t="s">
        <v>540</v>
      </c>
      <c r="I68" s="14">
        <v>40705</v>
      </c>
      <c r="J68" t="s">
        <v>614</v>
      </c>
      <c r="K68" s="15" t="s">
        <v>4</v>
      </c>
      <c r="L68" t="s">
        <v>688</v>
      </c>
      <c r="M68" s="15">
        <v>500</v>
      </c>
      <c r="N68" s="15">
        <v>509</v>
      </c>
      <c r="O68" s="16">
        <v>43715</v>
      </c>
      <c r="P68" s="16">
        <v>44080</v>
      </c>
      <c r="Q68" s="16">
        <v>43739</v>
      </c>
      <c r="R68" s="15">
        <v>8</v>
      </c>
      <c r="S68" s="15">
        <v>796552</v>
      </c>
      <c r="T68" s="17">
        <v>43862</v>
      </c>
      <c r="U68" s="18">
        <v>151.62</v>
      </c>
      <c r="V68" s="7" t="str">
        <f t="shared" ref="V68:V73" si="31">CONCATENATE(TEXT(T68,"aaaa"),"/",TEXT(T68,"mm"),"/",N68,"/",A68)</f>
        <v>2020/02/509/745</v>
      </c>
      <c r="W68" t="s">
        <v>3</v>
      </c>
      <c r="Y68" s="8" t="str">
        <f t="shared" si="18"/>
        <v/>
      </c>
      <c r="AK68" s="12" t="str">
        <f t="shared" si="19"/>
        <v/>
      </c>
      <c r="AL68" s="56" t="str">
        <f t="shared" si="20"/>
        <v/>
      </c>
      <c r="AM68">
        <v>1.84</v>
      </c>
      <c r="AN68" s="7" t="str">
        <f t="shared" ref="AN68:AN75" si="32">IF(Z68="","",Z68*$U68)</f>
        <v/>
      </c>
      <c r="AO68" s="7" t="str">
        <f t="shared" si="21"/>
        <v/>
      </c>
      <c r="AP68" s="7" t="str">
        <f t="shared" si="22"/>
        <v/>
      </c>
      <c r="AQ68" s="7" t="str">
        <f t="shared" si="23"/>
        <v/>
      </c>
      <c r="AR68" s="7" t="str">
        <f t="shared" si="24"/>
        <v/>
      </c>
      <c r="AS68" s="7" t="str">
        <f t="shared" si="25"/>
        <v/>
      </c>
      <c r="AT68" s="7" t="str">
        <f t="shared" si="26"/>
        <v/>
      </c>
      <c r="AU68" s="7" t="str">
        <f t="shared" si="27"/>
        <v/>
      </c>
      <c r="AV68" s="7" t="str">
        <f t="shared" si="28"/>
        <v/>
      </c>
      <c r="AW68" s="54" t="str">
        <f t="shared" si="29"/>
        <v/>
      </c>
      <c r="AX68" s="7">
        <f t="shared" ref="AX68:AX74" si="33">IF(AM68="","",SUM(Z68,AA68,AB68,AC68,AD68,AE68,AF68,AG68,AH68,AI68)*AM68)</f>
        <v>0</v>
      </c>
      <c r="AY68" s="54" t="str">
        <f t="shared" si="17"/>
        <v/>
      </c>
      <c r="AZ68" s="54" t="str">
        <f t="shared" si="30"/>
        <v/>
      </c>
    </row>
    <row r="69" spans="1:52" x14ac:dyDescent="0.3">
      <c r="A69" s="10">
        <v>719</v>
      </c>
      <c r="B69" s="55" t="s">
        <v>180</v>
      </c>
      <c r="C69" t="s">
        <v>254</v>
      </c>
      <c r="D69" t="s">
        <v>328</v>
      </c>
      <c r="E69" s="2" t="s">
        <v>393</v>
      </c>
      <c r="F69" s="15" t="s">
        <v>4</v>
      </c>
      <c r="G69" t="s">
        <v>467</v>
      </c>
      <c r="H69" s="55" t="s">
        <v>541</v>
      </c>
      <c r="I69" s="14">
        <v>40829</v>
      </c>
      <c r="J69" t="s">
        <v>615</v>
      </c>
      <c r="K69" s="15" t="s">
        <v>4</v>
      </c>
      <c r="L69" t="s">
        <v>689</v>
      </c>
      <c r="M69" s="15">
        <v>500</v>
      </c>
      <c r="N69" s="15">
        <v>509</v>
      </c>
      <c r="O69" s="16">
        <v>43840</v>
      </c>
      <c r="P69" s="16">
        <v>44205</v>
      </c>
      <c r="Q69" s="16">
        <v>43866</v>
      </c>
      <c r="R69" s="15">
        <v>8</v>
      </c>
      <c r="S69" s="15">
        <v>796552</v>
      </c>
      <c r="T69" s="17">
        <v>43862</v>
      </c>
      <c r="U69" s="18">
        <v>151.62</v>
      </c>
      <c r="V69" s="7" t="str">
        <f t="shared" si="31"/>
        <v>2020/02/509/719</v>
      </c>
      <c r="W69" t="s">
        <v>3</v>
      </c>
      <c r="Y69" s="8" t="str">
        <f t="shared" si="18"/>
        <v/>
      </c>
      <c r="AK69" s="12" t="str">
        <f t="shared" si="19"/>
        <v/>
      </c>
      <c r="AL69" s="56" t="str">
        <f t="shared" si="20"/>
        <v/>
      </c>
      <c r="AM69">
        <v>1.84</v>
      </c>
      <c r="AN69" s="7" t="str">
        <f t="shared" si="32"/>
        <v/>
      </c>
      <c r="AO69" s="7" t="str">
        <f t="shared" si="21"/>
        <v/>
      </c>
      <c r="AP69" s="7" t="str">
        <f t="shared" si="22"/>
        <v/>
      </c>
      <c r="AQ69" s="7" t="str">
        <f t="shared" si="23"/>
        <v/>
      </c>
      <c r="AR69" s="7" t="str">
        <f t="shared" si="24"/>
        <v/>
      </c>
      <c r="AS69" s="7" t="str">
        <f t="shared" si="25"/>
        <v/>
      </c>
      <c r="AT69" s="7" t="str">
        <f t="shared" si="26"/>
        <v/>
      </c>
      <c r="AU69" s="7" t="str">
        <f t="shared" si="27"/>
        <v/>
      </c>
      <c r="AV69" s="7" t="str">
        <f t="shared" si="28"/>
        <v/>
      </c>
      <c r="AW69" s="54" t="str">
        <f t="shared" si="29"/>
        <v/>
      </c>
      <c r="AX69" s="7">
        <f t="shared" si="33"/>
        <v>0</v>
      </c>
      <c r="AY69" s="54" t="str">
        <f t="shared" si="17"/>
        <v/>
      </c>
      <c r="AZ69" s="54" t="str">
        <f t="shared" si="30"/>
        <v/>
      </c>
    </row>
    <row r="70" spans="1:52" x14ac:dyDescent="0.3">
      <c r="A70" s="10">
        <v>778</v>
      </c>
      <c r="B70" s="55" t="s">
        <v>181</v>
      </c>
      <c r="C70" t="s">
        <v>255</v>
      </c>
      <c r="D70" t="s">
        <v>329</v>
      </c>
      <c r="E70" s="2" t="s">
        <v>394</v>
      </c>
      <c r="F70" s="15" t="s">
        <v>4</v>
      </c>
      <c r="G70" t="s">
        <v>468</v>
      </c>
      <c r="H70" s="55" t="s">
        <v>542</v>
      </c>
      <c r="I70" s="14">
        <v>41540</v>
      </c>
      <c r="J70" t="s">
        <v>616</v>
      </c>
      <c r="K70" s="15" t="s">
        <v>4</v>
      </c>
      <c r="L70" t="s">
        <v>690</v>
      </c>
      <c r="M70" s="15">
        <v>500</v>
      </c>
      <c r="N70" s="15">
        <v>509</v>
      </c>
      <c r="O70" s="16">
        <v>43721</v>
      </c>
      <c r="P70" s="16">
        <v>44086</v>
      </c>
      <c r="Q70" s="16">
        <v>43749</v>
      </c>
      <c r="R70" s="15">
        <v>8</v>
      </c>
      <c r="S70" s="15">
        <v>796552</v>
      </c>
      <c r="T70" s="17">
        <v>43862</v>
      </c>
      <c r="U70" s="18">
        <v>151.62</v>
      </c>
      <c r="V70" s="7" t="str">
        <f t="shared" si="31"/>
        <v>2020/02/509/778</v>
      </c>
      <c r="W70" t="s">
        <v>3</v>
      </c>
      <c r="Y70" s="8" t="str">
        <f t="shared" si="18"/>
        <v/>
      </c>
      <c r="AK70" s="12" t="str">
        <f t="shared" si="19"/>
        <v/>
      </c>
      <c r="AL70" s="56" t="str">
        <f t="shared" si="20"/>
        <v/>
      </c>
      <c r="AM70">
        <v>1.84</v>
      </c>
      <c r="AN70" s="7" t="str">
        <f t="shared" si="32"/>
        <v/>
      </c>
      <c r="AO70" s="7" t="str">
        <f t="shared" si="21"/>
        <v/>
      </c>
      <c r="AP70" s="7" t="str">
        <f t="shared" si="22"/>
        <v/>
      </c>
      <c r="AQ70" s="7" t="str">
        <f t="shared" si="23"/>
        <v/>
      </c>
      <c r="AR70" s="7" t="str">
        <f t="shared" si="24"/>
        <v/>
      </c>
      <c r="AS70" s="7" t="str">
        <f t="shared" si="25"/>
        <v/>
      </c>
      <c r="AT70" s="7" t="str">
        <f t="shared" si="26"/>
        <v/>
      </c>
      <c r="AU70" s="7" t="str">
        <f t="shared" si="27"/>
        <v/>
      </c>
      <c r="AV70" s="7" t="str">
        <f t="shared" si="28"/>
        <v/>
      </c>
      <c r="AW70" s="54" t="str">
        <f t="shared" si="29"/>
        <v/>
      </c>
      <c r="AX70" s="7">
        <f t="shared" si="33"/>
        <v>0</v>
      </c>
      <c r="AY70" s="54" t="str">
        <f t="shared" si="17"/>
        <v/>
      </c>
      <c r="AZ70" s="54" t="str">
        <f t="shared" si="30"/>
        <v/>
      </c>
    </row>
    <row r="71" spans="1:52" x14ac:dyDescent="0.3">
      <c r="A71" s="10">
        <v>830</v>
      </c>
      <c r="B71" s="55" t="s">
        <v>182</v>
      </c>
      <c r="C71" t="s">
        <v>256</v>
      </c>
      <c r="D71" t="s">
        <v>330</v>
      </c>
      <c r="E71" s="2" t="s">
        <v>395</v>
      </c>
      <c r="F71" s="15" t="s">
        <v>4</v>
      </c>
      <c r="G71" t="s">
        <v>469</v>
      </c>
      <c r="H71" s="55" t="s">
        <v>543</v>
      </c>
      <c r="I71" s="14">
        <v>40419</v>
      </c>
      <c r="J71" t="s">
        <v>617</v>
      </c>
      <c r="K71" s="15" t="s">
        <v>4</v>
      </c>
      <c r="L71" t="s">
        <v>691</v>
      </c>
      <c r="M71" s="15">
        <v>500</v>
      </c>
      <c r="N71" s="15">
        <v>509</v>
      </c>
      <c r="O71" s="16">
        <v>43837</v>
      </c>
      <c r="P71" s="16">
        <v>44202</v>
      </c>
      <c r="Q71" s="16">
        <v>43846</v>
      </c>
      <c r="R71" s="15">
        <v>4</v>
      </c>
      <c r="S71" s="15">
        <v>796471</v>
      </c>
      <c r="T71" s="17">
        <v>43862</v>
      </c>
      <c r="U71" s="18">
        <v>151.62</v>
      </c>
      <c r="V71" s="7" t="str">
        <f t="shared" si="31"/>
        <v>2020/02/509/830</v>
      </c>
      <c r="W71" t="s">
        <v>3</v>
      </c>
      <c r="Y71" s="8" t="str">
        <f t="shared" si="18"/>
        <v/>
      </c>
      <c r="AK71" s="12" t="str">
        <f t="shared" si="19"/>
        <v/>
      </c>
      <c r="AL71" s="56" t="str">
        <f t="shared" si="20"/>
        <v/>
      </c>
      <c r="AM71">
        <v>1.84</v>
      </c>
      <c r="AN71" s="7" t="str">
        <f t="shared" si="32"/>
        <v/>
      </c>
      <c r="AO71" s="7" t="str">
        <f t="shared" si="21"/>
        <v/>
      </c>
      <c r="AP71" s="7" t="str">
        <f t="shared" si="22"/>
        <v/>
      </c>
      <c r="AQ71" s="7" t="str">
        <f t="shared" si="23"/>
        <v/>
      </c>
      <c r="AR71" s="7" t="str">
        <f t="shared" si="24"/>
        <v/>
      </c>
      <c r="AS71" s="7" t="str">
        <f t="shared" si="25"/>
        <v/>
      </c>
      <c r="AT71" s="7" t="str">
        <f t="shared" si="26"/>
        <v/>
      </c>
      <c r="AU71" s="7" t="str">
        <f t="shared" si="27"/>
        <v/>
      </c>
      <c r="AV71" s="7" t="str">
        <f t="shared" si="28"/>
        <v/>
      </c>
      <c r="AW71" s="54" t="str">
        <f t="shared" si="29"/>
        <v/>
      </c>
      <c r="AX71" s="7">
        <f t="shared" si="33"/>
        <v>0</v>
      </c>
      <c r="AY71" s="54" t="str">
        <f t="shared" si="17"/>
        <v/>
      </c>
      <c r="AZ71" s="54" t="str">
        <f t="shared" si="30"/>
        <v/>
      </c>
    </row>
    <row r="72" spans="1:52" x14ac:dyDescent="0.3">
      <c r="A72" s="10">
        <v>801</v>
      </c>
      <c r="B72" s="55" t="s">
        <v>183</v>
      </c>
      <c r="C72" t="s">
        <v>257</v>
      </c>
      <c r="D72" t="s">
        <v>331</v>
      </c>
      <c r="E72" s="2" t="s">
        <v>396</v>
      </c>
      <c r="F72" s="15" t="s">
        <v>4</v>
      </c>
      <c r="G72" t="s">
        <v>470</v>
      </c>
      <c r="H72" s="55" t="s">
        <v>544</v>
      </c>
      <c r="I72" s="14">
        <v>40602</v>
      </c>
      <c r="J72" t="s">
        <v>618</v>
      </c>
      <c r="K72" s="15" t="s">
        <v>4</v>
      </c>
      <c r="L72" t="s">
        <v>692</v>
      </c>
      <c r="M72" s="15">
        <v>500</v>
      </c>
      <c r="N72" s="15">
        <v>509</v>
      </c>
      <c r="O72" s="16">
        <v>43740</v>
      </c>
      <c r="P72" s="16">
        <v>44105</v>
      </c>
      <c r="Q72" s="16">
        <v>43775</v>
      </c>
      <c r="R72" s="15">
        <v>2</v>
      </c>
      <c r="S72" s="15">
        <v>796434</v>
      </c>
      <c r="T72" s="17">
        <v>43862</v>
      </c>
      <c r="U72" s="18">
        <v>151.62</v>
      </c>
      <c r="V72" s="7" t="str">
        <f t="shared" si="31"/>
        <v>2020/02/509/801</v>
      </c>
      <c r="W72" t="s">
        <v>3</v>
      </c>
      <c r="Y72" s="8" t="str">
        <f t="shared" si="18"/>
        <v/>
      </c>
      <c r="AK72" s="12" t="str">
        <f t="shared" si="19"/>
        <v/>
      </c>
      <c r="AL72" s="56" t="str">
        <f t="shared" si="20"/>
        <v/>
      </c>
      <c r="AM72">
        <v>1.84</v>
      </c>
      <c r="AN72" s="7" t="str">
        <f t="shared" si="32"/>
        <v/>
      </c>
      <c r="AO72" s="7" t="str">
        <f t="shared" si="21"/>
        <v/>
      </c>
      <c r="AP72" s="7" t="str">
        <f t="shared" si="22"/>
        <v/>
      </c>
      <c r="AQ72" s="7" t="str">
        <f t="shared" si="23"/>
        <v/>
      </c>
      <c r="AR72" s="7" t="str">
        <f t="shared" si="24"/>
        <v/>
      </c>
      <c r="AS72" s="7" t="str">
        <f t="shared" si="25"/>
        <v/>
      </c>
      <c r="AT72" s="7" t="str">
        <f t="shared" si="26"/>
        <v/>
      </c>
      <c r="AU72" s="7" t="str">
        <f t="shared" si="27"/>
        <v/>
      </c>
      <c r="AV72" s="7" t="str">
        <f t="shared" si="28"/>
        <v/>
      </c>
      <c r="AW72" s="54" t="str">
        <f t="shared" si="29"/>
        <v/>
      </c>
      <c r="AX72" s="7">
        <f t="shared" si="33"/>
        <v>0</v>
      </c>
      <c r="AY72" s="54" t="str">
        <f t="shared" si="17"/>
        <v/>
      </c>
      <c r="AZ72" s="54" t="str">
        <f t="shared" si="30"/>
        <v/>
      </c>
    </row>
    <row r="73" spans="1:52" x14ac:dyDescent="0.3">
      <c r="A73" s="10">
        <v>804</v>
      </c>
      <c r="B73" s="55" t="s">
        <v>184</v>
      </c>
      <c r="C73" t="s">
        <v>258</v>
      </c>
      <c r="D73" t="s">
        <v>332</v>
      </c>
      <c r="E73" s="2" t="s">
        <v>397</v>
      </c>
      <c r="F73" s="15" t="s">
        <v>1</v>
      </c>
      <c r="G73" t="s">
        <v>471</v>
      </c>
      <c r="H73" s="55" t="s">
        <v>545</v>
      </c>
      <c r="I73" s="14">
        <v>41787</v>
      </c>
      <c r="J73" t="s">
        <v>619</v>
      </c>
      <c r="K73" s="15" t="s">
        <v>1</v>
      </c>
      <c r="L73" t="s">
        <v>693</v>
      </c>
      <c r="M73" s="15">
        <v>602</v>
      </c>
      <c r="N73" s="15">
        <v>602</v>
      </c>
      <c r="O73" s="16">
        <v>43846</v>
      </c>
      <c r="P73" s="16">
        <v>44211</v>
      </c>
      <c r="Q73" s="16">
        <v>43895</v>
      </c>
      <c r="R73" s="15">
        <v>8</v>
      </c>
      <c r="S73" s="15">
        <v>796552</v>
      </c>
      <c r="T73" s="17">
        <v>43862</v>
      </c>
      <c r="U73" s="18">
        <v>151.62</v>
      </c>
      <c r="V73" s="7" t="str">
        <f t="shared" si="31"/>
        <v>2020/02/602/804</v>
      </c>
      <c r="W73" t="s">
        <v>3</v>
      </c>
      <c r="Y73" s="8" t="str">
        <f t="shared" si="18"/>
        <v/>
      </c>
      <c r="AK73" s="12" t="str">
        <f t="shared" si="19"/>
        <v/>
      </c>
      <c r="AL73" s="56" t="str">
        <f t="shared" si="20"/>
        <v/>
      </c>
      <c r="AN73" s="7" t="str">
        <f t="shared" si="32"/>
        <v/>
      </c>
      <c r="AO73" s="7" t="str">
        <f t="shared" si="21"/>
        <v/>
      </c>
      <c r="AP73" s="7" t="str">
        <f t="shared" si="22"/>
        <v/>
      </c>
      <c r="AQ73" s="7" t="str">
        <f t="shared" si="23"/>
        <v/>
      </c>
      <c r="AR73" s="7" t="str">
        <f t="shared" si="24"/>
        <v/>
      </c>
      <c r="AS73" s="7" t="str">
        <f t="shared" si="25"/>
        <v/>
      </c>
      <c r="AT73" s="7" t="str">
        <f t="shared" si="26"/>
        <v/>
      </c>
      <c r="AU73" s="7" t="str">
        <f t="shared" si="27"/>
        <v/>
      </c>
      <c r="AV73" s="7" t="str">
        <f t="shared" si="28"/>
        <v/>
      </c>
      <c r="AW73" s="54" t="str">
        <f t="shared" si="29"/>
        <v/>
      </c>
      <c r="AX73" s="7" t="str">
        <f t="shared" si="33"/>
        <v/>
      </c>
      <c r="AY73" s="54" t="str">
        <f t="shared" si="17"/>
        <v/>
      </c>
      <c r="AZ73" s="54" t="str">
        <f t="shared" si="30"/>
        <v/>
      </c>
    </row>
    <row r="74" spans="1:52" x14ac:dyDescent="0.3">
      <c r="A74" s="10">
        <v>674</v>
      </c>
      <c r="B74" s="55" t="s">
        <v>185</v>
      </c>
      <c r="C74" t="s">
        <v>259</v>
      </c>
      <c r="D74" t="s">
        <v>333</v>
      </c>
      <c r="E74" s="2" t="s">
        <v>398</v>
      </c>
      <c r="F74" s="15" t="s">
        <v>6</v>
      </c>
      <c r="G74" t="s">
        <v>472</v>
      </c>
      <c r="H74" s="55" t="s">
        <v>546</v>
      </c>
      <c r="I74" s="14">
        <v>40970</v>
      </c>
      <c r="J74" t="s">
        <v>620</v>
      </c>
      <c r="K74" s="15" t="s">
        <v>6</v>
      </c>
      <c r="L74" t="s">
        <v>694</v>
      </c>
      <c r="M74" s="15">
        <v>602</v>
      </c>
      <c r="N74" s="15">
        <v>602</v>
      </c>
      <c r="O74" s="16">
        <v>43647</v>
      </c>
      <c r="P74" s="16">
        <v>44012</v>
      </c>
      <c r="Q74" s="16">
        <v>43663</v>
      </c>
      <c r="R74" s="15">
        <v>8</v>
      </c>
      <c r="S74" s="15">
        <v>796552</v>
      </c>
      <c r="T74" s="17">
        <v>43862</v>
      </c>
      <c r="U74" s="18">
        <v>151.62</v>
      </c>
      <c r="V74" s="7" t="str">
        <f>CONCATENATE(TEXT(T74,"aaaa"),"/",TEXT(T74,"mm"),"/",N74,"/",A74)</f>
        <v>2020/02/602/674</v>
      </c>
      <c r="W74" t="s">
        <v>3</v>
      </c>
      <c r="Y74" s="8" t="str">
        <f t="shared" si="18"/>
        <v/>
      </c>
      <c r="AK74" s="12" t="str">
        <f t="shared" si="19"/>
        <v/>
      </c>
      <c r="AL74" s="56" t="str">
        <f t="shared" si="20"/>
        <v/>
      </c>
      <c r="AN74" s="7" t="str">
        <f t="shared" si="32"/>
        <v/>
      </c>
      <c r="AO74" s="7" t="str">
        <f t="shared" si="21"/>
        <v/>
      </c>
      <c r="AP74" s="7" t="str">
        <f t="shared" si="22"/>
        <v/>
      </c>
      <c r="AQ74" s="7" t="str">
        <f t="shared" si="23"/>
        <v/>
      </c>
      <c r="AR74" s="7" t="str">
        <f t="shared" si="24"/>
        <v/>
      </c>
      <c r="AS74" s="7" t="str">
        <f t="shared" si="25"/>
        <v/>
      </c>
      <c r="AT74" s="7" t="str">
        <f t="shared" si="26"/>
        <v/>
      </c>
      <c r="AU74" s="7" t="str">
        <f t="shared" si="27"/>
        <v/>
      </c>
      <c r="AV74" s="7" t="str">
        <f t="shared" si="28"/>
        <v/>
      </c>
      <c r="AW74" s="54" t="str">
        <f t="shared" si="29"/>
        <v/>
      </c>
      <c r="AX74" s="7" t="str">
        <f t="shared" si="33"/>
        <v/>
      </c>
      <c r="AY74" s="54" t="str">
        <f t="shared" si="17"/>
        <v/>
      </c>
      <c r="AZ74" s="54" t="str">
        <f t="shared" si="30"/>
        <v/>
      </c>
    </row>
    <row r="75" spans="1:52" x14ac:dyDescent="0.3">
      <c r="A75" s="10">
        <v>857</v>
      </c>
      <c r="B75" s="55" t="s">
        <v>186</v>
      </c>
      <c r="C75" t="s">
        <v>260</v>
      </c>
      <c r="D75" t="s">
        <v>334</v>
      </c>
      <c r="E75" s="2" t="s">
        <v>399</v>
      </c>
      <c r="F75" s="15" t="s">
        <v>4</v>
      </c>
      <c r="G75" t="s">
        <v>473</v>
      </c>
      <c r="H75" s="55" t="s">
        <v>547</v>
      </c>
      <c r="I75" s="14">
        <v>42020</v>
      </c>
      <c r="J75" t="s">
        <v>621</v>
      </c>
      <c r="K75" s="15" t="s">
        <v>4</v>
      </c>
      <c r="L75" t="s">
        <v>695</v>
      </c>
      <c r="M75" s="15">
        <v>900</v>
      </c>
      <c r="N75" s="15">
        <v>910</v>
      </c>
      <c r="O75" s="16">
        <v>43739</v>
      </c>
      <c r="P75" s="16">
        <v>44104</v>
      </c>
      <c r="Q75" s="16">
        <v>43851</v>
      </c>
      <c r="R75" s="15">
        <v>4</v>
      </c>
      <c r="S75" s="15">
        <v>796471</v>
      </c>
      <c r="T75" s="17">
        <v>43862</v>
      </c>
      <c r="U75" s="18">
        <v>151.62</v>
      </c>
      <c r="V75" s="7" t="str">
        <f>CONCATENATE(TEXT(T75,"aaaa"),"/",TEXT(T75,"mm"),"/",N75,"/",A75)</f>
        <v>2020/02/910/857</v>
      </c>
      <c r="W75" t="s">
        <v>3</v>
      </c>
      <c r="Y75" s="8" t="str">
        <f t="shared" si="18"/>
        <v/>
      </c>
      <c r="AK75" s="12" t="str">
        <f t="shared" si="19"/>
        <v/>
      </c>
      <c r="AL75" s="56" t="str">
        <f t="shared" si="20"/>
        <v/>
      </c>
      <c r="AM75" s="53">
        <v>1.84</v>
      </c>
      <c r="AN75" s="7" t="str">
        <f t="shared" si="32"/>
        <v/>
      </c>
      <c r="AO75" s="7" t="str">
        <f t="shared" si="21"/>
        <v/>
      </c>
      <c r="AP75" s="7" t="str">
        <f t="shared" si="22"/>
        <v/>
      </c>
      <c r="AQ75" s="7" t="str">
        <f t="shared" si="23"/>
        <v/>
      </c>
      <c r="AR75" s="7" t="str">
        <f t="shared" si="24"/>
        <v/>
      </c>
      <c r="AS75" s="7" t="str">
        <f t="shared" si="25"/>
        <v/>
      </c>
      <c r="AT75" s="7" t="str">
        <f t="shared" si="26"/>
        <v/>
      </c>
      <c r="AU75" s="7" t="str">
        <f t="shared" si="27"/>
        <v/>
      </c>
      <c r="AV75" s="7" t="str">
        <f t="shared" si="28"/>
        <v/>
      </c>
      <c r="AW75" s="54" t="str">
        <f t="shared" si="29"/>
        <v/>
      </c>
      <c r="AX75" s="7">
        <f>IF(AM75="","",SUM(Z75,AA75,AB75,AC75,AD75,AE75,AF75,AG75,AH75,AI75)*AM75)</f>
        <v>0</v>
      </c>
      <c r="AY75" s="54" t="str">
        <f t="shared" si="17"/>
        <v/>
      </c>
      <c r="AZ75" s="54" t="str">
        <f t="shared" si="30"/>
        <v/>
      </c>
    </row>
  </sheetData>
  <autoFilter ref="A1:BJ7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P57"/>
  <sheetViews>
    <sheetView tabSelected="1" zoomScaleNormal="100" workbookViewId="0">
      <selection activeCell="P2" sqref="P2"/>
    </sheetView>
  </sheetViews>
  <sheetFormatPr baseColWidth="10" defaultRowHeight="14.4" x14ac:dyDescent="0.3"/>
  <cols>
    <col min="1" max="1" width="1.6640625" customWidth="1"/>
    <col min="2" max="2" width="17.77734375" customWidth="1"/>
    <col min="3" max="3" width="15.77734375" customWidth="1"/>
    <col min="4" max="4" width="10.77734375" customWidth="1"/>
    <col min="5" max="5" width="4.77734375" customWidth="1"/>
    <col min="6" max="6" width="11.88671875" customWidth="1"/>
    <col min="7" max="8" width="14.77734375" customWidth="1"/>
    <col min="9" max="9" width="6.33203125" customWidth="1"/>
    <col min="10" max="10" width="9.21875" customWidth="1"/>
    <col min="11" max="14" width="14.77734375" customWidth="1"/>
  </cols>
  <sheetData>
    <row r="1" spans="2:16" ht="6" customHeight="1" thickBot="1" x14ac:dyDescent="0.35"/>
    <row r="2" spans="2:16" ht="15" thickBot="1" x14ac:dyDescent="0.35">
      <c r="B2" t="s">
        <v>99</v>
      </c>
      <c r="C2" t="str">
        <f>IF(ISNA(VLOOKUP($N$2,'DB Patients'!$A$2:$BJ$200,22,FALSE))=TRUE,"Introuvable",VLOOKUP($N$2,'DB Patients'!$A$2:$BJ$200,22,FALSE))</f>
        <v>2020/02/910/857</v>
      </c>
      <c r="N2" s="59">
        <f>P2</f>
        <v>857</v>
      </c>
      <c r="P2" s="60">
        <v>857</v>
      </c>
    </row>
    <row r="3" spans="2:16" ht="15.6" x14ac:dyDescent="0.3">
      <c r="G3" s="31" t="s">
        <v>98</v>
      </c>
    </row>
    <row r="4" spans="2:16" ht="6" customHeight="1" thickBot="1" x14ac:dyDescent="0.35"/>
    <row r="5" spans="2:16" x14ac:dyDescent="0.3">
      <c r="B5" s="19"/>
      <c r="C5" s="20"/>
      <c r="D5" s="20"/>
      <c r="E5" s="19"/>
      <c r="F5" s="20"/>
      <c r="G5" s="20"/>
      <c r="H5" s="21"/>
      <c r="I5" s="19"/>
      <c r="J5" s="20"/>
      <c r="K5" s="20"/>
      <c r="L5" s="20"/>
      <c r="M5" s="20"/>
      <c r="N5" s="21"/>
    </row>
    <row r="6" spans="2:16" x14ac:dyDescent="0.3">
      <c r="B6" s="22"/>
      <c r="C6" s="23"/>
      <c r="D6" s="23"/>
      <c r="E6" s="22"/>
      <c r="F6" s="30" t="s">
        <v>97</v>
      </c>
      <c r="G6" s="23"/>
      <c r="H6" s="24"/>
      <c r="I6" s="69" t="s">
        <v>96</v>
      </c>
      <c r="J6" s="70"/>
      <c r="K6" s="70"/>
      <c r="L6" s="70"/>
      <c r="M6" s="70"/>
      <c r="N6" s="71"/>
    </row>
    <row r="7" spans="2:16" x14ac:dyDescent="0.3">
      <c r="B7" s="22"/>
      <c r="C7" s="23"/>
      <c r="D7" s="23"/>
      <c r="E7" s="22"/>
      <c r="F7" s="23"/>
      <c r="G7" s="23"/>
      <c r="H7" s="24"/>
      <c r="I7" s="22"/>
      <c r="J7" s="23" t="s">
        <v>95</v>
      </c>
      <c r="L7" s="23"/>
      <c r="M7" s="52">
        <f>IF(ISNA(VLOOKUP($N$2,'DB Patients'!$A$2:$BJ$200,19,FALSE))=TRUE,"Introuvable",VLOOKUP($N$2,'DB Patients'!$A$2:$BJ$200,19,FALSE))</f>
        <v>796471</v>
      </c>
      <c r="N7" s="24"/>
    </row>
    <row r="8" spans="2:16" x14ac:dyDescent="0.3">
      <c r="B8" s="22"/>
      <c r="C8" s="23"/>
      <c r="D8" s="23"/>
      <c r="E8" s="22"/>
      <c r="F8" s="61" t="str">
        <f>IF(ISNA(VLOOKUP($N$2,'DB Patients'!$A$2:$BJ$200,2,FALSE))=TRUE,"Introuvable",VLOOKUP($N$2,'DB Patients'!$A$2:$BJ$200,2,FALSE))</f>
        <v>Popol75</v>
      </c>
      <c r="G8" s="61"/>
      <c r="H8" s="62"/>
      <c r="I8" s="22"/>
      <c r="J8" s="63" t="str">
        <f>IF(ISNA(VLOOKUP($N$2,'DB Patients'!$A$2:$BJ$200,7,FALSE))=TRUE,"Introuvable",VLOOKUP($N$2,'DB Patients'!$A$2:$BJ$200,7,FALSE))</f>
        <v>Popol0075</v>
      </c>
      <c r="K8" s="63"/>
      <c r="L8" s="63"/>
      <c r="M8" s="23"/>
      <c r="N8" s="24"/>
    </row>
    <row r="9" spans="2:16" x14ac:dyDescent="0.3">
      <c r="B9" s="22"/>
      <c r="C9" s="23"/>
      <c r="D9" s="23"/>
      <c r="E9" s="22"/>
      <c r="F9" s="61" t="str">
        <f>IF(ISNA(VLOOKUP($N$2,'DB Patients'!$A$2:$BJ$200,3,FALSE))=TRUE,"Introuvable",VLOOKUP($N$2,'DB Patients'!$A$2:$BJ$200,3,FALSE))</f>
        <v>Rue75</v>
      </c>
      <c r="G9" s="61"/>
      <c r="H9" s="62"/>
      <c r="I9" s="22"/>
      <c r="J9" s="63" t="str">
        <f>IF(ISNA(VLOOKUP($N$2,'DB Patients'!$A$2:$BJ$200,8,FALSE))=TRUE,"Introuvable",VLOOKUP($N$2,'DB Patients'!$A$2:$BJ$200,8,FALSE))</f>
        <v>Gamin75</v>
      </c>
      <c r="K9" s="63"/>
      <c r="L9" s="63"/>
      <c r="M9" s="23"/>
      <c r="N9" s="24"/>
    </row>
    <row r="10" spans="2:16" x14ac:dyDescent="0.3">
      <c r="B10" s="22"/>
      <c r="C10" s="23"/>
      <c r="D10" s="23"/>
      <c r="E10" s="22"/>
      <c r="F10" s="61" t="str">
        <f>IF(ISNA(VLOOKUP($N$2,'DB Patients'!$A$2:$BJ$200,4,FALSE))=TRUE,"Introuvable",VLOOKUP($N$2,'DB Patients'!$A$2:$BJ$200,4,FALSE))</f>
        <v>Là 1075</v>
      </c>
      <c r="G10" s="61"/>
      <c r="H10" s="62"/>
      <c r="I10" s="22"/>
      <c r="J10" s="63" t="str">
        <f>IF(ISNA(VLOOKUP($N$2,'DB Patients'!$A$2:$BJ$200,3,FALSE))=TRUE,"Introuvable",VLOOKUP($N$2,'DB Patients'!$A$2:$BJ$200,3,FALSE))</f>
        <v>Rue75</v>
      </c>
      <c r="K10" s="63"/>
      <c r="L10" s="63"/>
      <c r="M10" s="23"/>
      <c r="N10" s="24"/>
    </row>
    <row r="11" spans="2:16" x14ac:dyDescent="0.3">
      <c r="B11" s="22"/>
      <c r="C11" s="23"/>
      <c r="D11" s="23"/>
      <c r="E11" s="22"/>
      <c r="F11" s="61" t="str">
        <f>IF(ISNA(VLOOKUP($N$2,'DB Patients'!$A$2:$BJ$200,12,FALSE))=TRUE,"Introuvable",VLOOKUP($N$2,'DB Patients'!$A$2:$BJ$200,12,FALSE))</f>
        <v>Alpha75</v>
      </c>
      <c r="G11" s="61"/>
      <c r="H11" s="62"/>
      <c r="I11" s="22"/>
      <c r="J11" s="63" t="str">
        <f>IF(ISNA(VLOOKUP($N$2,'DB Patients'!$A$2:$BJ$200,4,FALSE))=TRUE,"Introuvable",VLOOKUP($N$2,'DB Patients'!$A$2:$BJ$200,4,FALSE))</f>
        <v>Là 1075</v>
      </c>
      <c r="K11" s="63"/>
      <c r="L11" s="63"/>
      <c r="M11" s="23"/>
      <c r="N11" s="24"/>
    </row>
    <row r="12" spans="2:16" x14ac:dyDescent="0.3">
      <c r="B12" s="22"/>
      <c r="C12" s="23"/>
      <c r="D12" s="23"/>
      <c r="E12" s="22"/>
      <c r="F12" s="61">
        <f>IF(ISNA(VLOOKUP($N$2,'DB Patients'!$A$2:$BJ$200,14,FALSE))=TRUE,"Introuvable",VLOOKUP($N$2,'DB Patients'!$A$2:$BJ$200,14,FALSE))</f>
        <v>910</v>
      </c>
      <c r="G12" s="61"/>
      <c r="H12" s="62"/>
      <c r="I12" s="22"/>
      <c r="J12" s="66">
        <f>IF(ISNA(VLOOKUP($N$2,'DB Patients'!$A$2:$BJ$200,9,FALSE))=TRUE,"Introuvable",VLOOKUP($N$2,'DB Patients'!$A$2:$BJ$200,9,FALSE))</f>
        <v>42020</v>
      </c>
      <c r="K12" s="66"/>
      <c r="L12" s="66"/>
      <c r="M12" s="23"/>
      <c r="N12" s="24"/>
    </row>
    <row r="13" spans="2:16" x14ac:dyDescent="0.3">
      <c r="B13" s="22"/>
      <c r="C13" s="23"/>
      <c r="D13" s="23"/>
      <c r="E13" s="22"/>
      <c r="F13" s="61" t="str">
        <f>IF(ISNA(VLOOKUP($N$2,'DB Patients'!$A$2:$BJ$200,5,FALSE))=TRUE,"Introuvable",VLOOKUP($N$2,'DB Patients'!$A$2:$BJ$200,5,FALSE))</f>
        <v>75</v>
      </c>
      <c r="G13" s="61"/>
      <c r="H13" s="62"/>
      <c r="I13" s="22"/>
      <c r="J13" s="66" t="str">
        <f>IF(ISNA(VLOOKUP($N$2,'DB Patients'!$A$2:$BJ$200,10,FALSE))=TRUE,"Introuvable",VLOOKUP($N$2,'DB Patients'!$A$2:$BJ$200,10,FALSE))</f>
        <v>123456 123 85</v>
      </c>
      <c r="K13" s="66"/>
      <c r="L13" s="66"/>
      <c r="M13" s="23"/>
      <c r="N13" s="24"/>
    </row>
    <row r="14" spans="2:16" x14ac:dyDescent="0.3">
      <c r="B14" s="22"/>
      <c r="C14" s="23"/>
      <c r="D14" s="23"/>
      <c r="E14" s="22"/>
      <c r="F14" s="61" t="str">
        <f>IF(ISNA(VLOOKUP($N$2,'DB Patients'!$A$2:$BJ$200,6,FALSE))=TRUE,"Introuvable",VLOOKUP($N$2,'DB Patients'!$A$2:$BJ$200,6,FALSE))</f>
        <v>110/110</v>
      </c>
      <c r="G14" s="61"/>
      <c r="H14" s="62"/>
      <c r="I14" s="22"/>
      <c r="J14" s="63" t="str">
        <f>IF(ISNA(VLOOKUP($N$2,'DB Patients'!$A$2:$BJ$200,11,FALSE))=TRUE,"Introuvable",VLOOKUP($N$2,'DB Patients'!$A$2:$BJ$200,11,FALSE))</f>
        <v>110/110</v>
      </c>
      <c r="K14" s="63"/>
      <c r="L14" s="58" t="s">
        <v>94</v>
      </c>
      <c r="M14" s="25">
        <f>IF(ISNA(VLOOKUP($N$2,'DB Patients'!$A$2:$BJ$200,15,FALSE))=TRUE,"Introuvable",IF(VLOOKUP($N$2,'DB Patients'!$A$2:$BJ$200,15,FALSE)="","",VLOOKUP($N$2,'DB Patients'!$A$2:$BJ$200,15,FALSE)))</f>
        <v>43739</v>
      </c>
      <c r="N14" s="24"/>
    </row>
    <row r="15" spans="2:16" ht="15" thickBot="1" x14ac:dyDescent="0.35">
      <c r="B15" s="26"/>
      <c r="C15" s="27"/>
      <c r="D15" s="27"/>
      <c r="E15" s="26"/>
      <c r="F15" s="27"/>
      <c r="G15" s="27"/>
      <c r="H15" s="29"/>
      <c r="I15" s="26"/>
      <c r="J15" s="27"/>
      <c r="K15" s="27"/>
      <c r="L15" s="57" t="s">
        <v>93</v>
      </c>
      <c r="M15" s="28">
        <f>IF(ISNA(VLOOKUP($N$2,'DB Patients'!$A$2:$BJ$200,16,FALSE))=TRUE,"Introuvable",IF(VLOOKUP($N$2,'DB Patients'!$A$2:$BJ$200,16,FALSE)="","",VLOOKUP($N$2,'DB Patients'!$A$2:$BJ$200,16,FALSE)))</f>
        <v>44104</v>
      </c>
      <c r="N15" s="29"/>
    </row>
    <row r="16" spans="2:16" ht="6" customHeight="1" x14ac:dyDescent="0.3">
      <c r="E16" s="19"/>
      <c r="F16" s="20"/>
      <c r="G16" s="20"/>
      <c r="H16" s="21"/>
      <c r="I16" s="19"/>
      <c r="J16" s="20"/>
      <c r="K16" s="20"/>
      <c r="L16" s="20"/>
      <c r="M16" s="20"/>
      <c r="N16" s="21"/>
    </row>
    <row r="17" spans="2:14" x14ac:dyDescent="0.3">
      <c r="E17" s="22"/>
      <c r="F17" s="63" t="s">
        <v>111</v>
      </c>
      <c r="G17" s="63"/>
      <c r="H17" s="51">
        <f>IF(ISNA(VLOOKUP($N$2,'DB Patients'!$A$2:$BJ$200,20,FALSE))=TRUE,"Introuvable",VLOOKUP($N$2,'DB Patients'!$A$2:$BJ$200,20,FALSE))</f>
        <v>43862</v>
      </c>
      <c r="I17" s="64" t="s">
        <v>112</v>
      </c>
      <c r="J17" s="65"/>
      <c r="K17" s="65"/>
      <c r="L17" s="65"/>
      <c r="M17" s="25">
        <f>IF(ISNA(VLOOKUP($N$2,'DB Patients'!$A$2:$BJ$200,17,FALSE))=TRUE,"Introuvable",IF(VLOOKUP($N$2,'DB Patients'!$A$2:$BJ$200,17,FALSE)="","",VLOOKUP($N$2,'DB Patients'!$A$2:$BJ$200,17,FALSE)))</f>
        <v>43851</v>
      </c>
      <c r="N17" s="24"/>
    </row>
    <row r="18" spans="2:14" ht="6" customHeight="1" thickBot="1" x14ac:dyDescent="0.35">
      <c r="E18" s="26"/>
      <c r="F18" s="27"/>
      <c r="G18" s="27"/>
      <c r="H18" s="29"/>
      <c r="I18" s="26"/>
      <c r="J18" s="27"/>
      <c r="K18" s="27"/>
      <c r="L18" s="27"/>
      <c r="M18" s="27"/>
      <c r="N18" s="29"/>
    </row>
    <row r="19" spans="2:14" ht="6" customHeight="1" x14ac:dyDescent="0.3">
      <c r="E19" s="19"/>
      <c r="F19" s="20"/>
      <c r="G19" s="20"/>
      <c r="H19" s="20"/>
      <c r="I19" s="20"/>
      <c r="J19" s="20"/>
      <c r="K19" s="20"/>
      <c r="L19" s="20"/>
      <c r="M19" s="20"/>
      <c r="N19" s="21"/>
    </row>
    <row r="20" spans="2:14" x14ac:dyDescent="0.3">
      <c r="E20" s="22"/>
      <c r="F20" s="23"/>
      <c r="G20" s="23"/>
      <c r="H20" s="23" t="s">
        <v>92</v>
      </c>
      <c r="I20" s="23"/>
      <c r="J20" s="23"/>
      <c r="K20" s="23"/>
      <c r="L20" s="23"/>
      <c r="M20" s="23"/>
      <c r="N20" s="24"/>
    </row>
    <row r="21" spans="2:14" ht="5.4" customHeight="1" thickBot="1" x14ac:dyDescent="0.35">
      <c r="E21" s="26"/>
      <c r="F21" s="27"/>
      <c r="G21" s="27"/>
      <c r="H21" s="27"/>
      <c r="I21" s="27"/>
      <c r="J21" s="27"/>
      <c r="K21" s="27"/>
      <c r="L21" s="27"/>
      <c r="M21" s="27"/>
      <c r="N21" s="29"/>
    </row>
    <row r="22" spans="2:14" ht="5.4" customHeight="1" x14ac:dyDescent="0.3">
      <c r="E22" s="22"/>
      <c r="F22" s="23"/>
      <c r="G22" s="23"/>
      <c r="H22" s="24"/>
      <c r="I22" s="23"/>
      <c r="J22" s="23"/>
      <c r="K22" s="23"/>
      <c r="L22" s="23"/>
      <c r="M22" s="23"/>
      <c r="N22" s="24"/>
    </row>
    <row r="23" spans="2:14" x14ac:dyDescent="0.3">
      <c r="E23" s="22"/>
      <c r="F23" s="23" t="str">
        <f>IF(ISNA(VLOOKUP($N$2,'DB Patients'!$A$2:$BJ$200,24,FALSE))=TRUE,"Introuvable",IF(VLOOKUP($N$2,'DB Patients'!$A$2:$BJ$200,24,FALSE)="","",VLOOKUP($N$2,'DB Patients'!$A$2:$BJ$200,24,FALSE)))</f>
        <v/>
      </c>
      <c r="G23" s="23" t="s">
        <v>91</v>
      </c>
      <c r="H23" s="24"/>
      <c r="I23" s="23"/>
      <c r="J23" s="23" t="str">
        <f>IF(ISNA(VLOOKUP($N$2,'DB Patients'!$A$2:$BJ$200,25,FALSE))=TRUE,"Introuvable",IF(VLOOKUP($N$2,'DB Patients'!$A$2:$BJ$200,25,FALSE)="","",VLOOKUP($N$2,'DB Patients'!$A$2:$BJ$200,25,FALSE)))</f>
        <v/>
      </c>
      <c r="K23" s="23" t="s">
        <v>90</v>
      </c>
      <c r="L23" s="23"/>
      <c r="M23" s="23"/>
      <c r="N23" s="24"/>
    </row>
    <row r="24" spans="2:14" ht="6" customHeight="1" thickBot="1" x14ac:dyDescent="0.35">
      <c r="E24" s="26"/>
      <c r="F24" s="27"/>
      <c r="G24" s="27"/>
      <c r="H24" s="29"/>
      <c r="I24" s="27"/>
      <c r="J24" s="27"/>
      <c r="K24" s="27"/>
      <c r="L24" s="27"/>
      <c r="M24" s="27"/>
      <c r="N24" s="29"/>
    </row>
    <row r="25" spans="2:14" ht="6" customHeight="1" x14ac:dyDescent="0.3">
      <c r="F25" s="23"/>
      <c r="G25" s="23"/>
      <c r="H25" s="23"/>
      <c r="I25" s="23"/>
      <c r="J25" s="23"/>
      <c r="K25" s="23"/>
      <c r="L25" s="23"/>
      <c r="M25" s="23"/>
      <c r="N25" s="23"/>
    </row>
    <row r="26" spans="2:14" x14ac:dyDescent="0.3">
      <c r="B26" t="s">
        <v>89</v>
      </c>
    </row>
    <row r="27" spans="2:14" ht="6" customHeight="1" thickBot="1" x14ac:dyDescent="0.35"/>
    <row r="28" spans="2:14" ht="6" customHeight="1" x14ac:dyDescent="0.3">
      <c r="B28" s="34"/>
      <c r="C28" s="34"/>
      <c r="D28" s="34"/>
      <c r="E28" s="20"/>
      <c r="F28" s="20"/>
      <c r="G28" s="21"/>
      <c r="H28" s="19"/>
      <c r="I28" s="20"/>
      <c r="J28" s="20"/>
      <c r="K28" s="20"/>
      <c r="L28" s="20"/>
      <c r="M28" s="21"/>
      <c r="N28" s="34"/>
    </row>
    <row r="29" spans="2:14" x14ac:dyDescent="0.3">
      <c r="B29" s="32" t="s">
        <v>88</v>
      </c>
      <c r="C29" s="32" t="s">
        <v>87</v>
      </c>
      <c r="D29" s="35"/>
      <c r="E29" s="23"/>
      <c r="F29" s="23"/>
      <c r="G29" s="24"/>
      <c r="H29" s="22"/>
      <c r="I29" s="23" t="s">
        <v>74</v>
      </c>
      <c r="J29" s="23"/>
      <c r="K29" s="23"/>
      <c r="L29" s="23"/>
      <c r="M29" s="24"/>
      <c r="N29" s="32" t="s">
        <v>86</v>
      </c>
    </row>
    <row r="30" spans="2:14" ht="15" thickBot="1" x14ac:dyDescent="0.35">
      <c r="B30" s="32" t="s">
        <v>85</v>
      </c>
      <c r="C30" s="32" t="s">
        <v>84</v>
      </c>
      <c r="D30" s="32" t="s">
        <v>83</v>
      </c>
      <c r="E30" s="46"/>
      <c r="F30" s="49" t="s">
        <v>82</v>
      </c>
      <c r="G30" s="50"/>
      <c r="H30" s="26"/>
      <c r="I30" s="27"/>
      <c r="J30" s="27"/>
      <c r="K30" s="27"/>
      <c r="L30" s="27"/>
      <c r="M30" s="29"/>
      <c r="N30" s="32" t="s">
        <v>81</v>
      </c>
    </row>
    <row r="31" spans="2:14" ht="15" thickBot="1" x14ac:dyDescent="0.35">
      <c r="B31" s="33"/>
      <c r="C31" s="33"/>
      <c r="D31" s="33"/>
      <c r="E31" s="27"/>
      <c r="F31" s="27"/>
      <c r="G31" s="29"/>
      <c r="H31" s="72" t="s">
        <v>80</v>
      </c>
      <c r="I31" s="74"/>
      <c r="J31" s="73"/>
      <c r="K31" s="72" t="s">
        <v>79</v>
      </c>
      <c r="L31" s="73"/>
      <c r="M31" s="36" t="s">
        <v>75</v>
      </c>
      <c r="N31" s="33"/>
    </row>
    <row r="32" spans="2:14" x14ac:dyDescent="0.3">
      <c r="B32" s="32"/>
      <c r="C32" s="32"/>
      <c r="D32" s="35"/>
      <c r="E32" s="88"/>
      <c r="F32" s="89"/>
      <c r="G32" s="21"/>
      <c r="H32" s="42"/>
      <c r="I32" s="75"/>
      <c r="J32" s="76"/>
      <c r="K32" s="42"/>
      <c r="L32" s="21"/>
      <c r="M32" s="34"/>
      <c r="N32" s="34"/>
    </row>
    <row r="33" spans="1:14" x14ac:dyDescent="0.3">
      <c r="B33" s="32" t="s">
        <v>78</v>
      </c>
      <c r="C33" s="32">
        <v>81001</v>
      </c>
      <c r="D33" s="35" t="str">
        <f>IF(ISNA(VLOOKUP($N$2,'DB Patients'!$A$2:$BJ$200,26,FALSE))=TRUE,"Introuvable",IF(VLOOKUP($N$2,'DB Patients'!$A$2:$BJ$200,26,FALSE)="","",VLOOKUP($N$2,'DB Patients'!$A$2:$BJ$200,26,FALSE)))</f>
        <v/>
      </c>
      <c r="E33" s="77"/>
      <c r="F33" s="78"/>
      <c r="G33" s="39">
        <f>IF(ISNA(VLOOKUP($N$2,'DB Patients'!$A$2:$BJ$200,21,FALSE))=TRUE,"Introuvable",VLOOKUP($N$2,'DB Patients'!$A$2:$BJ$200,21,FALSE))</f>
        <v>151.62</v>
      </c>
      <c r="H33" s="43"/>
      <c r="I33" s="67" t="str">
        <f>IF(ISNA(VLOOKUP($N$2,'DB Patients'!$A$2:$BJ$200,40,FALSE))=TRUE,"Introuvable",IF(VLOOKUP($N$2,'DB Patients'!$A$2:$BJ$200,40,FALSE)="","",VLOOKUP($N$2,'DB Patients'!$A$2:$BJ$200,40,FALSE)))</f>
        <v/>
      </c>
      <c r="J33" s="68"/>
      <c r="K33" s="43"/>
      <c r="L33" s="24"/>
      <c r="M33" s="35"/>
      <c r="N33" s="35"/>
    </row>
    <row r="34" spans="1:14" x14ac:dyDescent="0.3">
      <c r="B34" s="32">
        <f>IF(ISNA(VLOOKUP($N$2,'DB Patients'!$A$2:$BJ$200,19,FALSE))=TRUE,"Introuvable",VLOOKUP($N$2,'DB Patients'!$A$2:$BJ$200,19,FALSE))</f>
        <v>796471</v>
      </c>
      <c r="C34" s="32">
        <v>81255</v>
      </c>
      <c r="D34" s="35" t="str">
        <f>IF(ISNA(VLOOKUP($N$2,'DB Patients'!$A$2:$BJ$200,27,FALSE))=TRUE,"Introuvable",IF(VLOOKUP($N$2,'DB Patients'!$A$2:$BJ$200,27,FALSE)="","",VLOOKUP($N$2,'DB Patients'!$A$2:$BJ$200,27,FALSE)))</f>
        <v/>
      </c>
      <c r="E34" s="77"/>
      <c r="F34" s="78"/>
      <c r="G34" s="39">
        <f>IF(ISNA(VLOOKUP($N$2,'DB Patients'!$A$2:$BJ$200,21,FALSE))*1.25=TRUE,"Introuvable",VLOOKUP($N$2,'DB Patients'!$A$2:$BJ$200,21,FALSE))*1.25</f>
        <v>189.52500000000001</v>
      </c>
      <c r="H34" s="43"/>
      <c r="I34" s="67" t="str">
        <f>IF(ISNA(VLOOKUP($N$2,'DB Patients'!$A$2:$BJ$200,41,FALSE))=TRUE,"Introuvable",IF(VLOOKUP($N$2,'DB Patients'!$A$2:$BJ$200,41,FALSE)="","",VLOOKUP($N$2,'DB Patients'!$A$2:$BJ$200,41,FALSE)))</f>
        <v/>
      </c>
      <c r="J34" s="68"/>
      <c r="K34" s="43"/>
      <c r="L34" s="24"/>
      <c r="M34" s="35"/>
      <c r="N34" s="35"/>
    </row>
    <row r="35" spans="1:14" x14ac:dyDescent="0.3">
      <c r="B35" s="32"/>
      <c r="C35" s="32">
        <v>81336</v>
      </c>
      <c r="D35" s="35" t="str">
        <f>IF(ISNA(VLOOKUP($N$2,'DB Patients'!$A$2:$BJ$200,28,FALSE))=TRUE,"Introuvable",IF(VLOOKUP($N$2,'DB Patients'!$A$2:$BJ$200,28,FALSE)="","",VLOOKUP($N$2,'DB Patients'!$A$2:$BJ$200,28,FALSE)))</f>
        <v/>
      </c>
      <c r="E35" s="77"/>
      <c r="F35" s="78"/>
      <c r="G35" s="39">
        <f>IF(ISNA(VLOOKUP($N$2,'DB Patients'!$A$2:$BJ$200,21,FALSE))*1.33=TRUE,"Introuvable",VLOOKUP($N$2,'DB Patients'!$A$2:$BJ$200,21,FALSE))*1.33</f>
        <v>201.65460000000002</v>
      </c>
      <c r="H35" s="43"/>
      <c r="I35" s="67" t="str">
        <f>IF(ISNA(VLOOKUP($N$2,'DB Patients'!$A$2:$BJ$200,42,FALSE))=TRUE,"Introuvable",IF(VLOOKUP($N$2,'DB Patients'!$A$2:$BJ$200,42,FALSE)="","",VLOOKUP($N$2,'DB Patients'!$A$2:$BJ$200,42,FALSE)))</f>
        <v/>
      </c>
      <c r="J35" s="68"/>
      <c r="K35" s="43"/>
      <c r="L35" s="24"/>
      <c r="M35" s="35"/>
      <c r="N35" s="35"/>
    </row>
    <row r="36" spans="1:14" x14ac:dyDescent="0.3">
      <c r="B36" s="32"/>
      <c r="C36" s="32">
        <v>81502</v>
      </c>
      <c r="D36" s="35" t="str">
        <f>IF(ISNA(VLOOKUP($N$2,'DB Patients'!$A$2:$BJ$200,29,FALSE))=TRUE,"Introuvable",IF(VLOOKUP($N$2,'DB Patients'!$A$2:$BJ$200,29,FALSE)="","",VLOOKUP($N$2,'DB Patients'!$A$2:$BJ$200,29,FALSE)))</f>
        <v/>
      </c>
      <c r="E36" s="77"/>
      <c r="F36" s="78"/>
      <c r="G36" s="39">
        <f>IF(ISNA(VLOOKUP($N$2,'DB Patients'!$A$2:$BJ$200,21,FALSE))*1.5=TRUE,"Introuvable",VLOOKUP($N$2,'DB Patients'!$A$2:$BJ$200,21,FALSE))*1.5</f>
        <v>227.43</v>
      </c>
      <c r="H36" s="43"/>
      <c r="I36" s="67" t="str">
        <f>IF(ISNA(VLOOKUP($N$2,'DB Patients'!$A$2:$BJ$200,43,FALSE))=TRUE,"Introuvable",IF(VLOOKUP($N$2,'DB Patients'!$A$2:$BJ$200,43,FALSE)="","",VLOOKUP($N$2,'DB Patients'!$A$2:$BJ$200,43,FALSE)))</f>
        <v/>
      </c>
      <c r="J36" s="68"/>
      <c r="K36" s="43"/>
      <c r="L36" s="24"/>
      <c r="M36" s="35"/>
      <c r="N36" s="35"/>
    </row>
    <row r="37" spans="1:14" x14ac:dyDescent="0.3">
      <c r="B37" s="32"/>
      <c r="C37" s="32">
        <v>81664</v>
      </c>
      <c r="D37" s="35" t="str">
        <f>IF(ISNA(VLOOKUP($N$2,'DB Patients'!$A$2:$BJ$200,30,FALSE))=TRUE,"Introuvable",IF(VLOOKUP($N$2,'DB Patients'!$A$2:$BJ$200,30,FALSE)="","",VLOOKUP($N$2,'DB Patients'!$A$2:$BJ$200,30,FALSE)))</f>
        <v/>
      </c>
      <c r="E37" s="77"/>
      <c r="F37" s="78"/>
      <c r="G37" s="39">
        <f>IF(ISNA(VLOOKUP($N$2,'DB Patients'!$A$2:$BJ$200,21,FALSE))*1.66=TRUE,"Introuvable",VLOOKUP($N$2,'DB Patients'!$A$2:$BJ$200,21,FALSE))*1.66</f>
        <v>251.6892</v>
      </c>
      <c r="H37" s="43"/>
      <c r="I37" s="67" t="str">
        <f>IF(ISNA(VLOOKUP($N$2,'DB Patients'!$A$2:$BJ$200,44,FALSE))=TRUE,"Introuvable",IF(VLOOKUP($N$2,'DB Patients'!$A$2:$BJ$200,44,FALSE)="","",VLOOKUP($N$2,'DB Patients'!$A$2:$BJ$200,44,FALSE)))</f>
        <v/>
      </c>
      <c r="J37" s="68"/>
      <c r="K37" s="43"/>
      <c r="L37" s="24"/>
      <c r="M37" s="35"/>
      <c r="N37" s="35"/>
    </row>
    <row r="38" spans="1:14" x14ac:dyDescent="0.3">
      <c r="B38" s="32"/>
      <c r="C38" s="32">
        <v>82003</v>
      </c>
      <c r="D38" s="35" t="str">
        <f>IF(ISNA(VLOOKUP($N$2,'DB Patients'!$A$2:$BJ$200,31,FALSE))=TRUE,"Introuvable",IF(VLOOKUP($N$2,'DB Patients'!$A$2:$BJ$200,31,FALSE)="","",VLOOKUP($N$2,'DB Patients'!$A$2:$BJ$200,31,FALSE)))</f>
        <v/>
      </c>
      <c r="E38" s="77"/>
      <c r="F38" s="78"/>
      <c r="G38" s="39">
        <f>IF(ISNA(VLOOKUP($N$2,'DB Patients'!$A$2:$BJ$200,21,FALSE))*2=TRUE,"Introuvable",VLOOKUP($N$2,'DB Patients'!$A$2:$BJ$200,21,FALSE))*2</f>
        <v>303.24</v>
      </c>
      <c r="H38" s="43"/>
      <c r="I38" s="67" t="str">
        <f>IF(ISNA(VLOOKUP($N$2,'DB Patients'!$A$2:$BJ$200,45,FALSE))=TRUE,"Introuvable",IF(VLOOKUP($N$2,'DB Patients'!$A$2:$BJ$200,45,FALSE)="","",VLOOKUP($N$2,'DB Patients'!$A$2:$BJ$200,45,FALSE)))</f>
        <v/>
      </c>
      <c r="J38" s="68"/>
      <c r="K38" s="43"/>
      <c r="L38" s="24"/>
      <c r="M38" s="35"/>
      <c r="N38" s="35"/>
    </row>
    <row r="39" spans="1:14" x14ac:dyDescent="0.3">
      <c r="B39" s="32"/>
      <c r="C39" s="32">
        <v>80253</v>
      </c>
      <c r="D39" s="35" t="str">
        <f>IF(ISNA(VLOOKUP($N$2,'DB Patients'!$A$2:$BJ$200,32,FALSE))=TRUE,"Introuvable",IF(VLOOKUP($N$2,'DB Patients'!$A$2:$BJ$200,32,FALSE)="","",VLOOKUP($N$2,'DB Patients'!$A$2:$BJ$200,32,FALSE)))</f>
        <v/>
      </c>
      <c r="E39" s="77"/>
      <c r="F39" s="78"/>
      <c r="G39" s="39">
        <f>IF(ISNA(VLOOKUP($N$2,'DB Patients'!$A$2:$BJ$200,21,FALSE))*0.25=TRUE,"Introuvable",VLOOKUP($N$2,'DB Patients'!$A$2:$BJ$200,21,FALSE))*0.25</f>
        <v>37.905000000000001</v>
      </c>
      <c r="H39" s="43"/>
      <c r="I39" s="67" t="str">
        <f>IF(ISNA(VLOOKUP($N$2,'DB Patients'!$A$2:$BJ$200,46,FALSE))=TRUE,"Introuvable",IF(VLOOKUP($N$2,'DB Patients'!$A$2:$BJ$200,46,FALSE)="","",VLOOKUP($N$2,'DB Patients'!$A$2:$BJ$200,46,FALSE)))</f>
        <v/>
      </c>
      <c r="J39" s="68"/>
      <c r="K39" s="43"/>
      <c r="L39" s="24"/>
      <c r="M39" s="35"/>
      <c r="N39" s="35"/>
    </row>
    <row r="40" spans="1:14" x14ac:dyDescent="0.3">
      <c r="B40" s="32"/>
      <c r="C40" s="32">
        <v>80334</v>
      </c>
      <c r="D40" s="35" t="str">
        <f>IF(ISNA(VLOOKUP($N$2,'DB Patients'!$A$2:$BJ$200,33,FALSE))=TRUE,"Introuvable",IF(VLOOKUP($N$2,'DB Patients'!$A$2:$BJ$200,33,FALSE)="","",VLOOKUP($N$2,'DB Patients'!$A$2:$BJ$200,33,FALSE)))</f>
        <v/>
      </c>
      <c r="E40" s="77"/>
      <c r="F40" s="78"/>
      <c r="G40" s="39">
        <f>IF(ISNA(VLOOKUP($N$2,'DB Patients'!$A$2:$BJ$200,21,FALSE))*0.33=TRUE,"Introuvable",VLOOKUP($N$2,'DB Patients'!$A$2:$BJ$200,21,FALSE))*0.33</f>
        <v>50.034600000000005</v>
      </c>
      <c r="H40" s="43"/>
      <c r="I40" s="67" t="str">
        <f>IF(ISNA(VLOOKUP($N$2,'DB Patients'!$A$2:$BJ$200,47,FALSE))=TRUE,"Introuvable",IF(VLOOKUP($N$2,'DB Patients'!$A$2:$BJ$200,47,FALSE)="","",VLOOKUP($N$2,'DB Patients'!$A$2:$BJ$200,47,FALSE)))</f>
        <v/>
      </c>
      <c r="J40" s="68"/>
      <c r="K40" s="43"/>
      <c r="L40" s="24"/>
      <c r="M40" s="35"/>
      <c r="N40" s="35"/>
    </row>
    <row r="41" spans="1:14" x14ac:dyDescent="0.3">
      <c r="B41" s="32"/>
      <c r="C41" s="32">
        <v>80500</v>
      </c>
      <c r="D41" s="35" t="str">
        <f>IF(ISNA(VLOOKUP($N$2,'DB Patients'!$A$2:$BJ$200,34,FALSE))=TRUE,"Introuvable",IF(VLOOKUP($N$2,'DB Patients'!$A$2:$BJ$200,34,FALSE)="","",VLOOKUP($N$2,'DB Patients'!$A$2:$BJ$200,34,FALSE)))</f>
        <v/>
      </c>
      <c r="E41" s="77"/>
      <c r="F41" s="78"/>
      <c r="G41" s="39">
        <f>IF(ISNA(VLOOKUP($N$2,'DB Patients'!$A$2:$BJ$200,21,FALSE))*0.5=TRUE,"Introuvable",VLOOKUP($N$2,'DB Patients'!$A$2:$BJ$200,21,FALSE))*0.5</f>
        <v>75.81</v>
      </c>
      <c r="H41" s="43"/>
      <c r="I41" s="67" t="str">
        <f>IF(ISNA(VLOOKUP($N$2,'DB Patients'!$A$2:$BJ$200,48,FALSE))=TRUE,"Introuvable",IF(VLOOKUP($N$2,'DB Patients'!$A$2:$BJ$200,48,FALSE)="","",VLOOKUP($N$2,'DB Patients'!$A$2:$BJ$200,48,FALSE)))</f>
        <v/>
      </c>
      <c r="J41" s="68"/>
      <c r="K41" s="43"/>
      <c r="L41" s="24"/>
      <c r="M41" s="35"/>
      <c r="N41" s="35"/>
    </row>
    <row r="42" spans="1:14" x14ac:dyDescent="0.3">
      <c r="B42" s="32"/>
      <c r="C42" s="32">
        <v>80662</v>
      </c>
      <c r="D42" s="35" t="str">
        <f>IF(ISNA(VLOOKUP($N$2,'DB Patients'!$A$2:$BJ$200,35,FALSE))=TRUE,"Introuvable",IF(VLOOKUP($N$2,'DB Patients'!$A$2:$BJ$200,35,FALSE)="","",VLOOKUP($N$2,'DB Patients'!$A$2:$BJ$200,35,FALSE)))</f>
        <v/>
      </c>
      <c r="E42" s="77"/>
      <c r="F42" s="78"/>
      <c r="G42" s="39">
        <f>IF(ISNA(VLOOKUP($N$2,'DB Patients'!$A$2:$BJ$200,21,FALSE))*0.66=TRUE,"Introuvable",VLOOKUP($N$2,'DB Patients'!$A$2:$BJ$200,21,FALSE))*0.66</f>
        <v>100.06920000000001</v>
      </c>
      <c r="H42" s="43"/>
      <c r="I42" s="67" t="str">
        <f>IF(ISNA(VLOOKUP($N$2,'DB Patients'!$A$2:$BJ$200,49,FALSE))=TRUE,"Introuvable",IF(VLOOKUP($N$2,'DB Patients'!$A$2:$BJ$200,49,FALSE)="","",VLOOKUP($N$2,'DB Patients'!$A$2:$BJ$200,49,FALSE)))</f>
        <v/>
      </c>
      <c r="J42" s="68"/>
      <c r="K42" s="43"/>
      <c r="L42" s="24"/>
      <c r="M42" s="35"/>
      <c r="N42" s="35"/>
    </row>
    <row r="43" spans="1:14" x14ac:dyDescent="0.3">
      <c r="B43" s="32"/>
      <c r="C43" s="32"/>
      <c r="D43" s="35"/>
      <c r="E43" s="77"/>
      <c r="F43" s="78"/>
      <c r="G43" s="24"/>
      <c r="H43" s="43"/>
      <c r="I43" s="81"/>
      <c r="J43" s="82"/>
      <c r="K43" s="43"/>
      <c r="L43" s="24"/>
      <c r="M43" s="35"/>
      <c r="N43" s="35"/>
    </row>
    <row r="44" spans="1:14" x14ac:dyDescent="0.3">
      <c r="B44" s="32" t="s">
        <v>77</v>
      </c>
      <c r="C44" s="32">
        <v>765973</v>
      </c>
      <c r="D44" s="35" t="str">
        <f>IF(ISNA(VLOOKUP($N$2,'DB Patients'!$A$2:$BJ$200,38,FALSE))=TRUE,"Introuvable",IF(VLOOKUP($N$2,'DB Patients'!$A$2:$BJ$200,38,FALSE)="","",VLOOKUP($N$2,'DB Patients'!$A$2:$BJ$200,38,FALSE)))</f>
        <v/>
      </c>
      <c r="E44" s="77"/>
      <c r="F44" s="78"/>
      <c r="G44" s="39">
        <f>IF(ISNA(VLOOKUP($N$2,'DB Patients'!$A$2:$BJ$200,39,FALSE))=TRUE,"Introuvable",IF(VLOOKUP($N$2,'DB Patients'!$A$2:$BJ$200,39,FALSE)="","",VLOOKUP($N$2,'DB Patients'!$A$2:$BJ$200,39,FALSE)))</f>
        <v>1.84</v>
      </c>
      <c r="H44" s="43"/>
      <c r="I44" s="67">
        <f>IF(ISNA(VLOOKUP($N$2,'DB Patients'!$A$2:$BJ$200,50,FALSE))=TRUE,"Introuvable",IF(VLOOKUP($N$2,'DB Patients'!$A$2:$BJ$200,50,FALSE)="","",VLOOKUP($N$2,'DB Patients'!$A$2:$BJ$200,50,FALSE)-VLOOKUP($N$2,'DB Patients'!$A$2:$BJ$200,50,FALSE)*2))</f>
        <v>0</v>
      </c>
      <c r="J44" s="68"/>
      <c r="K44" s="43"/>
      <c r="L44" s="39">
        <f>IF(ISNA(VLOOKUP($N$2,'DB Patients'!$A$2:$BJ$200,50,FALSE))=TRUE,"Introuvable",VLOOKUP($N$2,'DB Patients'!$A$2:$BJ$200,50,FALSE))</f>
        <v>0</v>
      </c>
      <c r="M44" s="35"/>
      <c r="N44" s="35"/>
    </row>
    <row r="45" spans="1:14" x14ac:dyDescent="0.3">
      <c r="B45" s="35"/>
      <c r="C45" s="35"/>
      <c r="D45" s="35"/>
      <c r="E45" s="77"/>
      <c r="F45" s="78"/>
      <c r="G45" s="24"/>
      <c r="H45" s="43"/>
      <c r="I45" s="81"/>
      <c r="J45" s="82"/>
      <c r="K45" s="43"/>
      <c r="L45" s="24"/>
      <c r="M45" s="35"/>
      <c r="N45" s="35"/>
    </row>
    <row r="46" spans="1:14" ht="6" customHeight="1" x14ac:dyDescent="0.3">
      <c r="A46" s="37"/>
      <c r="B46" s="38"/>
      <c r="C46" s="38"/>
      <c r="D46" s="38"/>
      <c r="E46" s="47"/>
      <c r="F46" s="48"/>
      <c r="G46" s="40"/>
      <c r="H46" s="44"/>
      <c r="I46" s="83"/>
      <c r="J46" s="84"/>
      <c r="K46" s="44"/>
      <c r="L46" s="40"/>
      <c r="M46" s="38"/>
      <c r="N46" s="38"/>
    </row>
    <row r="47" spans="1:14" ht="14.4" customHeight="1" x14ac:dyDescent="0.3">
      <c r="B47" s="35"/>
      <c r="C47" s="35"/>
      <c r="D47" s="35"/>
      <c r="E47" s="77"/>
      <c r="F47" s="78"/>
      <c r="G47" s="24"/>
      <c r="H47" s="43"/>
      <c r="I47" s="81"/>
      <c r="J47" s="82"/>
      <c r="K47" s="43"/>
      <c r="L47" s="24"/>
      <c r="M47" s="35"/>
      <c r="N47" s="35"/>
    </row>
    <row r="48" spans="1:14" x14ac:dyDescent="0.3">
      <c r="B48" s="35" t="s">
        <v>76</v>
      </c>
      <c r="C48" s="35"/>
      <c r="D48" s="35"/>
      <c r="E48" s="77"/>
      <c r="F48" s="78"/>
      <c r="G48" s="24"/>
      <c r="H48" s="43"/>
      <c r="I48" s="67" t="str">
        <f>IF(ISNA(VLOOKUP($N$2,'DB Patients'!$A$2:$BJ$200,52,FALSE))=TRUE,"Introuvable",IF(VLOOKUP($N$2,'DB Patients'!$A$2:$BJ$200,52,FALSE)="","",VLOOKUP($N$2,'DB Patients'!$A$2:$BJ$200,52,FALSE)))</f>
        <v/>
      </c>
      <c r="J48" s="68"/>
      <c r="K48" s="43"/>
      <c r="L48" s="39">
        <f>L44</f>
        <v>0</v>
      </c>
      <c r="M48" s="35"/>
      <c r="N48" s="35"/>
    </row>
    <row r="49" spans="2:14" ht="6" customHeight="1" thickBot="1" x14ac:dyDescent="0.35">
      <c r="B49" s="33"/>
      <c r="C49" s="33"/>
      <c r="D49" s="33"/>
      <c r="E49" s="86"/>
      <c r="F49" s="87"/>
      <c r="G49" s="29"/>
      <c r="H49" s="45"/>
      <c r="I49" s="79"/>
      <c r="J49" s="80"/>
      <c r="K49" s="45"/>
      <c r="L49" s="41"/>
      <c r="M49" s="33"/>
      <c r="N49" s="33"/>
    </row>
    <row r="50" spans="2:14" x14ac:dyDescent="0.3">
      <c r="E50" s="90"/>
      <c r="F50" s="90"/>
      <c r="G50" s="90"/>
      <c r="H50" s="90"/>
      <c r="I50" s="90"/>
      <c r="J50" s="90"/>
      <c r="K50" s="90"/>
      <c r="L50" s="90"/>
      <c r="M50" s="90"/>
      <c r="N50" s="90"/>
    </row>
    <row r="51" spans="2:14" x14ac:dyDescent="0.3">
      <c r="B51" s="53" t="s">
        <v>108</v>
      </c>
      <c r="C51" s="85" t="str">
        <f>IF(ISNA(VLOOKUP($N$2,'DB Patients'!$A$2:$BJ$200,53,FALSE))=TRUE,"Introuvable",IF(VLOOKUP($N$2,'DB Patients'!$A$2:$BJ$200,53,FALSE)="","",VLOOKUP($N$2,'DB Patients'!$A$2:$BJ$200,53,FALSE)))</f>
        <v/>
      </c>
      <c r="D51" s="85"/>
      <c r="E51" s="91" t="s">
        <v>107</v>
      </c>
      <c r="F51" s="91"/>
      <c r="G51" s="91"/>
      <c r="H51" s="85" t="str">
        <f>IF(ISNA(VLOOKUP($N$2,'DB Patients'!$A$2:$BJ$200,56,FALSE))=TRUE,"Introuvable",IF(VLOOKUP($N$2,'DB Patients'!$A$2:$BJ$200,56,FALSE)="","",VLOOKUP($N$2,'DB Patients'!$A$2:$BJ$200,56,FALSE)))</f>
        <v/>
      </c>
      <c r="I51" s="85"/>
      <c r="J51" s="85"/>
      <c r="K51" s="91" t="s">
        <v>101</v>
      </c>
      <c r="L51" s="91"/>
      <c r="M51" s="85" t="str">
        <f>IF(ISNA(VLOOKUP($N$2,'DB Patients'!$A$2:$BJ$200,59,FALSE))=TRUE,"Introuvable",IF(VLOOKUP($N$2,'DB Patients'!$A$2:$BJ$200,59,FALSE)="","",VLOOKUP($N$2,'DB Patients'!$A$2:$BJ$200,59,FALSE)))</f>
        <v/>
      </c>
      <c r="N51" s="85"/>
    </row>
    <row r="52" spans="2:14" x14ac:dyDescent="0.3">
      <c r="C52" s="85"/>
      <c r="D52" s="85"/>
      <c r="E52" s="92"/>
      <c r="F52" s="92"/>
      <c r="G52" s="92"/>
      <c r="H52" s="92"/>
      <c r="I52" s="92"/>
      <c r="J52" s="92"/>
      <c r="K52" s="92"/>
      <c r="L52" s="92"/>
      <c r="M52" s="92"/>
      <c r="N52" s="92"/>
    </row>
    <row r="53" spans="2:14" x14ac:dyDescent="0.3">
      <c r="B53" s="53" t="s">
        <v>109</v>
      </c>
      <c r="C53" s="85" t="str">
        <f>IF(ISNA(VLOOKUP($N$2,'DB Patients'!$A$2:$BJ$200,54,FALSE))=TRUE,"Introuvable",IF(VLOOKUP($N$2,'DB Patients'!$A$2:$BJ$200,54,FALSE)="","",VLOOKUP($N$2,'DB Patients'!$A$2:$BJ$200,54,FALSE)))</f>
        <v/>
      </c>
      <c r="D53" s="85"/>
      <c r="E53" s="91" t="s">
        <v>106</v>
      </c>
      <c r="F53" s="91"/>
      <c r="G53" s="91"/>
      <c r="H53" s="85" t="str">
        <f>IF(ISNA(VLOOKUP($N$2,'DB Patients'!$A$2:$BJ$200,57,FALSE))=TRUE,"Introuvable",IF(VLOOKUP($N$2,'DB Patients'!$A$2:$BJ$200,57,FALSE)="","",VLOOKUP($N$2,'DB Patients'!$A$2:$BJ$200,57,FALSE)))</f>
        <v/>
      </c>
      <c r="I53" s="85"/>
      <c r="J53" s="85"/>
      <c r="K53" s="91" t="s">
        <v>102</v>
      </c>
      <c r="L53" s="91"/>
      <c r="M53" s="85" t="str">
        <f>IF(ISNA(VLOOKUP($N$2,'DB Patients'!$A$2:$BJ$200,60,FALSE))=TRUE,"Introuvable",IF(VLOOKUP($N$2,'DB Patients'!$A$2:$BJ$200,60,FALSE)="","",VLOOKUP($N$2,'DB Patients'!$A$2:$BJ$200,60,FALSE)))</f>
        <v/>
      </c>
      <c r="N53" s="85"/>
    </row>
    <row r="54" spans="2:14" x14ac:dyDescent="0.3">
      <c r="C54" s="85"/>
      <c r="D54" s="85"/>
      <c r="E54" s="92"/>
      <c r="F54" s="92"/>
      <c r="G54" s="92"/>
      <c r="H54" s="92"/>
      <c r="I54" s="92"/>
      <c r="J54" s="92"/>
      <c r="K54" s="92"/>
      <c r="L54" s="92"/>
      <c r="M54" s="92"/>
      <c r="N54" s="92"/>
    </row>
    <row r="55" spans="2:14" x14ac:dyDescent="0.3">
      <c r="B55" s="53" t="s">
        <v>110</v>
      </c>
      <c r="C55" s="85" t="str">
        <f>IF(ISNA(VLOOKUP($N$2,'DB Patients'!$A$2:$BJ$200,55,FALSE))=TRUE,"Introuvable",IF(VLOOKUP($N$2,'DB Patients'!$A$2:$BJ$200,55,FALSE)="","",VLOOKUP($N$2,'DB Patients'!$A$2:$BJ$200,55,FALSE)))</f>
        <v/>
      </c>
      <c r="D55" s="85"/>
      <c r="E55" s="91" t="s">
        <v>105</v>
      </c>
      <c r="F55" s="91"/>
      <c r="G55" s="91"/>
      <c r="H55" s="85" t="str">
        <f>IF(ISNA(VLOOKUP($N$2,'DB Patients'!$A$2:$BJ$200,58,FALSE))=TRUE,"Introuvable",IF(VLOOKUP($N$2,'DB Patients'!$A$2:$BJ$200,58,FALSE)="","",VLOOKUP($N$2,'DB Patients'!$A$2:$BJ$200,58,FALSE)))</f>
        <v/>
      </c>
      <c r="I55" s="85"/>
      <c r="J55" s="85"/>
      <c r="K55" s="91" t="s">
        <v>103</v>
      </c>
      <c r="L55" s="91"/>
      <c r="M55" s="85" t="str">
        <f>IF(ISNA(VLOOKUP($N$2,'DB Patients'!$A$2:$BJ$200,61,FALSE))=TRUE,"Introuvable",IF(VLOOKUP($N$2,'DB Patients'!$A$2:$BJ$200,61,FALSE)="","",VLOOKUP($N$2,'DB Patients'!$A$2:$BJ$200,61,FALSE)))</f>
        <v/>
      </c>
      <c r="N55" s="85"/>
    </row>
    <row r="56" spans="2:14" x14ac:dyDescent="0.3">
      <c r="C56" s="92"/>
      <c r="D56" s="92"/>
      <c r="E56" s="92"/>
      <c r="F56" s="92"/>
      <c r="G56" s="92"/>
      <c r="H56" s="92"/>
      <c r="I56" s="92"/>
      <c r="J56" s="92"/>
      <c r="K56" s="92"/>
      <c r="L56" s="92"/>
      <c r="M56" s="92"/>
      <c r="N56" s="92"/>
    </row>
    <row r="57" spans="2:14" x14ac:dyDescent="0.3">
      <c r="C57" s="92"/>
      <c r="D57" s="92"/>
      <c r="E57" s="92"/>
      <c r="F57" s="92"/>
      <c r="G57" s="92"/>
      <c r="H57" s="92"/>
      <c r="I57" s="92"/>
      <c r="J57" s="92"/>
      <c r="K57" s="91" t="s">
        <v>104</v>
      </c>
      <c r="L57" s="91"/>
      <c r="M57" s="85" t="str">
        <f>IF(ISNA(VLOOKUP($N$2,'DB Patients'!$A$2:$BJ$200,62,FALSE))=TRUE,"Introuvable",IF(VLOOKUP($N$2,'DB Patients'!$A$2:$BJ$200,62,FALSE)="","",VLOOKUP($N$2,'DB Patients'!$A$2:$BJ$200,62,FALSE)))</f>
        <v/>
      </c>
      <c r="N57" s="85"/>
    </row>
  </sheetData>
  <mergeCells count="93">
    <mergeCell ref="E56:G56"/>
    <mergeCell ref="E57:G57"/>
    <mergeCell ref="C57:D57"/>
    <mergeCell ref="C56:D56"/>
    <mergeCell ref="H50:J50"/>
    <mergeCell ref="H54:J54"/>
    <mergeCell ref="H52:J52"/>
    <mergeCell ref="H56:J56"/>
    <mergeCell ref="H57:J57"/>
    <mergeCell ref="C51:D51"/>
    <mergeCell ref="C53:D53"/>
    <mergeCell ref="C55:D55"/>
    <mergeCell ref="E51:G51"/>
    <mergeCell ref="E53:G53"/>
    <mergeCell ref="E55:G55"/>
    <mergeCell ref="C52:D52"/>
    <mergeCell ref="K50:L50"/>
    <mergeCell ref="M56:N56"/>
    <mergeCell ref="M54:N54"/>
    <mergeCell ref="M52:N52"/>
    <mergeCell ref="M50:N50"/>
    <mergeCell ref="M55:N55"/>
    <mergeCell ref="C54:D54"/>
    <mergeCell ref="E54:G54"/>
    <mergeCell ref="E52:G52"/>
    <mergeCell ref="M51:N51"/>
    <mergeCell ref="M53:N53"/>
    <mergeCell ref="H53:J53"/>
    <mergeCell ref="K52:L52"/>
    <mergeCell ref="K54:L54"/>
    <mergeCell ref="M57:N57"/>
    <mergeCell ref="K51:L51"/>
    <mergeCell ref="K53:L53"/>
    <mergeCell ref="K55:L55"/>
    <mergeCell ref="K57:L57"/>
    <mergeCell ref="K56:L56"/>
    <mergeCell ref="H55:J55"/>
    <mergeCell ref="H51:J51"/>
    <mergeCell ref="E49:F49"/>
    <mergeCell ref="E32:F32"/>
    <mergeCell ref="E50:G50"/>
    <mergeCell ref="E43:F43"/>
    <mergeCell ref="E44:F44"/>
    <mergeCell ref="E45:F45"/>
    <mergeCell ref="E47:F47"/>
    <mergeCell ref="E48:F48"/>
    <mergeCell ref="E38:F38"/>
    <mergeCell ref="E39:F39"/>
    <mergeCell ref="E40:F40"/>
    <mergeCell ref="E41:F41"/>
    <mergeCell ref="E42:F42"/>
    <mergeCell ref="E33:F33"/>
    <mergeCell ref="E34:F34"/>
    <mergeCell ref="E35:F35"/>
    <mergeCell ref="E36:F36"/>
    <mergeCell ref="E37:F37"/>
    <mergeCell ref="I49:J49"/>
    <mergeCell ref="I43:J43"/>
    <mergeCell ref="I44:J44"/>
    <mergeCell ref="I45:J45"/>
    <mergeCell ref="I46:J46"/>
    <mergeCell ref="I47:J47"/>
    <mergeCell ref="I48:J48"/>
    <mergeCell ref="I42:J42"/>
    <mergeCell ref="I36:J36"/>
    <mergeCell ref="I37:J37"/>
    <mergeCell ref="I38:J38"/>
    <mergeCell ref="I39:J39"/>
    <mergeCell ref="I40:J40"/>
    <mergeCell ref="I41:J41"/>
    <mergeCell ref="I6:N6"/>
    <mergeCell ref="J12:L12"/>
    <mergeCell ref="J11:L11"/>
    <mergeCell ref="J10:L10"/>
    <mergeCell ref="J9:L9"/>
    <mergeCell ref="J8:L8"/>
    <mergeCell ref="K31:L31"/>
    <mergeCell ref="H31:J31"/>
    <mergeCell ref="I32:J32"/>
    <mergeCell ref="I33:J33"/>
    <mergeCell ref="I34:J34"/>
    <mergeCell ref="I35:J35"/>
    <mergeCell ref="F8:H8"/>
    <mergeCell ref="F9:H9"/>
    <mergeCell ref="F10:H10"/>
    <mergeCell ref="F11:H11"/>
    <mergeCell ref="F12:H12"/>
    <mergeCell ref="F13:H13"/>
    <mergeCell ref="F14:H14"/>
    <mergeCell ref="F17:G17"/>
    <mergeCell ref="I17:L17"/>
    <mergeCell ref="J13:L13"/>
    <mergeCell ref="J14:K14"/>
  </mergeCells>
  <pageMargins left="0.23622047244094488" right="0.23622047244094488" top="0.23622047244094488" bottom="0.23622047244094488" header="0.31496062992125984" footer="0.31496062992125984"/>
  <pageSetup paperSize="9" scale="78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DB Patients</vt:lpstr>
      <vt:lpstr>FactInd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PEAQ-Laptop</dc:creator>
  <cp:lastModifiedBy>PEAQ-Laptop</cp:lastModifiedBy>
  <dcterms:created xsi:type="dcterms:W3CDTF">2006-09-12T15:06:44Z</dcterms:created>
  <dcterms:modified xsi:type="dcterms:W3CDTF">2020-03-22T19:40:51Z</dcterms:modified>
</cp:coreProperties>
</file>