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showInkAnnotation="0"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casto\"/>
    </mc:Choice>
  </mc:AlternateContent>
  <xr:revisionPtr revIDLastSave="0" documentId="8_{B280A2CA-8342-45EA-B1D4-49B7DF27B3CE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Feuil2" sheetId="2" r:id="rId2"/>
    <sheet name="referentiel" sheetId="3" r:id="rId3"/>
  </sheets>
  <definedNames>
    <definedName name="_xlnm._FilterDatabase" localSheetId="1" hidden="1">Feuil2!$A$8:$D$12</definedName>
    <definedName name="agregat">Feuil2!$A$20:$A$28</definedName>
    <definedName name="agregat_beton">Feuil2!$A$20:$A$23</definedName>
    <definedName name="agregat_mortier">Feuil2!$A$25:$A$28</definedName>
    <definedName name="béton">referentiel!$A$7:$E$8</definedName>
    <definedName name="big_bag_1500kg_graves">Feuil2!$B$21:$D$21</definedName>
    <definedName name="big_bag_1500kg_sables">Feuil2!$B$26:$D$26</definedName>
    <definedName name="chainage_10x10">Feuil2!$A$43:$E$45</definedName>
    <definedName name="chainage_plat">Feuil2!$A$48:$E$50</definedName>
    <definedName name="ciment">Feuil2!$C$19:$D$19</definedName>
    <definedName name="ciment_25_kg">Feuil2!$D$20:$D$28</definedName>
    <definedName name="ciment_35_kg">Feuil2!$C$20:$C$28</definedName>
    <definedName name="ciments">referentiel!$A$2:$A$4</definedName>
    <definedName name="dilatation">Feuil2!$B$44:$B$45</definedName>
    <definedName name="graves_en_vrac">Feuil2!$B$20:$D$20</definedName>
    <definedName name="les_codes_barre">INDIRECT(VLOOKUP(Feuil1!$C$26,referentiel!$A$2:$E$28,3,0))</definedName>
    <definedName name="longueur">Feuil2!$A$49:$A$50</definedName>
    <definedName name="mortier">referentiel!$A$5:$E$6</definedName>
    <definedName name="photo">INDIRECT(VLOOKUP(Feuil1!$C$26,referentiel!$A$2:$E$28,3,0))</definedName>
    <definedName name="quantité">Feuil2!$D$44:$D$45</definedName>
    <definedName name="renfort">Feuil2!$C$44:$C$45</definedName>
    <definedName name="renfort_d_angle">Feuil2!$A$53:$C$55</definedName>
    <definedName name="sable_en_vrac">Feuil2!$B$25:$D$25</definedName>
    <definedName name="sac_de_béton_de_30kg">Feuil2!$B$23:$D$23</definedName>
    <definedName name="sac_de_beton_de_35kg">Feuil2!$B$22:$D$22</definedName>
    <definedName name="sac_de_béton_de_35kg">Feuil2!$B$22:$D$22</definedName>
    <definedName name="sac_de_mortier_de_30kg">Feuil2!$B$28:$D$28</definedName>
    <definedName name="sac_de_mortier_de_35kg">Feuil2!$B$27:$D$27</definedName>
    <definedName name="semelle_fondation">Feuil2!$A$36:$A$39</definedName>
    <definedName name="type">Feuil2!$E$44:$E$45</definedName>
    <definedName name="TYPE1">Feuil2!$E$49:$E$50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3" l="1" a="1"/>
  <c r="C3" i="3" s="1"/>
  <c r="C4" i="3" a="1"/>
  <c r="C4" i="3" s="1"/>
  <c r="C5" i="3" a="1"/>
  <c r="C5" i="3" s="1"/>
  <c r="C6" i="3" a="1"/>
  <c r="C6" i="3" s="1"/>
  <c r="C7" i="3" a="1"/>
  <c r="C7" i="3" s="1"/>
  <c r="C8" i="3" a="1"/>
  <c r="C8" i="3" s="1"/>
  <c r="C9" i="3" a="1"/>
  <c r="C9" i="3" s="1"/>
  <c r="C10" i="3" a="1"/>
  <c r="C10" i="3" s="1"/>
  <c r="C11" i="3" a="1"/>
  <c r="C11" i="3" s="1"/>
  <c r="C12" i="3" a="1"/>
  <c r="C12" i="3" s="1"/>
  <c r="C13" i="3" a="1"/>
  <c r="C13" i="3" s="1"/>
  <c r="C14" i="3" a="1"/>
  <c r="C14" i="3" s="1"/>
  <c r="C15" i="3" a="1"/>
  <c r="C15" i="3" s="1"/>
  <c r="C16" i="3" a="1"/>
  <c r="C16" i="3" s="1"/>
  <c r="C17" i="3" a="1"/>
  <c r="C17" i="3" s="1"/>
  <c r="C18" i="3" a="1"/>
  <c r="C18" i="3" s="1"/>
  <c r="C19" i="3" a="1"/>
  <c r="C19" i="3" s="1"/>
  <c r="C20" i="3" a="1"/>
  <c r="C20" i="3" s="1"/>
  <c r="C21" i="3" a="1"/>
  <c r="C21" i="3" s="1"/>
  <c r="C22" i="3" a="1"/>
  <c r="C22" i="3" s="1"/>
  <c r="C23" i="3" a="1"/>
  <c r="C23" i="3" s="1"/>
  <c r="C24" i="3" a="1"/>
  <c r="C24" i="3" s="1"/>
  <c r="C25" i="3" a="1"/>
  <c r="C25" i="3" s="1"/>
  <c r="C26" i="3" a="1"/>
  <c r="C26" i="3" s="1"/>
  <c r="C27" i="3" a="1"/>
  <c r="C27" i="3" s="1"/>
  <c r="C28" i="3" a="1"/>
  <c r="C28" i="3" s="1"/>
  <c r="C2" i="3" a="1"/>
  <c r="C2" i="3" s="1"/>
  <c r="E26" i="1"/>
  <c r="D19" i="1"/>
  <c r="B39" i="2"/>
  <c r="B38" i="2"/>
  <c r="B37" i="2"/>
  <c r="B36" i="2"/>
  <c r="E17" i="1" l="1"/>
  <c r="C2" i="2"/>
  <c r="C4" i="2"/>
  <c r="D10" i="2"/>
  <c r="B17" i="2"/>
  <c r="D16" i="1"/>
  <c r="E16" i="1"/>
  <c r="D23" i="1" l="1"/>
  <c r="J9" i="2"/>
  <c r="E16" i="2" s="1"/>
  <c r="J8" i="2"/>
  <c r="D15" i="2"/>
  <c r="C14" i="2"/>
  <c r="D14" i="2"/>
  <c r="C15" i="2"/>
  <c r="H12" i="2"/>
  <c r="H9" i="2"/>
  <c r="H8" i="2"/>
  <c r="B16" i="2"/>
  <c r="B15" i="2"/>
  <c r="B14" i="2"/>
  <c r="C1" i="2"/>
  <c r="C3" i="2" s="1"/>
  <c r="K23" i="2"/>
  <c r="C55" i="2" l="1"/>
  <c r="D49" i="2"/>
  <c r="D50" i="2"/>
  <c r="D44" i="2"/>
  <c r="D45" i="2"/>
  <c r="C54" i="2"/>
  <c r="C18" i="1" s="1"/>
  <c r="D22" i="1"/>
  <c r="D7" i="1"/>
  <c r="C17" i="1"/>
  <c r="D21" i="1" l="1"/>
  <c r="B22" i="2"/>
  <c r="B23" i="2"/>
  <c r="B20" i="2"/>
  <c r="D12" i="1" l="1"/>
  <c r="B25" i="2"/>
  <c r="B26" i="2" s="1"/>
  <c r="B27" i="2"/>
  <c r="B28" i="2" s="1"/>
  <c r="C20" i="2"/>
  <c r="B21" i="2"/>
  <c r="D13" i="1" l="1"/>
  <c r="D25" i="2"/>
  <c r="C31" i="2" s="1"/>
  <c r="C21" i="2"/>
  <c r="B30" i="2" s="1"/>
  <c r="D20" i="2"/>
  <c r="D26" i="2" l="1"/>
  <c r="D21" i="2"/>
  <c r="C30" i="2"/>
  <c r="C32" i="2" s="1"/>
  <c r="C25" i="2"/>
  <c r="C26" i="2" l="1"/>
  <c r="B31" i="2"/>
  <c r="B32" i="2" s="1"/>
  <c r="D14" i="1" s="1"/>
  <c r="B2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<sst xmlns="http://schemas.openxmlformats.org/spreadsheetml/2006/main" count="169" uniqueCount="126">
  <si>
    <t xml:space="preserve">hauteur </t>
  </si>
  <si>
    <t>parpaing</t>
  </si>
  <si>
    <t>15 cm</t>
  </si>
  <si>
    <t>longueur</t>
  </si>
  <si>
    <t>renfort</t>
  </si>
  <si>
    <t>surface</t>
  </si>
  <si>
    <t>en m2</t>
  </si>
  <si>
    <t>en nombres</t>
  </si>
  <si>
    <t>profondeur</t>
  </si>
  <si>
    <t>en cm</t>
  </si>
  <si>
    <t>largeur</t>
  </si>
  <si>
    <t>sac de béton de 35kg</t>
  </si>
  <si>
    <t>chainage triangulaire</t>
  </si>
  <si>
    <t>parpaing creux</t>
  </si>
  <si>
    <t>parpaing angle</t>
  </si>
  <si>
    <t>parpaing linteau</t>
  </si>
  <si>
    <t>sac de mortier de 35kg</t>
  </si>
  <si>
    <t>sac de mortier de 30kg</t>
  </si>
  <si>
    <t>arrondi au multiple parpaing</t>
  </si>
  <si>
    <t>nombre de joint de dilatation</t>
  </si>
  <si>
    <t xml:space="preserve">hauteur de joint </t>
  </si>
  <si>
    <t>superficie angle</t>
  </si>
  <si>
    <t>superfivcie linteau</t>
  </si>
  <si>
    <t>sac pour angle</t>
  </si>
  <si>
    <t>sac pour linteau</t>
  </si>
  <si>
    <t>sac mortier</t>
  </si>
  <si>
    <t>valeur angle /linteau</t>
  </si>
  <si>
    <t>volume angle</t>
  </si>
  <si>
    <t>volume joint</t>
  </si>
  <si>
    <t>volume linteau</t>
  </si>
  <si>
    <t>20 cm</t>
  </si>
  <si>
    <t>0.075</t>
  </si>
  <si>
    <t>10 cm</t>
  </si>
  <si>
    <t>5 cm</t>
  </si>
  <si>
    <t>a bancher</t>
  </si>
  <si>
    <t>en volume</t>
  </si>
  <si>
    <t>en superficie</t>
  </si>
  <si>
    <t>en sac de beton</t>
  </si>
  <si>
    <t>en sac mortier</t>
  </si>
  <si>
    <t>fx recherche v remplissage angle</t>
  </si>
  <si>
    <t>fx recherche v remplissage linteau</t>
  </si>
  <si>
    <t>fx recherche v joint</t>
  </si>
  <si>
    <t>ciment 35 kg</t>
  </si>
  <si>
    <t>ciment 25 kg</t>
  </si>
  <si>
    <t>big bag 1500kg graves</t>
  </si>
  <si>
    <t>sac de béton de 30kg</t>
  </si>
  <si>
    <t>caracteristiques du mur</t>
  </si>
  <si>
    <t>graves en vrac</t>
  </si>
  <si>
    <t>semelle filante 6m</t>
  </si>
  <si>
    <t>semelle filante 3m</t>
  </si>
  <si>
    <t>semelle symétrique 6m</t>
  </si>
  <si>
    <t>semellle symétrique 3m</t>
  </si>
  <si>
    <t>fx recherhce valeur angle/linteau</t>
  </si>
  <si>
    <t>sable en vrac</t>
  </si>
  <si>
    <t>big bag 1500kg sables</t>
  </si>
  <si>
    <t>agregat beton</t>
  </si>
  <si>
    <t>agregat mortier</t>
  </si>
  <si>
    <t>quantité pour beton</t>
  </si>
  <si>
    <t>quantité pour mortier</t>
  </si>
  <si>
    <t>fx recherche v ciments beton</t>
  </si>
  <si>
    <t>fx recherche v ciments mortier</t>
  </si>
  <si>
    <t>sac de ciments 35 kg</t>
  </si>
  <si>
    <t>sac ciments 25kg</t>
  </si>
  <si>
    <t>somme ciments</t>
  </si>
  <si>
    <t>6 metres</t>
  </si>
  <si>
    <t>chainage_plat</t>
  </si>
  <si>
    <t>chainage_10x10</t>
  </si>
  <si>
    <t>distance</t>
  </si>
  <si>
    <t>semelle de fondation</t>
  </si>
  <si>
    <t>dilatation</t>
  </si>
  <si>
    <t>caractéristiques de la fondation</t>
  </si>
  <si>
    <t>nombre de poteaux</t>
  </si>
  <si>
    <t>besoin en agregats</t>
  </si>
  <si>
    <t>besoin en armatures</t>
  </si>
  <si>
    <t>besoin en parpaings/agglo</t>
  </si>
  <si>
    <t>les cellules en</t>
  </si>
  <si>
    <t>le dosage des fondations est de 350kg/m3</t>
  </si>
  <si>
    <t>la consommation des sac de beton et mortier est de 20kg/m2/cm d'épaisseur</t>
  </si>
  <si>
    <t>calculateur de mur</t>
  </si>
  <si>
    <t>en métres</t>
  </si>
  <si>
    <t>type</t>
  </si>
  <si>
    <t>3 métres</t>
  </si>
  <si>
    <t>6 métres</t>
  </si>
  <si>
    <t>TYPE1</t>
  </si>
  <si>
    <t>quantité</t>
  </si>
  <si>
    <t>renfort d'angle</t>
  </si>
  <si>
    <t>le dosage du mortier est de 250kg/m3 pour des joint de 1,5 cm</t>
  </si>
  <si>
    <t>pour le linteau</t>
  </si>
  <si>
    <t>pour les intermédiaires</t>
  </si>
  <si>
    <t>designation</t>
  </si>
  <si>
    <t xml:space="preserve">code barre </t>
  </si>
  <si>
    <t xml:space="preserve">visuel code barre </t>
  </si>
  <si>
    <t>code casto</t>
  </si>
  <si>
    <t>ciments 1er prix</t>
  </si>
  <si>
    <t>mortier VPI 35 kg</t>
  </si>
  <si>
    <t>ciments lafarge 35 kg</t>
  </si>
  <si>
    <t>ciments lafarge 25 kg</t>
  </si>
  <si>
    <t>mortier 1er prix 30 kg</t>
  </si>
  <si>
    <t>béton VPI 35 kg</t>
  </si>
  <si>
    <t>Béton 1er prix 30 kg</t>
  </si>
  <si>
    <t>bigbag 1500 kg graves</t>
  </si>
  <si>
    <t>bigbag 1500 kg sables</t>
  </si>
  <si>
    <t>chainage triangulaire 6 métres</t>
  </si>
  <si>
    <t>chainage plat 6 métres</t>
  </si>
  <si>
    <t>chainage 10x10 6 métres</t>
  </si>
  <si>
    <t>chainage plat 3 métres</t>
  </si>
  <si>
    <t>chaiange 10x10 3 métres</t>
  </si>
  <si>
    <t>semelle filante 3 métres</t>
  </si>
  <si>
    <t>semelle filante 6 métres</t>
  </si>
  <si>
    <t>semelle symétrique 3 métres</t>
  </si>
  <si>
    <t>semelle symétrique 6 métres</t>
  </si>
  <si>
    <t>agglo de 20</t>
  </si>
  <si>
    <t>agglo de 15</t>
  </si>
  <si>
    <t>agglo de 10</t>
  </si>
  <si>
    <t>agglo de 5</t>
  </si>
  <si>
    <t>linteau de 20</t>
  </si>
  <si>
    <t>linteau de 15</t>
  </si>
  <si>
    <t>angle de 20</t>
  </si>
  <si>
    <t>angle de 15</t>
  </si>
  <si>
    <t>agglo a bancher</t>
  </si>
  <si>
    <t>pour départ, angles, fin</t>
  </si>
  <si>
    <t>nombre de poteaux depart, angle et fin</t>
  </si>
  <si>
    <t>tous les</t>
  </si>
  <si>
    <t>sont entièrement modifiables</t>
  </si>
  <si>
    <t>code barre</t>
  </si>
  <si>
    <t>visuel code barre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</si>
</sst>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0" borderId="0" xfId="0" applyFill="1" applyAlignment="1">
      <alignment horizontal="right"/>
    </xf>
    <xf numFmtId="0" fontId="0" fillId="0" borderId="0" xfId="0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9" xfId="0" applyFill="1" applyBorder="1"/>
    <xf numFmtId="0" fontId="0" fillId="0" borderId="8" xfId="0" applyFill="1" applyBorder="1"/>
    <xf numFmtId="0" fontId="0" fillId="0" borderId="10" xfId="0" applyFill="1" applyBorder="1"/>
    <xf numFmtId="1" fontId="0" fillId="0" borderId="15" xfId="0" applyNumberFormat="1" applyBorder="1"/>
    <xf numFmtId="1" fontId="0" fillId="0" borderId="0" xfId="0" applyNumberFormat="1"/>
    <xf numFmtId="0" fontId="0" fillId="3" borderId="0" xfId="0" applyFill="1" applyAlignment="1">
      <alignment horizontal="center"/>
    </xf>
    <xf numFmtId="0" fontId="1" fillId="0" borderId="1" xfId="0" applyFont="1" applyFill="1" applyBorder="1"/>
    <xf numFmtId="0" fontId="0" fillId="0" borderId="3" xfId="0" applyBorder="1"/>
    <xf numFmtId="0" fontId="0" fillId="0" borderId="11" xfId="0" applyBorder="1"/>
    <xf numFmtId="0" fontId="0" fillId="0" borderId="0" xfId="0" applyBorder="1"/>
    <xf numFmtId="0" fontId="0" fillId="0" borderId="7" xfId="0" applyBorder="1"/>
    <xf numFmtId="0" fontId="0" fillId="0" borderId="11" xfId="0" applyFill="1" applyBorder="1"/>
    <xf numFmtId="0" fontId="0" fillId="0" borderId="0" xfId="0" applyFill="1" applyBorder="1"/>
    <xf numFmtId="0" fontId="0" fillId="0" borderId="7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4" borderId="15" xfId="0" applyFill="1" applyBorder="1"/>
    <xf numFmtId="0" fontId="0" fillId="4" borderId="15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/>
    </xf>
    <xf numFmtId="0" fontId="0" fillId="4" borderId="15" xfId="0" applyFill="1" applyBorder="1" applyAlignment="1"/>
    <xf numFmtId="0" fontId="0" fillId="4" borderId="12" xfId="0" applyFill="1" applyBorder="1" applyAlignment="1"/>
    <xf numFmtId="0" fontId="0" fillId="2" borderId="0" xfId="0" applyFill="1" applyAlignment="1"/>
    <xf numFmtId="0" fontId="1" fillId="0" borderId="2" xfId="0" applyFont="1" applyBorder="1" applyAlignment="1">
      <alignment horizontal="center"/>
    </xf>
    <xf numFmtId="0" fontId="1" fillId="4" borderId="15" xfId="0" applyFont="1" applyFill="1" applyBorder="1"/>
    <xf numFmtId="0" fontId="1" fillId="0" borderId="2" xfId="0" applyFont="1" applyFill="1" applyBorder="1"/>
    <xf numFmtId="0" fontId="1" fillId="0" borderId="7" xfId="0" applyFont="1" applyFill="1" applyBorder="1"/>
    <xf numFmtId="0" fontId="0" fillId="0" borderId="1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Border="1"/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165464</xdr:colOff>
      <xdr:row>0</xdr:row>
      <xdr:rowOff>148047</xdr:rowOff>
    </xdr:from>
    <xdr:to>
      <xdr:col>3</xdr:col>
      <xdr:colOff>494236</xdr:colOff>
      <xdr:row>2</xdr:row>
      <xdr:rowOff>136798</xdr:rowOff>
    </xdr:to>
    <xdr:pic>
      <xdr:nvPicPr>
        <xdr:cNvPr id="12" name="Image 1">
          <a:extLst>
            <a:ext uri="{FF2B5EF4-FFF2-40B4-BE49-F238E27FC236}">
              <a16:creationId xmlns:a16="http://schemas.microsoft.com/office/drawing/2014/main" id="{D9AE73AD-F011-9F4D-9E3A-B38C87A330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464" y="148047"/>
          <a:ext cx="2252822" cy="35705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109483</xdr:colOff>
          <xdr:row>25</xdr:row>
          <xdr:rowOff>82550</xdr:rowOff>
        </xdr:from>
        <xdr:to>
          <xdr:col>7</xdr:col>
          <xdr:colOff>1022350</xdr:colOff>
          <xdr:row>25</xdr:row>
          <xdr:rowOff>603250</xdr:rowOff>
        </xdr:to>
        <xdr:pic>
          <xdr:nvPicPr>
            <xdr:cNvPr id="8" name="Image 7">
              <a:extLst>
                <a:ext uri="{FF2B5EF4-FFF2-40B4-BE49-F238E27FC236}">
                  <a16:creationId xmlns:a16="http://schemas.microsoft.com/office/drawing/2014/main" id="{F9B1B214-442D-49C3-B68B-F4CF4806052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hoto" spid="_x0000_s1085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4167133" y="4686300"/>
              <a:ext cx="2328917" cy="5207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177800</xdr:colOff>
      <xdr:row>1</xdr:row>
      <xdr:rowOff>50800</xdr:rowOff>
    </xdr:from>
    <xdr:to>
      <xdr:col>3</xdr:col>
      <xdr:colOff>1212850</xdr:colOff>
      <xdr:row>1</xdr:row>
      <xdr:rowOff>508000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5409E58-E63D-485E-80C4-A9860F49AF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1750" y="234950"/>
          <a:ext cx="1035050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A5871-878E-9444-8311-CC679B87894E}">
  <sheetPr codeName="Feuil1">
    <pageSetUpPr fitToPage="1"/>
  </sheetPr>
  <dimension ref="A2:M26"/>
  <sheetViews>
    <sheetView tabSelected="1" topLeftCell="A10" zoomScaleNormal="60" zoomScaleSheetLayoutView="100" workbookViewId="0">
      <selection activeCell="B26" sqref="B26"/>
    </sheetView>
  </sheetViews>
  <sheetFormatPr baseColWidth="10" defaultColWidth="8.7265625" defaultRowHeight="14.5" x14ac:dyDescent="0.35"/>
  <cols>
    <col min="2" max="2" width="8.54296875" customWidth="1"/>
    <col min="3" max="3" width="10.26953125" customWidth="1"/>
    <col min="4" max="4" width="10.453125" customWidth="1"/>
    <col min="5" max="5" width="20.08984375" customWidth="1"/>
    <col min="6" max="6" width="8" customWidth="1"/>
    <col min="7" max="7" width="12.26953125" customWidth="1"/>
    <col min="8" max="8" width="16.36328125" customWidth="1"/>
    <col min="9" max="9" width="7.26953125" customWidth="1"/>
    <col min="10" max="10" width="10.1796875" customWidth="1"/>
    <col min="11" max="11" width="10.6328125" customWidth="1"/>
    <col min="13" max="13" width="11.6328125" customWidth="1"/>
  </cols>
  <sheetData>
    <row r="2" spans="1:13" x14ac:dyDescent="0.35">
      <c r="F2" s="39" t="s">
        <v>78</v>
      </c>
      <c r="G2" s="40"/>
      <c r="H2" s="40"/>
      <c r="I2" s="40"/>
      <c r="J2" s="40"/>
      <c r="K2" s="40"/>
    </row>
    <row r="3" spans="1:13" x14ac:dyDescent="0.35">
      <c r="F3" s="40"/>
      <c r="G3" s="40"/>
      <c r="H3" s="40"/>
      <c r="I3" s="40"/>
      <c r="J3" s="40"/>
      <c r="K3" s="40"/>
    </row>
    <row r="5" spans="1:13" x14ac:dyDescent="0.35">
      <c r="A5" s="46" t="s">
        <v>46</v>
      </c>
      <c r="B5" s="46"/>
      <c r="C5" s="3" t="s">
        <v>0</v>
      </c>
      <c r="D5" s="79">
        <v>3</v>
      </c>
      <c r="E5" s="3" t="s">
        <v>79</v>
      </c>
      <c r="F5" s="43" t="s">
        <v>1</v>
      </c>
      <c r="G5" s="43"/>
      <c r="H5" s="81" t="s">
        <v>32</v>
      </c>
      <c r="I5" s="83"/>
      <c r="J5" s="3"/>
      <c r="K5" s="3"/>
    </row>
    <row r="6" spans="1:13" x14ac:dyDescent="0.35">
      <c r="A6" s="46"/>
      <c r="B6" s="46"/>
      <c r="C6" s="3" t="s">
        <v>3</v>
      </c>
      <c r="D6" s="79">
        <v>8</v>
      </c>
      <c r="E6" s="3" t="s">
        <v>79</v>
      </c>
      <c r="F6" s="3" t="s">
        <v>67</v>
      </c>
      <c r="G6" s="82" t="s">
        <v>69</v>
      </c>
      <c r="H6" s="81" t="s">
        <v>66</v>
      </c>
      <c r="I6" s="83" t="s">
        <v>122</v>
      </c>
      <c r="J6" s="80">
        <v>4</v>
      </c>
      <c r="K6" s="3" t="s">
        <v>79</v>
      </c>
    </row>
    <row r="7" spans="1:13" x14ac:dyDescent="0.35">
      <c r="A7" s="46"/>
      <c r="B7" s="46"/>
      <c r="C7" s="3" t="s">
        <v>5</v>
      </c>
      <c r="D7" s="4">
        <f>Feuil2!C1*D6</f>
        <v>24</v>
      </c>
      <c r="E7" s="3" t="s">
        <v>6</v>
      </c>
      <c r="F7" s="43" t="s">
        <v>68</v>
      </c>
      <c r="G7" s="43"/>
      <c r="H7" s="81" t="s">
        <v>50</v>
      </c>
      <c r="I7" s="81"/>
      <c r="J7" s="4"/>
      <c r="K7" s="3"/>
    </row>
    <row r="9" spans="1:13" x14ac:dyDescent="0.35">
      <c r="A9" s="44" t="s">
        <v>70</v>
      </c>
      <c r="B9" s="44"/>
      <c r="C9" s="5" t="s">
        <v>8</v>
      </c>
      <c r="D9" s="10">
        <v>30</v>
      </c>
      <c r="E9" s="5" t="s">
        <v>9</v>
      </c>
      <c r="F9" s="66" t="s">
        <v>121</v>
      </c>
      <c r="G9" s="66"/>
      <c r="H9" s="66"/>
      <c r="I9" s="9">
        <v>2</v>
      </c>
      <c r="J9" s="6" t="s">
        <v>7</v>
      </c>
      <c r="K9" s="5"/>
    </row>
    <row r="10" spans="1:13" x14ac:dyDescent="0.35">
      <c r="A10" s="44"/>
      <c r="B10" s="44"/>
      <c r="C10" s="5" t="s">
        <v>10</v>
      </c>
      <c r="D10" s="10">
        <v>40</v>
      </c>
      <c r="E10" s="5" t="s">
        <v>9</v>
      </c>
      <c r="F10" s="5"/>
      <c r="G10" s="5"/>
      <c r="H10" s="5"/>
      <c r="I10" s="5"/>
      <c r="J10" s="5"/>
      <c r="K10" s="5"/>
    </row>
    <row r="11" spans="1:13" s="7" customFormat="1" x14ac:dyDescent="0.35">
      <c r="D11" s="8"/>
    </row>
    <row r="12" spans="1:13" x14ac:dyDescent="0.35">
      <c r="A12" s="45" t="s">
        <v>72</v>
      </c>
      <c r="B12" s="45"/>
      <c r="C12" s="35"/>
      <c r="D12" s="36">
        <f>VLOOKUP(E12,Feuil2!A20:D23,2,0)</f>
        <v>0.96</v>
      </c>
      <c r="E12" s="78" t="s">
        <v>47</v>
      </c>
      <c r="G12" s="87"/>
      <c r="H12" s="67" t="s">
        <v>75</v>
      </c>
      <c r="I12" s="85"/>
      <c r="J12" s="86"/>
      <c r="K12" s="84" t="s">
        <v>123</v>
      </c>
      <c r="L12" s="84"/>
      <c r="M12" s="68"/>
    </row>
    <row r="13" spans="1:13" x14ac:dyDescent="0.35">
      <c r="A13" s="45"/>
      <c r="B13" s="45"/>
      <c r="C13" s="35"/>
      <c r="D13" s="36">
        <f>VLOOKUP(E13,Feuil2!A25:D28,2,0)</f>
        <v>0.18</v>
      </c>
      <c r="E13" s="78" t="s">
        <v>53</v>
      </c>
      <c r="G13" s="71"/>
      <c r="H13" s="69"/>
      <c r="I13" s="70"/>
      <c r="J13" s="70"/>
      <c r="K13" s="70"/>
      <c r="L13" s="70"/>
      <c r="M13" s="71"/>
    </row>
    <row r="14" spans="1:13" s="7" customFormat="1" x14ac:dyDescent="0.35">
      <c r="A14" s="45"/>
      <c r="B14" s="45"/>
      <c r="C14" s="37"/>
      <c r="D14" s="38">
        <f>HLOOKUP(E14,Feuil2!B29:C32,4,0)</f>
        <v>12</v>
      </c>
      <c r="E14" s="78" t="s">
        <v>61</v>
      </c>
      <c r="G14" s="74"/>
      <c r="H14" s="72" t="s">
        <v>76</v>
      </c>
      <c r="I14" s="73"/>
      <c r="J14" s="73"/>
      <c r="K14" s="73"/>
      <c r="L14" s="73"/>
      <c r="M14" s="74"/>
    </row>
    <row r="15" spans="1:13" s="7" customFormat="1" x14ac:dyDescent="0.35">
      <c r="A15" s="33"/>
      <c r="B15" s="33"/>
      <c r="C15" s="37"/>
      <c r="D15" s="38"/>
      <c r="G15" s="74"/>
      <c r="H15" s="72" t="s">
        <v>86</v>
      </c>
      <c r="I15" s="73"/>
      <c r="J15" s="73"/>
      <c r="K15" s="73"/>
      <c r="L15" s="73"/>
      <c r="M15" s="74"/>
    </row>
    <row r="16" spans="1:13" x14ac:dyDescent="0.35">
      <c r="A16" s="41" t="s">
        <v>73</v>
      </c>
      <c r="B16" s="41"/>
      <c r="C16" s="35"/>
      <c r="D16" s="36">
        <f>VLOOKUP(H7,Feuil2!A36:B39,2,0)</f>
        <v>2</v>
      </c>
      <c r="E16" t="str">
        <f>H7</f>
        <v>semelle symétrique 6m</v>
      </c>
      <c r="G16" s="71"/>
      <c r="H16" s="75" t="s">
        <v>77</v>
      </c>
      <c r="I16" s="76"/>
      <c r="J16" s="76"/>
      <c r="K16" s="76"/>
      <c r="L16" s="76"/>
      <c r="M16" s="77"/>
    </row>
    <row r="17" spans="1:8" x14ac:dyDescent="0.35">
      <c r="A17" s="41"/>
      <c r="B17" s="41"/>
      <c r="C17" s="90" t="str">
        <f ca="1">IF(ISERROR(VLOOKUP(F17,INDIRECT(H6),4,0))=TRUE,"sélectionner 6 métres",(VLOOKUP(F17,INDIRECT(H6),4,0)))</f>
        <v>sélectionner 6 métres</v>
      </c>
      <c r="D17" s="90"/>
      <c r="E17" s="7" t="str">
        <f>H6</f>
        <v>chainage_10x10</v>
      </c>
      <c r="F17" s="78" t="s">
        <v>81</v>
      </c>
      <c r="G17" s="88" t="s">
        <v>88</v>
      </c>
      <c r="H17" s="89"/>
    </row>
    <row r="18" spans="1:8" x14ac:dyDescent="0.35">
      <c r="A18" s="41"/>
      <c r="B18" s="41"/>
      <c r="C18" s="90" t="str">
        <f>IF(ISERROR(VLOOKUP(F18,Feuil2!A54:C55,3,0))=TRUE,"sélectionner 6 métres",VLOOKUP(F18,Feuil2!A54:C55,3,0))</f>
        <v>sélectionner 6 métres</v>
      </c>
      <c r="D18" s="90"/>
      <c r="E18" s="78" t="s">
        <v>65</v>
      </c>
      <c r="F18" s="78" t="s">
        <v>81</v>
      </c>
      <c r="G18" s="88" t="s">
        <v>120</v>
      </c>
      <c r="H18" s="89"/>
    </row>
    <row r="19" spans="1:8" x14ac:dyDescent="0.35">
      <c r="A19" s="41"/>
      <c r="B19" s="41"/>
      <c r="C19" s="35"/>
      <c r="D19" s="36">
        <f>ROUNDUP((D6/5.6),0)</f>
        <v>2</v>
      </c>
      <c r="E19" t="s">
        <v>12</v>
      </c>
      <c r="F19" t="s">
        <v>64</v>
      </c>
      <c r="G19" t="s">
        <v>87</v>
      </c>
    </row>
    <row r="20" spans="1:8" x14ac:dyDescent="0.35">
      <c r="C20" s="35"/>
      <c r="D20" s="36"/>
    </row>
    <row r="21" spans="1:8" x14ac:dyDescent="0.35">
      <c r="A21" s="42" t="s">
        <v>74</v>
      </c>
      <c r="B21" s="42"/>
      <c r="C21" s="35"/>
      <c r="D21" s="36">
        <f>(D7/0.1)-(D22+D23)</f>
        <v>240</v>
      </c>
      <c r="E21" t="s">
        <v>13</v>
      </c>
    </row>
    <row r="22" spans="1:8" x14ac:dyDescent="0.35">
      <c r="A22" s="42"/>
      <c r="B22" s="42"/>
      <c r="C22" s="35"/>
      <c r="D22" s="36">
        <f>(Feuil2!C2)*((Feuil2!C1)/0.2)*Feuil2!B17</f>
        <v>0</v>
      </c>
      <c r="E22" t="s">
        <v>14</v>
      </c>
    </row>
    <row r="23" spans="1:8" x14ac:dyDescent="0.35">
      <c r="A23" s="42"/>
      <c r="B23" s="42"/>
      <c r="C23" s="35"/>
      <c r="D23" s="36">
        <f>(D6/0.2)*Feuil2!B17</f>
        <v>0</v>
      </c>
      <c r="E23" t="s">
        <v>15</v>
      </c>
    </row>
    <row r="24" spans="1:8" x14ac:dyDescent="0.35">
      <c r="D24" s="1"/>
      <c r="E24" s="7"/>
    </row>
    <row r="25" spans="1:8" x14ac:dyDescent="0.35">
      <c r="B25" s="1" t="s">
        <v>84</v>
      </c>
      <c r="C25" s="90" t="s">
        <v>89</v>
      </c>
      <c r="D25" s="90"/>
      <c r="E25" s="34" t="s">
        <v>124</v>
      </c>
      <c r="F25" s="54" t="s">
        <v>125</v>
      </c>
      <c r="G25" s="54"/>
      <c r="H25" s="54"/>
    </row>
    <row r="26" spans="1:8" ht="52.5" customHeight="1" x14ac:dyDescent="0.35">
      <c r="B26" s="1">
        <f>D14</f>
        <v>12</v>
      </c>
      <c r="C26" s="90" t="s">
        <v>93</v>
      </c>
      <c r="D26" s="90"/>
      <c r="E26" s="91">
        <f>VLOOKUP(C26,referentiel!A2:E4,2,0)</f>
        <v>8437011948014</v>
      </c>
      <c r="F26" s="54"/>
      <c r="G26" s="54"/>
      <c r="H26" s="54"/>
    </row>
  </sheetData>
  <mergeCells count="17">
    <mergeCell ref="C25:D25"/>
    <mergeCell ref="C26:D26"/>
    <mergeCell ref="F25:H25"/>
    <mergeCell ref="F26:H26"/>
    <mergeCell ref="A21:B23"/>
    <mergeCell ref="F5:G5"/>
    <mergeCell ref="F7:G7"/>
    <mergeCell ref="A9:B10"/>
    <mergeCell ref="A12:B14"/>
    <mergeCell ref="A5:B7"/>
    <mergeCell ref="F9:H9"/>
    <mergeCell ref="G18:H18"/>
    <mergeCell ref="G17:H17"/>
    <mergeCell ref="F2:K3"/>
    <mergeCell ref="C17:D17"/>
    <mergeCell ref="C18:D18"/>
    <mergeCell ref="A16:B19"/>
  </mergeCells>
  <conditionalFormatting sqref="C17:D18">
    <cfRule type="containsText" dxfId="0" priority="1" operator="containsText" text="sélectionner">
      <formula>NOT(ISERROR(SEARCH("sélectionner",C17)))</formula>
    </cfRule>
  </conditionalFormatting>
  <dataValidations count="9">
    <dataValidation type="list" allowBlank="1" showInputMessage="1" showErrorMessage="1" sqref="H6" xr:uid="{1507C71E-3F03-41C3-9E8C-A8F2C0BB2905}">
      <formula1>INDIRECT($G$6)</formula1>
    </dataValidation>
    <dataValidation type="list" allowBlank="1" showInputMessage="1" showErrorMessage="1" sqref="H7:I7" xr:uid="{F2BDD247-F134-48DB-B8AE-245A1E6E683D}">
      <formula1>semelle_fondation</formula1>
    </dataValidation>
    <dataValidation type="list" allowBlank="1" showInputMessage="1" showErrorMessage="1" sqref="E12" xr:uid="{7D168C8E-FA32-400C-848A-500B2467DE63}">
      <formula1>agregat_beton</formula1>
    </dataValidation>
    <dataValidation type="list" allowBlank="1" showInputMessage="1" showErrorMessage="1" sqref="F13" xr:uid="{F2C7E288-F9CA-41AC-94DE-385838045194}">
      <formula1>INDIRECT($E$12)</formula1>
    </dataValidation>
    <dataValidation type="list" allowBlank="1" showInputMessage="1" showErrorMessage="1" sqref="E13" xr:uid="{2868A64E-82AD-4395-8606-185858A3C80F}">
      <formula1>agregat_mortier</formula1>
    </dataValidation>
    <dataValidation type="list" allowBlank="1" showInputMessage="1" showErrorMessage="1" sqref="F17:F18" xr:uid="{C598B514-0731-417E-8C20-81F60F2D5B5B}">
      <formula1>longueur</formula1>
    </dataValidation>
    <dataValidation type="list" allowBlank="1" showInputMessage="1" showErrorMessage="1" sqref="G6" xr:uid="{8F4EEB38-7F30-4BB1-A298-A7A32FE581D0}">
      <formula1>TYPE1</formula1>
    </dataValidation>
    <dataValidation type="list" allowBlank="1" showInputMessage="1" showErrorMessage="1" sqref="E18" xr:uid="{EBE84C20-973A-4DE0-8216-DE431850E15C}">
      <formula1>renfort</formula1>
    </dataValidation>
    <dataValidation type="list" allowBlank="1" showInputMessage="1" showErrorMessage="1" sqref="C26" xr:uid="{0ABB3B4E-1CF6-4CC4-8868-EC00700F3E01}">
      <formula1>ciments</formula1>
    </dataValidation>
  </dataValidations>
  <pageMargins left="0.7" right="0.7" top="0.75" bottom="0.75" header="0.3" footer="0.3"/>
  <pageSetup paperSize="9" scale="91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462510A-6800-4DA4-B7D9-D7D7C289A55B}">
          <x14:formula1>
            <xm:f>Feuil2!$A$8:$A$12</xm:f>
          </x14:formula1>
          <xm:sqref>H5</xm:sqref>
        </x14:dataValidation>
        <x14:dataValidation type="list" allowBlank="1" showInputMessage="1" showErrorMessage="1" xr:uid="{EE29FB45-D5E2-4288-B27E-466AA5517030}">
          <x14:formula1>
            <xm:f>Feuil2!$B$29:$C$29</xm:f>
          </x14:formula1>
          <xm:sqref>E14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56348-AD38-4C81-A8CE-8EB246CFEA56}">
  <sheetPr codeName="Feuil2"/>
  <dimension ref="A1:K55"/>
  <sheetViews>
    <sheetView topLeftCell="A37" workbookViewId="0">
      <selection activeCell="B39" sqref="B39"/>
    </sheetView>
  </sheetViews>
  <sheetFormatPr baseColWidth="10" defaultColWidth="8.7265625" defaultRowHeight="14.5" x14ac:dyDescent="0.35"/>
  <cols>
    <col min="1" max="1" width="31.90625" customWidth="1"/>
    <col min="2" max="2" width="19.54296875" bestFit="1" customWidth="1"/>
    <col min="3" max="3" width="13" customWidth="1"/>
    <col min="4" max="4" width="11.26953125" customWidth="1"/>
    <col min="5" max="5" width="12.36328125" customWidth="1"/>
    <col min="6" max="6" width="14.54296875" customWidth="1"/>
    <col min="7" max="7" width="15.90625" customWidth="1"/>
  </cols>
  <sheetData>
    <row r="1" spans="1:10" x14ac:dyDescent="0.35">
      <c r="A1" t="s">
        <v>18</v>
      </c>
      <c r="C1" s="2">
        <f>MROUND(Feuil1!D5,0.2)</f>
        <v>3</v>
      </c>
      <c r="E1" s="54"/>
      <c r="F1" s="54"/>
      <c r="G1" s="2"/>
    </row>
    <row r="2" spans="1:10" x14ac:dyDescent="0.35">
      <c r="A2" t="s">
        <v>19</v>
      </c>
      <c r="C2" s="2">
        <f>((ROUNDUP((Feuil1!D6/Feuil1!J6),0)*2)-Feuil1!I9)</f>
        <v>2</v>
      </c>
      <c r="E2" s="54"/>
      <c r="F2" s="54"/>
      <c r="G2" s="2"/>
    </row>
    <row r="3" spans="1:10" x14ac:dyDescent="0.35">
      <c r="A3" t="s">
        <v>20</v>
      </c>
      <c r="C3" s="2">
        <f>SUM(C1,(Feuil1!D9/100))</f>
        <v>3.3</v>
      </c>
    </row>
    <row r="4" spans="1:10" x14ac:dyDescent="0.35">
      <c r="A4" t="s">
        <v>71</v>
      </c>
      <c r="C4" s="2">
        <f>Feuil1!I9</f>
        <v>2</v>
      </c>
    </row>
    <row r="5" spans="1:10" x14ac:dyDescent="0.35">
      <c r="C5" s="2"/>
    </row>
    <row r="6" spans="1:10" x14ac:dyDescent="0.35">
      <c r="A6" s="51"/>
      <c r="B6" s="47" t="s">
        <v>26</v>
      </c>
      <c r="C6" s="49" t="s">
        <v>27</v>
      </c>
      <c r="D6" s="49" t="s">
        <v>28</v>
      </c>
      <c r="E6" s="49" t="s">
        <v>29</v>
      </c>
      <c r="F6" s="55" t="s">
        <v>21</v>
      </c>
      <c r="G6" s="55" t="s">
        <v>22</v>
      </c>
      <c r="H6" s="55" t="s">
        <v>23</v>
      </c>
      <c r="I6" s="55" t="s">
        <v>24</v>
      </c>
      <c r="J6" s="52" t="s">
        <v>25</v>
      </c>
    </row>
    <row r="7" spans="1:10" x14ac:dyDescent="0.35">
      <c r="A7" s="51"/>
      <c r="B7" s="48"/>
      <c r="C7" s="50"/>
      <c r="D7" s="50"/>
      <c r="E7" s="50"/>
      <c r="F7" s="56"/>
      <c r="G7" s="56"/>
      <c r="H7" s="56"/>
      <c r="I7" s="56"/>
      <c r="J7" s="53"/>
    </row>
    <row r="8" spans="1:10" x14ac:dyDescent="0.35">
      <c r="A8" s="11" t="s">
        <v>30</v>
      </c>
      <c r="B8" s="14">
        <v>1</v>
      </c>
      <c r="C8" s="15">
        <v>4.4999999999999997E-3</v>
      </c>
      <c r="D8" s="15">
        <v>2.0999999999999999E-3</v>
      </c>
      <c r="E8" s="15">
        <v>1.125E-2</v>
      </c>
      <c r="F8" s="15">
        <v>2.2499999999999999E-2</v>
      </c>
      <c r="G8" s="15" t="s">
        <v>31</v>
      </c>
      <c r="H8" s="15">
        <f>(F8*20*20)/35</f>
        <v>0.25714285714285712</v>
      </c>
      <c r="I8" s="15">
        <v>0.85714000000000001</v>
      </c>
      <c r="J8" s="16">
        <f>((D8/0.015)*20*1.5)/35</f>
        <v>0.11999999999999998</v>
      </c>
    </row>
    <row r="9" spans="1:10" x14ac:dyDescent="0.35">
      <c r="A9" s="12" t="s">
        <v>2</v>
      </c>
      <c r="B9" s="17">
        <v>1</v>
      </c>
      <c r="C9" s="18">
        <v>2E-3</v>
      </c>
      <c r="D9" s="18">
        <v>1.575E-3</v>
      </c>
      <c r="E9" s="18">
        <v>5.0000000000000001E-3</v>
      </c>
      <c r="F9" s="18">
        <v>0.01</v>
      </c>
      <c r="G9" s="18">
        <v>0.05</v>
      </c>
      <c r="H9" s="18">
        <f>(F9*20*20)/35</f>
        <v>0.11428571428571428</v>
      </c>
      <c r="I9" s="18">
        <v>0.57142800000000005</v>
      </c>
      <c r="J9" s="19">
        <f>((D9/0.015)*20*1.5)/35</f>
        <v>9.0000000000000011E-2</v>
      </c>
    </row>
    <row r="10" spans="1:10" x14ac:dyDescent="0.35">
      <c r="A10" s="12" t="s">
        <v>32</v>
      </c>
      <c r="B10" s="17">
        <v>0</v>
      </c>
      <c r="C10" s="18">
        <v>0</v>
      </c>
      <c r="D10" s="18">
        <f>0.00075</f>
        <v>7.5000000000000002E-4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9"/>
    </row>
    <row r="11" spans="1:10" x14ac:dyDescent="0.35">
      <c r="A11" s="12" t="s">
        <v>33</v>
      </c>
      <c r="B11" s="17">
        <v>0</v>
      </c>
      <c r="C11" s="18">
        <v>0</v>
      </c>
      <c r="D11" s="18">
        <v>5.2499999999999997E-4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9"/>
    </row>
    <row r="12" spans="1:10" x14ac:dyDescent="0.35">
      <c r="A12" s="13" t="s">
        <v>34</v>
      </c>
      <c r="B12" s="20">
        <v>0</v>
      </c>
      <c r="C12" s="21">
        <v>1.2E-2</v>
      </c>
      <c r="D12" s="21">
        <v>0</v>
      </c>
      <c r="E12" s="21">
        <v>0</v>
      </c>
      <c r="F12" s="21">
        <v>0.06</v>
      </c>
      <c r="G12" s="21">
        <v>0.06</v>
      </c>
      <c r="H12" s="21">
        <f>(F12*20*20)/35</f>
        <v>0.68571428571428572</v>
      </c>
      <c r="I12" s="21">
        <v>0</v>
      </c>
      <c r="J12" s="22"/>
    </row>
    <row r="13" spans="1:10" x14ac:dyDescent="0.35">
      <c r="B13" t="s">
        <v>35</v>
      </c>
      <c r="C13" t="s">
        <v>36</v>
      </c>
      <c r="D13" t="s">
        <v>37</v>
      </c>
      <c r="E13" t="s">
        <v>38</v>
      </c>
    </row>
    <row r="14" spans="1:10" x14ac:dyDescent="0.35">
      <c r="A14" t="s">
        <v>39</v>
      </c>
      <c r="B14" s="1">
        <f>VLOOKUP((Feuil1!H5),A8:E12,3,0)</f>
        <v>0</v>
      </c>
      <c r="C14" s="1">
        <f>VLOOKUP(Feuil1!H5,A8:H12,6,0)</f>
        <v>0</v>
      </c>
      <c r="D14">
        <f>VLOOKUP(Feuil1!H5,Feuil2!A8:H12,8,0)</f>
        <v>0</v>
      </c>
    </row>
    <row r="15" spans="1:10" x14ac:dyDescent="0.35">
      <c r="A15" t="s">
        <v>40</v>
      </c>
      <c r="B15" s="1">
        <f>VLOOKUP((Feuil1!H5),Feuil2!A8:E12,5,0)</f>
        <v>0</v>
      </c>
      <c r="C15" s="1">
        <f>VLOOKUP(Feuil1!H5,A8:H12,7,0)</f>
        <v>0</v>
      </c>
      <c r="D15">
        <f>VLOOKUP(Feuil1!H5,A8:I12,9,0)</f>
        <v>0</v>
      </c>
    </row>
    <row r="16" spans="1:10" x14ac:dyDescent="0.35">
      <c r="A16" t="s">
        <v>41</v>
      </c>
      <c r="B16" s="1">
        <f>VLOOKUP((Feuil1!H5),Feuil2!A8:E12,4,0)</f>
        <v>7.5000000000000002E-4</v>
      </c>
      <c r="C16" s="1"/>
      <c r="E16">
        <f>VLOOKUP(Feuil1!H5,Feuil2!A8:J12,10,0)</f>
        <v>0</v>
      </c>
    </row>
    <row r="17" spans="1:11" x14ac:dyDescent="0.35">
      <c r="A17" t="s">
        <v>52</v>
      </c>
      <c r="B17" s="1">
        <f>VLOOKUP(Feuil1!H5,A8:J12,2,0)</f>
        <v>0</v>
      </c>
      <c r="C17" s="1"/>
    </row>
    <row r="18" spans="1:11" x14ac:dyDescent="0.35">
      <c r="B18" s="1"/>
      <c r="C18" s="1"/>
    </row>
    <row r="19" spans="1:11" x14ac:dyDescent="0.35">
      <c r="A19" s="1" t="s">
        <v>55</v>
      </c>
      <c r="B19" s="24" t="s">
        <v>57</v>
      </c>
      <c r="C19" s="25" t="s">
        <v>42</v>
      </c>
      <c r="D19" s="26" t="s">
        <v>43</v>
      </c>
    </row>
    <row r="20" spans="1:11" x14ac:dyDescent="0.35">
      <c r="A20" s="14" t="s">
        <v>47</v>
      </c>
      <c r="B20" s="15">
        <f>Feuil1!D6*(Feuil1!D10/100)*(Feuil1!D9/100)+(B14*Feuil1!D22)+(B15*Feuil1!D23)</f>
        <v>0.96</v>
      </c>
      <c r="C20" s="15">
        <f>ROUNDUP((B20*10),0)</f>
        <v>10</v>
      </c>
      <c r="D20" s="16">
        <f>ROUNDUP((C20*35)/25,0)</f>
        <v>14</v>
      </c>
    </row>
    <row r="21" spans="1:11" x14ac:dyDescent="0.35">
      <c r="A21" s="17" t="s">
        <v>44</v>
      </c>
      <c r="B21" s="18">
        <f>ROUNDUP(((B20*1800)/1500),0)</f>
        <v>2</v>
      </c>
      <c r="C21" s="18">
        <f>C20</f>
        <v>10</v>
      </c>
      <c r="D21" s="19">
        <f>D20</f>
        <v>14</v>
      </c>
    </row>
    <row r="22" spans="1:11" x14ac:dyDescent="0.35">
      <c r="A22" s="17" t="s">
        <v>11</v>
      </c>
      <c r="B22" s="18">
        <f>ROUNDUP((Feuil1!D6*(Feuil1!D10/100)*20*Feuil1!D9)/35+(D14*Feuil1!D22)+(D15*Feuil1!D23),0)</f>
        <v>55</v>
      </c>
      <c r="C22" s="18">
        <v>0</v>
      </c>
      <c r="D22" s="19">
        <v>0</v>
      </c>
    </row>
    <row r="23" spans="1:11" x14ac:dyDescent="0.35">
      <c r="A23" s="20" t="s">
        <v>45</v>
      </c>
      <c r="B23" s="21">
        <f>ROUNDUP(((Feuil1!D6*(Feuil1!D10/100)*20*Feuil1!D9)/30)+(D14*Feuil1!D22)+(D15*Feuil1!D23),0)</f>
        <v>64</v>
      </c>
      <c r="C23" s="21">
        <v>0</v>
      </c>
      <c r="D23" s="22">
        <v>0</v>
      </c>
      <c r="K23">
        <f>E23*(Feuil2!F8)</f>
        <v>0</v>
      </c>
    </row>
    <row r="24" spans="1:11" x14ac:dyDescent="0.35">
      <c r="A24" s="1" t="s">
        <v>56</v>
      </c>
      <c r="B24" s="24" t="s">
        <v>58</v>
      </c>
      <c r="C24" s="25" t="s">
        <v>42</v>
      </c>
      <c r="D24" s="26" t="s">
        <v>43</v>
      </c>
    </row>
    <row r="25" spans="1:11" x14ac:dyDescent="0.35">
      <c r="A25" s="14" t="s">
        <v>53</v>
      </c>
      <c r="B25" s="15">
        <f>SUM(Feuil1!D21:D23)*Feuil2!B16</f>
        <v>0.18</v>
      </c>
      <c r="C25" s="15">
        <f>ROUNDUP((D25*25)/35,0)</f>
        <v>2</v>
      </c>
      <c r="D25" s="16">
        <f>ROUNDUP(B25*10,0)</f>
        <v>2</v>
      </c>
    </row>
    <row r="26" spans="1:11" x14ac:dyDescent="0.35">
      <c r="A26" s="17" t="s">
        <v>54</v>
      </c>
      <c r="B26" s="18">
        <f>ROUNDUP(((B25*1600)/1500),0)</f>
        <v>1</v>
      </c>
      <c r="C26" s="18">
        <f>C25</f>
        <v>2</v>
      </c>
      <c r="D26" s="19">
        <f>D25</f>
        <v>2</v>
      </c>
    </row>
    <row r="27" spans="1:11" x14ac:dyDescent="0.35">
      <c r="A27" s="27" t="s">
        <v>16</v>
      </c>
      <c r="B27" s="28">
        <f>SUM(Feuil1!D21:D23)*E16</f>
        <v>0</v>
      </c>
      <c r="C27" s="28">
        <v>0</v>
      </c>
      <c r="D27" s="29">
        <v>0</v>
      </c>
    </row>
    <row r="28" spans="1:11" x14ac:dyDescent="0.35">
      <c r="A28" s="30" t="s">
        <v>17</v>
      </c>
      <c r="B28" s="31">
        <f>(B27*35)/30</f>
        <v>0</v>
      </c>
      <c r="C28" s="31">
        <v>0</v>
      </c>
      <c r="D28" s="32">
        <v>0</v>
      </c>
    </row>
    <row r="29" spans="1:11" x14ac:dyDescent="0.35">
      <c r="B29" t="s">
        <v>61</v>
      </c>
      <c r="C29" t="s">
        <v>62</v>
      </c>
    </row>
    <row r="30" spans="1:11" x14ac:dyDescent="0.35">
      <c r="A30" t="s">
        <v>59</v>
      </c>
      <c r="B30">
        <f>VLOOKUP(Feuil1!E12,Feuil2!A20:D23,3)</f>
        <v>10</v>
      </c>
      <c r="C30">
        <f>VLOOKUP(Feuil1!E12,Feuil2!A20:D23,4,0)</f>
        <v>14</v>
      </c>
    </row>
    <row r="31" spans="1:11" x14ac:dyDescent="0.35">
      <c r="A31" t="s">
        <v>60</v>
      </c>
      <c r="B31">
        <f>VLOOKUP(Feuil1!E13,A25:D28,3,0)</f>
        <v>2</v>
      </c>
      <c r="C31">
        <f>VLOOKUP(Feuil1!E13,A25:D28,4,0)</f>
        <v>2</v>
      </c>
    </row>
    <row r="32" spans="1:11" x14ac:dyDescent="0.35">
      <c r="A32" t="s">
        <v>63</v>
      </c>
      <c r="B32">
        <f>SUM(B30:B31)</f>
        <v>12</v>
      </c>
      <c r="C32">
        <f>SUM(C30:C31)</f>
        <v>16</v>
      </c>
    </row>
    <row r="35" spans="1:10" x14ac:dyDescent="0.35">
      <c r="A35" s="23"/>
    </row>
    <row r="36" spans="1:10" x14ac:dyDescent="0.35">
      <c r="A36" s="23" t="s">
        <v>48</v>
      </c>
      <c r="B36">
        <f>ROUNDUP(Feuil1!D6/5.6,0)</f>
        <v>2</v>
      </c>
    </row>
    <row r="37" spans="1:10" x14ac:dyDescent="0.35">
      <c r="A37" s="23" t="s">
        <v>49</v>
      </c>
      <c r="B37">
        <f>ROUNDUP(Feuil1!D6/2.6,0)</f>
        <v>4</v>
      </c>
    </row>
    <row r="38" spans="1:10" x14ac:dyDescent="0.35">
      <c r="A38" s="23" t="s">
        <v>50</v>
      </c>
      <c r="B38">
        <f>ROUNDUP(Feuil1!D6/5.6,0)</f>
        <v>2</v>
      </c>
    </row>
    <row r="39" spans="1:10" x14ac:dyDescent="0.35">
      <c r="A39" s="23" t="s">
        <v>51</v>
      </c>
      <c r="B39">
        <f>ROUNDUP(Feuil1!D6/2.6,0)</f>
        <v>4</v>
      </c>
    </row>
    <row r="42" spans="1:10" x14ac:dyDescent="0.35">
      <c r="A42" s="23" t="s">
        <v>66</v>
      </c>
    </row>
    <row r="43" spans="1:10" x14ac:dyDescent="0.35">
      <c r="A43" t="s">
        <v>3</v>
      </c>
      <c r="B43" t="s">
        <v>69</v>
      </c>
      <c r="C43" t="s">
        <v>4</v>
      </c>
      <c r="D43" t="s">
        <v>84</v>
      </c>
      <c r="E43" t="s">
        <v>80</v>
      </c>
      <c r="G43" s="7"/>
      <c r="H43" s="7"/>
      <c r="I43" s="7"/>
      <c r="J43" s="7"/>
    </row>
    <row r="44" spans="1:10" x14ac:dyDescent="0.35">
      <c r="A44" t="s">
        <v>81</v>
      </c>
      <c r="B44" t="s">
        <v>66</v>
      </c>
      <c r="C44" t="s">
        <v>66</v>
      </c>
      <c r="D44" t="e">
        <f>ROUNDUP(C2/INT(3/C3),0)</f>
        <v>#DIV/0!</v>
      </c>
      <c r="E44" t="s">
        <v>69</v>
      </c>
    </row>
    <row r="45" spans="1:10" x14ac:dyDescent="0.35">
      <c r="A45" t="s">
        <v>82</v>
      </c>
      <c r="B45" t="s">
        <v>65</v>
      </c>
      <c r="C45" t="s">
        <v>65</v>
      </c>
      <c r="D45">
        <f>ROUNDUP(C2/INT(6/C3),0)</f>
        <v>2</v>
      </c>
      <c r="E45" t="s">
        <v>4</v>
      </c>
    </row>
    <row r="47" spans="1:10" x14ac:dyDescent="0.35">
      <c r="A47" t="s">
        <v>65</v>
      </c>
    </row>
    <row r="48" spans="1:10" x14ac:dyDescent="0.35">
      <c r="A48" t="s">
        <v>3</v>
      </c>
      <c r="B48" t="s">
        <v>69</v>
      </c>
      <c r="C48" t="s">
        <v>4</v>
      </c>
      <c r="D48" t="s">
        <v>84</v>
      </c>
      <c r="E48" t="s">
        <v>83</v>
      </c>
    </row>
    <row r="49" spans="1:5" x14ac:dyDescent="0.35">
      <c r="A49" t="s">
        <v>81</v>
      </c>
      <c r="B49" t="s">
        <v>66</v>
      </c>
      <c r="C49" t="s">
        <v>66</v>
      </c>
      <c r="D49" t="e">
        <f>ROUNDUP(C2/INT(3/C3),0)</f>
        <v>#DIV/0!</v>
      </c>
      <c r="E49" t="s">
        <v>69</v>
      </c>
    </row>
    <row r="50" spans="1:5" x14ac:dyDescent="0.35">
      <c r="A50" t="s">
        <v>82</v>
      </c>
      <c r="B50" t="s">
        <v>65</v>
      </c>
      <c r="C50" t="s">
        <v>65</v>
      </c>
      <c r="D50">
        <f>ROUNDUP(C2/INT(6/C3),0)</f>
        <v>2</v>
      </c>
      <c r="E50" t="s">
        <v>4</v>
      </c>
    </row>
    <row r="52" spans="1:5" x14ac:dyDescent="0.35">
      <c r="A52" t="s">
        <v>85</v>
      </c>
    </row>
    <row r="53" spans="1:5" x14ac:dyDescent="0.35">
      <c r="A53" t="s">
        <v>3</v>
      </c>
      <c r="C53" t="s">
        <v>84</v>
      </c>
    </row>
    <row r="54" spans="1:5" x14ac:dyDescent="0.35">
      <c r="A54" t="s">
        <v>81</v>
      </c>
      <c r="B54" t="s">
        <v>66</v>
      </c>
      <c r="C54" t="e">
        <f>C4/INT(3/C3)</f>
        <v>#DIV/0!</v>
      </c>
    </row>
    <row r="55" spans="1:5" x14ac:dyDescent="0.35">
      <c r="A55" t="s">
        <v>82</v>
      </c>
      <c r="B55" t="s">
        <v>65</v>
      </c>
      <c r="C55">
        <f>ROUNDUP(C4/INT(6/C3),0)</f>
        <v>2</v>
      </c>
    </row>
  </sheetData>
  <mergeCells count="12">
    <mergeCell ref="J6:J7"/>
    <mergeCell ref="E1:F1"/>
    <mergeCell ref="E2:F2"/>
    <mergeCell ref="H6:H7"/>
    <mergeCell ref="I6:I7"/>
    <mergeCell ref="F6:F7"/>
    <mergeCell ref="G6:G7"/>
    <mergeCell ref="B6:B7"/>
    <mergeCell ref="C6:C7"/>
    <mergeCell ref="D6:D7"/>
    <mergeCell ref="E6:E7"/>
    <mergeCell ref="A6:A7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54AE1-08B7-4A30-82FF-581B363266E2}">
  <dimension ref="A1:E28"/>
  <sheetViews>
    <sheetView topLeftCell="A25" workbookViewId="0">
      <selection activeCell="C2" sqref="C2"/>
    </sheetView>
  </sheetViews>
  <sheetFormatPr baseColWidth="10" defaultRowHeight="14.5" x14ac:dyDescent="0.35"/>
  <cols>
    <col min="1" max="1" width="25.90625" customWidth="1"/>
    <col min="2" max="3" width="14" style="65" customWidth="1"/>
    <col min="4" max="4" width="20.26953125" customWidth="1"/>
  </cols>
  <sheetData>
    <row r="1" spans="1:5" x14ac:dyDescent="0.35">
      <c r="A1" s="57" t="s">
        <v>89</v>
      </c>
      <c r="B1" s="64" t="s">
        <v>90</v>
      </c>
      <c r="C1" s="64"/>
      <c r="D1" s="57" t="s">
        <v>91</v>
      </c>
      <c r="E1" s="57" t="s">
        <v>92</v>
      </c>
    </row>
    <row r="2" spans="1:5" ht="41.5" customHeight="1" x14ac:dyDescent="0.35">
      <c r="A2" s="58" t="s">
        <v>95</v>
      </c>
      <c r="B2" s="64">
        <v>3596700101156</v>
      </c>
      <c r="C2" s="92" t="str" cm="1">
        <f t="array" aca="1" ref="C2" ca="1">CELL("adresse",referentiel!D2)</f>
        <v>$D$2</v>
      </c>
      <c r="E2" s="57"/>
    </row>
    <row r="3" spans="1:5" ht="42" customHeight="1" x14ac:dyDescent="0.35">
      <c r="A3" s="59" t="s">
        <v>96</v>
      </c>
      <c r="B3" s="64">
        <v>3596700101149</v>
      </c>
      <c r="C3" s="92" t="str" cm="1">
        <f t="array" aca="1" ref="C3" ca="1">CELL("adresse",referentiel!D3)</f>
        <v>$D$3</v>
      </c>
      <c r="D3" s="57"/>
      <c r="E3" s="57"/>
    </row>
    <row r="4" spans="1:5" x14ac:dyDescent="0.35">
      <c r="A4" s="59" t="s">
        <v>93</v>
      </c>
      <c r="B4" s="64">
        <v>8437011948014</v>
      </c>
      <c r="C4" s="92" t="str" cm="1">
        <f t="array" aca="1" ref="C4" ca="1">CELL("adresse",referentiel!D4)</f>
        <v>$D$4</v>
      </c>
      <c r="D4" s="57"/>
      <c r="E4" s="57"/>
    </row>
    <row r="5" spans="1:5" x14ac:dyDescent="0.35">
      <c r="A5" s="59" t="s">
        <v>94</v>
      </c>
      <c r="B5" s="64">
        <v>3538988200138</v>
      </c>
      <c r="C5" s="92" t="str" cm="1">
        <f t="array" aca="1" ref="C5" ca="1">CELL("adresse",referentiel!D5)</f>
        <v>$D$5</v>
      </c>
      <c r="D5" s="57"/>
      <c r="E5" s="57"/>
    </row>
    <row r="6" spans="1:5" x14ac:dyDescent="0.35">
      <c r="A6" s="59" t="s">
        <v>97</v>
      </c>
      <c r="B6" s="64">
        <v>3538988110024</v>
      </c>
      <c r="C6" s="92" t="str" cm="1">
        <f t="array" aca="1" ref="C6" ca="1">CELL("adresse",referentiel!D6)</f>
        <v>$D$6</v>
      </c>
      <c r="D6" s="57"/>
      <c r="E6" s="57"/>
    </row>
    <row r="7" spans="1:5" x14ac:dyDescent="0.35">
      <c r="A7" s="59" t="s">
        <v>98</v>
      </c>
      <c r="B7" s="64">
        <v>3538988200213</v>
      </c>
      <c r="C7" s="92" t="str" cm="1">
        <f t="array" aca="1" ref="C7" ca="1">CELL("adresse",referentiel!D7)</f>
        <v>$D$7</v>
      </c>
      <c r="D7" s="57"/>
      <c r="E7" s="57"/>
    </row>
    <row r="8" spans="1:5" x14ac:dyDescent="0.35">
      <c r="A8" s="59" t="s">
        <v>99</v>
      </c>
      <c r="B8" s="64">
        <v>5413945030042</v>
      </c>
      <c r="C8" s="92" t="str" cm="1">
        <f t="array" aca="1" ref="C8" ca="1">CELL("adresse",referentiel!D8)</f>
        <v>$D$8</v>
      </c>
      <c r="D8" s="57"/>
      <c r="E8" s="57"/>
    </row>
    <row r="9" spans="1:5" x14ac:dyDescent="0.35">
      <c r="A9" s="59" t="s">
        <v>100</v>
      </c>
      <c r="B9" s="64"/>
      <c r="C9" s="92" t="str" cm="1">
        <f t="array" aca="1" ref="C9" ca="1">CELL("adresse",referentiel!D9)</f>
        <v>$D$9</v>
      </c>
      <c r="D9" s="57"/>
      <c r="E9" s="57">
        <v>478013</v>
      </c>
    </row>
    <row r="10" spans="1:5" x14ac:dyDescent="0.35">
      <c r="A10" s="60" t="s">
        <v>101</v>
      </c>
      <c r="B10" s="64"/>
      <c r="C10" s="92" t="str" cm="1">
        <f t="array" aca="1" ref="C10" ca="1">CELL("adresse",referentiel!D10)</f>
        <v>$D$10</v>
      </c>
      <c r="D10" s="57"/>
      <c r="E10" s="57">
        <v>478030</v>
      </c>
    </row>
    <row r="11" spans="1:5" x14ac:dyDescent="0.35">
      <c r="A11" s="59" t="s">
        <v>102</v>
      </c>
      <c r="B11" s="64"/>
      <c r="C11" s="92" t="str" cm="1">
        <f t="array" aca="1" ref="C11" ca="1">CELL("adresse",referentiel!D11)</f>
        <v>$D$11</v>
      </c>
      <c r="D11" s="57"/>
      <c r="E11" s="57"/>
    </row>
    <row r="12" spans="1:5" x14ac:dyDescent="0.35">
      <c r="A12" s="59" t="s">
        <v>103</v>
      </c>
      <c r="B12" s="64">
        <v>3597540724437</v>
      </c>
      <c r="C12" s="92" t="str" cm="1">
        <f t="array" aca="1" ref="C12" ca="1">CELL("adresse",referentiel!D12)</f>
        <v>$D$12</v>
      </c>
      <c r="D12" s="57"/>
      <c r="E12" s="57"/>
    </row>
    <row r="13" spans="1:5" x14ac:dyDescent="0.35">
      <c r="A13" s="59" t="s">
        <v>104</v>
      </c>
      <c r="B13" s="64">
        <v>3597540724352</v>
      </c>
      <c r="C13" s="92" t="str" cm="1">
        <f t="array" aca="1" ref="C13" ca="1">CELL("adresse",referentiel!D13)</f>
        <v>$D$13</v>
      </c>
      <c r="D13" s="57"/>
      <c r="E13" s="57"/>
    </row>
    <row r="14" spans="1:5" x14ac:dyDescent="0.35">
      <c r="A14" s="59" t="s">
        <v>105</v>
      </c>
      <c r="B14" s="64">
        <v>3597541405397</v>
      </c>
      <c r="C14" s="92" t="str" cm="1">
        <f t="array" aca="1" ref="C14" ca="1">CELL("adresse",referentiel!D14)</f>
        <v>$D$14</v>
      </c>
      <c r="D14" s="57"/>
      <c r="E14" s="57"/>
    </row>
    <row r="15" spans="1:5" x14ac:dyDescent="0.35">
      <c r="A15" s="59" t="s">
        <v>106</v>
      </c>
      <c r="B15" s="64">
        <v>3597541405373</v>
      </c>
      <c r="C15" s="92" t="str" cm="1">
        <f t="array" aca="1" ref="C15" ca="1">CELL("adresse",referentiel!D15)</f>
        <v>$D$15</v>
      </c>
      <c r="D15" s="57"/>
      <c r="E15" s="57"/>
    </row>
    <row r="16" spans="1:5" x14ac:dyDescent="0.35">
      <c r="A16" s="59" t="s">
        <v>107</v>
      </c>
      <c r="B16" s="64">
        <v>3597541405359</v>
      </c>
      <c r="C16" s="92" t="str" cm="1">
        <f t="array" aca="1" ref="C16" ca="1">CELL("adresse",referentiel!D16)</f>
        <v>$D$16</v>
      </c>
      <c r="D16" s="57"/>
      <c r="E16" s="57"/>
    </row>
    <row r="17" spans="1:5" x14ac:dyDescent="0.35">
      <c r="A17" s="59" t="s">
        <v>108</v>
      </c>
      <c r="B17" s="64">
        <v>3597540725403</v>
      </c>
      <c r="C17" s="92" t="str" cm="1">
        <f t="array" aca="1" ref="C17" ca="1">CELL("adresse",referentiel!D17)</f>
        <v>$D$17</v>
      </c>
      <c r="D17" s="57"/>
      <c r="E17" s="57"/>
    </row>
    <row r="18" spans="1:5" x14ac:dyDescent="0.35">
      <c r="A18" s="59" t="s">
        <v>109</v>
      </c>
      <c r="B18" s="64">
        <v>3597541405410</v>
      </c>
      <c r="C18" s="92" t="str" cm="1">
        <f t="array" aca="1" ref="C18" ca="1">CELL("adresse",referentiel!D18)</f>
        <v>$D$18</v>
      </c>
      <c r="D18" s="57"/>
      <c r="E18" s="57"/>
    </row>
    <row r="19" spans="1:5" x14ac:dyDescent="0.35">
      <c r="A19" s="60" t="s">
        <v>110</v>
      </c>
      <c r="B19" s="64">
        <v>3597540724635</v>
      </c>
      <c r="C19" s="92" t="str" cm="1">
        <f t="array" aca="1" ref="C19" ca="1">CELL("adresse",referentiel!D19)</f>
        <v>$D$19</v>
      </c>
      <c r="D19" s="57"/>
      <c r="E19" s="57"/>
    </row>
    <row r="20" spans="1:5" x14ac:dyDescent="0.35">
      <c r="A20" s="62" t="s">
        <v>111</v>
      </c>
      <c r="B20" s="64"/>
      <c r="C20" s="92" t="str" cm="1">
        <f t="array" aca="1" ref="C20" ca="1">CELL("adresse",referentiel!D20)</f>
        <v>$D$20</v>
      </c>
      <c r="D20" s="57"/>
      <c r="E20" s="57"/>
    </row>
    <row r="21" spans="1:5" x14ac:dyDescent="0.35">
      <c r="A21" s="61" t="s">
        <v>112</v>
      </c>
      <c r="B21" s="64"/>
      <c r="C21" s="92" t="str" cm="1">
        <f t="array" aca="1" ref="C21" ca="1">CELL("adresse",referentiel!D21)</f>
        <v>$D$21</v>
      </c>
      <c r="D21" s="57"/>
      <c r="E21" s="57"/>
    </row>
    <row r="22" spans="1:5" x14ac:dyDescent="0.35">
      <c r="A22" s="61" t="s">
        <v>113</v>
      </c>
      <c r="B22" s="64"/>
      <c r="C22" s="92" t="str" cm="1">
        <f t="array" aca="1" ref="C22" ca="1">CELL("adresse",referentiel!D22)</f>
        <v>$D$22</v>
      </c>
      <c r="D22" s="57"/>
      <c r="E22" s="57"/>
    </row>
    <row r="23" spans="1:5" x14ac:dyDescent="0.35">
      <c r="A23" s="61" t="s">
        <v>114</v>
      </c>
      <c r="B23" s="64"/>
      <c r="C23" s="92" t="str" cm="1">
        <f t="array" aca="1" ref="C23" ca="1">CELL("adresse",referentiel!D23)</f>
        <v>$D$23</v>
      </c>
      <c r="D23" s="57"/>
      <c r="E23" s="57"/>
    </row>
    <row r="24" spans="1:5" x14ac:dyDescent="0.35">
      <c r="A24" s="61" t="s">
        <v>115</v>
      </c>
      <c r="B24" s="64"/>
      <c r="C24" s="92" t="str" cm="1">
        <f t="array" aca="1" ref="C24" ca="1">CELL("adresse",referentiel!D24)</f>
        <v>$D$24</v>
      </c>
      <c r="D24" s="57"/>
      <c r="E24" s="57"/>
    </row>
    <row r="25" spans="1:5" x14ac:dyDescent="0.35">
      <c r="A25" s="61" t="s">
        <v>116</v>
      </c>
      <c r="B25" s="64"/>
      <c r="C25" s="92" t="str" cm="1">
        <f t="array" aca="1" ref="C25" ca="1">CELL("adresse",referentiel!D25)</f>
        <v>$D$25</v>
      </c>
      <c r="D25" s="57"/>
      <c r="E25" s="57"/>
    </row>
    <row r="26" spans="1:5" x14ac:dyDescent="0.35">
      <c r="A26" s="61" t="s">
        <v>117</v>
      </c>
      <c r="B26" s="64"/>
      <c r="C26" s="92" t="str" cm="1">
        <f t="array" aca="1" ref="C26" ca="1">CELL("adresse",referentiel!D26)</f>
        <v>$D$26</v>
      </c>
      <c r="D26" s="57"/>
      <c r="E26" s="57"/>
    </row>
    <row r="27" spans="1:5" x14ac:dyDescent="0.35">
      <c r="A27" s="61" t="s">
        <v>118</v>
      </c>
      <c r="B27" s="64"/>
      <c r="C27" s="92" t="str" cm="1">
        <f t="array" aca="1" ref="C27" ca="1">CELL("adresse",referentiel!D27)</f>
        <v>$D$27</v>
      </c>
      <c r="D27" s="57"/>
      <c r="E27" s="57"/>
    </row>
    <row r="28" spans="1:5" x14ac:dyDescent="0.35">
      <c r="A28" s="63" t="s">
        <v>119</v>
      </c>
      <c r="B28" s="64"/>
      <c r="C28" s="92" t="str" cm="1">
        <f t="array" aca="1" ref="C28" ca="1">CELL("adresse",referentiel!D28)</f>
        <v>$D$28</v>
      </c>
      <c r="D28" s="57"/>
      <c r="E28" s="57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9F82A6A6F3604B853505CA67035685" ma:contentTypeVersion="2" ma:contentTypeDescription="Create a new document." ma:contentTypeScope="" ma:versionID="58205d848ef90b76a5f9a8fb1714cec5">
  <xsd:schema xmlns:xsd="http://www.w3.org/2001/XMLSchema" xmlns:xs="http://www.w3.org/2001/XMLSchema" xmlns:p="http://schemas.microsoft.com/office/2006/metadata/properties" xmlns:ns3="14deb4ab-c353-41f7-99cb-9f71d0d79757" targetNamespace="http://schemas.microsoft.com/office/2006/metadata/properties" ma:root="true" ma:fieldsID="f651efb072906f728d390a23bc2ef722" ns3:_="">
    <xsd:import namespace="14deb4ab-c353-41f7-99cb-9f71d0d7975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deb4ab-c353-41f7-99cb-9f71d0d797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F307A2-C536-43F1-8E6C-4F96A20CA5E2}">
  <ds:schemaRefs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14deb4ab-c353-41f7-99cb-9f71d0d79757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6B76979-DA75-438B-B4EA-3E85D30A0B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C065C9-AB40-4E3D-AB50-60073894C1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deb4ab-c353-41f7-99cb-9f71d0d7975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28</vt:i4>
      </vt:variant>
    </vt:vector>
  </HeadingPairs>
  <TitlesOfParts>
    <vt:vector size="31" baseType="lpstr">
      <vt:lpstr>Feuil1</vt:lpstr>
      <vt:lpstr>Feuil2</vt:lpstr>
      <vt:lpstr>referentiel</vt:lpstr>
      <vt:lpstr>agregat</vt:lpstr>
      <vt:lpstr>agregat_beton</vt:lpstr>
      <vt:lpstr>agregat_mortier</vt:lpstr>
      <vt:lpstr>béton</vt:lpstr>
      <vt:lpstr>big_bag_1500kg_graves</vt:lpstr>
      <vt:lpstr>big_bag_1500kg_sables</vt:lpstr>
      <vt:lpstr>chainage_10x10</vt:lpstr>
      <vt:lpstr>chainage_plat</vt:lpstr>
      <vt:lpstr>ciment</vt:lpstr>
      <vt:lpstr>ciment_25_kg</vt:lpstr>
      <vt:lpstr>ciment_35_kg</vt:lpstr>
      <vt:lpstr>ciments</vt:lpstr>
      <vt:lpstr>dilatation</vt:lpstr>
      <vt:lpstr>graves_en_vrac</vt:lpstr>
      <vt:lpstr>longueur</vt:lpstr>
      <vt:lpstr>mortier</vt:lpstr>
      <vt:lpstr>quantité</vt:lpstr>
      <vt:lpstr>renfort</vt:lpstr>
      <vt:lpstr>renfort_d_angle</vt:lpstr>
      <vt:lpstr>sable_en_vrac</vt:lpstr>
      <vt:lpstr>sac_de_béton_de_30kg</vt:lpstr>
      <vt:lpstr>sac_de_beton_de_35kg</vt:lpstr>
      <vt:lpstr>sac_de_béton_de_35kg</vt:lpstr>
      <vt:lpstr>sac_de_mortier_de_30kg</vt:lpstr>
      <vt:lpstr>sac_de_mortier_de_35kg</vt:lpstr>
      <vt:lpstr>semelle_fondation</vt:lpstr>
      <vt:lpstr>type</vt:lpstr>
      <vt:lpstr>TYPE1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Sébastien gallo</dc:creator>
  <cp:keywords/>
  <dc:description/>
  <cp:lastModifiedBy>Sébastien gallo</cp:lastModifiedBy>
  <cp:revision/>
  <cp:lastPrinted>2020-04-02T06:31:37Z</cp:lastPrinted>
  <dcterms:created xsi:type="dcterms:W3CDTF">2020-03-21T21:45:21Z</dcterms:created>
  <dcterms:modified xsi:type="dcterms:W3CDTF">2020-04-02T15:59:27Z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0x010100F19F82A6A6F3604B853505CA67035685</vt:lpwstr>
  </property>
</Properties>
</file>