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chauvin\Desktop\"/>
    </mc:Choice>
  </mc:AlternateContent>
  <bookViews>
    <workbookView xWindow="0" yWindow="0" windowWidth="28800" windowHeight="12360" activeTab="1"/>
  </bookViews>
  <sheets>
    <sheet name="Hypothèses" sheetId="2" r:id="rId1"/>
    <sheet name="Valorisation investissement" sheetId="1" r:id="rId2"/>
    <sheet name="Flux" sheetId="3" r:id="rId3"/>
    <sheet name="Echéance dette" sheetId="4" r:id="rId4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7" i="1" l="1"/>
  <c r="D8" i="3" l="1"/>
  <c r="D11" i="3"/>
  <c r="D12" i="3"/>
  <c r="E8" i="3"/>
  <c r="E11" i="3"/>
  <c r="E12" i="3"/>
  <c r="E13" i="3" s="1"/>
  <c r="F8" i="3"/>
  <c r="F11" i="3"/>
  <c r="F12" i="3"/>
  <c r="G8" i="3"/>
  <c r="G11" i="3"/>
  <c r="G12" i="3"/>
  <c r="H8" i="3"/>
  <c r="H11" i="3"/>
  <c r="H12" i="3"/>
  <c r="I8" i="3"/>
  <c r="I11" i="3"/>
  <c r="I12" i="3"/>
  <c r="J8" i="3"/>
  <c r="J11" i="3"/>
  <c r="J12" i="3"/>
  <c r="K8" i="3"/>
  <c r="K13" i="3" s="1"/>
  <c r="K11" i="3"/>
  <c r="K12" i="3"/>
  <c r="L8" i="3"/>
  <c r="L11" i="3"/>
  <c r="L12" i="3"/>
  <c r="M8" i="3"/>
  <c r="M11" i="3"/>
  <c r="M12" i="3"/>
  <c r="N8" i="3"/>
  <c r="N11" i="3"/>
  <c r="N12" i="3"/>
  <c r="O8" i="3"/>
  <c r="O11" i="3"/>
  <c r="O12" i="3"/>
  <c r="P8" i="3"/>
  <c r="P11" i="3"/>
  <c r="P12" i="3"/>
  <c r="Q8" i="3"/>
  <c r="Q11" i="3"/>
  <c r="Q12" i="3"/>
  <c r="R8" i="3"/>
  <c r="R11" i="3"/>
  <c r="R12" i="3"/>
  <c r="S8" i="3"/>
  <c r="S11" i="3"/>
  <c r="S12" i="3"/>
  <c r="T8" i="3"/>
  <c r="T11" i="3"/>
  <c r="T12" i="3"/>
  <c r="U8" i="3"/>
  <c r="U11" i="3"/>
  <c r="U12" i="3"/>
  <c r="V8" i="3"/>
  <c r="V11" i="3"/>
  <c r="V12" i="3"/>
  <c r="W8" i="3"/>
  <c r="W11" i="3"/>
  <c r="W12" i="3"/>
  <c r="X8" i="3"/>
  <c r="X11" i="3"/>
  <c r="X12" i="3"/>
  <c r="Y8" i="3"/>
  <c r="Y11" i="3"/>
  <c r="Y12" i="3"/>
  <c r="Z8" i="3"/>
  <c r="Z11" i="3"/>
  <c r="Z12" i="3"/>
  <c r="AA8" i="3"/>
  <c r="AA11" i="3"/>
  <c r="AA12" i="3"/>
  <c r="AB8" i="3"/>
  <c r="AB11" i="3"/>
  <c r="AB12" i="3"/>
  <c r="AC8" i="3"/>
  <c r="AC11" i="3"/>
  <c r="AC12" i="3"/>
  <c r="AD8" i="3"/>
  <c r="AD11" i="3"/>
  <c r="AD12" i="3"/>
  <c r="AE8" i="3"/>
  <c r="AE11" i="3"/>
  <c r="AE12" i="3"/>
  <c r="AF8" i="3"/>
  <c r="AF11" i="3"/>
  <c r="AF12" i="3"/>
  <c r="AG8" i="3"/>
  <c r="AG11" i="3"/>
  <c r="AG12" i="3"/>
  <c r="AH19" i="3"/>
  <c r="AH8" i="3"/>
  <c r="AH11" i="3"/>
  <c r="AH12" i="3"/>
  <c r="AG19" i="3"/>
  <c r="AF19" i="3"/>
  <c r="AE19" i="3"/>
  <c r="AD19" i="3"/>
  <c r="AC19" i="3"/>
  <c r="AB19" i="3"/>
  <c r="AA19" i="3"/>
  <c r="Z19" i="3"/>
  <c r="Y19" i="3"/>
  <c r="X19" i="3"/>
  <c r="W19" i="3"/>
  <c r="V19" i="3"/>
  <c r="U19" i="3"/>
  <c r="T19" i="3"/>
  <c r="S19" i="3"/>
  <c r="R19" i="3"/>
  <c r="Q19" i="3"/>
  <c r="P19" i="3"/>
  <c r="O19" i="3"/>
  <c r="N19" i="3"/>
  <c r="M19" i="3"/>
  <c r="L19" i="3"/>
  <c r="K19" i="3"/>
  <c r="J19" i="3"/>
  <c r="I19" i="3"/>
  <c r="H19" i="3"/>
  <c r="G19" i="3"/>
  <c r="F19" i="3"/>
  <c r="E19" i="3"/>
  <c r="D19" i="3"/>
  <c r="C33" i="1"/>
  <c r="C32" i="1"/>
  <c r="C31" i="1"/>
  <c r="C25" i="1"/>
  <c r="C30" i="1"/>
  <c r="C16" i="1"/>
  <c r="C18" i="1" s="1"/>
  <c r="C22" i="1" s="1"/>
  <c r="C2" i="4" s="1"/>
  <c r="C3" i="4" s="1"/>
  <c r="F7" i="4" s="1"/>
  <c r="C17" i="1"/>
  <c r="C13" i="3"/>
  <c r="C14" i="3"/>
  <c r="C16" i="3"/>
  <c r="D13" i="3" l="1"/>
  <c r="AG13" i="3"/>
  <c r="L13" i="3"/>
  <c r="AA13" i="3"/>
  <c r="V13" i="3"/>
  <c r="P13" i="3"/>
  <c r="T13" i="3"/>
  <c r="G13" i="3"/>
  <c r="AF13" i="3"/>
  <c r="X13" i="3"/>
  <c r="R13" i="3"/>
  <c r="M13" i="3"/>
  <c r="H13" i="3"/>
  <c r="W13" i="3"/>
  <c r="AB13" i="3"/>
  <c r="O13" i="3"/>
  <c r="Q13" i="3"/>
  <c r="I13" i="3"/>
  <c r="AC13" i="3"/>
  <c r="S13" i="3"/>
  <c r="J13" i="3"/>
  <c r="F13" i="3"/>
  <c r="AE13" i="3"/>
  <c r="Z13" i="3"/>
  <c r="U13" i="3"/>
  <c r="N13" i="3"/>
  <c r="AD13" i="3"/>
  <c r="Y13" i="3"/>
  <c r="AH13" i="3"/>
  <c r="G8" i="4"/>
  <c r="D15" i="3" s="1"/>
  <c r="D16" i="3" l="1"/>
  <c r="D20" i="3" s="1"/>
  <c r="G7" i="4"/>
  <c r="H8" i="4" l="1"/>
  <c r="E15" i="3" s="1"/>
  <c r="E16" i="3" s="1"/>
  <c r="E20" i="3" s="1"/>
  <c r="H7" i="4" l="1"/>
  <c r="I8" i="4" l="1"/>
  <c r="F15" i="3" s="1"/>
  <c r="F16" i="3" s="1"/>
  <c r="F20" i="3" s="1"/>
  <c r="I7" i="4" l="1"/>
  <c r="J8" i="4" l="1"/>
  <c r="G15" i="3" s="1"/>
  <c r="G16" i="3" s="1"/>
  <c r="G20" i="3" s="1"/>
  <c r="J7" i="4" l="1"/>
  <c r="K8" i="4"/>
  <c r="H15" i="3" s="1"/>
  <c r="H16" i="3" s="1"/>
  <c r="H20" i="3" s="1"/>
  <c r="K7" i="4" l="1"/>
  <c r="L8" i="4" l="1"/>
  <c r="I15" i="3" s="1"/>
  <c r="I16" i="3" s="1"/>
  <c r="I20" i="3" s="1"/>
  <c r="L7" i="4"/>
  <c r="M8" i="4" l="1"/>
  <c r="J15" i="3" s="1"/>
  <c r="J16" i="3" s="1"/>
  <c r="J20" i="3" s="1"/>
  <c r="M7" i="4" l="1"/>
  <c r="N8" i="4" l="1"/>
  <c r="K15" i="3" s="1"/>
  <c r="K16" i="3" s="1"/>
  <c r="K20" i="3" s="1"/>
  <c r="N7" i="4" l="1"/>
  <c r="O8" i="4" l="1"/>
  <c r="L15" i="3" s="1"/>
  <c r="L16" i="3" s="1"/>
  <c r="L20" i="3" s="1"/>
  <c r="O7" i="4" l="1"/>
  <c r="P8" i="4" l="1"/>
  <c r="M15" i="3" s="1"/>
  <c r="M16" i="3" s="1"/>
  <c r="M20" i="3" s="1"/>
  <c r="P7" i="4" l="1"/>
  <c r="Q8" i="4" l="1"/>
  <c r="N15" i="3" s="1"/>
  <c r="N16" i="3" s="1"/>
  <c r="N20" i="3" s="1"/>
  <c r="Q7" i="4" l="1"/>
  <c r="R8" i="4"/>
  <c r="O15" i="3" s="1"/>
  <c r="O16" i="3" s="1"/>
  <c r="O20" i="3" s="1"/>
  <c r="R7" i="4" l="1"/>
  <c r="S8" i="4"/>
  <c r="P15" i="3" s="1"/>
  <c r="P16" i="3" s="1"/>
  <c r="P20" i="3" s="1"/>
  <c r="S7" i="4" l="1"/>
  <c r="T8" i="4"/>
  <c r="Q15" i="3" s="1"/>
  <c r="Q16" i="3" s="1"/>
  <c r="Q20" i="3" s="1"/>
  <c r="T7" i="4" l="1"/>
  <c r="U8" i="4" l="1"/>
  <c r="R15" i="3" s="1"/>
  <c r="R16" i="3" s="1"/>
  <c r="R20" i="3" s="1"/>
  <c r="U7" i="4" l="1"/>
  <c r="V8" i="4" l="1"/>
  <c r="S15" i="3" s="1"/>
  <c r="S16" i="3" s="1"/>
  <c r="S20" i="3" s="1"/>
  <c r="V7" i="4" l="1"/>
  <c r="W8" i="4" l="1"/>
  <c r="T15" i="3" s="1"/>
  <c r="T16" i="3" s="1"/>
  <c r="T20" i="3" s="1"/>
  <c r="W7" i="4"/>
  <c r="X8" i="4" l="1"/>
  <c r="U15" i="3" s="1"/>
  <c r="U16" i="3" s="1"/>
  <c r="U20" i="3" s="1"/>
  <c r="X7" i="4" l="1"/>
  <c r="Y8" i="4" l="1"/>
  <c r="V15" i="3" s="1"/>
  <c r="V16" i="3" s="1"/>
  <c r="V20" i="3" s="1"/>
  <c r="Y7" i="4" l="1"/>
  <c r="Z8" i="4" l="1"/>
  <c r="W15" i="3" s="1"/>
  <c r="W16" i="3" s="1"/>
  <c r="W20" i="3" s="1"/>
  <c r="Z7" i="4" l="1"/>
  <c r="AA8" i="4" l="1"/>
  <c r="X15" i="3" s="1"/>
  <c r="X16" i="3" s="1"/>
  <c r="X20" i="3" s="1"/>
  <c r="AA7" i="4"/>
  <c r="AB8" i="4" l="1"/>
  <c r="Y15" i="3" s="1"/>
  <c r="Y16" i="3" s="1"/>
  <c r="Y20" i="3" s="1"/>
  <c r="AB7" i="4" l="1"/>
  <c r="AC8" i="4" l="1"/>
  <c r="Z15" i="3" s="1"/>
  <c r="Z16" i="3" s="1"/>
  <c r="Z20" i="3" s="1"/>
  <c r="AC7" i="4" l="1"/>
  <c r="AD8" i="4" l="1"/>
  <c r="AA15" i="3" s="1"/>
  <c r="AA16" i="3" s="1"/>
  <c r="AA20" i="3" s="1"/>
  <c r="AD7" i="4" l="1"/>
  <c r="AE8" i="4"/>
  <c r="AB15" i="3" s="1"/>
  <c r="AB16" i="3" s="1"/>
  <c r="AB20" i="3" s="1"/>
  <c r="AE7" i="4" l="1"/>
  <c r="AF8" i="4" l="1"/>
  <c r="AC15" i="3" s="1"/>
  <c r="AC16" i="3" s="1"/>
  <c r="AC20" i="3" s="1"/>
  <c r="AF7" i="4" l="1"/>
  <c r="AG8" i="4" l="1"/>
  <c r="AD15" i="3" s="1"/>
  <c r="AD16" i="3" s="1"/>
  <c r="AD20" i="3" s="1"/>
  <c r="AG7" i="4" l="1"/>
  <c r="AH8" i="4" l="1"/>
  <c r="AE15" i="3" s="1"/>
  <c r="AE16" i="3" s="1"/>
  <c r="AE20" i="3" s="1"/>
  <c r="AH7" i="4" l="1"/>
  <c r="AI8" i="4" l="1"/>
  <c r="AF15" i="3" s="1"/>
  <c r="AF16" i="3" s="1"/>
  <c r="AF20" i="3" s="1"/>
  <c r="AI7" i="4" l="1"/>
  <c r="AJ8" i="4" l="1"/>
  <c r="AJ7" i="4" s="1"/>
  <c r="AK8" i="4" l="1"/>
  <c r="AH15" i="3" s="1"/>
  <c r="AH16" i="3" s="1"/>
  <c r="AH20" i="3" s="1"/>
  <c r="AG15" i="3"/>
  <c r="AG16" i="3" s="1"/>
  <c r="AG20" i="3" s="1"/>
  <c r="C43" i="1" s="1"/>
  <c r="C28" i="1"/>
  <c r="AK7" i="4" l="1"/>
  <c r="AL8" i="4"/>
  <c r="AL7" i="4" s="1"/>
  <c r="C37" i="1"/>
  <c r="C39" i="1" s="1"/>
  <c r="C41" i="1" s="1"/>
  <c r="C45" i="1" s="1"/>
  <c r="C48" i="1" l="1"/>
  <c r="C47" i="1"/>
  <c r="AM8" i="4"/>
  <c r="AM7" i="4"/>
  <c r="AN8" i="4" l="1"/>
  <c r="AN7" i="4" s="1"/>
  <c r="AO8" i="4" l="1"/>
  <c r="AO7" i="4" s="1"/>
  <c r="AP8" i="4" l="1"/>
  <c r="AP7" i="4" s="1"/>
  <c r="AQ8" i="4" l="1"/>
  <c r="AQ7" i="4" s="1"/>
  <c r="AR8" i="4" l="1"/>
  <c r="AR7" i="4" s="1"/>
  <c r="AS8" i="4" l="1"/>
  <c r="AS7" i="4" s="1"/>
  <c r="AT8" i="4" l="1"/>
  <c r="AT7" i="4" s="1"/>
</calcChain>
</file>

<file path=xl/sharedStrings.xml><?xml version="1.0" encoding="utf-8"?>
<sst xmlns="http://schemas.openxmlformats.org/spreadsheetml/2006/main" count="59" uniqueCount="58">
  <si>
    <t>Prix acquisition</t>
  </si>
  <si>
    <t>Cash</t>
  </si>
  <si>
    <t>Dette</t>
  </si>
  <si>
    <t>Taux emprunt bancaire dont assurance</t>
  </si>
  <si>
    <t>Taxe foncière</t>
  </si>
  <si>
    <t>Capex</t>
  </si>
  <si>
    <t>Frais de notaire</t>
  </si>
  <si>
    <t>Frais notaire</t>
  </si>
  <si>
    <t>CAPEX (travaux rénovation)</t>
  </si>
  <si>
    <t>Emplois</t>
  </si>
  <si>
    <t>Ressources</t>
  </si>
  <si>
    <t>Exit</t>
  </si>
  <si>
    <t>Loyer mensuel</t>
  </si>
  <si>
    <t>Travaux aménagement</t>
  </si>
  <si>
    <t>Coût total acquisition</t>
  </si>
  <si>
    <t>Loyer annuel</t>
  </si>
  <si>
    <t>Frais gestion</t>
  </si>
  <si>
    <t>Travaux</t>
  </si>
  <si>
    <t>Prix vente HT</t>
  </si>
  <si>
    <t>Croissance long terme</t>
  </si>
  <si>
    <t>Hypothèses BP</t>
  </si>
  <si>
    <t xml:space="preserve">Flux locatifs </t>
  </si>
  <si>
    <t>en €</t>
  </si>
  <si>
    <t>Capex maintenance / an (% loyer mensuel)</t>
  </si>
  <si>
    <t>Taxe foncière (en % loyer mensuel)</t>
  </si>
  <si>
    <t>Plus value</t>
  </si>
  <si>
    <t>Dette restante à payer</t>
  </si>
  <si>
    <t>Remboursement dette</t>
  </si>
  <si>
    <t>Montant emprunté</t>
  </si>
  <si>
    <t>Coût total</t>
  </si>
  <si>
    <t>TEG (utiliser goal seek dans datavalidation)</t>
  </si>
  <si>
    <t>Années</t>
  </si>
  <si>
    <t>Échéances linéaires</t>
  </si>
  <si>
    <t>Montant restant dû</t>
  </si>
  <si>
    <t>Flux trésorerie</t>
  </si>
  <si>
    <t>années échéances</t>
  </si>
  <si>
    <t>Opex</t>
  </si>
  <si>
    <t>Résultat opérationnel</t>
  </si>
  <si>
    <t>Exonération prélèvements sociaux</t>
  </si>
  <si>
    <t>taux impôt revenue sur plus value</t>
  </si>
  <si>
    <t>Taux prélèvements soicaux sur plus value</t>
  </si>
  <si>
    <t>Exonération IR fourchette</t>
  </si>
  <si>
    <t>Exonération IR totale</t>
  </si>
  <si>
    <t>Exonération prélèvements sociaux totale</t>
  </si>
  <si>
    <t>IR</t>
  </si>
  <si>
    <t>Prélèvements sociaux</t>
  </si>
  <si>
    <t>Taxes totales plus value</t>
  </si>
  <si>
    <t>Plus value post taxes</t>
  </si>
  <si>
    <t>Taux actualisation</t>
  </si>
  <si>
    <t>Année</t>
  </si>
  <si>
    <t>Facteur actualisation</t>
  </si>
  <si>
    <t>Valeur actuelle au 31.12.2019</t>
  </si>
  <si>
    <t>Plus value actualisée</t>
  </si>
  <si>
    <t>Valeur flux trésorerie cumulés actualisés</t>
  </si>
  <si>
    <t>Total plus value actualisée</t>
  </si>
  <si>
    <t>Multiple</t>
  </si>
  <si>
    <t>TRI (en%)</t>
  </si>
  <si>
    <t>Nombre année (30 max)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</si>
</sst>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#,##0_);\(#,##0\);&quot;-&quot;_);@_)"/>
    <numFmt numFmtId="165" formatCode="0.0_)%;\(0.0\)%;&quot;-&quot;_)_%;@_)_%"/>
    <numFmt numFmtId="166" formatCode="#,##0.0_);\(#,##0.0\);&quot;-&quot;_);@_)"/>
  </numFmts>
  <fonts count="6" x14ac:knownFonts="1">
    <font>
      <sz val="8"/>
      <color theme="1"/>
      <name val="Arial"/>
      <family val="2"/>
    </font>
    <font>
      <b/>
      <sz val="10"/>
      <color rgb="FF000000"/>
      <name val="Arial"/>
      <family val="2"/>
    </font>
    <font>
      <b/>
      <sz val="8"/>
      <color rgb="FF000000"/>
      <name val="Arial"/>
      <family val="2"/>
    </font>
    <font>
      <sz val="8"/>
      <color rgb="FF000000"/>
      <name val="Arial"/>
      <family val="2"/>
    </font>
    <font>
      <sz val="8"/>
      <color theme="4"/>
      <name val="Arial"/>
      <family val="2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DCE6F1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rgb="FF000000"/>
      </bottom>
      <diagonal/>
    </border>
    <border>
      <left/>
      <right/>
      <top style="thin">
        <color rgb="FF7F7F7F"/>
      </top>
      <bottom/>
      <diagonal/>
    </border>
    <border>
      <left/>
      <right/>
      <top style="thin">
        <color rgb="FF7F7F7F"/>
      </top>
      <bottom style="thin">
        <color rgb="FF7F7F7F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0" borderId="0" xfId="0" applyFont="1" applyFill="1" applyAlignment="1">
      <alignment horizontal="left" vertical="center"/>
    </xf>
    <xf numFmtId="164" fontId="0" fillId="0" borderId="0" xfId="0" applyNumberFormat="1" applyAlignment="1">
      <alignment horizontal="right"/>
    </xf>
    <xf numFmtId="165" fontId="0" fillId="0" borderId="0" xfId="0" applyNumberFormat="1" applyAlignment="1">
      <alignment horizontal="right"/>
    </xf>
    <xf numFmtId="164" fontId="0" fillId="0" borderId="0" xfId="0" applyNumberFormat="1"/>
    <xf numFmtId="0" fontId="2" fillId="0" borderId="0" xfId="0" applyFont="1" applyFill="1" applyBorder="1" applyAlignment="1">
      <alignment horizontal="right" vertical="center"/>
    </xf>
    <xf numFmtId="0" fontId="2" fillId="0" borderId="1" xfId="0" applyFont="1" applyFill="1" applyBorder="1" applyAlignment="1">
      <alignment horizontal="right" vertical="center"/>
    </xf>
    <xf numFmtId="0" fontId="2" fillId="0" borderId="1" xfId="0" applyFont="1" applyFill="1" applyBorder="1" applyAlignment="1">
      <alignment horizontal="left" vertical="center"/>
    </xf>
    <xf numFmtId="166" fontId="0" fillId="0" borderId="0" xfId="0" applyNumberFormat="1" applyAlignment="1">
      <alignment horizontal="right"/>
    </xf>
    <xf numFmtId="0" fontId="2" fillId="0" borderId="0" xfId="0" applyFont="1" applyBorder="1" applyAlignment="1"/>
    <xf numFmtId="0" fontId="2" fillId="0" borderId="2" xfId="0" applyFont="1" applyBorder="1" applyAlignment="1"/>
    <xf numFmtId="0" fontId="2" fillId="0" borderId="3" xfId="0" applyFont="1" applyBorder="1" applyAlignment="1"/>
    <xf numFmtId="0" fontId="2" fillId="0" borderId="2" xfId="0" applyFont="1" applyFill="1" applyBorder="1" applyAlignment="1"/>
    <xf numFmtId="0" fontId="0" fillId="0" borderId="0" xfId="0" applyBorder="1"/>
    <xf numFmtId="166" fontId="0" fillId="0" borderId="0" xfId="0" applyNumberFormat="1" applyBorder="1" applyAlignment="1">
      <alignment horizontal="right"/>
    </xf>
    <xf numFmtId="165" fontId="4" fillId="0" borderId="0" xfId="0" applyNumberFormat="1" applyFont="1" applyAlignment="1">
      <alignment horizontal="right"/>
    </xf>
    <xf numFmtId="0" fontId="4" fillId="0" borderId="0" xfId="0" applyFont="1"/>
    <xf numFmtId="166" fontId="4" fillId="0" borderId="0" xfId="0" applyNumberFormat="1" applyFont="1" applyAlignment="1">
      <alignment horizontal="right"/>
    </xf>
    <xf numFmtId="166" fontId="2" fillId="0" borderId="0" xfId="0" applyNumberFormat="1" applyFont="1" applyBorder="1" applyAlignment="1"/>
    <xf numFmtId="166" fontId="2" fillId="0" borderId="2" xfId="0" applyNumberFormat="1" applyFont="1" applyBorder="1" applyAlignment="1"/>
    <xf numFmtId="164" fontId="4" fillId="0" borderId="0" xfId="0" applyNumberFormat="1" applyFont="1"/>
    <xf numFmtId="164" fontId="4" fillId="0" borderId="0" xfId="0" applyNumberFormat="1" applyFont="1" applyAlignment="1">
      <alignment horizontal="right"/>
    </xf>
    <xf numFmtId="164" fontId="2" fillId="0" borderId="2" xfId="0" applyNumberFormat="1" applyFont="1" applyBorder="1" applyAlignment="1"/>
    <xf numFmtId="0" fontId="2" fillId="0" borderId="2" xfId="0" applyFont="1" applyFill="1" applyBorder="1" applyAlignment="1">
      <alignment vertical="center"/>
    </xf>
    <xf numFmtId="164" fontId="2" fillId="0" borderId="2" xfId="0" applyNumberFormat="1" applyFont="1" applyFill="1" applyBorder="1" applyAlignment="1">
      <alignment vertical="center"/>
    </xf>
    <xf numFmtId="10" fontId="0" fillId="0" borderId="0" xfId="0" applyNumberFormat="1"/>
    <xf numFmtId="166" fontId="0" fillId="0" borderId="0" xfId="0" applyNumberFormat="1" applyFont="1" applyAlignment="1">
      <alignment horizontal="right"/>
    </xf>
    <xf numFmtId="0" fontId="3" fillId="0" borderId="0" xfId="0" applyFont="1" applyBorder="1" applyAlignment="1"/>
    <xf numFmtId="166" fontId="3" fillId="0" borderId="0" xfId="0" applyNumberFormat="1" applyFont="1" applyBorder="1" applyAlignment="1"/>
    <xf numFmtId="166" fontId="2" fillId="0" borderId="3" xfId="0" applyNumberFormat="1" applyFont="1" applyBorder="1" applyAlignment="1"/>
    <xf numFmtId="166" fontId="2" fillId="0" borderId="2" xfId="0" applyNumberFormat="1" applyFont="1" applyFill="1" applyBorder="1" applyAlignment="1"/>
    <xf numFmtId="0" fontId="2" fillId="2" borderId="3" xfId="0" applyFont="1" applyFill="1" applyBorder="1" applyAlignment="1"/>
    <xf numFmtId="166" fontId="2" fillId="2" borderId="3" xfId="0" applyNumberFormat="1" applyFont="1" applyFill="1" applyBorder="1" applyAlignment="1"/>
    <xf numFmtId="165" fontId="5" fillId="0" borderId="0" xfId="0" applyNumberFormat="1" applyFon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1.25" x14ac:dyDescent="0.2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48"/>
  <sheetViews>
    <sheetView tabSelected="1" workbookViewId="0">
      <selection activeCell="C7" sqref="C7"/>
    </sheetView>
  </sheetViews>
  <sheetFormatPr defaultRowHeight="11.25" x14ac:dyDescent="0.2"/>
  <cols>
    <col min="2" max="2" width="36.6640625" bestFit="1" customWidth="1"/>
    <col min="3" max="3" width="13" bestFit="1" customWidth="1"/>
    <col min="5" max="5" width="15.33203125" bestFit="1" customWidth="1"/>
  </cols>
  <sheetData>
    <row r="2" spans="2:6" ht="12" customHeight="1" x14ac:dyDescent="0.2">
      <c r="B2" s="1" t="s">
        <v>20</v>
      </c>
    </row>
    <row r="3" spans="2:6" x14ac:dyDescent="0.2">
      <c r="B3" t="s">
        <v>3</v>
      </c>
      <c r="F3" s="4"/>
    </row>
    <row r="4" spans="2:6" x14ac:dyDescent="0.2">
      <c r="B4" t="s">
        <v>7</v>
      </c>
      <c r="C4" s="15">
        <v>0.08</v>
      </c>
      <c r="F4" s="4"/>
    </row>
    <row r="5" spans="2:6" x14ac:dyDescent="0.2">
      <c r="B5" t="s">
        <v>13</v>
      </c>
      <c r="C5" s="15">
        <v>0.05</v>
      </c>
      <c r="F5" s="4"/>
    </row>
    <row r="6" spans="2:6" x14ac:dyDescent="0.2">
      <c r="B6" t="s">
        <v>19</v>
      </c>
      <c r="C6" s="15">
        <v>1.4999999999999999E-2</v>
      </c>
      <c r="F6" s="4"/>
    </row>
    <row r="7" spans="2:6" x14ac:dyDescent="0.2">
      <c r="B7" t="s">
        <v>12</v>
      </c>
      <c r="C7" s="21">
        <v>1666.6666666666667</v>
      </c>
    </row>
    <row r="8" spans="2:6" x14ac:dyDescent="0.2">
      <c r="B8" t="s">
        <v>24</v>
      </c>
      <c r="C8" s="15">
        <v>0.8</v>
      </c>
    </row>
    <row r="9" spans="2:6" x14ac:dyDescent="0.2">
      <c r="B9" t="s">
        <v>23</v>
      </c>
      <c r="C9" s="15">
        <v>0.2</v>
      </c>
    </row>
    <row r="10" spans="2:6" x14ac:dyDescent="0.2">
      <c r="B10" t="s">
        <v>39</v>
      </c>
      <c r="C10" s="33">
        <v>0.19</v>
      </c>
    </row>
    <row r="11" spans="2:6" x14ac:dyDescent="0.2">
      <c r="B11" t="s">
        <v>40</v>
      </c>
      <c r="C11" s="33">
        <v>0.17199999999999999</v>
      </c>
    </row>
    <row r="12" spans="2:6" x14ac:dyDescent="0.2">
      <c r="C12" s="2"/>
    </row>
    <row r="14" spans="2:6" ht="12" customHeight="1" x14ac:dyDescent="0.2">
      <c r="B14" s="1" t="s">
        <v>9</v>
      </c>
    </row>
    <row r="15" spans="2:6" x14ac:dyDescent="0.2">
      <c r="B15" t="s">
        <v>0</v>
      </c>
      <c r="C15" s="21">
        <v>1100000</v>
      </c>
    </row>
    <row r="16" spans="2:6" x14ac:dyDescent="0.2">
      <c r="B16" t="s">
        <v>6</v>
      </c>
      <c r="C16" s="2">
        <f>C15*C4</f>
        <v>88000</v>
      </c>
    </row>
    <row r="17" spans="2:3" x14ac:dyDescent="0.2">
      <c r="B17" t="s">
        <v>8</v>
      </c>
      <c r="C17" s="2">
        <f>C15*C5</f>
        <v>55000</v>
      </c>
    </row>
    <row r="18" spans="2:3" x14ac:dyDescent="0.2">
      <c r="B18" s="10" t="s">
        <v>14</v>
      </c>
      <c r="C18" s="22">
        <f>SUM(C15:C17)</f>
        <v>1243000</v>
      </c>
    </row>
    <row r="20" spans="2:3" ht="12" customHeight="1" x14ac:dyDescent="0.2">
      <c r="B20" s="1" t="s">
        <v>10</v>
      </c>
    </row>
    <row r="21" spans="2:3" x14ac:dyDescent="0.2">
      <c r="B21" t="s">
        <v>1</v>
      </c>
      <c r="C21" s="20">
        <v>100000</v>
      </c>
    </row>
    <row r="22" spans="2:3" x14ac:dyDescent="0.2">
      <c r="B22" t="s">
        <v>2</v>
      </c>
      <c r="C22" s="4">
        <f>C18-C21</f>
        <v>1143000</v>
      </c>
    </row>
    <row r="24" spans="2:3" ht="12" customHeight="1" x14ac:dyDescent="0.2">
      <c r="B24" s="1" t="s">
        <v>11</v>
      </c>
    </row>
    <row r="25" spans="2:3" x14ac:dyDescent="0.2">
      <c r="B25" t="s">
        <v>18</v>
      </c>
      <c r="C25" s="4">
        <f>C15*(1+C6)^C26</f>
        <v>1719388.2425399343</v>
      </c>
    </row>
    <row r="26" spans="2:3" x14ac:dyDescent="0.2">
      <c r="B26" t="s">
        <v>57</v>
      </c>
      <c r="C26" s="20">
        <v>30</v>
      </c>
    </row>
    <row r="27" spans="2:3" x14ac:dyDescent="0.2">
      <c r="B27" t="s">
        <v>26</v>
      </c>
      <c r="C27" s="4">
        <f>HLOOKUP('Valorisation investissement'!C26,'Echéance dette'!F5:AJ8,3)</f>
        <v>3.92901711165905E-10</v>
      </c>
    </row>
    <row r="28" spans="2:3" ht="10.15" customHeight="1" x14ac:dyDescent="0.2">
      <c r="B28" s="23" t="s">
        <v>25</v>
      </c>
      <c r="C28" s="24">
        <f>C25-C21-C27</f>
        <v>1619388.2425399339</v>
      </c>
    </row>
    <row r="30" spans="2:3" x14ac:dyDescent="0.2">
      <c r="B30" t="s">
        <v>41</v>
      </c>
      <c r="C30" s="3">
        <f>IF($C$26&lt;6,0,IF(AND($C$26&gt;6,$C$26&lt;22),6%,IF($C$26=22,4%,IF($C$26&gt;22,100%,0))))</f>
        <v>1</v>
      </c>
    </row>
    <row r="31" spans="2:3" x14ac:dyDescent="0.2">
      <c r="B31" t="s">
        <v>42</v>
      </c>
      <c r="C31" s="3">
        <f>IF($C$26&lt;6,0,IF(AND($C$26&gt;6,$C$26&lt;22),(C26-6)*6%,IF($C$26=22,((C26-7)*6%+4%),IF($C$26&gt;22,100%,0))))</f>
        <v>1</v>
      </c>
    </row>
    <row r="32" spans="2:3" x14ac:dyDescent="0.2">
      <c r="B32" t="s">
        <v>38</v>
      </c>
      <c r="C32" s="3">
        <f>IF($C$26&lt;6,0,IF(AND($C$26&gt;6,$C$26&lt;22),1.65%,IF($C$26=22,1.6%,IF(AND($C$26&gt;22,$C$26&lt;30),9%,IF(C26=30,1,0)))))</f>
        <v>1</v>
      </c>
    </row>
    <row r="33" spans="2:3" x14ac:dyDescent="0.2">
      <c r="B33" t="s">
        <v>43</v>
      </c>
      <c r="C33" s="3">
        <f>IF($C$26&lt;6,0,IF(AND($C$26&gt;6,$C$26&lt;22),(C26-6)*1.65%,IF($C$26=22,(C26-7)*1.65%+1.6%,IF(AND($C$26&gt;22,$C$26&lt;30),(16)*1.65%+1.6%+(C26-22)*9%,IF(C26=30,1,0)))))</f>
        <v>1</v>
      </c>
    </row>
    <row r="34" spans="2:3" x14ac:dyDescent="0.2">
      <c r="C34" s="3"/>
    </row>
    <row r="35" spans="2:3" x14ac:dyDescent="0.2">
      <c r="B35" t="s">
        <v>44</v>
      </c>
      <c r="C35" s="15">
        <v>0.19</v>
      </c>
    </row>
    <row r="36" spans="2:3" x14ac:dyDescent="0.2">
      <c r="B36" t="s">
        <v>45</v>
      </c>
      <c r="C36" s="15">
        <v>0.17199999999999999</v>
      </c>
    </row>
    <row r="37" spans="2:3" x14ac:dyDescent="0.2">
      <c r="B37" t="s">
        <v>46</v>
      </c>
      <c r="C37" s="8">
        <f>-(C28*(1-C32)*C35+C28*(1-C33)*C36)</f>
        <v>0</v>
      </c>
    </row>
    <row r="38" spans="2:3" x14ac:dyDescent="0.2">
      <c r="C38" s="3"/>
    </row>
    <row r="39" spans="2:3" x14ac:dyDescent="0.2">
      <c r="B39" s="12" t="s">
        <v>47</v>
      </c>
      <c r="C39" s="30">
        <f>C28+C37</f>
        <v>1619388.2425399339</v>
      </c>
    </row>
    <row r="40" spans="2:3" ht="5.25" customHeight="1" x14ac:dyDescent="0.2">
      <c r="B40" s="9"/>
      <c r="C40" s="18"/>
    </row>
    <row r="41" spans="2:3" x14ac:dyDescent="0.2">
      <c r="B41" s="11" t="s">
        <v>52</v>
      </c>
      <c r="C41" s="29">
        <f>C39*Flux!AG19</f>
        <v>290287.24686621729</v>
      </c>
    </row>
    <row r="42" spans="2:3" ht="5.25" customHeight="1" x14ac:dyDescent="0.2">
      <c r="B42" s="9"/>
      <c r="C42" s="18"/>
    </row>
    <row r="43" spans="2:3" x14ac:dyDescent="0.2">
      <c r="B43" s="11" t="s">
        <v>53</v>
      </c>
      <c r="C43" s="29">
        <f>SUM(Flux!D20:AG20)</f>
        <v>-388117.2959335944</v>
      </c>
    </row>
    <row r="44" spans="2:3" x14ac:dyDescent="0.2">
      <c r="B44" s="27"/>
      <c r="C44" s="28"/>
    </row>
    <row r="45" spans="2:3" x14ac:dyDescent="0.2">
      <c r="B45" s="31" t="s">
        <v>54</v>
      </c>
      <c r="C45" s="32">
        <f>C41+C43</f>
        <v>-97830.049067377113</v>
      </c>
    </row>
    <row r="46" spans="2:3" x14ac:dyDescent="0.2">
      <c r="B46" s="9"/>
      <c r="C46" s="18"/>
    </row>
    <row r="47" spans="2:3" x14ac:dyDescent="0.2">
      <c r="B47" t="s">
        <v>55</v>
      </c>
      <c r="C47" s="3">
        <f>(C45+C21)/C21</f>
        <v>2.1699509326228873E-2</v>
      </c>
    </row>
    <row r="48" spans="2:3" x14ac:dyDescent="0.2">
      <c r="B48" t="s">
        <v>56</v>
      </c>
      <c r="C48" s="8">
        <f>((C45+C21)/C21)^(1/C26)</f>
        <v>0.88013305182810164</v>
      </c>
    </row>
  </sheetData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AH20"/>
  <sheetViews>
    <sheetView showGridLines="0" workbookViewId="0">
      <selection activeCell="D8" sqref="D8"/>
    </sheetView>
  </sheetViews>
  <sheetFormatPr defaultRowHeight="11.25" x14ac:dyDescent="0.2"/>
  <cols>
    <col min="2" max="2" width="21.1640625" bestFit="1" customWidth="1"/>
    <col min="3" max="3" width="17.1640625" customWidth="1"/>
  </cols>
  <sheetData>
    <row r="2" spans="2:34" x14ac:dyDescent="0.2">
      <c r="B2" t="s">
        <v>48</v>
      </c>
      <c r="C2" s="25">
        <v>0.06</v>
      </c>
    </row>
    <row r="3" spans="2:34" x14ac:dyDescent="0.2">
      <c r="B3" t="s">
        <v>19</v>
      </c>
      <c r="C3" s="25">
        <v>1.4999999999999999E-2</v>
      </c>
    </row>
    <row r="5" spans="2:34" ht="12.75" x14ac:dyDescent="0.2">
      <c r="B5" s="1" t="s">
        <v>21</v>
      </c>
      <c r="C5">
        <v>0</v>
      </c>
      <c r="D5">
        <v>1</v>
      </c>
      <c r="E5">
        <v>2</v>
      </c>
      <c r="F5">
        <v>3</v>
      </c>
      <c r="G5">
        <v>4</v>
      </c>
      <c r="H5">
        <v>5</v>
      </c>
      <c r="I5">
        <v>6</v>
      </c>
      <c r="J5">
        <v>7</v>
      </c>
      <c r="K5">
        <v>8</v>
      </c>
      <c r="L5">
        <v>9</v>
      </c>
      <c r="M5">
        <v>10</v>
      </c>
      <c r="N5">
        <v>11</v>
      </c>
      <c r="O5">
        <v>12</v>
      </c>
      <c r="P5">
        <v>13</v>
      </c>
      <c r="Q5">
        <v>14</v>
      </c>
      <c r="R5">
        <v>15</v>
      </c>
      <c r="S5">
        <v>16</v>
      </c>
      <c r="T5">
        <v>17</v>
      </c>
      <c r="U5">
        <v>18</v>
      </c>
      <c r="V5">
        <v>19</v>
      </c>
      <c r="W5">
        <v>20</v>
      </c>
      <c r="X5">
        <v>21</v>
      </c>
      <c r="Y5">
        <v>22</v>
      </c>
      <c r="Z5">
        <v>23</v>
      </c>
      <c r="AA5">
        <v>24</v>
      </c>
      <c r="AB5">
        <v>25</v>
      </c>
      <c r="AC5">
        <v>26</v>
      </c>
      <c r="AD5">
        <v>27</v>
      </c>
      <c r="AE5">
        <v>28</v>
      </c>
      <c r="AF5">
        <v>29</v>
      </c>
      <c r="AG5">
        <v>30</v>
      </c>
      <c r="AH5">
        <v>31</v>
      </c>
    </row>
    <row r="6" spans="2:34" ht="10.15" customHeight="1" x14ac:dyDescent="0.2">
      <c r="B6" s="7" t="s">
        <v>22</v>
      </c>
      <c r="C6" s="7">
        <v>2019</v>
      </c>
      <c r="D6" s="6">
        <v>2020</v>
      </c>
      <c r="E6" s="6">
        <v>2021</v>
      </c>
      <c r="F6" s="6">
        <v>2022</v>
      </c>
      <c r="G6" s="6">
        <v>2023</v>
      </c>
      <c r="H6" s="6">
        <v>2024</v>
      </c>
      <c r="I6" s="6">
        <v>2025</v>
      </c>
      <c r="J6" s="6">
        <v>2026</v>
      </c>
      <c r="K6" s="6">
        <v>2027</v>
      </c>
      <c r="L6" s="6">
        <v>2028</v>
      </c>
      <c r="M6" s="6">
        <v>2029</v>
      </c>
      <c r="N6" s="6">
        <v>2030</v>
      </c>
      <c r="O6" s="6">
        <v>2031</v>
      </c>
      <c r="P6" s="6">
        <v>2032</v>
      </c>
      <c r="Q6" s="6">
        <v>2033</v>
      </c>
      <c r="R6" s="6">
        <v>2034</v>
      </c>
      <c r="S6" s="6">
        <v>2035</v>
      </c>
      <c r="T6" s="6">
        <v>2036</v>
      </c>
      <c r="U6" s="6">
        <v>2037</v>
      </c>
      <c r="V6" s="6">
        <v>2038</v>
      </c>
      <c r="W6" s="6">
        <v>2039</v>
      </c>
      <c r="X6" s="6">
        <v>2040</v>
      </c>
      <c r="Y6" s="6">
        <v>2041</v>
      </c>
      <c r="Z6" s="6">
        <v>2042</v>
      </c>
      <c r="AA6" s="6">
        <v>2043</v>
      </c>
      <c r="AB6" s="6">
        <v>2044</v>
      </c>
      <c r="AC6" s="6">
        <v>2045</v>
      </c>
      <c r="AD6" s="6">
        <v>2046</v>
      </c>
      <c r="AE6" s="6">
        <v>2047</v>
      </c>
      <c r="AF6" s="6">
        <v>2048</v>
      </c>
      <c r="AG6" s="6">
        <v>2049</v>
      </c>
      <c r="AH6" s="6">
        <v>2050</v>
      </c>
    </row>
    <row r="7" spans="2:34" ht="5.25" customHeight="1" x14ac:dyDescent="0.2">
      <c r="B7" s="1"/>
      <c r="C7" s="1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</row>
    <row r="8" spans="2:34" x14ac:dyDescent="0.2">
      <c r="B8" t="s">
        <v>15</v>
      </c>
      <c r="C8" s="8">
        <v>0</v>
      </c>
      <c r="D8" s="8">
        <f>'Valorisation investissement'!$C$7*12</f>
        <v>20000</v>
      </c>
      <c r="E8" s="8">
        <f>'Valorisation investissement'!$C$7*12</f>
        <v>20000</v>
      </c>
      <c r="F8" s="8">
        <f>'Valorisation investissement'!$C$7*12</f>
        <v>20000</v>
      </c>
      <c r="G8" s="8">
        <f>'Valorisation investissement'!$C$7*12</f>
        <v>20000</v>
      </c>
      <c r="H8" s="8">
        <f>'Valorisation investissement'!$C$7*12</f>
        <v>20000</v>
      </c>
      <c r="I8" s="8">
        <f>'Valorisation investissement'!$C$7*12</f>
        <v>20000</v>
      </c>
      <c r="J8" s="8">
        <f>'Valorisation investissement'!$C$7*12</f>
        <v>20000</v>
      </c>
      <c r="K8" s="8">
        <f>'Valorisation investissement'!$C$7*12</f>
        <v>20000</v>
      </c>
      <c r="L8" s="8">
        <f>'Valorisation investissement'!$C$7*12</f>
        <v>20000</v>
      </c>
      <c r="M8" s="8">
        <f>'Valorisation investissement'!$C$7*12</f>
        <v>20000</v>
      </c>
      <c r="N8" s="8">
        <f>'Valorisation investissement'!$C$7*12</f>
        <v>20000</v>
      </c>
      <c r="O8" s="8">
        <f>'Valorisation investissement'!$C$7*12</f>
        <v>20000</v>
      </c>
      <c r="P8" s="8">
        <f>'Valorisation investissement'!$C$7*12</f>
        <v>20000</v>
      </c>
      <c r="Q8" s="8">
        <f>'Valorisation investissement'!$C$7*12</f>
        <v>20000</v>
      </c>
      <c r="R8" s="8">
        <f>'Valorisation investissement'!$C$7*12</f>
        <v>20000</v>
      </c>
      <c r="S8" s="8">
        <f>'Valorisation investissement'!$C$7*12</f>
        <v>20000</v>
      </c>
      <c r="T8" s="8">
        <f>'Valorisation investissement'!$C$7*12</f>
        <v>20000</v>
      </c>
      <c r="U8" s="8">
        <f>'Valorisation investissement'!$C$7*12</f>
        <v>20000</v>
      </c>
      <c r="V8" s="8">
        <f>'Valorisation investissement'!$C$7*12</f>
        <v>20000</v>
      </c>
      <c r="W8" s="8">
        <f>'Valorisation investissement'!$C$7*12</f>
        <v>20000</v>
      </c>
      <c r="X8" s="8">
        <f>'Valorisation investissement'!$C$7*12</f>
        <v>20000</v>
      </c>
      <c r="Y8" s="8">
        <f>'Valorisation investissement'!$C$7*12</f>
        <v>20000</v>
      </c>
      <c r="Z8" s="8">
        <f>'Valorisation investissement'!$C$7*12</f>
        <v>20000</v>
      </c>
      <c r="AA8" s="8">
        <f>'Valorisation investissement'!$C$7*12</f>
        <v>20000</v>
      </c>
      <c r="AB8" s="8">
        <f>'Valorisation investissement'!$C$7*12</f>
        <v>20000</v>
      </c>
      <c r="AC8" s="8">
        <f>'Valorisation investissement'!$C$7*12</f>
        <v>20000</v>
      </c>
      <c r="AD8" s="8">
        <f>'Valorisation investissement'!$C$7*12</f>
        <v>20000</v>
      </c>
      <c r="AE8" s="8">
        <f>'Valorisation investissement'!$C$7*12</f>
        <v>20000</v>
      </c>
      <c r="AF8" s="8">
        <f>'Valorisation investissement'!$C$7*12</f>
        <v>20000</v>
      </c>
      <c r="AG8" s="8">
        <f>'Valorisation investissement'!$C$7*12</f>
        <v>20000</v>
      </c>
      <c r="AH8" s="8">
        <f>'Valorisation investissement'!$C$7*12</f>
        <v>20000</v>
      </c>
    </row>
    <row r="9" spans="2:34" x14ac:dyDescent="0.2">
      <c r="B9" t="s">
        <v>16</v>
      </c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</row>
    <row r="10" spans="2:34" x14ac:dyDescent="0.2">
      <c r="B10" t="s">
        <v>17</v>
      </c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</row>
    <row r="11" spans="2:34" x14ac:dyDescent="0.2">
      <c r="B11" t="s">
        <v>4</v>
      </c>
      <c r="C11" s="8">
        <v>0</v>
      </c>
      <c r="D11" s="8">
        <f>-'Valorisation investissement'!$C$8*'Valorisation investissement'!$C$7</f>
        <v>-1333.3333333333335</v>
      </c>
      <c r="E11" s="8">
        <f>-'Valorisation investissement'!$C$8*'Valorisation investissement'!$C$7</f>
        <v>-1333.3333333333335</v>
      </c>
      <c r="F11" s="8">
        <f>-'Valorisation investissement'!$C$8*'Valorisation investissement'!$C$7</f>
        <v>-1333.3333333333335</v>
      </c>
      <c r="G11" s="8">
        <f>-'Valorisation investissement'!$C$8*'Valorisation investissement'!$C$7</f>
        <v>-1333.3333333333335</v>
      </c>
      <c r="H11" s="8">
        <f>-'Valorisation investissement'!$C$8*'Valorisation investissement'!$C$7</f>
        <v>-1333.3333333333335</v>
      </c>
      <c r="I11" s="8">
        <f>-'Valorisation investissement'!$C$8*'Valorisation investissement'!$C$7</f>
        <v>-1333.3333333333335</v>
      </c>
      <c r="J11" s="8">
        <f>-'Valorisation investissement'!$C$8*'Valorisation investissement'!$C$7</f>
        <v>-1333.3333333333335</v>
      </c>
      <c r="K11" s="8">
        <f>-'Valorisation investissement'!$C$8*'Valorisation investissement'!$C$7</f>
        <v>-1333.3333333333335</v>
      </c>
      <c r="L11" s="8">
        <f>-'Valorisation investissement'!$C$8*'Valorisation investissement'!$C$7</f>
        <v>-1333.3333333333335</v>
      </c>
      <c r="M11" s="8">
        <f>-'Valorisation investissement'!$C$8*'Valorisation investissement'!$C$7</f>
        <v>-1333.3333333333335</v>
      </c>
      <c r="N11" s="8">
        <f>-'Valorisation investissement'!$C$8*'Valorisation investissement'!$C$7</f>
        <v>-1333.3333333333335</v>
      </c>
      <c r="O11" s="8">
        <f>-'Valorisation investissement'!$C$8*'Valorisation investissement'!$C$7</f>
        <v>-1333.3333333333335</v>
      </c>
      <c r="P11" s="8">
        <f>-'Valorisation investissement'!$C$8*'Valorisation investissement'!$C$7</f>
        <v>-1333.3333333333335</v>
      </c>
      <c r="Q11" s="8">
        <f>-'Valorisation investissement'!$C$8*'Valorisation investissement'!$C$7</f>
        <v>-1333.3333333333335</v>
      </c>
      <c r="R11" s="8">
        <f>-'Valorisation investissement'!$C$8*'Valorisation investissement'!$C$7</f>
        <v>-1333.3333333333335</v>
      </c>
      <c r="S11" s="8">
        <f>-'Valorisation investissement'!$C$8*'Valorisation investissement'!$C$7</f>
        <v>-1333.3333333333335</v>
      </c>
      <c r="T11" s="8">
        <f>-'Valorisation investissement'!$C$8*'Valorisation investissement'!$C$7</f>
        <v>-1333.3333333333335</v>
      </c>
      <c r="U11" s="8">
        <f>-'Valorisation investissement'!$C$8*'Valorisation investissement'!$C$7</f>
        <v>-1333.3333333333335</v>
      </c>
      <c r="V11" s="8">
        <f>-'Valorisation investissement'!$C$8*'Valorisation investissement'!$C$7</f>
        <v>-1333.3333333333335</v>
      </c>
      <c r="W11" s="8">
        <f>-'Valorisation investissement'!$C$8*'Valorisation investissement'!$C$7</f>
        <v>-1333.3333333333335</v>
      </c>
      <c r="X11" s="8">
        <f>-'Valorisation investissement'!$C$8*'Valorisation investissement'!$C$7</f>
        <v>-1333.3333333333335</v>
      </c>
      <c r="Y11" s="8">
        <f>-'Valorisation investissement'!$C$8*'Valorisation investissement'!$C$7</f>
        <v>-1333.3333333333335</v>
      </c>
      <c r="Z11" s="8">
        <f>-'Valorisation investissement'!$C$8*'Valorisation investissement'!$C$7</f>
        <v>-1333.3333333333335</v>
      </c>
      <c r="AA11" s="8">
        <f>-'Valorisation investissement'!$C$8*'Valorisation investissement'!$C$7</f>
        <v>-1333.3333333333335</v>
      </c>
      <c r="AB11" s="8">
        <f>-'Valorisation investissement'!$C$8*'Valorisation investissement'!$C$7</f>
        <v>-1333.3333333333335</v>
      </c>
      <c r="AC11" s="8">
        <f>-'Valorisation investissement'!$C$8*'Valorisation investissement'!$C$7</f>
        <v>-1333.3333333333335</v>
      </c>
      <c r="AD11" s="8">
        <f>-'Valorisation investissement'!$C$8*'Valorisation investissement'!$C$7</f>
        <v>-1333.3333333333335</v>
      </c>
      <c r="AE11" s="8">
        <f>-'Valorisation investissement'!$C$8*'Valorisation investissement'!$C$7</f>
        <v>-1333.3333333333335</v>
      </c>
      <c r="AF11" s="8">
        <f>-'Valorisation investissement'!$C$8*'Valorisation investissement'!$C$7</f>
        <v>-1333.3333333333335</v>
      </c>
      <c r="AG11" s="8">
        <f>-'Valorisation investissement'!$C$8*'Valorisation investissement'!$C$7</f>
        <v>-1333.3333333333335</v>
      </c>
      <c r="AH11" s="8">
        <f>-'Valorisation investissement'!$C$8*'Valorisation investissement'!$C$7</f>
        <v>-1333.3333333333335</v>
      </c>
    </row>
    <row r="12" spans="2:34" x14ac:dyDescent="0.2">
      <c r="B12" t="s">
        <v>36</v>
      </c>
      <c r="D12" s="8">
        <f>-'Valorisation investissement'!$C$9*'Valorisation investissement'!$C$7</f>
        <v>-333.33333333333337</v>
      </c>
      <c r="E12" s="8">
        <f>-'Valorisation investissement'!$C$9*'Valorisation investissement'!$C$7</f>
        <v>-333.33333333333337</v>
      </c>
      <c r="F12" s="8">
        <f>-'Valorisation investissement'!$C$9*'Valorisation investissement'!$C$7</f>
        <v>-333.33333333333337</v>
      </c>
      <c r="G12" s="8">
        <f>-'Valorisation investissement'!$C$9*'Valorisation investissement'!$C$7</f>
        <v>-333.33333333333337</v>
      </c>
      <c r="H12" s="8">
        <f>-'Valorisation investissement'!$C$9*'Valorisation investissement'!$C$7</f>
        <v>-333.33333333333337</v>
      </c>
      <c r="I12" s="8">
        <f>-'Valorisation investissement'!$C$9*'Valorisation investissement'!$C$7</f>
        <v>-333.33333333333337</v>
      </c>
      <c r="J12" s="8">
        <f>-'Valorisation investissement'!$C$9*'Valorisation investissement'!$C$7</f>
        <v>-333.33333333333337</v>
      </c>
      <c r="K12" s="8">
        <f>-'Valorisation investissement'!$C$9*'Valorisation investissement'!$C$7</f>
        <v>-333.33333333333337</v>
      </c>
      <c r="L12" s="8">
        <f>-'Valorisation investissement'!$C$9*'Valorisation investissement'!$C$7</f>
        <v>-333.33333333333337</v>
      </c>
      <c r="M12" s="8">
        <f>-'Valorisation investissement'!$C$9*'Valorisation investissement'!$C$7</f>
        <v>-333.33333333333337</v>
      </c>
      <c r="N12" s="8">
        <f>-'Valorisation investissement'!$C$9*'Valorisation investissement'!$C$7</f>
        <v>-333.33333333333337</v>
      </c>
      <c r="O12" s="8">
        <f>-'Valorisation investissement'!$C$9*'Valorisation investissement'!$C$7</f>
        <v>-333.33333333333337</v>
      </c>
      <c r="P12" s="8">
        <f>-'Valorisation investissement'!$C$9*'Valorisation investissement'!$C$7</f>
        <v>-333.33333333333337</v>
      </c>
      <c r="Q12" s="8">
        <f>-'Valorisation investissement'!$C$9*'Valorisation investissement'!$C$7</f>
        <v>-333.33333333333337</v>
      </c>
      <c r="R12" s="8">
        <f>-'Valorisation investissement'!$C$9*'Valorisation investissement'!$C$7</f>
        <v>-333.33333333333337</v>
      </c>
      <c r="S12" s="8">
        <f>-'Valorisation investissement'!$C$9*'Valorisation investissement'!$C$7</f>
        <v>-333.33333333333337</v>
      </c>
      <c r="T12" s="8">
        <f>-'Valorisation investissement'!$C$9*'Valorisation investissement'!$C$7</f>
        <v>-333.33333333333337</v>
      </c>
      <c r="U12" s="8">
        <f>-'Valorisation investissement'!$C$9*'Valorisation investissement'!$C$7</f>
        <v>-333.33333333333337</v>
      </c>
      <c r="V12" s="8">
        <f>-'Valorisation investissement'!$C$9*'Valorisation investissement'!$C$7</f>
        <v>-333.33333333333337</v>
      </c>
      <c r="W12" s="8">
        <f>-'Valorisation investissement'!$C$9*'Valorisation investissement'!$C$7</f>
        <v>-333.33333333333337</v>
      </c>
      <c r="X12" s="8">
        <f>-'Valorisation investissement'!$C$9*'Valorisation investissement'!$C$7</f>
        <v>-333.33333333333337</v>
      </c>
      <c r="Y12" s="8">
        <f>-'Valorisation investissement'!$C$9*'Valorisation investissement'!$C$7</f>
        <v>-333.33333333333337</v>
      </c>
      <c r="Z12" s="8">
        <f>-'Valorisation investissement'!$C$9*'Valorisation investissement'!$C$7</f>
        <v>-333.33333333333337</v>
      </c>
      <c r="AA12" s="8">
        <f>-'Valorisation investissement'!$C$9*'Valorisation investissement'!$C$7</f>
        <v>-333.33333333333337</v>
      </c>
      <c r="AB12" s="8">
        <f>-'Valorisation investissement'!$C$9*'Valorisation investissement'!$C$7</f>
        <v>-333.33333333333337</v>
      </c>
      <c r="AC12" s="8">
        <f>-'Valorisation investissement'!$C$9*'Valorisation investissement'!$C$7</f>
        <v>-333.33333333333337</v>
      </c>
      <c r="AD12" s="8">
        <f>-'Valorisation investissement'!$C$9*'Valorisation investissement'!$C$7</f>
        <v>-333.33333333333337</v>
      </c>
      <c r="AE12" s="8">
        <f>-'Valorisation investissement'!$C$9*'Valorisation investissement'!$C$7</f>
        <v>-333.33333333333337</v>
      </c>
      <c r="AF12" s="8">
        <f>-'Valorisation investissement'!$C$9*'Valorisation investissement'!$C$7</f>
        <v>-333.33333333333337</v>
      </c>
      <c r="AG12" s="8">
        <f>-'Valorisation investissement'!$C$9*'Valorisation investissement'!$C$7</f>
        <v>-333.33333333333337</v>
      </c>
      <c r="AH12" s="8">
        <f>-'Valorisation investissement'!$C$9*'Valorisation investissement'!$C$7</f>
        <v>-333.33333333333337</v>
      </c>
    </row>
    <row r="13" spans="2:34" x14ac:dyDescent="0.2">
      <c r="B13" s="10" t="s">
        <v>37</v>
      </c>
      <c r="C13" s="19">
        <f>SUM(C8:C12)</f>
        <v>0</v>
      </c>
      <c r="D13" s="19">
        <f t="shared" ref="D13:AH13" si="0">SUM(D8:D12)</f>
        <v>18333.333333333336</v>
      </c>
      <c r="E13" s="19">
        <f t="shared" si="0"/>
        <v>18333.333333333336</v>
      </c>
      <c r="F13" s="19">
        <f t="shared" si="0"/>
        <v>18333.333333333336</v>
      </c>
      <c r="G13" s="19">
        <f t="shared" si="0"/>
        <v>18333.333333333336</v>
      </c>
      <c r="H13" s="19">
        <f t="shared" si="0"/>
        <v>18333.333333333336</v>
      </c>
      <c r="I13" s="19">
        <f t="shared" si="0"/>
        <v>18333.333333333336</v>
      </c>
      <c r="J13" s="19">
        <f t="shared" si="0"/>
        <v>18333.333333333336</v>
      </c>
      <c r="K13" s="19">
        <f t="shared" si="0"/>
        <v>18333.333333333336</v>
      </c>
      <c r="L13" s="19">
        <f t="shared" si="0"/>
        <v>18333.333333333336</v>
      </c>
      <c r="M13" s="19">
        <f t="shared" si="0"/>
        <v>18333.333333333336</v>
      </c>
      <c r="N13" s="19">
        <f t="shared" si="0"/>
        <v>18333.333333333336</v>
      </c>
      <c r="O13" s="19">
        <f t="shared" si="0"/>
        <v>18333.333333333336</v>
      </c>
      <c r="P13" s="19">
        <f t="shared" si="0"/>
        <v>18333.333333333336</v>
      </c>
      <c r="Q13" s="19">
        <f t="shared" si="0"/>
        <v>18333.333333333336</v>
      </c>
      <c r="R13" s="19">
        <f t="shared" si="0"/>
        <v>18333.333333333336</v>
      </c>
      <c r="S13" s="19">
        <f t="shared" si="0"/>
        <v>18333.333333333336</v>
      </c>
      <c r="T13" s="19">
        <f t="shared" si="0"/>
        <v>18333.333333333336</v>
      </c>
      <c r="U13" s="19">
        <f t="shared" si="0"/>
        <v>18333.333333333336</v>
      </c>
      <c r="V13" s="19">
        <f t="shared" si="0"/>
        <v>18333.333333333336</v>
      </c>
      <c r="W13" s="19">
        <f t="shared" si="0"/>
        <v>18333.333333333336</v>
      </c>
      <c r="X13" s="19">
        <f t="shared" si="0"/>
        <v>18333.333333333336</v>
      </c>
      <c r="Y13" s="19">
        <f t="shared" si="0"/>
        <v>18333.333333333336</v>
      </c>
      <c r="Z13" s="19">
        <f t="shared" si="0"/>
        <v>18333.333333333336</v>
      </c>
      <c r="AA13" s="19">
        <f t="shared" si="0"/>
        <v>18333.333333333336</v>
      </c>
      <c r="AB13" s="19">
        <f t="shared" si="0"/>
        <v>18333.333333333336</v>
      </c>
      <c r="AC13" s="19">
        <f t="shared" si="0"/>
        <v>18333.333333333336</v>
      </c>
      <c r="AD13" s="19">
        <f t="shared" si="0"/>
        <v>18333.333333333336</v>
      </c>
      <c r="AE13" s="19">
        <f t="shared" si="0"/>
        <v>18333.333333333336</v>
      </c>
      <c r="AF13" s="19">
        <f t="shared" si="0"/>
        <v>18333.333333333336</v>
      </c>
      <c r="AG13" s="19">
        <f t="shared" si="0"/>
        <v>18333.333333333336</v>
      </c>
      <c r="AH13" s="19">
        <f t="shared" si="0"/>
        <v>18333.333333333336</v>
      </c>
    </row>
    <row r="14" spans="2:34" x14ac:dyDescent="0.2">
      <c r="B14" t="s">
        <v>5</v>
      </c>
      <c r="C14" s="8">
        <f>-'Valorisation investissement'!C21</f>
        <v>-100000</v>
      </c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</row>
    <row r="15" spans="2:34" x14ac:dyDescent="0.2">
      <c r="B15" t="s">
        <v>27</v>
      </c>
      <c r="C15" s="8">
        <v>0</v>
      </c>
      <c r="D15" s="8">
        <f>-'Echéance dette'!G8</f>
        <v>-45720.000000569606</v>
      </c>
      <c r="E15" s="8">
        <f>-'Echéance dette'!H8</f>
        <v>-45720.000000569606</v>
      </c>
      <c r="F15" s="8">
        <f>-'Echéance dette'!I8</f>
        <v>-45720.000000569606</v>
      </c>
      <c r="G15" s="8">
        <f>-'Echéance dette'!J8</f>
        <v>-45720.000000569606</v>
      </c>
      <c r="H15" s="8">
        <f>-'Echéance dette'!K8</f>
        <v>-45720.000000569606</v>
      </c>
      <c r="I15" s="8">
        <f>-'Echéance dette'!L8</f>
        <v>-45720.000000569606</v>
      </c>
      <c r="J15" s="8">
        <f>-'Echéance dette'!M8</f>
        <v>-45720.000000569606</v>
      </c>
      <c r="K15" s="8">
        <f>-'Echéance dette'!N8</f>
        <v>-45720.000000569606</v>
      </c>
      <c r="L15" s="8">
        <f>-'Echéance dette'!O8</f>
        <v>-45720.000000569606</v>
      </c>
      <c r="M15" s="8">
        <f>-'Echéance dette'!P8</f>
        <v>-45720.000000569606</v>
      </c>
      <c r="N15" s="8">
        <f>-'Echéance dette'!Q8</f>
        <v>-45720.000000569606</v>
      </c>
      <c r="O15" s="8">
        <f>-'Echéance dette'!R8</f>
        <v>-45720.000000569606</v>
      </c>
      <c r="P15" s="8">
        <f>-'Echéance dette'!S8</f>
        <v>-45720.000000569606</v>
      </c>
      <c r="Q15" s="8">
        <f>-'Echéance dette'!T8</f>
        <v>-45720.000000569606</v>
      </c>
      <c r="R15" s="8">
        <f>-'Echéance dette'!U8</f>
        <v>-45720.000000569606</v>
      </c>
      <c r="S15" s="8">
        <f>-'Echéance dette'!V8</f>
        <v>-45720.000000569606</v>
      </c>
      <c r="T15" s="8">
        <f>-'Echéance dette'!W8</f>
        <v>-45720.000000569606</v>
      </c>
      <c r="U15" s="8">
        <f>-'Echéance dette'!X8</f>
        <v>-45720.000000569606</v>
      </c>
      <c r="V15" s="8">
        <f>-'Echéance dette'!Y8</f>
        <v>-45720.000000569606</v>
      </c>
      <c r="W15" s="8">
        <f>-'Echéance dette'!Z8</f>
        <v>-45720.000000569606</v>
      </c>
      <c r="X15" s="8">
        <f>-'Echéance dette'!AA8</f>
        <v>-45720.000000569606</v>
      </c>
      <c r="Y15" s="8">
        <f>-'Echéance dette'!AB8</f>
        <v>-45720.000000569606</v>
      </c>
      <c r="Z15" s="8">
        <f>-'Echéance dette'!AC8</f>
        <v>-45720.000000569606</v>
      </c>
      <c r="AA15" s="8">
        <f>-'Echéance dette'!AD8</f>
        <v>-45720.000000569606</v>
      </c>
      <c r="AB15" s="8">
        <f>-'Echéance dette'!AE8</f>
        <v>-45720.000000569606</v>
      </c>
      <c r="AC15" s="8">
        <f>-'Echéance dette'!AF8</f>
        <v>-45720.000000569606</v>
      </c>
      <c r="AD15" s="8">
        <f>-'Echéance dette'!AG8</f>
        <v>-45720.000000569606</v>
      </c>
      <c r="AE15" s="8">
        <f>-'Echéance dette'!AH8</f>
        <v>-45720.000000569606</v>
      </c>
      <c r="AF15" s="8">
        <f>-'Echéance dette'!AI8</f>
        <v>-45720.000000569606</v>
      </c>
      <c r="AG15" s="8">
        <f>-'Echéance dette'!AJ8</f>
        <v>-45720.000000569606</v>
      </c>
      <c r="AH15" s="8">
        <f>-'Echéance dette'!AK8</f>
        <v>-45720.000000569606</v>
      </c>
    </row>
    <row r="16" spans="2:34" x14ac:dyDescent="0.2">
      <c r="B16" s="10" t="s">
        <v>34</v>
      </c>
      <c r="C16" s="19">
        <f>SUM(C8:C15)</f>
        <v>-100000</v>
      </c>
      <c r="D16" s="19">
        <f>SUM(D13:D15)</f>
        <v>-27386.66666723627</v>
      </c>
      <c r="E16" s="19">
        <f t="shared" ref="E16:AH16" si="1">SUM(E13:E15)</f>
        <v>-27386.66666723627</v>
      </c>
      <c r="F16" s="19">
        <f t="shared" si="1"/>
        <v>-27386.66666723627</v>
      </c>
      <c r="G16" s="19">
        <f t="shared" si="1"/>
        <v>-27386.66666723627</v>
      </c>
      <c r="H16" s="19">
        <f t="shared" si="1"/>
        <v>-27386.66666723627</v>
      </c>
      <c r="I16" s="19">
        <f t="shared" si="1"/>
        <v>-27386.66666723627</v>
      </c>
      <c r="J16" s="19">
        <f t="shared" si="1"/>
        <v>-27386.66666723627</v>
      </c>
      <c r="K16" s="19">
        <f t="shared" si="1"/>
        <v>-27386.66666723627</v>
      </c>
      <c r="L16" s="19">
        <f t="shared" si="1"/>
        <v>-27386.66666723627</v>
      </c>
      <c r="M16" s="19">
        <f t="shared" si="1"/>
        <v>-27386.66666723627</v>
      </c>
      <c r="N16" s="19">
        <f t="shared" si="1"/>
        <v>-27386.66666723627</v>
      </c>
      <c r="O16" s="19">
        <f t="shared" si="1"/>
        <v>-27386.66666723627</v>
      </c>
      <c r="P16" s="19">
        <f t="shared" si="1"/>
        <v>-27386.66666723627</v>
      </c>
      <c r="Q16" s="19">
        <f t="shared" si="1"/>
        <v>-27386.66666723627</v>
      </c>
      <c r="R16" s="19">
        <f t="shared" si="1"/>
        <v>-27386.66666723627</v>
      </c>
      <c r="S16" s="19">
        <f t="shared" si="1"/>
        <v>-27386.66666723627</v>
      </c>
      <c r="T16" s="19">
        <f t="shared" si="1"/>
        <v>-27386.66666723627</v>
      </c>
      <c r="U16" s="19">
        <f t="shared" si="1"/>
        <v>-27386.66666723627</v>
      </c>
      <c r="V16" s="19">
        <f t="shared" si="1"/>
        <v>-27386.66666723627</v>
      </c>
      <c r="W16" s="19">
        <f t="shared" si="1"/>
        <v>-27386.66666723627</v>
      </c>
      <c r="X16" s="19">
        <f t="shared" si="1"/>
        <v>-27386.66666723627</v>
      </c>
      <c r="Y16" s="19">
        <f t="shared" si="1"/>
        <v>-27386.66666723627</v>
      </c>
      <c r="Z16" s="19">
        <f t="shared" si="1"/>
        <v>-27386.66666723627</v>
      </c>
      <c r="AA16" s="19">
        <f t="shared" si="1"/>
        <v>-27386.66666723627</v>
      </c>
      <c r="AB16" s="19">
        <f t="shared" si="1"/>
        <v>-27386.66666723627</v>
      </c>
      <c r="AC16" s="19">
        <f t="shared" si="1"/>
        <v>-27386.66666723627</v>
      </c>
      <c r="AD16" s="19">
        <f t="shared" si="1"/>
        <v>-27386.66666723627</v>
      </c>
      <c r="AE16" s="19">
        <f t="shared" si="1"/>
        <v>-27386.66666723627</v>
      </c>
      <c r="AF16" s="19">
        <f t="shared" si="1"/>
        <v>-27386.66666723627</v>
      </c>
      <c r="AG16" s="19">
        <f t="shared" si="1"/>
        <v>-27386.66666723627</v>
      </c>
      <c r="AH16" s="19">
        <f t="shared" si="1"/>
        <v>-27386.66666723627</v>
      </c>
    </row>
    <row r="18" spans="2:34" x14ac:dyDescent="0.2">
      <c r="B18" t="s">
        <v>49</v>
      </c>
      <c r="D18">
        <v>0.5</v>
      </c>
      <c r="E18">
        <v>1.5</v>
      </c>
      <c r="F18">
        <v>2.5</v>
      </c>
      <c r="G18">
        <v>3.5</v>
      </c>
      <c r="H18">
        <v>4.5</v>
      </c>
      <c r="I18">
        <v>5.5</v>
      </c>
      <c r="J18">
        <v>6.5</v>
      </c>
      <c r="K18">
        <v>7.5</v>
      </c>
      <c r="L18">
        <v>8.5</v>
      </c>
      <c r="M18">
        <v>9.5</v>
      </c>
      <c r="N18">
        <v>10.5</v>
      </c>
      <c r="O18">
        <v>11.5</v>
      </c>
      <c r="P18">
        <v>12.5</v>
      </c>
      <c r="Q18">
        <v>13.5</v>
      </c>
      <c r="R18">
        <v>14.5</v>
      </c>
      <c r="S18">
        <v>15.5</v>
      </c>
      <c r="T18">
        <v>16.5</v>
      </c>
      <c r="U18">
        <v>17.5</v>
      </c>
      <c r="V18">
        <v>18.5</v>
      </c>
      <c r="W18">
        <v>19.5</v>
      </c>
      <c r="X18">
        <v>20.5</v>
      </c>
      <c r="Y18">
        <v>21.5</v>
      </c>
      <c r="Z18">
        <v>22.5</v>
      </c>
      <c r="AA18">
        <v>23.5</v>
      </c>
      <c r="AB18">
        <v>24.5</v>
      </c>
      <c r="AC18">
        <v>25.5</v>
      </c>
      <c r="AD18">
        <v>26.5</v>
      </c>
      <c r="AE18">
        <v>27.5</v>
      </c>
      <c r="AF18">
        <v>28.5</v>
      </c>
      <c r="AG18">
        <v>29.5</v>
      </c>
      <c r="AH18">
        <v>30.5</v>
      </c>
    </row>
    <row r="19" spans="2:34" x14ac:dyDescent="0.2">
      <c r="B19" t="s">
        <v>50</v>
      </c>
      <c r="D19" s="26">
        <f>1/(1+$C$2)^D18</f>
        <v>0.97128586235726422</v>
      </c>
      <c r="E19" s="26">
        <f t="shared" ref="E19:AH19" si="2">1/(1+$C$2)^E18</f>
        <v>0.91630741731817356</v>
      </c>
      <c r="F19" s="26">
        <f t="shared" si="2"/>
        <v>0.86444095973412605</v>
      </c>
      <c r="G19" s="26">
        <f t="shared" si="2"/>
        <v>0.81551033937181705</v>
      </c>
      <c r="H19" s="26">
        <f t="shared" si="2"/>
        <v>0.76934937676586501</v>
      </c>
      <c r="I19" s="26">
        <f t="shared" si="2"/>
        <v>0.72580129883572175</v>
      </c>
      <c r="J19" s="26">
        <f t="shared" si="2"/>
        <v>0.684718206448794</v>
      </c>
      <c r="K19" s="26">
        <f t="shared" si="2"/>
        <v>0.64596057212150371</v>
      </c>
      <c r="L19" s="26">
        <f t="shared" si="2"/>
        <v>0.60939676615236205</v>
      </c>
      <c r="M19" s="26">
        <f t="shared" si="2"/>
        <v>0.57490260957770001</v>
      </c>
      <c r="N19" s="26">
        <f t="shared" si="2"/>
        <v>0.5423609524317925</v>
      </c>
      <c r="O19" s="26">
        <f t="shared" si="2"/>
        <v>0.51166127587904942</v>
      </c>
      <c r="P19" s="26">
        <f t="shared" si="2"/>
        <v>0.48269931686702772</v>
      </c>
      <c r="Q19" s="26">
        <f t="shared" si="2"/>
        <v>0.45537671402549784</v>
      </c>
      <c r="R19" s="26">
        <f t="shared" si="2"/>
        <v>0.42960067360896026</v>
      </c>
      <c r="S19" s="26">
        <f t="shared" si="2"/>
        <v>0.40528365434807562</v>
      </c>
      <c r="T19" s="26">
        <f t="shared" si="2"/>
        <v>0.38234307013969404</v>
      </c>
      <c r="U19" s="26">
        <f t="shared" si="2"/>
        <v>0.36070100956574902</v>
      </c>
      <c r="V19" s="26">
        <f t="shared" si="2"/>
        <v>0.34028397128844246</v>
      </c>
      <c r="W19" s="26">
        <f t="shared" si="2"/>
        <v>0.32102261442305891</v>
      </c>
      <c r="X19" s="26">
        <f t="shared" si="2"/>
        <v>0.30285152304062163</v>
      </c>
      <c r="Y19" s="26">
        <f t="shared" si="2"/>
        <v>0.28570898400058636</v>
      </c>
      <c r="Z19" s="26">
        <f t="shared" si="2"/>
        <v>0.26953677735904374</v>
      </c>
      <c r="AA19" s="26">
        <f t="shared" si="2"/>
        <v>0.25427997864060731</v>
      </c>
      <c r="AB19" s="26">
        <f t="shared" si="2"/>
        <v>0.23988677230245972</v>
      </c>
      <c r="AC19" s="26">
        <f t="shared" si="2"/>
        <v>0.22630827575703746</v>
      </c>
      <c r="AD19" s="26">
        <f t="shared" si="2"/>
        <v>0.21349837335569574</v>
      </c>
      <c r="AE19" s="26">
        <f t="shared" si="2"/>
        <v>0.20141355976952421</v>
      </c>
      <c r="AF19" s="26">
        <f t="shared" si="2"/>
        <v>0.19001279223540021</v>
      </c>
      <c r="AG19" s="26">
        <f t="shared" si="2"/>
        <v>0.1792573511654719</v>
      </c>
      <c r="AH19" s="26">
        <f t="shared" si="2"/>
        <v>0.1691107086466716</v>
      </c>
    </row>
    <row r="20" spans="2:34" x14ac:dyDescent="0.2">
      <c r="B20" t="s">
        <v>51</v>
      </c>
      <c r="D20" s="26">
        <f>D16*D19</f>
        <v>-26600.282150977524</v>
      </c>
      <c r="E20" s="26">
        <f t="shared" ref="E20:AH20" si="3">E16*E19</f>
        <v>-25094.605802808979</v>
      </c>
      <c r="F20" s="26">
        <f t="shared" si="3"/>
        <v>-23674.156417744322</v>
      </c>
      <c r="G20" s="26">
        <f t="shared" si="3"/>
        <v>-22334.109828060682</v>
      </c>
      <c r="H20" s="26">
        <f t="shared" si="3"/>
        <v>-21069.914932132713</v>
      </c>
      <c r="I20" s="26">
        <f t="shared" si="3"/>
        <v>-19877.27823786105</v>
      </c>
      <c r="J20" s="26">
        <f t="shared" si="3"/>
        <v>-18752.149281000988</v>
      </c>
      <c r="K20" s="26">
        <f t="shared" si="3"/>
        <v>-17690.706868868856</v>
      </c>
      <c r="L20" s="26">
        <f t="shared" si="3"/>
        <v>-16689.34610270647</v>
      </c>
      <c r="M20" s="26">
        <f t="shared" si="3"/>
        <v>-15744.666134628744</v>
      </c>
      <c r="N20" s="26">
        <f t="shared" si="3"/>
        <v>-14853.458617574288</v>
      </c>
      <c r="O20" s="26">
        <f t="shared" si="3"/>
        <v>-14012.696809032344</v>
      </c>
      <c r="P20" s="26">
        <f t="shared" si="3"/>
        <v>-13219.525291539947</v>
      </c>
      <c r="Q20" s="26">
        <f t="shared" si="3"/>
        <v>-12471.250275037684</v>
      </c>
      <c r="R20" s="26">
        <f t="shared" si="3"/>
        <v>-11765.330448148759</v>
      </c>
      <c r="S20" s="26">
        <f t="shared" si="3"/>
        <v>-11099.368347310148</v>
      </c>
      <c r="T20" s="26">
        <f t="shared" si="3"/>
        <v>-10471.102214443537</v>
      </c>
      <c r="U20" s="26">
        <f t="shared" si="3"/>
        <v>-9878.3983155127698</v>
      </c>
      <c r="V20" s="26">
        <f t="shared" si="3"/>
        <v>-9319.243693879971</v>
      </c>
      <c r="W20" s="26">
        <f t="shared" si="3"/>
        <v>-8791.7393338490292</v>
      </c>
      <c r="X20" s="26">
        <f t="shared" si="3"/>
        <v>-8294.0937111783296</v>
      </c>
      <c r="Y20" s="26">
        <f t="shared" si="3"/>
        <v>-7824.6167086587993</v>
      </c>
      <c r="Z20" s="26">
        <f t="shared" si="3"/>
        <v>-7381.7138760932066</v>
      </c>
      <c r="AA20" s="26">
        <f t="shared" si="3"/>
        <v>-6963.8810151822709</v>
      </c>
      <c r="AB20" s="26">
        <f t="shared" si="3"/>
        <v>-6569.6990709266702</v>
      </c>
      <c r="AC20" s="26">
        <f t="shared" si="3"/>
        <v>-6197.8293121949719</v>
      </c>
      <c r="AD20" s="26">
        <f t="shared" si="3"/>
        <v>-5847.008785089597</v>
      </c>
      <c r="AE20" s="26">
        <f t="shared" si="3"/>
        <v>-5516.0460236694289</v>
      </c>
      <c r="AF20" s="26">
        <f t="shared" si="3"/>
        <v>-5203.817003461726</v>
      </c>
      <c r="AG20" s="26">
        <f t="shared" si="3"/>
        <v>-4909.2613240204955</v>
      </c>
      <c r="AH20" s="26">
        <f t="shared" si="3"/>
        <v>-4631.3786075665057</v>
      </c>
    </row>
  </sheetData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AZ12"/>
  <sheetViews>
    <sheetView showGridLines="0" zoomScale="110" workbookViewId="0">
      <selection activeCell="C6" sqref="C6"/>
    </sheetView>
  </sheetViews>
  <sheetFormatPr defaultRowHeight="11.25" x14ac:dyDescent="0.2"/>
  <cols>
    <col min="2" max="2" width="15.6640625" bestFit="1" customWidth="1"/>
    <col min="3" max="3" width="12.1640625" bestFit="1" customWidth="1"/>
    <col min="4" max="4" width="12.1640625" customWidth="1"/>
    <col min="5" max="5" width="18.5" bestFit="1" customWidth="1"/>
    <col min="6" max="6" width="18.5" customWidth="1"/>
    <col min="7" max="27" width="11.5" bestFit="1" customWidth="1"/>
    <col min="37" max="52" width="9.33203125" style="13"/>
  </cols>
  <sheetData>
    <row r="2" spans="2:52" x14ac:dyDescent="0.2">
      <c r="B2" t="s">
        <v>28</v>
      </c>
      <c r="C2" s="17">
        <f>'Valorisation investissement'!C22</f>
        <v>1143000</v>
      </c>
      <c r="D2" s="8"/>
    </row>
    <row r="3" spans="2:52" x14ac:dyDescent="0.2">
      <c r="B3" t="s">
        <v>29</v>
      </c>
      <c r="C3" s="8">
        <f>C2*(1+$C$4)^20</f>
        <v>1371600.0000170881</v>
      </c>
      <c r="D3" s="8"/>
    </row>
    <row r="4" spans="2:52" x14ac:dyDescent="0.2">
      <c r="B4" t="s">
        <v>30</v>
      </c>
      <c r="C4" s="15">
        <v>9.1577558282416403E-3</v>
      </c>
      <c r="D4" s="8"/>
    </row>
    <row r="5" spans="2:52" ht="10.15" customHeight="1" x14ac:dyDescent="0.2">
      <c r="B5" t="s">
        <v>35</v>
      </c>
      <c r="C5" s="16">
        <v>30</v>
      </c>
      <c r="D5" s="3"/>
      <c r="E5" s="7" t="s">
        <v>31</v>
      </c>
      <c r="F5" s="7">
        <v>0</v>
      </c>
      <c r="G5" s="6">
        <v>1</v>
      </c>
      <c r="H5" s="6">
        <v>2</v>
      </c>
      <c r="I5" s="6">
        <v>3</v>
      </c>
      <c r="J5" s="6">
        <v>4</v>
      </c>
      <c r="K5" s="6">
        <v>5</v>
      </c>
      <c r="L5" s="6">
        <v>6</v>
      </c>
      <c r="M5" s="6">
        <v>7</v>
      </c>
      <c r="N5" s="6">
        <v>8</v>
      </c>
      <c r="O5" s="6">
        <v>9</v>
      </c>
      <c r="P5" s="6">
        <v>10</v>
      </c>
      <c r="Q5" s="6">
        <v>11</v>
      </c>
      <c r="R5" s="6">
        <v>12</v>
      </c>
      <c r="S5" s="6">
        <v>13</v>
      </c>
      <c r="T5" s="6">
        <v>14</v>
      </c>
      <c r="U5" s="6">
        <v>15</v>
      </c>
      <c r="V5" s="6">
        <v>16</v>
      </c>
      <c r="W5" s="6">
        <v>17</v>
      </c>
      <c r="X5" s="6">
        <v>18</v>
      </c>
      <c r="Y5" s="6">
        <v>19</v>
      </c>
      <c r="Z5" s="6">
        <v>20</v>
      </c>
      <c r="AA5" s="6">
        <v>21</v>
      </c>
      <c r="AB5" s="6">
        <v>22</v>
      </c>
      <c r="AC5" s="6">
        <v>23</v>
      </c>
      <c r="AD5" s="6">
        <v>24</v>
      </c>
      <c r="AE5" s="6">
        <v>25</v>
      </c>
      <c r="AF5" s="6">
        <v>26</v>
      </c>
      <c r="AG5" s="6">
        <v>27</v>
      </c>
      <c r="AH5" s="6">
        <v>28</v>
      </c>
      <c r="AI5" s="6">
        <v>29</v>
      </c>
      <c r="AJ5" s="6">
        <v>30</v>
      </c>
      <c r="AK5" s="6">
        <v>31</v>
      </c>
      <c r="AL5" s="6">
        <v>32</v>
      </c>
      <c r="AM5" s="6">
        <v>33</v>
      </c>
      <c r="AN5" s="6">
        <v>34</v>
      </c>
      <c r="AO5" s="6">
        <v>35</v>
      </c>
      <c r="AP5" s="6">
        <v>36</v>
      </c>
      <c r="AQ5" s="6">
        <v>37</v>
      </c>
      <c r="AR5" s="6">
        <v>38</v>
      </c>
      <c r="AS5" s="6">
        <v>39</v>
      </c>
      <c r="AT5" s="6">
        <v>40</v>
      </c>
      <c r="AU5" s="5"/>
      <c r="AV5" s="5"/>
      <c r="AW5" s="5"/>
      <c r="AX5" s="5"/>
      <c r="AY5" s="5"/>
      <c r="AZ5" s="5"/>
    </row>
    <row r="6" spans="2:52" ht="5.25" customHeight="1" x14ac:dyDescent="0.2"/>
    <row r="7" spans="2:52" s="8" customFormat="1" x14ac:dyDescent="0.2">
      <c r="E7" s="8" t="s">
        <v>33</v>
      </c>
      <c r="F7" s="8">
        <f>C3-F8</f>
        <v>1371600.0000170881</v>
      </c>
      <c r="G7" s="8">
        <f t="shared" ref="G7:Z7" si="0">F7-G8</f>
        <v>1325880.0000165186</v>
      </c>
      <c r="H7" s="8">
        <f t="shared" si="0"/>
        <v>1280160.0000159491</v>
      </c>
      <c r="I7" s="8">
        <f t="shared" si="0"/>
        <v>1234440.0000153796</v>
      </c>
      <c r="J7" s="8">
        <f t="shared" si="0"/>
        <v>1188720.0000148101</v>
      </c>
      <c r="K7" s="8">
        <f t="shared" si="0"/>
        <v>1143000.0000142406</v>
      </c>
      <c r="L7" s="8">
        <f t="shared" si="0"/>
        <v>1097280.0000136711</v>
      </c>
      <c r="M7" s="8">
        <f t="shared" si="0"/>
        <v>1051560.0000131016</v>
      </c>
      <c r="N7" s="8">
        <f t="shared" si="0"/>
        <v>1005840.000012532</v>
      </c>
      <c r="O7" s="8">
        <f t="shared" si="0"/>
        <v>960120.00001196237</v>
      </c>
      <c r="P7" s="8">
        <f t="shared" si="0"/>
        <v>914400.00001139275</v>
      </c>
      <c r="Q7" s="8">
        <f t="shared" si="0"/>
        <v>868680.00001082313</v>
      </c>
      <c r="R7" s="8">
        <f t="shared" si="0"/>
        <v>822960.00001025351</v>
      </c>
      <c r="S7" s="8">
        <f t="shared" si="0"/>
        <v>777240.00000968389</v>
      </c>
      <c r="T7" s="8">
        <f t="shared" si="0"/>
        <v>731520.00000911427</v>
      </c>
      <c r="U7" s="8">
        <f t="shared" si="0"/>
        <v>685800.00000854465</v>
      </c>
      <c r="V7" s="8">
        <f t="shared" si="0"/>
        <v>640080.00000797503</v>
      </c>
      <c r="W7" s="8">
        <f t="shared" si="0"/>
        <v>594360.00000740541</v>
      </c>
      <c r="X7" s="8">
        <f t="shared" si="0"/>
        <v>548640.00000683579</v>
      </c>
      <c r="Y7" s="8">
        <f t="shared" si="0"/>
        <v>502920.00000626617</v>
      </c>
      <c r="Z7" s="8">
        <f t="shared" si="0"/>
        <v>457200.00000569655</v>
      </c>
      <c r="AA7" s="8">
        <f t="shared" ref="AA7:AJ7" si="1">Z7-AA8</f>
        <v>411480.00000512693</v>
      </c>
      <c r="AB7" s="8">
        <f t="shared" si="1"/>
        <v>365760.00000455731</v>
      </c>
      <c r="AC7" s="8">
        <f t="shared" si="1"/>
        <v>320040.00000398769</v>
      </c>
      <c r="AD7" s="8">
        <f t="shared" si="1"/>
        <v>274320.00000341807</v>
      </c>
      <c r="AE7" s="8">
        <f t="shared" si="1"/>
        <v>228600.00000284845</v>
      </c>
      <c r="AF7" s="8">
        <f t="shared" si="1"/>
        <v>182880.00000227883</v>
      </c>
      <c r="AG7" s="8">
        <f t="shared" si="1"/>
        <v>137160.00000170921</v>
      </c>
      <c r="AH7" s="8">
        <f t="shared" si="1"/>
        <v>91440.000001139604</v>
      </c>
      <c r="AI7" s="8">
        <f t="shared" si="1"/>
        <v>45720.000000569999</v>
      </c>
      <c r="AJ7" s="8">
        <f t="shared" si="1"/>
        <v>3.92901711165905E-10</v>
      </c>
      <c r="AK7" s="8">
        <f t="shared" ref="AK7" si="2">AJ7-AK8</f>
        <v>-45720.000000569213</v>
      </c>
      <c r="AL7" s="8">
        <f t="shared" ref="AL7" si="3">AK7-AL8</f>
        <v>-45720.000000569213</v>
      </c>
      <c r="AM7" s="8">
        <f t="shared" ref="AM7" si="4">AL7-AM8</f>
        <v>-45720.000000569213</v>
      </c>
      <c r="AN7" s="8">
        <f t="shared" ref="AN7" si="5">AM7-AN8</f>
        <v>-45720.000000569213</v>
      </c>
      <c r="AO7" s="8">
        <f t="shared" ref="AO7" si="6">AN7-AO8</f>
        <v>-45720.000000569213</v>
      </c>
      <c r="AP7" s="8">
        <f t="shared" ref="AP7" si="7">AO7-AP8</f>
        <v>-45720.000000569213</v>
      </c>
      <c r="AQ7" s="8">
        <f t="shared" ref="AQ7" si="8">AP7-AQ8</f>
        <v>-45720.000000569213</v>
      </c>
      <c r="AR7" s="8">
        <f t="shared" ref="AR7" si="9">AQ7-AR8</f>
        <v>-45720.000000569213</v>
      </c>
      <c r="AS7" s="8">
        <f t="shared" ref="AS7" si="10">AR7-AS8</f>
        <v>-45720.000000569213</v>
      </c>
      <c r="AT7" s="8">
        <f t="shared" ref="AT7" si="11">AS7-AT8</f>
        <v>-45720.000000569213</v>
      </c>
      <c r="AU7" s="14"/>
      <c r="AV7" s="14"/>
      <c r="AW7" s="14"/>
      <c r="AX7" s="14"/>
      <c r="AY7" s="14"/>
      <c r="AZ7" s="14"/>
    </row>
    <row r="8" spans="2:52" x14ac:dyDescent="0.2">
      <c r="E8" t="s">
        <v>32</v>
      </c>
      <c r="F8" s="8"/>
      <c r="G8" s="8">
        <f>IF(F7&gt;0,$C$3/$C$5,0)</f>
        <v>45720.000000569606</v>
      </c>
      <c r="H8" s="8">
        <f t="shared" ref="H8:AT8" si="12">IF(G7&gt;0,$C$3/$C$5,0)</f>
        <v>45720.000000569606</v>
      </c>
      <c r="I8" s="8">
        <f t="shared" si="12"/>
        <v>45720.000000569606</v>
      </c>
      <c r="J8" s="8">
        <f t="shared" si="12"/>
        <v>45720.000000569606</v>
      </c>
      <c r="K8" s="8">
        <f t="shared" si="12"/>
        <v>45720.000000569606</v>
      </c>
      <c r="L8" s="8">
        <f t="shared" si="12"/>
        <v>45720.000000569606</v>
      </c>
      <c r="M8" s="8">
        <f t="shared" si="12"/>
        <v>45720.000000569606</v>
      </c>
      <c r="N8" s="8">
        <f t="shared" si="12"/>
        <v>45720.000000569606</v>
      </c>
      <c r="O8" s="8">
        <f t="shared" si="12"/>
        <v>45720.000000569606</v>
      </c>
      <c r="P8" s="8">
        <f t="shared" si="12"/>
        <v>45720.000000569606</v>
      </c>
      <c r="Q8" s="8">
        <f t="shared" si="12"/>
        <v>45720.000000569606</v>
      </c>
      <c r="R8" s="8">
        <f t="shared" si="12"/>
        <v>45720.000000569606</v>
      </c>
      <c r="S8" s="8">
        <f t="shared" si="12"/>
        <v>45720.000000569606</v>
      </c>
      <c r="T8" s="8">
        <f t="shared" si="12"/>
        <v>45720.000000569606</v>
      </c>
      <c r="U8" s="8">
        <f t="shared" si="12"/>
        <v>45720.000000569606</v>
      </c>
      <c r="V8" s="8">
        <f t="shared" si="12"/>
        <v>45720.000000569606</v>
      </c>
      <c r="W8" s="8">
        <f t="shared" si="12"/>
        <v>45720.000000569606</v>
      </c>
      <c r="X8" s="8">
        <f t="shared" si="12"/>
        <v>45720.000000569606</v>
      </c>
      <c r="Y8" s="8">
        <f t="shared" si="12"/>
        <v>45720.000000569606</v>
      </c>
      <c r="Z8" s="8">
        <f t="shared" si="12"/>
        <v>45720.000000569606</v>
      </c>
      <c r="AA8" s="8">
        <f t="shared" si="12"/>
        <v>45720.000000569606</v>
      </c>
      <c r="AB8" s="8">
        <f t="shared" si="12"/>
        <v>45720.000000569606</v>
      </c>
      <c r="AC8" s="8">
        <f t="shared" si="12"/>
        <v>45720.000000569606</v>
      </c>
      <c r="AD8" s="8">
        <f t="shared" si="12"/>
        <v>45720.000000569606</v>
      </c>
      <c r="AE8" s="8">
        <f t="shared" si="12"/>
        <v>45720.000000569606</v>
      </c>
      <c r="AF8" s="8">
        <f t="shared" si="12"/>
        <v>45720.000000569606</v>
      </c>
      <c r="AG8" s="8">
        <f t="shared" si="12"/>
        <v>45720.000000569606</v>
      </c>
      <c r="AH8" s="8">
        <f t="shared" si="12"/>
        <v>45720.000000569606</v>
      </c>
      <c r="AI8" s="8">
        <f t="shared" si="12"/>
        <v>45720.000000569606</v>
      </c>
      <c r="AJ8" s="8">
        <f t="shared" si="12"/>
        <v>45720.000000569606</v>
      </c>
      <c r="AK8" s="8">
        <f t="shared" si="12"/>
        <v>45720.000000569606</v>
      </c>
      <c r="AL8" s="8">
        <f t="shared" si="12"/>
        <v>0</v>
      </c>
      <c r="AM8" s="8">
        <f t="shared" si="12"/>
        <v>0</v>
      </c>
      <c r="AN8" s="8">
        <f t="shared" si="12"/>
        <v>0</v>
      </c>
      <c r="AO8" s="8">
        <f t="shared" si="12"/>
        <v>0</v>
      </c>
      <c r="AP8" s="8">
        <f t="shared" si="12"/>
        <v>0</v>
      </c>
      <c r="AQ8" s="8">
        <f t="shared" si="12"/>
        <v>0</v>
      </c>
      <c r="AR8" s="8">
        <f t="shared" si="12"/>
        <v>0</v>
      </c>
      <c r="AS8" s="8">
        <f t="shared" si="12"/>
        <v>0</v>
      </c>
      <c r="AT8" s="8">
        <f t="shared" si="12"/>
        <v>0</v>
      </c>
      <c r="AU8" s="14"/>
      <c r="AV8" s="14"/>
      <c r="AW8" s="14"/>
      <c r="AX8" s="14"/>
      <c r="AY8" s="14"/>
      <c r="AZ8" s="14"/>
    </row>
    <row r="10" spans="2:52" x14ac:dyDescent="0.2">
      <c r="C10" s="8"/>
    </row>
    <row r="11" spans="2:52" x14ac:dyDescent="0.2">
      <c r="C11" s="8"/>
    </row>
    <row r="12" spans="2:52" x14ac:dyDescent="0.2">
      <c r="C12" s="3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Hypothèses</vt:lpstr>
      <vt:lpstr>Valorisation investissement</vt:lpstr>
      <vt:lpstr>Flux</vt:lpstr>
      <vt:lpstr>Echéance dette</vt:lpstr>
    </vt:vector>
  </TitlesOfParts>
  <Company>Accuracy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CHAUVIN Maxime</dc:creator>
  <cp:lastModifiedBy>CHAUVIN Maxime</cp:lastModifiedBy>
  <dcterms:created xsi:type="dcterms:W3CDTF">2019-09-24T09:11:51Z</dcterms:created>
  <dcterms:modified xsi:type="dcterms:W3CDTF">2019-10-11T14:57:09Z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ize_Factor">
    <vt:lpwstr>Large</vt:lpwstr>
  </property>
  <property fmtid="{D5CDD505-2E9C-101B-9397-08002B2CF9AE}" pid="3" name="LargeurPlage">
    <vt:lpwstr>2,06</vt:lpwstr>
  </property>
</Properties>
</file>